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tn-fileserver\Executive\DATA\GOVINT\PSC_CRSP\Cases\2020\2020-00085\"/>
    </mc:Choice>
  </mc:AlternateContent>
  <xr:revisionPtr revIDLastSave="0" documentId="8_{3967CFB4-1FF6-4CFB-8405-1E5DC6F57F9A}" xr6:coauthVersionLast="45" xr6:coauthVersionMax="45" xr10:uidLastSave="{00000000-0000-0000-0000-000000000000}"/>
  <bookViews>
    <workbookView xWindow="-23148" yWindow="-108" windowWidth="23256" windowHeight="12576" activeTab="5" xr2:uid="{00000000-000D-0000-FFFF-FFFF00000000}"/>
  </bookViews>
  <sheets>
    <sheet name="Exhibit 4" sheetId="1" r:id="rId1"/>
    <sheet name="Exhibit 6" sheetId="4" r:id="rId2"/>
    <sheet name="Exhibit 7b" sheetId="5" r:id="rId3"/>
    <sheet name="Exhibit 10" sheetId="6" r:id="rId4"/>
    <sheet name="Exhibit 11" sheetId="7" r:id="rId5"/>
    <sheet name="Exhibit 12" sheetId="8" r:id="rId6"/>
  </sheets>
  <definedNames>
    <definedName name="_xlnm.Print_Area" localSheetId="3">'Exhibit 10'!$A$1:$AC$66</definedName>
    <definedName name="_xlnm.Print_Area" localSheetId="0">'Exhibit 4'!$A$1:$BA$45</definedName>
    <definedName name="_xlnm.Print_Area" localSheetId="1">'Exhibit 6'!$A$1:$AO$43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8" l="1"/>
  <c r="D35" i="7"/>
  <c r="E49" i="7"/>
  <c r="D47" i="5" l="1"/>
  <c r="F41" i="4"/>
  <c r="F42" i="4" s="1"/>
  <c r="AN40" i="4"/>
  <c r="AM40" i="4"/>
  <c r="AK40" i="4"/>
  <c r="AJ40" i="4"/>
  <c r="AH40" i="4"/>
  <c r="AG40" i="4"/>
  <c r="AE40" i="4"/>
  <c r="AD40" i="4"/>
  <c r="AB40" i="4"/>
  <c r="AA40" i="4"/>
  <c r="Y40" i="4"/>
  <c r="X40" i="4"/>
  <c r="V40" i="4"/>
  <c r="U40" i="4"/>
  <c r="P40" i="4"/>
  <c r="O40" i="4"/>
  <c r="Q40" i="4" s="1"/>
  <c r="M40" i="4"/>
  <c r="J40" i="4"/>
  <c r="G40" i="4"/>
  <c r="F40" i="4"/>
  <c r="H40" i="4" s="1"/>
  <c r="AO39" i="4"/>
  <c r="AL39" i="4"/>
  <c r="AI39" i="4"/>
  <c r="AF39" i="4"/>
  <c r="AC39" i="4"/>
  <c r="Z39" i="4"/>
  <c r="W39" i="4"/>
  <c r="T39" i="4"/>
  <c r="D39" i="4" s="1"/>
  <c r="Q39" i="4"/>
  <c r="N39" i="4"/>
  <c r="K39" i="4"/>
  <c r="H39" i="4"/>
  <c r="AO38" i="4"/>
  <c r="AL38" i="4"/>
  <c r="AI38" i="4"/>
  <c r="AF38" i="4"/>
  <c r="AC38" i="4"/>
  <c r="Z38" i="4"/>
  <c r="W38" i="4"/>
  <c r="T38" i="4"/>
  <c r="Q38" i="4"/>
  <c r="N38" i="4"/>
  <c r="K38" i="4"/>
  <c r="D38" i="4" s="1"/>
  <c r="H38" i="4"/>
  <c r="AO37" i="4"/>
  <c r="AL37" i="4"/>
  <c r="AI37" i="4"/>
  <c r="AF37" i="4"/>
  <c r="AC37" i="4"/>
  <c r="Z37" i="4"/>
  <c r="W37" i="4"/>
  <c r="T37" i="4"/>
  <c r="Q37" i="4"/>
  <c r="N37" i="4"/>
  <c r="K37" i="4"/>
  <c r="H37" i="4"/>
  <c r="D37" i="4"/>
  <c r="AO36" i="4"/>
  <c r="AL36" i="4"/>
  <c r="AI36" i="4"/>
  <c r="AF36" i="4"/>
  <c r="AC36" i="4"/>
  <c r="Z36" i="4"/>
  <c r="W36" i="4"/>
  <c r="S36" i="4"/>
  <c r="S40" i="4" s="1"/>
  <c r="R36" i="4"/>
  <c r="R40" i="4" s="1"/>
  <c r="T40" i="4" s="1"/>
  <c r="Q36" i="4"/>
  <c r="O36" i="4"/>
  <c r="L36" i="4"/>
  <c r="L40" i="4" s="1"/>
  <c r="N40" i="4" s="1"/>
  <c r="I36" i="4"/>
  <c r="K36" i="4" s="1"/>
  <c r="H36" i="4"/>
  <c r="F36" i="4"/>
  <c r="AG30" i="4"/>
  <c r="AI30" i="4" s="1"/>
  <c r="AE30" i="4"/>
  <c r="AB30" i="4"/>
  <c r="AA30" i="4"/>
  <c r="AC30" i="4" s="1"/>
  <c r="Y30" i="4"/>
  <c r="V30" i="4"/>
  <c r="U30" i="4"/>
  <c r="W30" i="4" s="1"/>
  <c r="S30" i="4"/>
  <c r="R30" i="4"/>
  <c r="T30" i="4" s="1"/>
  <c r="P30" i="4"/>
  <c r="M30" i="4"/>
  <c r="J30" i="4"/>
  <c r="I30" i="4"/>
  <c r="K30" i="4" s="1"/>
  <c r="G30" i="4"/>
  <c r="AO29" i="4"/>
  <c r="AL29" i="4"/>
  <c r="AI29" i="4"/>
  <c r="AF29" i="4"/>
  <c r="AC29" i="4"/>
  <c r="Z29" i="4"/>
  <c r="W29" i="4"/>
  <c r="T29" i="4"/>
  <c r="Q29" i="4"/>
  <c r="N29" i="4"/>
  <c r="K29" i="4"/>
  <c r="H29" i="4"/>
  <c r="D29" i="4" s="1"/>
  <c r="AO28" i="4"/>
  <c r="AL28" i="4"/>
  <c r="AI28" i="4"/>
  <c r="AF28" i="4"/>
  <c r="AC28" i="4"/>
  <c r="Z28" i="4"/>
  <c r="W28" i="4"/>
  <c r="D28" i="4" s="1"/>
  <c r="T28" i="4"/>
  <c r="Q28" i="4"/>
  <c r="N28" i="4"/>
  <c r="K28" i="4"/>
  <c r="H28" i="4"/>
  <c r="AO27" i="4"/>
  <c r="AL27" i="4"/>
  <c r="AI27" i="4"/>
  <c r="AF27" i="4"/>
  <c r="AC27" i="4"/>
  <c r="Z27" i="4"/>
  <c r="W27" i="4"/>
  <c r="T27" i="4"/>
  <c r="Q27" i="4"/>
  <c r="N27" i="4"/>
  <c r="D27" i="4" s="1"/>
  <c r="K27" i="4"/>
  <c r="H27" i="4"/>
  <c r="AM26" i="4"/>
  <c r="AO26" i="4" s="1"/>
  <c r="AJ26" i="4"/>
  <c r="AJ30" i="4" s="1"/>
  <c r="AL30" i="4" s="1"/>
  <c r="AI26" i="4"/>
  <c r="AG26" i="4"/>
  <c r="AD26" i="4"/>
  <c r="AF26" i="4" s="1"/>
  <c r="AA26" i="4"/>
  <c r="AC26" i="4" s="1"/>
  <c r="X26" i="4"/>
  <c r="X30" i="4" s="1"/>
  <c r="Z30" i="4" s="1"/>
  <c r="W26" i="4"/>
  <c r="U26" i="4"/>
  <c r="R26" i="4"/>
  <c r="T26" i="4" s="1"/>
  <c r="O26" i="4"/>
  <c r="O30" i="4" s="1"/>
  <c r="Q30" i="4" s="1"/>
  <c r="L26" i="4"/>
  <c r="L30" i="4" s="1"/>
  <c r="N30" i="4" s="1"/>
  <c r="K26" i="4"/>
  <c r="I26" i="4"/>
  <c r="F26" i="4"/>
  <c r="H26" i="4" s="1"/>
  <c r="AN20" i="4"/>
  <c r="AM20" i="4"/>
  <c r="AO20" i="4" s="1"/>
  <c r="AK20" i="4"/>
  <c r="AH20" i="4"/>
  <c r="AE20" i="4"/>
  <c r="AB20" i="4"/>
  <c r="Y20" i="4"/>
  <c r="X20" i="4"/>
  <c r="Z20" i="4" s="1"/>
  <c r="V20" i="4"/>
  <c r="S20" i="4"/>
  <c r="P20" i="4"/>
  <c r="O20" i="4"/>
  <c r="Q20" i="4" s="1"/>
  <c r="M20" i="4"/>
  <c r="J20" i="4"/>
  <c r="G20" i="4"/>
  <c r="AO19" i="4"/>
  <c r="AL19" i="4"/>
  <c r="AI19" i="4"/>
  <c r="AF19" i="4"/>
  <c r="AC19" i="4"/>
  <c r="Z19" i="4"/>
  <c r="W19" i="4"/>
  <c r="D19" i="4" s="1"/>
  <c r="T19" i="4"/>
  <c r="Q19" i="4"/>
  <c r="N19" i="4"/>
  <c r="K19" i="4"/>
  <c r="H19" i="4"/>
  <c r="AO18" i="4"/>
  <c r="AL18" i="4"/>
  <c r="AI18" i="4"/>
  <c r="AF18" i="4"/>
  <c r="AC18" i="4"/>
  <c r="Z18" i="4"/>
  <c r="W18" i="4"/>
  <c r="T18" i="4"/>
  <c r="Q18" i="4"/>
  <c r="N18" i="4"/>
  <c r="D18" i="4" s="1"/>
  <c r="K18" i="4"/>
  <c r="H18" i="4"/>
  <c r="AO17" i="4"/>
  <c r="AL17" i="4"/>
  <c r="AI17" i="4"/>
  <c r="AF17" i="4"/>
  <c r="AC17" i="4"/>
  <c r="Z17" i="4"/>
  <c r="W17" i="4"/>
  <c r="T17" i="4"/>
  <c r="Q17" i="4"/>
  <c r="N17" i="4"/>
  <c r="K17" i="4"/>
  <c r="H17" i="4"/>
  <c r="D17" i="4"/>
  <c r="AM16" i="4"/>
  <c r="AO16" i="4" s="1"/>
  <c r="AJ16" i="4"/>
  <c r="AJ20" i="4" s="1"/>
  <c r="AL20" i="4" s="1"/>
  <c r="AG16" i="4"/>
  <c r="AG20" i="4" s="1"/>
  <c r="AI20" i="4" s="1"/>
  <c r="AD16" i="4"/>
  <c r="AD20" i="4" s="1"/>
  <c r="AF20" i="4" s="1"/>
  <c r="AA16" i="4"/>
  <c r="AC16" i="4" s="1"/>
  <c r="X16" i="4"/>
  <c r="Z16" i="4" s="1"/>
  <c r="U16" i="4"/>
  <c r="U20" i="4" s="1"/>
  <c r="W20" i="4" s="1"/>
  <c r="R16" i="4"/>
  <c r="R20" i="4" s="1"/>
  <c r="T20" i="4" s="1"/>
  <c r="O16" i="4"/>
  <c r="Q16" i="4" s="1"/>
  <c r="L16" i="4"/>
  <c r="L20" i="4" s="1"/>
  <c r="N20" i="4" s="1"/>
  <c r="I16" i="4"/>
  <c r="K16" i="4" s="1"/>
  <c r="F16" i="4"/>
  <c r="H16" i="4" s="1"/>
  <c r="AN10" i="4"/>
  <c r="AK10" i="4"/>
  <c r="AJ10" i="4"/>
  <c r="AL10" i="4" s="1"/>
  <c r="AH10" i="4"/>
  <c r="AE10" i="4"/>
  <c r="AB10" i="4"/>
  <c r="AA10" i="4"/>
  <c r="AC10" i="4" s="1"/>
  <c r="Y10" i="4"/>
  <c r="V10" i="4"/>
  <c r="U10" i="4"/>
  <c r="W10" i="4" s="1"/>
  <c r="S10" i="4"/>
  <c r="P10" i="4"/>
  <c r="M10" i="4"/>
  <c r="L10" i="4"/>
  <c r="N10" i="4" s="1"/>
  <c r="J10" i="4"/>
  <c r="G10" i="4"/>
  <c r="AO9" i="4"/>
  <c r="AL9" i="4"/>
  <c r="AI9" i="4"/>
  <c r="AF9" i="4"/>
  <c r="AC9" i="4"/>
  <c r="Z9" i="4"/>
  <c r="W9" i="4"/>
  <c r="T9" i="4"/>
  <c r="Q9" i="4"/>
  <c r="N9" i="4"/>
  <c r="D9" i="4" s="1"/>
  <c r="K9" i="4"/>
  <c r="H9" i="4"/>
  <c r="AO8" i="4"/>
  <c r="AL8" i="4"/>
  <c r="AI8" i="4"/>
  <c r="AF8" i="4"/>
  <c r="AC8" i="4"/>
  <c r="Z8" i="4"/>
  <c r="W8" i="4"/>
  <c r="T8" i="4"/>
  <c r="Q8" i="4"/>
  <c r="N8" i="4"/>
  <c r="K8" i="4"/>
  <c r="H8" i="4"/>
  <c r="D8" i="4"/>
  <c r="AO7" i="4"/>
  <c r="AL7" i="4"/>
  <c r="AI7" i="4"/>
  <c r="AF7" i="4"/>
  <c r="AC7" i="4"/>
  <c r="Z7" i="4"/>
  <c r="W7" i="4"/>
  <c r="T7" i="4"/>
  <c r="D7" i="4" s="1"/>
  <c r="Q7" i="4"/>
  <c r="N7" i="4"/>
  <c r="K7" i="4"/>
  <c r="H7" i="4"/>
  <c r="AM6" i="4"/>
  <c r="AM10" i="4" s="1"/>
  <c r="AO10" i="4" s="1"/>
  <c r="AL6" i="4"/>
  <c r="AJ6" i="4"/>
  <c r="AG6" i="4"/>
  <c r="AG10" i="4" s="1"/>
  <c r="AI10" i="4" s="1"/>
  <c r="AD6" i="4"/>
  <c r="AD10" i="4" s="1"/>
  <c r="AF10" i="4" s="1"/>
  <c r="AA6" i="4"/>
  <c r="AC6" i="4" s="1"/>
  <c r="Z6" i="4"/>
  <c r="X6" i="4"/>
  <c r="X10" i="4" s="1"/>
  <c r="Z10" i="4" s="1"/>
  <c r="U6" i="4"/>
  <c r="W6" i="4" s="1"/>
  <c r="R6" i="4"/>
  <c r="R10" i="4" s="1"/>
  <c r="T10" i="4" s="1"/>
  <c r="O6" i="4"/>
  <c r="O10" i="4" s="1"/>
  <c r="Q10" i="4" s="1"/>
  <c r="N6" i="4"/>
  <c r="L6" i="4"/>
  <c r="I6" i="4"/>
  <c r="I10" i="4" s="1"/>
  <c r="K10" i="4" s="1"/>
  <c r="F6" i="4"/>
  <c r="F10" i="4" s="1"/>
  <c r="H10" i="4" s="1"/>
  <c r="D10" i="4" l="1"/>
  <c r="F20" i="4"/>
  <c r="H20" i="4" s="1"/>
  <c r="D20" i="4" s="1"/>
  <c r="T16" i="4"/>
  <c r="D16" i="4" s="1"/>
  <c r="T36" i="4"/>
  <c r="AO6" i="4"/>
  <c r="N26" i="4"/>
  <c r="AL26" i="4"/>
  <c r="AI16" i="4"/>
  <c r="I20" i="4"/>
  <c r="K20" i="4" s="1"/>
  <c r="AF6" i="4"/>
  <c r="Q26" i="4"/>
  <c r="D26" i="4" s="1"/>
  <c r="I40" i="4"/>
  <c r="K40" i="4" s="1"/>
  <c r="D40" i="4" s="1"/>
  <c r="N16" i="4"/>
  <c r="AL16" i="4"/>
  <c r="AA20" i="4"/>
  <c r="AC20" i="4" s="1"/>
  <c r="F30" i="4"/>
  <c r="H30" i="4" s="1"/>
  <c r="AD30" i="4"/>
  <c r="AF30" i="4" s="1"/>
  <c r="AF16" i="4"/>
  <c r="Q6" i="4"/>
  <c r="H6" i="4"/>
  <c r="D6" i="4" s="1"/>
  <c r="AM30" i="4"/>
  <c r="AO30" i="4" s="1"/>
  <c r="K6" i="4"/>
  <c r="AI6" i="4"/>
  <c r="Z26" i="4"/>
  <c r="W16" i="4"/>
  <c r="T6" i="4"/>
  <c r="N36" i="4"/>
  <c r="D36" i="4" s="1"/>
  <c r="D30" i="4" l="1"/>
  <c r="W45" i="1" l="1"/>
  <c r="W40" i="1"/>
  <c r="W39" i="1"/>
  <c r="AQ16" i="1" l="1"/>
  <c r="AY10" i="1"/>
  <c r="AY9" i="1"/>
  <c r="AY13" i="1" s="1"/>
  <c r="AY16" i="1" s="1"/>
  <c r="AY15" i="1"/>
  <c r="AU9" i="1"/>
  <c r="AU13" i="1"/>
  <c r="AU16" i="1" s="1"/>
  <c r="AU10" i="1"/>
  <c r="AU15" i="1"/>
  <c r="AQ13" i="1"/>
  <c r="AQ9" i="1"/>
  <c r="AQ15" i="1"/>
  <c r="AM10" i="1"/>
  <c r="AM9" i="1"/>
  <c r="AM13" i="1" s="1"/>
  <c r="AM16" i="1" s="1"/>
  <c r="AM15" i="1"/>
  <c r="AI10" i="1"/>
  <c r="AI9" i="1"/>
  <c r="AI13" i="1" s="1"/>
  <c r="AI16" i="1" s="1"/>
  <c r="AI15" i="1"/>
  <c r="AE9" i="1"/>
  <c r="AE13" i="1" s="1"/>
  <c r="AE16" i="1" s="1"/>
  <c r="AE10" i="1"/>
  <c r="AE15" i="1"/>
  <c r="AA9" i="1"/>
  <c r="AA13" i="1" s="1"/>
  <c r="AA16" i="1" s="1"/>
  <c r="AA15" i="1"/>
  <c r="W10" i="1"/>
  <c r="W9" i="1"/>
  <c r="W13" i="1" s="1"/>
  <c r="W16" i="1" s="1"/>
  <c r="W15" i="1"/>
  <c r="S10" i="1"/>
  <c r="S9" i="1"/>
  <c r="S13" i="1" s="1"/>
  <c r="S16" i="1" s="1"/>
  <c r="S15" i="1"/>
  <c r="O10" i="1"/>
  <c r="O9" i="1"/>
  <c r="O13" i="1" s="1"/>
  <c r="O16" i="1" s="1"/>
  <c r="O15" i="1"/>
  <c r="K10" i="1"/>
  <c r="K9" i="1"/>
  <c r="K13" i="1" s="1"/>
  <c r="K16" i="1" s="1"/>
  <c r="K15" i="1"/>
  <c r="G10" i="1"/>
  <c r="G9" i="1"/>
  <c r="G13" i="1" s="1"/>
  <c r="G16" i="1" s="1"/>
  <c r="G15" i="1"/>
  <c r="AY19" i="1"/>
  <c r="AY23" i="1" s="1"/>
  <c r="AY26" i="1" s="1"/>
  <c r="AY25" i="1"/>
  <c r="AU25" i="1"/>
  <c r="AU19" i="1"/>
  <c r="AU23" i="1" s="1"/>
  <c r="AU26" i="1" s="1"/>
  <c r="AQ19" i="1"/>
  <c r="AQ23" i="1" s="1"/>
  <c r="AQ26" i="1" s="1"/>
  <c r="AQ25" i="1"/>
  <c r="AM23" i="1"/>
  <c r="AM26" i="1" s="1"/>
  <c r="AM20" i="1"/>
  <c r="AM19" i="1"/>
  <c r="AM25" i="1"/>
  <c r="AI20" i="1"/>
  <c r="AI19" i="1"/>
  <c r="AI23" i="1" s="1"/>
  <c r="AI26" i="1" s="1"/>
  <c r="AI25" i="1"/>
  <c r="AE20" i="1"/>
  <c r="AE19" i="1"/>
  <c r="AE23" i="1" s="1"/>
  <c r="AE26" i="1" s="1"/>
  <c r="AE25" i="1"/>
  <c r="AA25" i="1"/>
  <c r="AA20" i="1"/>
  <c r="AA19" i="1"/>
  <c r="AA23" i="1" s="1"/>
  <c r="AA26" i="1" s="1"/>
  <c r="W23" i="1"/>
  <c r="W26" i="1" s="1"/>
  <c r="W20" i="1"/>
  <c r="W19" i="1"/>
  <c r="W25" i="1"/>
  <c r="S20" i="1"/>
  <c r="S19" i="1"/>
  <c r="S23" i="1" s="1"/>
  <c r="S26" i="1" s="1"/>
  <c r="S25" i="1"/>
  <c r="O20" i="1"/>
  <c r="O19" i="1"/>
  <c r="O25" i="1"/>
  <c r="K19" i="1"/>
  <c r="K23" i="1" s="1"/>
  <c r="K26" i="1" s="1"/>
  <c r="K20" i="1"/>
  <c r="K25" i="1"/>
  <c r="G20" i="1"/>
  <c r="G19" i="1"/>
  <c r="G23" i="1" s="1"/>
  <c r="G26" i="1" s="1"/>
  <c r="AA30" i="1"/>
  <c r="AA29" i="1"/>
  <c r="AA33" i="1" s="1"/>
  <c r="AA36" i="1" s="1"/>
  <c r="AA35" i="1"/>
  <c r="W35" i="1"/>
  <c r="W30" i="1"/>
  <c r="W29" i="1"/>
  <c r="W33" i="1" s="1"/>
  <c r="W36" i="1" s="1"/>
  <c r="S30" i="1"/>
  <c r="S29" i="1"/>
  <c r="S33" i="1" s="1"/>
  <c r="S36" i="1" s="1"/>
  <c r="S35" i="1"/>
  <c r="O30" i="1"/>
  <c r="O29" i="1"/>
  <c r="O33" i="1" s="1"/>
  <c r="O36" i="1" s="1"/>
  <c r="O35" i="1"/>
  <c r="K35" i="1"/>
  <c r="K30" i="1"/>
  <c r="K29" i="1"/>
  <c r="K33" i="1" s="1"/>
  <c r="K36" i="1" s="1"/>
  <c r="G35" i="1"/>
  <c r="G33" i="1"/>
  <c r="G36" i="1" s="1"/>
  <c r="D36" i="1" s="1"/>
  <c r="G29" i="1"/>
  <c r="AY35" i="1"/>
  <c r="AY30" i="1"/>
  <c r="AY29" i="1"/>
  <c r="AY33" i="1" s="1"/>
  <c r="AY36" i="1" s="1"/>
  <c r="AU35" i="1"/>
  <c r="AU30" i="1"/>
  <c r="AU33" i="1" s="1"/>
  <c r="AU36" i="1" s="1"/>
  <c r="AU29" i="1"/>
  <c r="AQ35" i="1"/>
  <c r="AQ29" i="1"/>
  <c r="AQ33" i="1" s="1"/>
  <c r="AQ36" i="1" s="1"/>
  <c r="AQ30" i="1"/>
  <c r="AM35" i="1"/>
  <c r="AM30" i="1"/>
  <c r="AM33" i="1" s="1"/>
  <c r="AM36" i="1" s="1"/>
  <c r="AM29" i="1"/>
  <c r="AI35" i="1"/>
  <c r="AI30" i="1"/>
  <c r="AI29" i="1"/>
  <c r="AI33" i="1" s="1"/>
  <c r="AI36" i="1" s="1"/>
  <c r="AE35" i="1"/>
  <c r="AE30" i="1"/>
  <c r="AE29" i="1"/>
  <c r="AE33" i="1" s="1"/>
  <c r="AE36" i="1" s="1"/>
  <c r="O23" i="1" l="1"/>
  <c r="O26" i="1" s="1"/>
  <c r="D26" i="1" s="1"/>
  <c r="D16" i="1"/>
  <c r="S45" i="1" l="1"/>
  <c r="W43" i="1"/>
  <c r="W46" i="1" s="1"/>
  <c r="S40" i="1"/>
  <c r="S39" i="1"/>
  <c r="S43" i="1" s="1"/>
  <c r="S46" i="1" s="1"/>
  <c r="O40" i="1"/>
  <c r="O39" i="1"/>
  <c r="O43" i="1" s="1"/>
  <c r="O45" i="1" l="1"/>
  <c r="O46" i="1" s="1"/>
  <c r="K45" i="1"/>
  <c r="K39" i="1"/>
  <c r="K43" i="1" s="1"/>
  <c r="K46" i="1" s="1"/>
  <c r="K40" i="1"/>
  <c r="G45" i="1"/>
  <c r="G39" i="1" l="1"/>
  <c r="G43" i="1" s="1"/>
  <c r="G46" i="1" s="1"/>
  <c r="D46" i="1" s="1"/>
  <c r="G40" i="1"/>
  <c r="AX29" i="1" l="1"/>
  <c r="AT29" i="1"/>
  <c r="AP29" i="1"/>
  <c r="AL29" i="1"/>
  <c r="AH29" i="1"/>
  <c r="AD29" i="1"/>
  <c r="Z29" i="1"/>
  <c r="V29" i="1"/>
  <c r="R29" i="1"/>
  <c r="N29" i="1"/>
  <c r="J29" i="1"/>
  <c r="F29" i="1"/>
  <c r="I29" i="1" s="1"/>
  <c r="AX19" i="1"/>
  <c r="AT19" i="1"/>
  <c r="AP19" i="1"/>
  <c r="AL19" i="1"/>
  <c r="AH19" i="1"/>
  <c r="AD19" i="1"/>
  <c r="Z19" i="1"/>
  <c r="V19" i="1"/>
  <c r="R19" i="1"/>
  <c r="N19" i="1"/>
  <c r="J19" i="1"/>
  <c r="F19" i="1"/>
  <c r="AX9" i="1"/>
  <c r="AT9" i="1"/>
  <c r="AP9" i="1"/>
  <c r="AL9" i="1"/>
  <c r="AH9" i="1"/>
  <c r="AD9" i="1"/>
  <c r="Z9" i="1"/>
  <c r="V9" i="1" l="1"/>
  <c r="R9" i="1"/>
  <c r="N9" i="1"/>
  <c r="J9" i="1"/>
  <c r="F9" i="1"/>
  <c r="R39" i="1"/>
  <c r="N39" i="1"/>
  <c r="J39" i="1"/>
  <c r="F39" i="1"/>
  <c r="I39" i="1" s="1"/>
  <c r="AZ43" i="1" l="1"/>
  <c r="AX43" i="1"/>
  <c r="AV43" i="1"/>
  <c r="AT43" i="1"/>
  <c r="AR43" i="1"/>
  <c r="AP43" i="1"/>
  <c r="AN43" i="1"/>
  <c r="AL43" i="1"/>
  <c r="AJ43" i="1"/>
  <c r="AH43" i="1"/>
  <c r="AF43" i="1"/>
  <c r="AD43" i="1"/>
  <c r="AB43" i="1"/>
  <c r="Z43" i="1"/>
  <c r="X43" i="1"/>
  <c r="V43" i="1"/>
  <c r="T43" i="1"/>
  <c r="R43" i="1"/>
  <c r="Q43" i="1"/>
  <c r="N43" i="1"/>
  <c r="L43" i="1"/>
  <c r="J43" i="1"/>
  <c r="H43" i="1"/>
  <c r="F43" i="1"/>
  <c r="BA42" i="1"/>
  <c r="AW42" i="1"/>
  <c r="AS42" i="1"/>
  <c r="AO42" i="1"/>
  <c r="AK42" i="1"/>
  <c r="AG42" i="1"/>
  <c r="AC42" i="1"/>
  <c r="Y42" i="1"/>
  <c r="U42" i="1"/>
  <c r="Q42" i="1"/>
  <c r="M42" i="1"/>
  <c r="I42" i="1"/>
  <c r="BA41" i="1"/>
  <c r="AW41" i="1"/>
  <c r="AS41" i="1"/>
  <c r="AO41" i="1"/>
  <c r="AK41" i="1"/>
  <c r="AG41" i="1"/>
  <c r="AC41" i="1"/>
  <c r="Y41" i="1"/>
  <c r="U41" i="1"/>
  <c r="Q41" i="1"/>
  <c r="M41" i="1"/>
  <c r="I41" i="1"/>
  <c r="BA40" i="1"/>
  <c r="AW40" i="1"/>
  <c r="AS40" i="1"/>
  <c r="AO40" i="1"/>
  <c r="AK40" i="1"/>
  <c r="AG40" i="1"/>
  <c r="AC40" i="1"/>
  <c r="Y40" i="1"/>
  <c r="U40" i="1"/>
  <c r="Q40" i="1"/>
  <c r="M40" i="1"/>
  <c r="I40" i="1"/>
  <c r="BA39" i="1"/>
  <c r="AW39" i="1"/>
  <c r="AS39" i="1"/>
  <c r="AO39" i="1"/>
  <c r="AK39" i="1"/>
  <c r="AG39" i="1"/>
  <c r="AC39" i="1"/>
  <c r="Y39" i="1"/>
  <c r="U39" i="1"/>
  <c r="Q39" i="1"/>
  <c r="M39" i="1"/>
  <c r="AZ33" i="1"/>
  <c r="AX33" i="1"/>
  <c r="AV33" i="1"/>
  <c r="AT33" i="1"/>
  <c r="AR33" i="1"/>
  <c r="AP33" i="1"/>
  <c r="AN33" i="1"/>
  <c r="AL33" i="1"/>
  <c r="AJ33" i="1"/>
  <c r="AH33" i="1"/>
  <c r="AF33" i="1"/>
  <c r="AD33" i="1"/>
  <c r="AB33" i="1"/>
  <c r="Z33" i="1"/>
  <c r="X33" i="1"/>
  <c r="V33" i="1"/>
  <c r="T33" i="1"/>
  <c r="R33" i="1"/>
  <c r="Q33" i="1"/>
  <c r="N33" i="1"/>
  <c r="L33" i="1"/>
  <c r="J33" i="1"/>
  <c r="H33" i="1"/>
  <c r="F33" i="1"/>
  <c r="BA32" i="1"/>
  <c r="AW32" i="1"/>
  <c r="AS32" i="1"/>
  <c r="AO32" i="1"/>
  <c r="AK32" i="1"/>
  <c r="AG32" i="1"/>
  <c r="AC32" i="1"/>
  <c r="Y32" i="1"/>
  <c r="U32" i="1"/>
  <c r="Q32" i="1"/>
  <c r="M32" i="1"/>
  <c r="I32" i="1"/>
  <c r="BA31" i="1"/>
  <c r="AW31" i="1"/>
  <c r="AS31" i="1"/>
  <c r="AO31" i="1"/>
  <c r="AK31" i="1"/>
  <c r="AG31" i="1"/>
  <c r="AC31" i="1"/>
  <c r="Y31" i="1"/>
  <c r="U31" i="1"/>
  <c r="Q31" i="1"/>
  <c r="M31" i="1"/>
  <c r="I31" i="1"/>
  <c r="BA30" i="1"/>
  <c r="AW30" i="1"/>
  <c r="AS30" i="1"/>
  <c r="AO30" i="1"/>
  <c r="AK30" i="1"/>
  <c r="AG30" i="1"/>
  <c r="AC30" i="1"/>
  <c r="Y30" i="1"/>
  <c r="U30" i="1"/>
  <c r="Q30" i="1"/>
  <c r="M30" i="1"/>
  <c r="I30" i="1"/>
  <c r="BA29" i="1"/>
  <c r="AW29" i="1"/>
  <c r="AS29" i="1"/>
  <c r="AO29" i="1"/>
  <c r="AK29" i="1"/>
  <c r="AG29" i="1"/>
  <c r="AC29" i="1"/>
  <c r="Y29" i="1"/>
  <c r="U29" i="1"/>
  <c r="Q29" i="1"/>
  <c r="M29" i="1"/>
  <c r="AZ23" i="1"/>
  <c r="AX23" i="1"/>
  <c r="AV23" i="1"/>
  <c r="AT23" i="1"/>
  <c r="AR23" i="1"/>
  <c r="AP23" i="1"/>
  <c r="AN23" i="1"/>
  <c r="AL23" i="1"/>
  <c r="AJ23" i="1"/>
  <c r="AH23" i="1"/>
  <c r="AF23" i="1"/>
  <c r="AD23" i="1"/>
  <c r="AB23" i="1"/>
  <c r="Z23" i="1"/>
  <c r="X23" i="1"/>
  <c r="V23" i="1"/>
  <c r="T23" i="1"/>
  <c r="R23" i="1"/>
  <c r="Q23" i="1"/>
  <c r="N23" i="1"/>
  <c r="L23" i="1"/>
  <c r="J23" i="1"/>
  <c r="H23" i="1"/>
  <c r="F23" i="1"/>
  <c r="BA22" i="1"/>
  <c r="AW22" i="1"/>
  <c r="AS22" i="1"/>
  <c r="AO22" i="1"/>
  <c r="AK22" i="1"/>
  <c r="AG22" i="1"/>
  <c r="AC22" i="1"/>
  <c r="Y22" i="1"/>
  <c r="U22" i="1"/>
  <c r="Q22" i="1"/>
  <c r="M22" i="1"/>
  <c r="I22" i="1"/>
  <c r="BA21" i="1"/>
  <c r="AW21" i="1"/>
  <c r="AS21" i="1"/>
  <c r="AO21" i="1"/>
  <c r="AK21" i="1"/>
  <c r="AG21" i="1"/>
  <c r="AC21" i="1"/>
  <c r="Y21" i="1"/>
  <c r="U21" i="1"/>
  <c r="Q21" i="1"/>
  <c r="M21" i="1"/>
  <c r="I21" i="1"/>
  <c r="BA20" i="1"/>
  <c r="AW20" i="1"/>
  <c r="AS20" i="1"/>
  <c r="AO20" i="1"/>
  <c r="AK20" i="1"/>
  <c r="AG20" i="1"/>
  <c r="AC20" i="1"/>
  <c r="Y20" i="1"/>
  <c r="U20" i="1"/>
  <c r="Q20" i="1"/>
  <c r="M20" i="1"/>
  <c r="I20" i="1"/>
  <c r="BA19" i="1"/>
  <c r="AW19" i="1"/>
  <c r="AS19" i="1"/>
  <c r="AO19" i="1"/>
  <c r="AK19" i="1"/>
  <c r="AG19" i="1"/>
  <c r="AC19" i="1"/>
  <c r="Y19" i="1"/>
  <c r="U19" i="1"/>
  <c r="Q19" i="1"/>
  <c r="M19" i="1"/>
  <c r="I19" i="1"/>
  <c r="BA12" i="1"/>
  <c r="BA11" i="1"/>
  <c r="BA10" i="1"/>
  <c r="BA9" i="1"/>
  <c r="AZ13" i="1"/>
  <c r="AX13" i="1"/>
  <c r="AW10" i="1"/>
  <c r="AW11" i="1"/>
  <c r="AW12" i="1"/>
  <c r="AW9" i="1"/>
  <c r="AV13" i="1"/>
  <c r="AT13" i="1"/>
  <c r="AP13" i="1"/>
  <c r="AR13" i="1"/>
  <c r="AS10" i="1"/>
  <c r="AS11" i="1"/>
  <c r="AS12" i="1"/>
  <c r="AS9" i="1"/>
  <c r="AN13" i="1"/>
  <c r="AL13" i="1"/>
  <c r="AO10" i="1"/>
  <c r="AO11" i="1"/>
  <c r="AO12" i="1"/>
  <c r="AO9" i="1"/>
  <c r="AJ13" i="1"/>
  <c r="AH13" i="1"/>
  <c r="AK12" i="1"/>
  <c r="AK11" i="1"/>
  <c r="AK10" i="1"/>
  <c r="AK9" i="1"/>
  <c r="AF13" i="1"/>
  <c r="AD13" i="1"/>
  <c r="AG12" i="1"/>
  <c r="AG11" i="1"/>
  <c r="AG10" i="1"/>
  <c r="AG9" i="1"/>
  <c r="AB13" i="1"/>
  <c r="Z13" i="1"/>
  <c r="AC12" i="1"/>
  <c r="AC11" i="1"/>
  <c r="AC10" i="1"/>
  <c r="AC9" i="1"/>
  <c r="X13" i="1"/>
  <c r="V13" i="1"/>
  <c r="Y12" i="1"/>
  <c r="Y11" i="1"/>
  <c r="Y10" i="1"/>
  <c r="Y9" i="1"/>
  <c r="T13" i="1"/>
  <c r="R13" i="1"/>
  <c r="U12" i="1"/>
  <c r="U11" i="1"/>
  <c r="U10" i="1"/>
  <c r="U9" i="1"/>
  <c r="N13" i="1"/>
  <c r="Q13" i="1"/>
  <c r="Q12" i="1"/>
  <c r="Q11" i="1"/>
  <c r="Q10" i="1"/>
  <c r="Q9" i="1"/>
  <c r="L13" i="1"/>
  <c r="J13" i="1"/>
  <c r="M12" i="1"/>
  <c r="M11" i="1"/>
  <c r="M10" i="1"/>
  <c r="M9" i="1"/>
  <c r="I10" i="1"/>
  <c r="I11" i="1"/>
  <c r="I12" i="1"/>
  <c r="H13" i="1"/>
  <c r="I9" i="1"/>
  <c r="F13" i="1"/>
  <c r="D29" i="1" l="1"/>
  <c r="D9" i="1"/>
  <c r="D12" i="1"/>
  <c r="D32" i="1"/>
  <c r="D31" i="1"/>
  <c r="D30" i="1"/>
  <c r="D22" i="1"/>
  <c r="D20" i="1"/>
  <c r="D19" i="1"/>
  <c r="D21" i="1"/>
  <c r="D11" i="1"/>
  <c r="D10" i="1"/>
</calcChain>
</file>

<file path=xl/sharedStrings.xml><?xml version="1.0" encoding="utf-8"?>
<sst xmlns="http://schemas.openxmlformats.org/spreadsheetml/2006/main" count="842" uniqueCount="76">
  <si>
    <t>a.</t>
  </si>
  <si>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</si>
  <si>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</si>
  <si>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</si>
  <si>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</si>
  <si>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</si>
  <si>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</si>
  <si>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</si>
  <si>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</si>
  <si>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</si>
  <si>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>NOV</t>
  </si>
  <si>
    <t>DEC</t>
  </si>
  <si>
    <t># Customers</t>
  </si>
  <si>
    <t>b.</t>
  </si>
  <si>
    <t>c.</t>
  </si>
  <si>
    <t>d.</t>
  </si>
  <si>
    <t>Avg Total Bill</t>
  </si>
  <si>
    <t>CLASS</t>
  </si>
  <si>
    <t>1 - RESIDENTIAL</t>
  </si>
  <si>
    <t>4 - SMALL COMMERCIAL</t>
  </si>
  <si>
    <t>5 - INDUSTRIAL</t>
  </si>
  <si>
    <t>6 - PUBLIC ST &amp; HWY LIGHTING</t>
  </si>
  <si>
    <t>SEP</t>
  </si>
  <si>
    <t>Total billed All Charges</t>
  </si>
  <si>
    <t>Data Request #4</t>
  </si>
  <si>
    <t>Provide the average total bill for all customers by class for:</t>
  </si>
  <si>
    <t>Due to programming constraints, we are unable to obtain the number of delinquent accounts by class</t>
  </si>
  <si>
    <t>ANNUAL AVG TOTAL BILL</t>
  </si>
  <si>
    <t>Total Arrearages</t>
  </si>
  <si>
    <t>Total Delinquent Accts</t>
  </si>
  <si>
    <t xml:space="preserve">Total Arrearages </t>
  </si>
  <si>
    <t>Avg Arrearage</t>
  </si>
  <si>
    <t>The following information does contain the total amount in arrears by class.</t>
  </si>
  <si>
    <t>An average arrearage was calculated using the number of accounts in arrears over 30 days.</t>
  </si>
  <si>
    <t>Response:</t>
  </si>
  <si>
    <t>ANNUAL AVG CURRENT BILL</t>
  </si>
  <si>
    <t>AVG TOTAL BILL</t>
  </si>
  <si>
    <t>Nolin Rural Electric Cooperative Corporation</t>
  </si>
  <si>
    <t>Case No. 2020-00085</t>
  </si>
  <si>
    <t>Commission Staff’s Initial Request for Information</t>
  </si>
  <si>
    <t>7b.   Provide the monthly bad debt write-offs for each month in 2018, 2019, and 2020.</t>
  </si>
  <si>
    <t>JUNE</t>
  </si>
  <si>
    <t>SEPT</t>
  </si>
  <si>
    <t>not yet available</t>
  </si>
  <si>
    <t>#10-A</t>
  </si>
  <si>
    <t>Total Post Pay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</si>
  <si>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</si>
  <si>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</si>
  <si>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</si>
  <si>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</si>
  <si>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</si>
  <si>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</si>
  <si>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</si>
  <si>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</si>
  <si>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</si>
  <si>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</si>
  <si>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</si>
  <si>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</si>
  <si>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** Due to programming constraints we are unable to provide the monthly totals of service termination notices by class.</t>
  </si>
  <si>
    <t>#10-B</t>
  </si>
  <si>
    <t xml:space="preserve"> </t>
  </si>
  <si>
    <t>Total PrePay</t>
  </si>
  <si>
    <t>** Due to programming constraints we are unable to provide the monthly totals of service disconnections by class.</t>
  </si>
  <si>
    <t>c. Provide the total number of customers for each month.</t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</si>
  <si>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Each month in 2020.</t>
    </r>
  </si>
  <si>
    <t xml:space="preserve">c.    Each month in 2019; and </t>
  </si>
  <si>
    <r>
      <t xml:space="preserve">b.    Each month in 2018; </t>
    </r>
    <r>
      <rPr>
        <sz val="12"/>
        <color rgb="FF000000"/>
        <rFont val="Times New Roman"/>
        <family val="1"/>
      </rPr>
      <t xml:space="preserve"> </t>
    </r>
  </si>
  <si>
    <r>
      <t>a.    E</t>
    </r>
    <r>
      <rPr>
        <sz val="12"/>
        <color rgb="FF000000"/>
        <rFont val="Times New Roman"/>
        <family val="1"/>
      </rPr>
      <t xml:space="preserve">ach month in 2017; </t>
    </r>
  </si>
  <si>
    <t>11.  Provide the total income received from late payment fees for:</t>
  </si>
  <si>
    <r>
      <t>12.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Quantify the amount of late payment fees the utility would have assessed since March 16, 2020, absent the Commission’s directive.</t>
    </r>
  </si>
  <si>
    <t xml:space="preserve">Nolin would have assessed late fees from March 16, 2020 </t>
  </si>
  <si>
    <t>through June 30, 2020 as shown below:</t>
  </si>
  <si>
    <t>Cycle</t>
  </si>
  <si>
    <t>Delinquent Date</t>
  </si>
  <si>
    <t>Amount</t>
  </si>
  <si>
    <t xml:space="preserve">Total late fees: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</si>
</sst>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sz val="12"/>
      <color rgb="FF000000"/>
      <name val="Times New Roman"/>
      <family val="1"/>
    </font>
    <font>
      <b/>
      <u/>
      <sz val="11"/>
      <color theme="1"/>
      <name val="Times New Roman"/>
      <family val="1"/>
    </font>
    <font>
      <sz val="7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0" applyNumberFormat="1" applyFill="1"/>
    <xf numFmtId="2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right"/>
    </xf>
    <xf numFmtId="4" fontId="0" fillId="2" borderId="0" xfId="0" applyNumberFormat="1" applyFill="1"/>
    <xf numFmtId="37" fontId="0" fillId="2" borderId="0" xfId="0" applyNumberFormat="1" applyFill="1"/>
    <xf numFmtId="0" fontId="0" fillId="0" borderId="0" xfId="0" applyFill="1"/>
    <xf numFmtId="3" fontId="0" fillId="0" borderId="0" xfId="0" applyNumberFormat="1" applyFill="1"/>
    <xf numFmtId="44" fontId="0" fillId="0" borderId="0" xfId="0" applyNumberForma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37" fontId="0" fillId="0" borderId="0" xfId="0" applyNumberForma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/>
    <xf numFmtId="44" fontId="4" fillId="0" borderId="0" xfId="0" applyNumberFormat="1" applyFont="1"/>
    <xf numFmtId="0" fontId="7" fillId="0" borderId="0" xfId="1" applyFont="1"/>
    <xf numFmtId="0" fontId="6" fillId="0" borderId="0" xfId="1"/>
    <xf numFmtId="0" fontId="8" fillId="0" borderId="0" xfId="1" applyFont="1"/>
    <xf numFmtId="0" fontId="8" fillId="3" borderId="0" xfId="1" applyFont="1" applyFill="1"/>
    <xf numFmtId="18" fontId="8" fillId="4" borderId="1" xfId="1" applyNumberFormat="1" applyFont="1" applyFill="1" applyBorder="1"/>
    <xf numFmtId="0" fontId="8" fillId="5" borderId="2" xfId="1" applyFont="1" applyFill="1" applyBorder="1" applyAlignment="1">
      <alignment horizontal="center"/>
    </xf>
    <xf numFmtId="0" fontId="9" fillId="0" borderId="3" xfId="1" applyFont="1" applyBorder="1"/>
    <xf numFmtId="0" fontId="9" fillId="0" borderId="4" xfId="1" applyFont="1" applyBorder="1"/>
    <xf numFmtId="18" fontId="8" fillId="0" borderId="0" xfId="1" applyNumberFormat="1" applyFont="1"/>
    <xf numFmtId="0" fontId="8" fillId="0" borderId="0" xfId="1" applyFont="1" applyAlignment="1">
      <alignment horizontal="center"/>
    </xf>
    <xf numFmtId="0" fontId="6" fillId="0" borderId="0" xfId="1"/>
    <xf numFmtId="0" fontId="8" fillId="0" borderId="0" xfId="1" applyFont="1"/>
    <xf numFmtId="0" fontId="8" fillId="4" borderId="1" xfId="1" applyFont="1" applyFill="1" applyBorder="1"/>
    <xf numFmtId="0" fontId="6" fillId="3" borderId="0" xfId="1" applyFill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3" fontId="6" fillId="0" borderId="0" xfId="1" applyNumberFormat="1"/>
    <xf numFmtId="0" fontId="12" fillId="0" borderId="0" xfId="0" applyFont="1"/>
    <xf numFmtId="44" fontId="12" fillId="0" borderId="0" xfId="0" applyNumberFormat="1" applyFont="1"/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4" fillId="0" borderId="0" xfId="0" applyFont="1" applyAlignment="1">
      <alignment horizontal="left" vertical="center"/>
    </xf>
    <xf numFmtId="0" fontId="6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0" fontId="6" fillId="0" borderId="0" xfId="1" applyAlignment="1">
      <alignment horizontal="left"/>
    </xf>
    <xf numFmtId="0" fontId="19" fillId="0" borderId="0" xfId="1" applyFont="1"/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44" fontId="8" fillId="0" borderId="0" xfId="1" applyNumberFormat="1" applyFont="1"/>
  </cellXfs>
  <cellStyles count="2">
    <cellStyle name="Normal" xfId="0" builtinId="0"/>
    <cellStyle name="Normal 2" xfId="1" xr:uid="{30A1BED9-FBC3-494C-845F-25780802E9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457"/>
  <sheetViews>
    <sheetView workbookViewId="0">
      <pane xSplit="3" ySplit="7" topLeftCell="D28" activePane="bottomRight" state="frozen"/>
      <selection pane="topRight" activeCell="D1" sqref="D1"/>
      <selection pane="bottomLeft" activeCell="A8" sqref="A8"/>
      <selection pane="bottomRight" activeCell="C53" sqref="C53"/>
    </sheetView>
  </sheetViews>
  <sheetFormatPr defaultRowHeight="14.4" x14ac:dyDescent="0.3"/>
  <cols>
    <col min="3" max="3" width="27.88671875" bestFit="1" customWidth="1"/>
    <col min="4" max="4" width="25.88671875" bestFit="1" customWidth="1"/>
    <col min="5" max="5" width="7.6640625" customWidth="1"/>
    <col min="6" max="6" width="21.6640625" bestFit="1" customWidth="1"/>
    <col min="7" max="7" width="27.33203125" bestFit="1" customWidth="1"/>
    <col min="8" max="8" width="11.88671875" style="7" bestFit="1" customWidth="1"/>
    <col min="9" max="9" width="12.5546875" bestFit="1" customWidth="1"/>
    <col min="10" max="10" width="21.6640625" style="3" bestFit="1" customWidth="1"/>
    <col min="11" max="11" width="21.6640625" style="3" customWidth="1"/>
    <col min="12" max="12" width="11.88671875" style="8" bestFit="1" customWidth="1"/>
    <col min="13" max="13" width="12.5546875" style="3" bestFit="1" customWidth="1"/>
    <col min="14" max="14" width="21.6640625" bestFit="1" customWidth="1"/>
    <col min="15" max="15" width="21.6640625" customWidth="1"/>
    <col min="16" max="16" width="11.88671875" style="7" bestFit="1" customWidth="1"/>
    <col min="17" max="17" width="12.5546875" bestFit="1" customWidth="1"/>
    <col min="18" max="18" width="21.6640625" style="3" bestFit="1" customWidth="1"/>
    <col min="19" max="19" width="21.6640625" style="3" customWidth="1"/>
    <col min="20" max="20" width="11.88671875" style="8" bestFit="1" customWidth="1"/>
    <col min="21" max="21" width="12.5546875" style="3" bestFit="1" customWidth="1"/>
    <col min="22" max="22" width="21.6640625" bestFit="1" customWidth="1"/>
    <col min="23" max="23" width="21.6640625" customWidth="1"/>
    <col min="24" max="24" width="11.88671875" style="7" bestFit="1" customWidth="1"/>
    <col min="25" max="25" width="12.5546875" bestFit="1" customWidth="1"/>
    <col min="26" max="26" width="21.6640625" style="3" bestFit="1" customWidth="1"/>
    <col min="27" max="27" width="21.6640625" style="3" customWidth="1"/>
    <col min="28" max="28" width="11.88671875" style="8" bestFit="1" customWidth="1"/>
    <col min="29" max="29" width="12.5546875" style="3" bestFit="1" customWidth="1"/>
    <col min="30" max="30" width="21.6640625" bestFit="1" customWidth="1"/>
    <col min="31" max="31" width="21.6640625" customWidth="1"/>
    <col min="32" max="32" width="11.88671875" style="7" bestFit="1" customWidth="1"/>
    <col min="33" max="33" width="12.5546875" bestFit="1" customWidth="1"/>
    <col min="34" max="34" width="21.6640625" style="3" bestFit="1" customWidth="1"/>
    <col min="35" max="35" width="21.6640625" style="3" customWidth="1"/>
    <col min="36" max="36" width="11.88671875" style="8" bestFit="1" customWidth="1"/>
    <col min="37" max="37" width="12.5546875" style="3" bestFit="1" customWidth="1"/>
    <col min="38" max="38" width="21.6640625" bestFit="1" customWidth="1"/>
    <col min="39" max="39" width="21.6640625" customWidth="1"/>
    <col min="40" max="40" width="11.88671875" bestFit="1" customWidth="1"/>
    <col min="41" max="41" width="12.44140625" bestFit="1" customWidth="1"/>
    <col min="42" max="42" width="21.6640625" style="5" bestFit="1" customWidth="1"/>
    <col min="43" max="43" width="21.6640625" style="5" customWidth="1"/>
    <col min="44" max="44" width="11.88671875" style="3" bestFit="1" customWidth="1"/>
    <col min="45" max="45" width="11.44140625" style="3" bestFit="1" customWidth="1"/>
    <col min="46" max="46" width="21.6640625" style="1" bestFit="1" customWidth="1"/>
    <col min="47" max="47" width="21.6640625" style="1" customWidth="1"/>
    <col min="48" max="48" width="11.88671875" bestFit="1" customWidth="1"/>
    <col min="49" max="49" width="11.44140625" bestFit="1" customWidth="1"/>
    <col min="50" max="50" width="21.6640625" style="5" bestFit="1" customWidth="1"/>
    <col min="51" max="51" width="21.6640625" style="5" customWidth="1"/>
    <col min="52" max="52" width="11.88671875" style="3" bestFit="1" customWidth="1"/>
    <col min="53" max="53" width="11.44140625" style="3" bestFit="1" customWidth="1"/>
  </cols>
  <sheetData>
    <row r="1" spans="1:53" x14ac:dyDescent="0.3">
      <c r="A1" t="s">
        <v>24</v>
      </c>
    </row>
    <row r="3" spans="1:53" x14ac:dyDescent="0.3">
      <c r="A3" t="s">
        <v>25</v>
      </c>
    </row>
    <row r="4" spans="1:53" x14ac:dyDescent="0.3">
      <c r="A4" t="s">
        <v>26</v>
      </c>
    </row>
    <row r="5" spans="1:53" x14ac:dyDescent="0.3">
      <c r="A5" t="s">
        <v>32</v>
      </c>
    </row>
    <row r="6" spans="1:53" x14ac:dyDescent="0.3">
      <c r="A6" t="s">
        <v>33</v>
      </c>
      <c r="F6" s="23" t="s">
        <v>1</v>
      </c>
      <c r="G6" s="23"/>
      <c r="H6" s="23"/>
      <c r="I6" s="23"/>
      <c r="J6" s="24" t="s">
        <v>2</v>
      </c>
      <c r="K6" s="24"/>
      <c r="L6" s="24"/>
      <c r="M6" s="24"/>
      <c r="N6" s="23" t="s">
        <v>3</v>
      </c>
      <c r="O6" s="23"/>
      <c r="P6" s="23"/>
      <c r="Q6" s="23"/>
      <c r="R6" s="24" t="s">
        <v>4</v>
      </c>
      <c r="S6" s="24"/>
      <c r="T6" s="24"/>
      <c r="U6" s="24"/>
      <c r="V6" s="23" t="s">
        <v>5</v>
      </c>
      <c r="W6" s="23"/>
      <c r="X6" s="23"/>
      <c r="Y6" s="23"/>
      <c r="Z6" s="24" t="s">
        <v>6</v>
      </c>
      <c r="AA6" s="24"/>
      <c r="AB6" s="24"/>
      <c r="AC6" s="24"/>
      <c r="AD6" s="23" t="s">
        <v>7</v>
      </c>
      <c r="AE6" s="23"/>
      <c r="AF6" s="23"/>
      <c r="AG6" s="23"/>
      <c r="AH6" s="24" t="s">
        <v>8</v>
      </c>
      <c r="AI6" s="24"/>
      <c r="AJ6" s="24"/>
      <c r="AK6" s="24"/>
      <c r="AL6" s="23" t="s">
        <v>22</v>
      </c>
      <c r="AM6" s="23"/>
      <c r="AN6" s="23"/>
      <c r="AO6" s="23"/>
      <c r="AP6" s="24" t="s">
        <v>9</v>
      </c>
      <c r="AQ6" s="24"/>
      <c r="AR6" s="24"/>
      <c r="AS6" s="24"/>
      <c r="AT6" s="23" t="s">
        <v>10</v>
      </c>
      <c r="AU6" s="23"/>
      <c r="AV6" s="23"/>
      <c r="AW6" s="23"/>
      <c r="AX6" s="24" t="s">
        <v>11</v>
      </c>
      <c r="AY6" s="24"/>
      <c r="AZ6" s="24"/>
      <c r="BA6" s="24"/>
    </row>
    <row r="7" spans="1:53" x14ac:dyDescent="0.3">
      <c r="E7" s="2"/>
      <c r="F7" s="17"/>
      <c r="G7" s="17"/>
      <c r="H7" s="17"/>
      <c r="I7" s="17"/>
      <c r="J7" s="18"/>
      <c r="K7" s="18"/>
      <c r="L7" s="18"/>
      <c r="M7" s="18"/>
      <c r="N7" s="17"/>
      <c r="O7" s="17"/>
      <c r="P7" s="17"/>
      <c r="Q7" s="17"/>
      <c r="R7" s="18"/>
      <c r="S7" s="18"/>
      <c r="T7" s="18"/>
      <c r="U7" s="18"/>
      <c r="V7" s="17"/>
      <c r="W7" s="17"/>
      <c r="X7" s="17"/>
      <c r="Y7" s="17"/>
      <c r="Z7" s="18"/>
      <c r="AA7" s="18"/>
      <c r="AB7" s="18"/>
      <c r="AC7" s="18"/>
      <c r="AD7" s="17"/>
      <c r="AE7" s="17"/>
      <c r="AF7" s="17"/>
      <c r="AG7" s="17"/>
      <c r="AH7" s="18"/>
      <c r="AI7" s="18"/>
      <c r="AJ7" s="18"/>
      <c r="AK7" s="18"/>
      <c r="AL7" s="17"/>
      <c r="AM7" s="17"/>
      <c r="AN7" s="17"/>
      <c r="AO7" s="17"/>
      <c r="AP7" s="18"/>
      <c r="AQ7" s="18"/>
      <c r="AR7" s="18"/>
      <c r="AS7" s="18"/>
      <c r="AT7" s="17"/>
      <c r="AU7" s="17"/>
      <c r="AV7" s="17"/>
      <c r="AW7" s="17"/>
      <c r="AX7" s="18"/>
      <c r="AY7" s="18"/>
      <c r="AZ7" s="18"/>
      <c r="BA7" s="18"/>
    </row>
    <row r="8" spans="1:53" x14ac:dyDescent="0.3">
      <c r="A8" t="s">
        <v>0</v>
      </c>
      <c r="B8" s="2">
        <v>2017</v>
      </c>
      <c r="C8" s="2" t="s">
        <v>17</v>
      </c>
      <c r="D8" s="2" t="s">
        <v>27</v>
      </c>
      <c r="F8" s="2" t="s">
        <v>23</v>
      </c>
      <c r="G8" s="17" t="s">
        <v>28</v>
      </c>
      <c r="H8" s="10" t="s">
        <v>12</v>
      </c>
      <c r="I8" s="2" t="s">
        <v>16</v>
      </c>
      <c r="J8" s="4" t="s">
        <v>23</v>
      </c>
      <c r="K8" s="18" t="s">
        <v>28</v>
      </c>
      <c r="L8" s="9" t="s">
        <v>12</v>
      </c>
      <c r="M8" s="4" t="s">
        <v>16</v>
      </c>
      <c r="N8" s="17" t="s">
        <v>23</v>
      </c>
      <c r="O8" s="17" t="s">
        <v>28</v>
      </c>
      <c r="P8" s="10" t="s">
        <v>12</v>
      </c>
      <c r="Q8" s="17" t="s">
        <v>16</v>
      </c>
      <c r="R8" s="18" t="s">
        <v>23</v>
      </c>
      <c r="S8" s="18" t="s">
        <v>28</v>
      </c>
      <c r="T8" s="9" t="s">
        <v>12</v>
      </c>
      <c r="U8" s="18" t="s">
        <v>16</v>
      </c>
      <c r="V8" s="17" t="s">
        <v>23</v>
      </c>
      <c r="W8" s="17" t="s">
        <v>28</v>
      </c>
      <c r="X8" s="10" t="s">
        <v>12</v>
      </c>
      <c r="Y8" s="17" t="s">
        <v>16</v>
      </c>
      <c r="Z8" s="18" t="s">
        <v>23</v>
      </c>
      <c r="AA8" s="18" t="s">
        <v>28</v>
      </c>
      <c r="AB8" s="9" t="s">
        <v>12</v>
      </c>
      <c r="AC8" s="18" t="s">
        <v>16</v>
      </c>
      <c r="AD8" s="17" t="s">
        <v>23</v>
      </c>
      <c r="AE8" s="17" t="s">
        <v>28</v>
      </c>
      <c r="AF8" s="10" t="s">
        <v>12</v>
      </c>
      <c r="AG8" s="17" t="s">
        <v>16</v>
      </c>
      <c r="AH8" s="18" t="s">
        <v>23</v>
      </c>
      <c r="AI8" s="18" t="s">
        <v>28</v>
      </c>
      <c r="AJ8" s="9" t="s">
        <v>12</v>
      </c>
      <c r="AK8" s="18" t="s">
        <v>16</v>
      </c>
      <c r="AL8" s="17" t="s">
        <v>23</v>
      </c>
      <c r="AM8" s="17" t="s">
        <v>28</v>
      </c>
      <c r="AN8" s="10" t="s">
        <v>12</v>
      </c>
      <c r="AO8" s="17" t="s">
        <v>16</v>
      </c>
      <c r="AP8" s="18" t="s">
        <v>23</v>
      </c>
      <c r="AQ8" s="18" t="s">
        <v>28</v>
      </c>
      <c r="AR8" s="9" t="s">
        <v>12</v>
      </c>
      <c r="AS8" s="18" t="s">
        <v>16</v>
      </c>
      <c r="AT8" s="17" t="s">
        <v>23</v>
      </c>
      <c r="AU8" s="17" t="s">
        <v>28</v>
      </c>
      <c r="AV8" s="10" t="s">
        <v>12</v>
      </c>
      <c r="AW8" s="17" t="s">
        <v>16</v>
      </c>
      <c r="AX8" s="18" t="s">
        <v>23</v>
      </c>
      <c r="AY8" s="18" t="s">
        <v>28</v>
      </c>
      <c r="AZ8" s="9" t="s">
        <v>12</v>
      </c>
      <c r="BA8" s="18" t="s">
        <v>16</v>
      </c>
    </row>
    <row r="9" spans="1:53" x14ac:dyDescent="0.3">
      <c r="C9" t="s">
        <v>18</v>
      </c>
      <c r="D9" s="1">
        <f>AVERAGE(I9,M9,Q9,U9,Y9,AC9,AG9,AK9,AO9,AS9,AW9,BA9)</f>
        <v>131.32036849536289</v>
      </c>
      <c r="F9" s="1">
        <f>973.14+3187429.98+1629195.42+153282.34</f>
        <v>4970880.88</v>
      </c>
      <c r="G9" s="1">
        <f>55+104346.54+4671.98+6858+43543.69+3533.14+3081.73+44.54</f>
        <v>166134.62000000002</v>
      </c>
      <c r="H9" s="7">
        <v>33025</v>
      </c>
      <c r="I9" s="1">
        <f>+F9/H9</f>
        <v>150.5187246025738</v>
      </c>
      <c r="J9" s="5">
        <f>33798.24+2562252.43+1338168.44+133318</f>
        <v>4067537.1100000003</v>
      </c>
      <c r="K9" s="5">
        <f>50+77022.69+8546.12+8718.66+32284.39+8113.18+4875.27+250.4</f>
        <v>139860.71</v>
      </c>
      <c r="L9" s="8">
        <v>33054</v>
      </c>
      <c r="M9" s="5">
        <f>+J9/L9</f>
        <v>123.05733375688268</v>
      </c>
      <c r="N9" s="1">
        <f>1860.15+2323582.77+1211198.85+129192</f>
        <v>3665833.77</v>
      </c>
      <c r="O9" s="1">
        <f>50+63532.91+4833.99+11532.47+24357.2+3257.94+7622.2+166.11</f>
        <v>115352.82</v>
      </c>
      <c r="P9" s="7">
        <v>33090</v>
      </c>
      <c r="Q9" s="1">
        <f t="shared" ref="Q9:Q12" si="0">+N9/P9</f>
        <v>110.78373436083409</v>
      </c>
      <c r="R9" s="5">
        <f>670.21+20+1881302.98+1054358.08+125871.72</f>
        <v>3062222.99</v>
      </c>
      <c r="S9" s="5">
        <f>52650.5+50+4000.72+13266.21+19163.03+3974.1+7054.92+116.96</f>
        <v>100276.44</v>
      </c>
      <c r="T9" s="8">
        <v>33088</v>
      </c>
      <c r="U9" s="5">
        <f t="shared" ref="U9:U12" si="1">+R9/T9</f>
        <v>92.547841815764031</v>
      </c>
      <c r="V9" s="1">
        <f>4168.59+2164491.94+1238671.18+128754.82</f>
        <v>3536086.53</v>
      </c>
      <c r="W9" s="1">
        <f>50+27968.34+2065.07+11068.96+12687.06+2309.14+5545.84+77.32</f>
        <v>61771.729999999989</v>
      </c>
      <c r="X9" s="7">
        <v>33139</v>
      </c>
      <c r="Y9" s="1">
        <f t="shared" ref="Y9:Y12" si="2">+V9/X9</f>
        <v>106.7046842089381</v>
      </c>
      <c r="Z9" s="5">
        <f>871.24+2685272.45+1506781.15+122733.85</f>
        <v>4315658.6900000004</v>
      </c>
      <c r="AA9" s="5">
        <f>30158.26+50+1350.22+8046.89+17998.51+1871.66+4476.02+75</f>
        <v>64026.560000000012</v>
      </c>
      <c r="AB9" s="8">
        <v>33159</v>
      </c>
      <c r="AC9" s="5">
        <f t="shared" ref="AC9:AC12" si="3">+Z9/AB9</f>
        <v>130.15044754063754</v>
      </c>
      <c r="AD9" s="1">
        <f>14400+3174806.48+1811124.46+153677.22</f>
        <v>5154008.1599999992</v>
      </c>
      <c r="AE9" s="1">
        <f>39313.31+2374.86+7069.38+23670.13+3767.45+4520.47+83.86</f>
        <v>80799.459999999992</v>
      </c>
      <c r="AF9" s="7">
        <v>33249</v>
      </c>
      <c r="AG9" s="1">
        <f t="shared" ref="AG9:AG12" si="4">+AD9/AF9</f>
        <v>155.01242623838309</v>
      </c>
      <c r="AH9" s="5">
        <f>1160+2742012.27+1569350.47+160550.45</f>
        <v>4473073.1900000004</v>
      </c>
      <c r="AI9" s="5">
        <f>44748.84+3938.45+7528.32+25273.31+5629.62+5550.07+109.54+34.97</f>
        <v>92813.119999999981</v>
      </c>
      <c r="AJ9" s="8">
        <v>33236</v>
      </c>
      <c r="AK9" s="5">
        <f t="shared" ref="AK9:AK12" si="5">+AH9/AJ9</f>
        <v>134.58518443856062</v>
      </c>
      <c r="AL9" s="1">
        <f>1775.01+2377748.83+1336614.51+141066.43</f>
        <v>3857204.78</v>
      </c>
      <c r="AM9" s="1">
        <f>40787.77+3307.69+10547+23438.23+5293.66+7995.29+12.65+107.54+95.57</f>
        <v>91585.4</v>
      </c>
      <c r="AN9" s="7">
        <v>33259</v>
      </c>
      <c r="AO9" s="6">
        <f>+AL9/AN9</f>
        <v>115.97476713070145</v>
      </c>
      <c r="AP9" s="5">
        <f>34610+2309588.89+1212202.61+130236.47</f>
        <v>3686637.97</v>
      </c>
      <c r="AQ9" s="5">
        <f>37635.78+3150.13+12160.43+21276.75+3766.4+11507.53</f>
        <v>89497.01999999999</v>
      </c>
      <c r="AR9" s="3">
        <v>33210</v>
      </c>
      <c r="AS9" s="12">
        <f>+AP9/AR9</f>
        <v>111.00987563986752</v>
      </c>
      <c r="AT9" s="1">
        <f>1034.23+40+3221043.97+1583731.69+140761.34</f>
        <v>4946611.2300000004</v>
      </c>
      <c r="AU9" s="1">
        <f>36284.66+2408.07+12748.46+16881.29+3658.12+8659.36+0.06</f>
        <v>80640.02</v>
      </c>
      <c r="AV9">
        <v>33244</v>
      </c>
      <c r="AW9" s="6">
        <f>+AT9/AV9</f>
        <v>148.7971131632776</v>
      </c>
      <c r="AX9" s="5">
        <f>6125.15+4266160.69+2098812.32+170039.76</f>
        <v>6541137.9199999999</v>
      </c>
      <c r="AY9" s="5">
        <f>88762.67+3353.91+9826.16+36079.14+3976.01+8746.75+192.63+114.78</f>
        <v>151052.05000000002</v>
      </c>
      <c r="AZ9" s="3">
        <v>33254</v>
      </c>
      <c r="BA9" s="12">
        <f>+AX9/AZ9</f>
        <v>196.70228904793407</v>
      </c>
    </row>
    <row r="10" spans="1:53" x14ac:dyDescent="0.3">
      <c r="C10" t="s">
        <v>19</v>
      </c>
      <c r="D10" s="1">
        <f t="shared" ref="D10:D11" si="6">AVERAGE(I10,M10,Q10,U10,Y10,AC10,AG10,AK10,AO10,AS10,AW10,BA10)</f>
        <v>489.6880287816345</v>
      </c>
      <c r="F10" s="1">
        <v>980844.62</v>
      </c>
      <c r="G10" s="1">
        <f>2250.36+261.05+112.23</f>
        <v>2623.6400000000003</v>
      </c>
      <c r="H10" s="7">
        <v>1957</v>
      </c>
      <c r="I10" s="1">
        <f t="shared" ref="I10:I12" si="7">+F10/H10</f>
        <v>501.19806847215125</v>
      </c>
      <c r="J10" s="5">
        <v>889569.1</v>
      </c>
      <c r="K10" s="5">
        <f>1988.97+64.62+373.28</f>
        <v>2426.87</v>
      </c>
      <c r="L10" s="8">
        <v>1957</v>
      </c>
      <c r="M10" s="5">
        <f t="shared" ref="M10:M12" si="8">+J10/L10</f>
        <v>454.55753704649976</v>
      </c>
      <c r="N10" s="1">
        <v>917886.42</v>
      </c>
      <c r="O10" s="1">
        <f>1345.32+47.95+301.54</f>
        <v>1694.81</v>
      </c>
      <c r="P10" s="7">
        <v>1951</v>
      </c>
      <c r="Q10" s="1">
        <f t="shared" si="0"/>
        <v>470.46971809328551</v>
      </c>
      <c r="R10" s="5">
        <v>903273.02</v>
      </c>
      <c r="S10" s="5">
        <f>1416.61+33.41+301.54</f>
        <v>1751.56</v>
      </c>
      <c r="T10" s="8">
        <v>1970</v>
      </c>
      <c r="U10" s="5">
        <f t="shared" si="1"/>
        <v>458.51422335025381</v>
      </c>
      <c r="V10" s="1">
        <v>1033082.43</v>
      </c>
      <c r="W10" s="1">
        <f>1815.1+1053.03+728.7</f>
        <v>3596.83</v>
      </c>
      <c r="X10" s="7">
        <v>1992</v>
      </c>
      <c r="Y10" s="1">
        <f t="shared" si="2"/>
        <v>518.61567771084344</v>
      </c>
      <c r="Z10" s="5">
        <v>1103108.1499999999</v>
      </c>
      <c r="AA10" s="5">
        <v>752.97</v>
      </c>
      <c r="AB10" s="8">
        <v>2012</v>
      </c>
      <c r="AC10" s="5">
        <f t="shared" si="3"/>
        <v>548.26448807157055</v>
      </c>
      <c r="AD10" s="1">
        <v>1195787.1599999999</v>
      </c>
      <c r="AE10" s="1">
        <f>917.28+15</f>
        <v>932.28</v>
      </c>
      <c r="AF10" s="7">
        <v>2026</v>
      </c>
      <c r="AG10" s="1">
        <f t="shared" si="4"/>
        <v>590.22071076011844</v>
      </c>
      <c r="AH10" s="5">
        <v>1113645.08</v>
      </c>
      <c r="AI10" s="5">
        <f>2912.44+15</f>
        <v>2927.44</v>
      </c>
      <c r="AJ10" s="8">
        <v>2023</v>
      </c>
      <c r="AK10" s="5">
        <f t="shared" si="5"/>
        <v>550.49188334157191</v>
      </c>
      <c r="AL10" s="1">
        <v>925367.76</v>
      </c>
      <c r="AM10" s="1">
        <f>2687.73+283.83+15</f>
        <v>2986.56</v>
      </c>
      <c r="AN10" s="7">
        <v>2040</v>
      </c>
      <c r="AO10" s="6">
        <f t="shared" ref="AO10:AO12" si="9">+AL10/AN10</f>
        <v>453.61164705882351</v>
      </c>
      <c r="AP10" s="5">
        <v>836142.51</v>
      </c>
      <c r="AQ10" s="5">
        <v>1005.51</v>
      </c>
      <c r="AR10" s="3">
        <v>2036</v>
      </c>
      <c r="AS10" s="12">
        <f t="shared" ref="AS10:AS12" si="10">+AP10/AR10</f>
        <v>410.67903241650293</v>
      </c>
      <c r="AT10" s="1">
        <v>880144.85</v>
      </c>
      <c r="AU10" s="1">
        <f>5350.06+1428.58</f>
        <v>6778.64</v>
      </c>
      <c r="AV10">
        <v>2023</v>
      </c>
      <c r="AW10" s="6">
        <f t="shared" ref="AW10:AW12" si="11">+AT10/AV10</f>
        <v>435.06913000494313</v>
      </c>
      <c r="AX10" s="5">
        <v>977366.05</v>
      </c>
      <c r="AY10" s="5">
        <f>1901.35+1989.91+1428.58</f>
        <v>5319.84</v>
      </c>
      <c r="AZ10" s="3">
        <v>2017</v>
      </c>
      <c r="BA10" s="12">
        <f t="shared" ref="BA10:BA12" si="12">+AX10/AZ10</f>
        <v>484.56422905304913</v>
      </c>
    </row>
    <row r="11" spans="1:53" x14ac:dyDescent="0.3">
      <c r="C11" t="s">
        <v>20</v>
      </c>
      <c r="D11" s="1">
        <f t="shared" si="6"/>
        <v>400240.89208333328</v>
      </c>
      <c r="F11" s="1">
        <v>853157.38</v>
      </c>
      <c r="G11" s="1"/>
      <c r="H11" s="7">
        <v>2</v>
      </c>
      <c r="I11" s="1">
        <f t="shared" si="7"/>
        <v>426578.69</v>
      </c>
      <c r="J11" s="5">
        <v>765461.91</v>
      </c>
      <c r="K11" s="5"/>
      <c r="L11" s="8">
        <v>2</v>
      </c>
      <c r="M11" s="5">
        <f t="shared" si="8"/>
        <v>382730.95500000002</v>
      </c>
      <c r="N11" s="1">
        <v>782488.2</v>
      </c>
      <c r="O11" s="1"/>
      <c r="P11" s="7">
        <v>2</v>
      </c>
      <c r="Q11" s="1">
        <f t="shared" si="0"/>
        <v>391244.1</v>
      </c>
      <c r="R11" s="5">
        <v>805413.62</v>
      </c>
      <c r="S11" s="5"/>
      <c r="T11" s="8">
        <v>2</v>
      </c>
      <c r="U11" s="5">
        <f t="shared" si="1"/>
        <v>402706.81</v>
      </c>
      <c r="V11" s="1">
        <v>826562.81</v>
      </c>
      <c r="W11" s="1"/>
      <c r="X11" s="7">
        <v>2</v>
      </c>
      <c r="Y11" s="1">
        <f t="shared" si="2"/>
        <v>413281.40500000003</v>
      </c>
      <c r="Z11" s="5">
        <v>827914.25</v>
      </c>
      <c r="AA11" s="5"/>
      <c r="AB11" s="8">
        <v>2</v>
      </c>
      <c r="AC11" s="5">
        <f t="shared" si="3"/>
        <v>413957.125</v>
      </c>
      <c r="AD11" s="1">
        <v>815721.86</v>
      </c>
      <c r="AE11" s="1"/>
      <c r="AF11" s="7">
        <v>2</v>
      </c>
      <c r="AG11" s="1">
        <f t="shared" si="4"/>
        <v>407860.93</v>
      </c>
      <c r="AH11" s="5">
        <v>856240.14</v>
      </c>
      <c r="AI11" s="5"/>
      <c r="AJ11" s="8">
        <v>2</v>
      </c>
      <c r="AK11" s="5">
        <f t="shared" si="5"/>
        <v>428120.07</v>
      </c>
      <c r="AL11" s="1">
        <v>738795.75</v>
      </c>
      <c r="AM11" s="1"/>
      <c r="AN11" s="7">
        <v>2</v>
      </c>
      <c r="AO11" s="6">
        <f t="shared" si="9"/>
        <v>369397.875</v>
      </c>
      <c r="AP11" s="5">
        <v>814581.97</v>
      </c>
      <c r="AR11" s="3">
        <v>2</v>
      </c>
      <c r="AS11" s="12">
        <f t="shared" si="10"/>
        <v>407290.98499999999</v>
      </c>
      <c r="AT11" s="1">
        <v>777153.57</v>
      </c>
      <c r="AV11">
        <v>2</v>
      </c>
      <c r="AW11" s="6">
        <f t="shared" si="11"/>
        <v>388576.78499999997</v>
      </c>
      <c r="AX11" s="5">
        <v>742289.95</v>
      </c>
      <c r="AZ11" s="3">
        <v>2</v>
      </c>
      <c r="BA11" s="12">
        <f t="shared" si="12"/>
        <v>371144.97499999998</v>
      </c>
    </row>
    <row r="12" spans="1:53" x14ac:dyDescent="0.3">
      <c r="C12" t="s">
        <v>21</v>
      </c>
      <c r="D12" s="1">
        <f>AVERAGE(I12,M12,Q12,U12,Y12,AC12,AG12,AK12,AO12,AS12,AW12,BA12)</f>
        <v>967.6562721214159</v>
      </c>
      <c r="F12" s="1">
        <v>30982.86</v>
      </c>
      <c r="G12" s="1"/>
      <c r="H12" s="7">
        <v>31</v>
      </c>
      <c r="I12" s="1">
        <f t="shared" si="7"/>
        <v>999.4470967741936</v>
      </c>
      <c r="J12" s="5">
        <v>30055.08</v>
      </c>
      <c r="K12" s="5"/>
      <c r="L12" s="8">
        <v>31</v>
      </c>
      <c r="M12" s="5">
        <f t="shared" si="8"/>
        <v>969.51870967741945</v>
      </c>
      <c r="N12" s="1">
        <v>29861.16</v>
      </c>
      <c r="O12" s="1"/>
      <c r="P12" s="7">
        <v>31</v>
      </c>
      <c r="Q12" s="1">
        <f t="shared" si="0"/>
        <v>963.2632258064516</v>
      </c>
      <c r="R12" s="5">
        <v>30108.01</v>
      </c>
      <c r="S12" s="5"/>
      <c r="T12" s="8">
        <v>31</v>
      </c>
      <c r="U12" s="5">
        <f t="shared" si="1"/>
        <v>971.22612903225797</v>
      </c>
      <c r="V12" s="1">
        <v>30456.89</v>
      </c>
      <c r="W12" s="1"/>
      <c r="X12" s="7">
        <v>33</v>
      </c>
      <c r="Y12" s="1">
        <f t="shared" si="2"/>
        <v>922.93606060606055</v>
      </c>
      <c r="Z12" s="5">
        <v>32252.31</v>
      </c>
      <c r="AA12" s="5"/>
      <c r="AB12" s="8">
        <v>33</v>
      </c>
      <c r="AC12" s="5">
        <f t="shared" si="3"/>
        <v>977.3427272727273</v>
      </c>
      <c r="AD12" s="1">
        <v>32037.38</v>
      </c>
      <c r="AE12" s="1"/>
      <c r="AF12" s="7">
        <v>33</v>
      </c>
      <c r="AG12" s="1">
        <f t="shared" si="4"/>
        <v>970.82969696969701</v>
      </c>
      <c r="AH12" s="5">
        <v>31716.94</v>
      </c>
      <c r="AI12" s="5"/>
      <c r="AJ12" s="8">
        <v>33</v>
      </c>
      <c r="AK12" s="5">
        <f t="shared" si="5"/>
        <v>961.11939393939394</v>
      </c>
      <c r="AL12" s="1">
        <v>31072.720000000001</v>
      </c>
      <c r="AM12" s="1"/>
      <c r="AN12" s="7">
        <v>33</v>
      </c>
      <c r="AO12" s="6">
        <f t="shared" si="9"/>
        <v>941.59757575757578</v>
      </c>
      <c r="AP12" s="5">
        <v>30950.41</v>
      </c>
      <c r="AR12" s="3">
        <v>33</v>
      </c>
      <c r="AS12" s="12">
        <f t="shared" si="10"/>
        <v>937.89121212121211</v>
      </c>
      <c r="AT12" s="1">
        <v>32103.61</v>
      </c>
      <c r="AV12">
        <v>32</v>
      </c>
      <c r="AW12" s="6">
        <f t="shared" si="11"/>
        <v>1003.2378125</v>
      </c>
      <c r="AX12" s="5">
        <v>31790.9</v>
      </c>
      <c r="AZ12" s="3">
        <v>32</v>
      </c>
      <c r="BA12" s="12">
        <f t="shared" si="12"/>
        <v>993.46562500000005</v>
      </c>
    </row>
    <row r="13" spans="1:53" x14ac:dyDescent="0.3">
      <c r="F13" s="1">
        <f>SUM(F9:F12)</f>
        <v>6835865.7400000002</v>
      </c>
      <c r="G13" s="1">
        <f>SUM(G9:G12)</f>
        <v>168758.26000000004</v>
      </c>
      <c r="H13" s="7">
        <f>SUM(H9:H12)</f>
        <v>35015</v>
      </c>
      <c r="I13" s="1"/>
      <c r="J13" s="5">
        <f t="shared" ref="J13:K13" si="13">SUM(J9:J12)</f>
        <v>5752623.2000000002</v>
      </c>
      <c r="K13" s="5">
        <f t="shared" si="13"/>
        <v>142287.57999999999</v>
      </c>
      <c r="L13" s="11">
        <f t="shared" ref="L13" si="14">SUM(L9:L12)</f>
        <v>35044</v>
      </c>
      <c r="M13" s="5"/>
      <c r="N13" s="1">
        <f>SUM(N9:N12)</f>
        <v>5396069.5500000007</v>
      </c>
      <c r="O13" s="1">
        <f>SUM(O9:O12)</f>
        <v>117047.63</v>
      </c>
      <c r="Q13">
        <f>SUM(P9:P12)</f>
        <v>35074</v>
      </c>
      <c r="R13" s="5">
        <f>SUM(R9:R12)</f>
        <v>4801017.6399999997</v>
      </c>
      <c r="S13" s="5">
        <f>SUM(S9:S12)</f>
        <v>102028</v>
      </c>
      <c r="T13" s="8">
        <f>SUM(T9:T12)</f>
        <v>35091</v>
      </c>
      <c r="U13" s="5"/>
      <c r="V13" s="1">
        <f>SUM(V9:V12)</f>
        <v>5426188.6599999992</v>
      </c>
      <c r="W13" s="1">
        <f>SUM(W9:W12)</f>
        <v>65368.55999999999</v>
      </c>
      <c r="X13" s="7">
        <f>SUM(X9:X12)</f>
        <v>35166</v>
      </c>
      <c r="Y13" s="1"/>
      <c r="Z13" s="5">
        <f>SUM(Z9:Z12)</f>
        <v>6278933.3999999994</v>
      </c>
      <c r="AA13" s="5">
        <f>SUM(AA9:AA12)</f>
        <v>64779.530000000013</v>
      </c>
      <c r="AB13" s="8">
        <f>SUM(AB9:AB12)</f>
        <v>35206</v>
      </c>
      <c r="AC13" s="5"/>
      <c r="AD13" s="1">
        <f>SUM(AD9:AD12)</f>
        <v>7197554.5599999996</v>
      </c>
      <c r="AE13" s="1">
        <f>SUM(AE9:AE12)</f>
        <v>81731.739999999991</v>
      </c>
      <c r="AF13" s="7">
        <f>SUM(AF9:AF12)</f>
        <v>35310</v>
      </c>
      <c r="AG13" s="1"/>
      <c r="AH13" s="5">
        <f>SUM(AH9:AH12)</f>
        <v>6474675.3500000006</v>
      </c>
      <c r="AI13" s="5">
        <f>SUM(AI9:AI12)</f>
        <v>95740.559999999983</v>
      </c>
      <c r="AJ13" s="8">
        <f>SUM(AJ9:AJ12)</f>
        <v>35294</v>
      </c>
      <c r="AK13" s="5"/>
      <c r="AL13" s="1">
        <f>SUM(AL9:AL12)</f>
        <v>5552441.0099999998</v>
      </c>
      <c r="AM13" s="1">
        <f>SUM(AM9:AM12)</f>
        <v>94571.959999999992</v>
      </c>
      <c r="AN13" s="7">
        <f>SUM(AN9:AN12)</f>
        <v>35334</v>
      </c>
      <c r="AP13" s="5">
        <f t="shared" ref="AP13:AR13" si="15">SUM(AP9:AP12)</f>
        <v>5368312.8600000003</v>
      </c>
      <c r="AQ13" s="5">
        <f t="shared" si="15"/>
        <v>90502.529999999984</v>
      </c>
      <c r="AR13" s="13">
        <f t="shared" si="15"/>
        <v>35281</v>
      </c>
      <c r="AT13" s="1">
        <f>SUM(AT9:AT12)</f>
        <v>6636013.2600000007</v>
      </c>
      <c r="AU13" s="1">
        <f>SUM(AU9:AU12)</f>
        <v>87418.66</v>
      </c>
      <c r="AV13">
        <f>SUM(AV9:AV12)</f>
        <v>35301</v>
      </c>
      <c r="AX13" s="5">
        <f>SUM(AX9:AX12)</f>
        <v>8292584.8200000003</v>
      </c>
      <c r="AY13" s="5">
        <f>SUM(AY9:AY12)</f>
        <v>156371.89000000001</v>
      </c>
      <c r="AZ13" s="3">
        <f>SUM(AZ9:AZ12)</f>
        <v>35305</v>
      </c>
    </row>
    <row r="14" spans="1:53" x14ac:dyDescent="0.3">
      <c r="F14" s="1"/>
      <c r="G14" s="1"/>
      <c r="I14" s="1"/>
      <c r="Z14" s="5"/>
      <c r="AA14" s="5"/>
      <c r="AC14" s="5"/>
      <c r="AH14" s="5"/>
      <c r="AI14" s="5"/>
      <c r="AK14" s="5"/>
    </row>
    <row r="15" spans="1:53" s="7" customFormat="1" x14ac:dyDescent="0.3">
      <c r="C15" s="16" t="s">
        <v>29</v>
      </c>
      <c r="G15" s="7">
        <f>77+105+1363</f>
        <v>1545</v>
      </c>
      <c r="J15" s="8"/>
      <c r="K15" s="8">
        <f>98+170+1121</f>
        <v>1389</v>
      </c>
      <c r="L15" s="8"/>
      <c r="M15" s="8"/>
      <c r="O15" s="7">
        <f>128+125+1147</f>
        <v>1400</v>
      </c>
      <c r="R15" s="8"/>
      <c r="S15" s="8">
        <f>122+129+954</f>
        <v>1205</v>
      </c>
      <c r="T15" s="8"/>
      <c r="U15" s="8"/>
      <c r="W15" s="7">
        <f>98+97+640</f>
        <v>835</v>
      </c>
      <c r="Z15" s="8"/>
      <c r="AA15" s="8">
        <f>81+69+618</f>
        <v>768</v>
      </c>
      <c r="AB15" s="8"/>
      <c r="AC15" s="8"/>
      <c r="AE15" s="7">
        <f>81+85+651</f>
        <v>817</v>
      </c>
      <c r="AH15" s="8"/>
      <c r="AI15" s="8">
        <f>94+111+788</f>
        <v>993</v>
      </c>
      <c r="AJ15" s="8"/>
      <c r="AK15" s="8"/>
      <c r="AM15" s="7">
        <f>124+121+963</f>
        <v>1208</v>
      </c>
      <c r="AP15" s="8"/>
      <c r="AQ15" s="8">
        <f>142+110+679</f>
        <v>931</v>
      </c>
      <c r="AR15" s="8"/>
      <c r="AS15" s="8"/>
      <c r="AU15" s="7">
        <f>131+108+819</f>
        <v>1058</v>
      </c>
      <c r="AX15" s="8"/>
      <c r="AY15" s="8">
        <f>124+107+1052</f>
        <v>1283</v>
      </c>
      <c r="AZ15" s="8"/>
      <c r="BA15" s="8"/>
    </row>
    <row r="16" spans="1:53" x14ac:dyDescent="0.3">
      <c r="C16" s="17" t="s">
        <v>31</v>
      </c>
      <c r="D16" s="1">
        <f>AVERAGE(G16,K16,O16,S16,W16,AA16,AE16,AI16,AM16,AQ16,AU16,AY16)</f>
        <v>93.253012289085021</v>
      </c>
      <c r="G16" s="1">
        <f>+G13/G15</f>
        <v>109.22864724919096</v>
      </c>
      <c r="K16" s="5">
        <f>+K13/K15</f>
        <v>102.43886249100071</v>
      </c>
      <c r="O16" s="1">
        <f t="shared" ref="O16" si="16">+O13/O15</f>
        <v>83.605450000000005</v>
      </c>
      <c r="S16" s="5">
        <f t="shared" ref="S16" si="17">+S13/S15</f>
        <v>84.670539419087135</v>
      </c>
      <c r="W16" s="1">
        <f t="shared" ref="W16" si="18">+W13/W15</f>
        <v>78.285700598802379</v>
      </c>
      <c r="AA16" s="5">
        <f t="shared" ref="AA16" si="19">+AA13/AA15</f>
        <v>84.348346354166679</v>
      </c>
      <c r="AE16" s="1">
        <f t="shared" ref="AE16" si="20">+AE13/AE15</f>
        <v>100.03884944920439</v>
      </c>
      <c r="AI16" s="5">
        <f t="shared" ref="AI16" si="21">+AI13/AI15</f>
        <v>96.415468277945607</v>
      </c>
      <c r="AM16" s="1">
        <f t="shared" ref="AM16" si="22">+AM13/AM15</f>
        <v>78.288046357615883</v>
      </c>
      <c r="AN16" s="7"/>
      <c r="AP16" s="3"/>
      <c r="AQ16" s="5">
        <f t="shared" ref="AQ16" si="23">+AQ13/AQ15</f>
        <v>97.210021482277099</v>
      </c>
      <c r="AR16" s="8"/>
      <c r="AT16"/>
      <c r="AU16" s="1">
        <f t="shared" ref="AU16" si="24">+AU13/AU15</f>
        <v>82.62633270321362</v>
      </c>
      <c r="AV16" s="7"/>
      <c r="AX16" s="3"/>
      <c r="AY16" s="5">
        <f t="shared" ref="AY16" si="25">+AY13/AY15</f>
        <v>121.87988308651599</v>
      </c>
      <c r="AZ16" s="8"/>
    </row>
    <row r="17" spans="1:53" x14ac:dyDescent="0.3">
      <c r="E17" s="2"/>
      <c r="F17" s="23" t="s">
        <v>1</v>
      </c>
      <c r="G17" s="23"/>
      <c r="H17" s="23"/>
      <c r="I17" s="23"/>
      <c r="J17" s="24" t="s">
        <v>2</v>
      </c>
      <c r="K17" s="24"/>
      <c r="L17" s="24"/>
      <c r="M17" s="24"/>
      <c r="N17" s="23" t="s">
        <v>3</v>
      </c>
      <c r="O17" s="23"/>
      <c r="P17" s="23"/>
      <c r="Q17" s="23"/>
      <c r="R17" s="24" t="s">
        <v>4</v>
      </c>
      <c r="S17" s="24"/>
      <c r="T17" s="24"/>
      <c r="U17" s="24"/>
      <c r="V17" s="23" t="s">
        <v>5</v>
      </c>
      <c r="W17" s="23"/>
      <c r="X17" s="23"/>
      <c r="Y17" s="23"/>
      <c r="Z17" s="24" t="s">
        <v>6</v>
      </c>
      <c r="AA17" s="24"/>
      <c r="AB17" s="24"/>
      <c r="AC17" s="24"/>
      <c r="AD17" s="23" t="s">
        <v>7</v>
      </c>
      <c r="AE17" s="23"/>
      <c r="AF17" s="23"/>
      <c r="AG17" s="23"/>
      <c r="AH17" s="24" t="s">
        <v>8</v>
      </c>
      <c r="AI17" s="24"/>
      <c r="AJ17" s="24"/>
      <c r="AK17" s="24"/>
      <c r="AL17" s="23" t="s">
        <v>22</v>
      </c>
      <c r="AM17" s="23"/>
      <c r="AN17" s="23"/>
      <c r="AO17" s="23"/>
      <c r="AP17" s="24" t="s">
        <v>9</v>
      </c>
      <c r="AQ17" s="24"/>
      <c r="AR17" s="24"/>
      <c r="AS17" s="24"/>
      <c r="AT17" s="23" t="s">
        <v>10</v>
      </c>
      <c r="AU17" s="23"/>
      <c r="AV17" s="23"/>
      <c r="AW17" s="23"/>
      <c r="AX17" s="24" t="s">
        <v>11</v>
      </c>
      <c r="AY17" s="24"/>
      <c r="AZ17" s="24"/>
      <c r="BA17" s="24"/>
    </row>
    <row r="18" spans="1:53" x14ac:dyDescent="0.3">
      <c r="A18" t="s">
        <v>13</v>
      </c>
      <c r="B18" s="2">
        <v>2018</v>
      </c>
      <c r="C18" s="2" t="s">
        <v>17</v>
      </c>
      <c r="D18" s="2"/>
      <c r="F18" s="17" t="s">
        <v>23</v>
      </c>
      <c r="G18" s="17" t="s">
        <v>28</v>
      </c>
      <c r="H18" s="10" t="s">
        <v>12</v>
      </c>
      <c r="I18" s="17" t="s">
        <v>16</v>
      </c>
      <c r="J18" s="18" t="s">
        <v>23</v>
      </c>
      <c r="K18" s="18" t="s">
        <v>28</v>
      </c>
      <c r="L18" s="9" t="s">
        <v>12</v>
      </c>
      <c r="M18" s="18" t="s">
        <v>16</v>
      </c>
      <c r="N18" s="17" t="s">
        <v>23</v>
      </c>
      <c r="O18" s="17" t="s">
        <v>28</v>
      </c>
      <c r="P18" s="10" t="s">
        <v>12</v>
      </c>
      <c r="Q18" s="17" t="s">
        <v>16</v>
      </c>
      <c r="R18" s="18" t="s">
        <v>23</v>
      </c>
      <c r="S18" s="18" t="s">
        <v>28</v>
      </c>
      <c r="T18" s="9" t="s">
        <v>12</v>
      </c>
      <c r="U18" s="18" t="s">
        <v>16</v>
      </c>
      <c r="V18" s="17" t="s">
        <v>23</v>
      </c>
      <c r="W18" s="17" t="s">
        <v>28</v>
      </c>
      <c r="X18" s="10" t="s">
        <v>12</v>
      </c>
      <c r="Y18" s="17" t="s">
        <v>16</v>
      </c>
      <c r="Z18" s="18" t="s">
        <v>23</v>
      </c>
      <c r="AA18" s="18" t="s">
        <v>28</v>
      </c>
      <c r="AB18" s="9" t="s">
        <v>12</v>
      </c>
      <c r="AC18" s="18" t="s">
        <v>16</v>
      </c>
      <c r="AD18" s="17" t="s">
        <v>23</v>
      </c>
      <c r="AE18" s="17" t="s">
        <v>28</v>
      </c>
      <c r="AF18" s="10" t="s">
        <v>12</v>
      </c>
      <c r="AG18" s="17" t="s">
        <v>16</v>
      </c>
      <c r="AH18" s="18" t="s">
        <v>23</v>
      </c>
      <c r="AI18" s="18" t="s">
        <v>28</v>
      </c>
      <c r="AJ18" s="9" t="s">
        <v>12</v>
      </c>
      <c r="AK18" s="18" t="s">
        <v>16</v>
      </c>
      <c r="AL18" s="17" t="s">
        <v>23</v>
      </c>
      <c r="AM18" s="17" t="s">
        <v>28</v>
      </c>
      <c r="AN18" s="10" t="s">
        <v>12</v>
      </c>
      <c r="AO18" s="17" t="s">
        <v>16</v>
      </c>
      <c r="AP18" s="18" t="s">
        <v>23</v>
      </c>
      <c r="AQ18" s="18" t="s">
        <v>28</v>
      </c>
      <c r="AR18" s="9" t="s">
        <v>12</v>
      </c>
      <c r="AS18" s="18" t="s">
        <v>16</v>
      </c>
      <c r="AT18" s="17" t="s">
        <v>23</v>
      </c>
      <c r="AU18" s="17" t="s">
        <v>28</v>
      </c>
      <c r="AV18" s="10" t="s">
        <v>12</v>
      </c>
      <c r="AW18" s="17" t="s">
        <v>16</v>
      </c>
      <c r="AX18" s="18" t="s">
        <v>23</v>
      </c>
      <c r="AY18" s="18" t="s">
        <v>28</v>
      </c>
      <c r="AZ18" s="9" t="s">
        <v>12</v>
      </c>
      <c r="BA18" s="18" t="s">
        <v>16</v>
      </c>
    </row>
    <row r="19" spans="1:53" x14ac:dyDescent="0.3">
      <c r="C19" t="s">
        <v>18</v>
      </c>
      <c r="D19" s="1">
        <f>AVERAGE(I19,M19,Q19,U19,Y19,AC19,AG19,AK19,AO19,AS19,AW19,BA19)</f>
        <v>146.02512502661645</v>
      </c>
      <c r="F19" s="1">
        <f>1285+50+4689472.59+2397358.5+178237.46</f>
        <v>7266403.5499999998</v>
      </c>
      <c r="G19" s="1">
        <f>154832.1+5800.02+9266.84+53875.67+3081.69+7660.08+550.94</f>
        <v>235067.34</v>
      </c>
      <c r="H19" s="7">
        <v>33335</v>
      </c>
      <c r="I19" s="1">
        <f>+F19/H19</f>
        <v>217.98120743962801</v>
      </c>
      <c r="J19" s="5">
        <f>4792.95+3073441.96+1622451.36+134907.65</f>
        <v>4835593.9200000009</v>
      </c>
      <c r="K19" s="5">
        <f>165450.71+8901.08+12054.02+50304.82+8710.47+5253.54+921.04+76.86</f>
        <v>251672.53999999998</v>
      </c>
      <c r="L19" s="8">
        <v>33379</v>
      </c>
      <c r="M19" s="5">
        <f>+J19/L19</f>
        <v>144.86934659516464</v>
      </c>
      <c r="N19" s="1">
        <f>19842.08+3120366.19+1603632.09+149433.4</f>
        <v>4893273.7600000007</v>
      </c>
      <c r="O19" s="1">
        <f>18507.06+133811.81+51.55+18899.74+42850.2+6588.42+10390.63+931.42+171.11</f>
        <v>232201.94</v>
      </c>
      <c r="P19" s="7">
        <v>33429</v>
      </c>
      <c r="Q19" s="1">
        <f t="shared" ref="Q19:Q22" si="26">+N19/P19</f>
        <v>146.37810763109877</v>
      </c>
      <c r="R19" s="5">
        <f>5990+2478343.28+1359508.21+132633.3</f>
        <v>3976474.7899999996</v>
      </c>
      <c r="S19" s="5">
        <f>51.55+138703.37+13027.54+23745.42+46332.96+5094.5+10926.71+1074.46+111.14</f>
        <v>239067.65</v>
      </c>
      <c r="T19" s="8">
        <v>33412</v>
      </c>
      <c r="U19" s="5">
        <f t="shared" ref="U19:U22" si="27">+R19/T19</f>
        <v>119.01337214174546</v>
      </c>
      <c r="V19" s="1">
        <f>10+34100+2651369.2+1517671.88+144321.59</f>
        <v>4347472.67</v>
      </c>
      <c r="W19" s="1">
        <f>79805.98+13609.21+51.55+19482.48+27682.52+5571.04+9558.41+82.82+626.72</f>
        <v>156470.73000000001</v>
      </c>
      <c r="X19" s="7">
        <v>33440</v>
      </c>
      <c r="Y19" s="1">
        <f t="shared" ref="Y19:Y22" si="28">+V19/X19</f>
        <v>130.00815400717704</v>
      </c>
      <c r="Z19" s="5">
        <f>2082.36+3104910.25+1769139.97+136286.91</f>
        <v>5012419.49</v>
      </c>
      <c r="AA19" s="5">
        <f>71470.15+4600.94+51.55+15955.17+27910.62+3429.57+7738.78+444.69+9.53</f>
        <v>131611</v>
      </c>
      <c r="AB19" s="8">
        <v>33547</v>
      </c>
      <c r="AC19" s="5">
        <f t="shared" ref="AC19:AC22" si="29">+Z19/AB19</f>
        <v>149.41483560377978</v>
      </c>
      <c r="AD19" s="1">
        <f>3190.27+3122677.34+1805605.67+148070.61</f>
        <v>5079543.8899999997</v>
      </c>
      <c r="AE19" s="1">
        <f>51.55+59749.26+2772.54+8131.27+26868.83+5247.27+6312.39+393.69</f>
        <v>109526.80000000002</v>
      </c>
      <c r="AF19" s="7">
        <v>33538</v>
      </c>
      <c r="AG19" s="1">
        <f t="shared" ref="AG19:AG22" si="30">+AD19/AF19</f>
        <v>151.45637456020037</v>
      </c>
      <c r="AH19" s="5">
        <f>2990+2772038.99+1582316.53+153883.66</f>
        <v>4511229.1800000006</v>
      </c>
      <c r="AI19" s="5">
        <f>51.55+62757.68+3953.61+7481.12+29054.99+6734.42+8605.45+351.5</f>
        <v>118990.31999999999</v>
      </c>
      <c r="AJ19" s="8">
        <v>33532</v>
      </c>
      <c r="AK19" s="5">
        <f t="shared" ref="AK19:AK22" si="31">+AH19/AJ19</f>
        <v>134.53504652272457</v>
      </c>
      <c r="AL19" s="1">
        <f>4035+2562588.53+1464259.4+140621.09</f>
        <v>4171504.0199999996</v>
      </c>
      <c r="AM19" s="1">
        <f>5+52643.15+26971.1+4540.18+4179.07+9136.85+11472.14+373.54</f>
        <v>109321.03</v>
      </c>
      <c r="AN19" s="7">
        <v>33538</v>
      </c>
      <c r="AO19" s="6">
        <f>+AL19/AN19</f>
        <v>124.38141868924801</v>
      </c>
      <c r="AP19" s="5">
        <f>2315+2507323.34+1316748.95+123149.2</f>
        <v>3949536.49</v>
      </c>
      <c r="AQ19" s="5">
        <f>39541.95+3355.52+11508.46+23592.84+3640.06+10405.13+205.17</f>
        <v>92249.12999999999</v>
      </c>
      <c r="AR19" s="3">
        <v>33506</v>
      </c>
      <c r="AS19" s="12">
        <f>+AP19/AR19</f>
        <v>117.87549961200979</v>
      </c>
      <c r="AT19" s="1">
        <f>2100+3301961.18+1646435.54+139462.72</f>
        <v>5089959.4400000004</v>
      </c>
      <c r="AU19" s="1">
        <f>40486.32+4323.07+9617.05+21119.13+2805.56+7977.49+48.64</f>
        <v>86377.260000000009</v>
      </c>
      <c r="AV19">
        <v>33502</v>
      </c>
      <c r="AW19" s="6">
        <f>+AT19/AV19</f>
        <v>151.93001731239926</v>
      </c>
      <c r="AX19" s="5">
        <f>2240+3551701.26+1818756.4+135498.16</f>
        <v>5508195.8200000003</v>
      </c>
      <c r="AY19" s="5">
        <f>61035.02+4616.99+8489.64+24311.62+3144.82+5305.14+385.23</f>
        <v>107288.45999999999</v>
      </c>
      <c r="AZ19" s="3">
        <v>33493</v>
      </c>
      <c r="BA19" s="12">
        <f>+AX19/AZ19</f>
        <v>164.45812020422179</v>
      </c>
    </row>
    <row r="20" spans="1:53" x14ac:dyDescent="0.3">
      <c r="C20" t="s">
        <v>19</v>
      </c>
      <c r="D20" s="1">
        <f t="shared" ref="D20:D22" si="32">AVERAGE(I20,M20,Q20,U20,Y20,AC20,AG20,AK20,AO20,AS20,AW20,BA20)</f>
        <v>488.94255278926602</v>
      </c>
      <c r="F20" s="1">
        <v>1012847.03</v>
      </c>
      <c r="G20" s="1">
        <f>3100.6+123.8</f>
        <v>3224.4</v>
      </c>
      <c r="H20" s="7">
        <v>2008</v>
      </c>
      <c r="I20" s="1">
        <f t="shared" ref="I20:I22" si="33">+F20/H20</f>
        <v>504.40589143426297</v>
      </c>
      <c r="J20" s="5">
        <v>829720.06</v>
      </c>
      <c r="K20" s="5">
        <f>4392.06+226.37+204.04</f>
        <v>4822.47</v>
      </c>
      <c r="L20" s="8">
        <v>1987</v>
      </c>
      <c r="M20" s="5">
        <f t="shared" ref="M20:M22" si="34">+J20/L20</f>
        <v>417.57426270759942</v>
      </c>
      <c r="N20" s="1">
        <v>974897.73</v>
      </c>
      <c r="O20" s="1">
        <f>1374.38+83.7+394.88</f>
        <v>1852.96</v>
      </c>
      <c r="P20" s="7">
        <v>1973</v>
      </c>
      <c r="Q20" s="1">
        <f t="shared" si="26"/>
        <v>494.11947795235682</v>
      </c>
      <c r="R20" s="5">
        <v>898134.76</v>
      </c>
      <c r="S20" s="5">
        <f>2575.88+82+446.58</f>
        <v>3104.46</v>
      </c>
      <c r="T20" s="8">
        <v>1970</v>
      </c>
      <c r="U20" s="5">
        <f t="shared" si="27"/>
        <v>455.90596954314719</v>
      </c>
      <c r="V20" s="1">
        <v>1031469.47</v>
      </c>
      <c r="W20" s="1">
        <f>2220.28+154+446.58</f>
        <v>2820.86</v>
      </c>
      <c r="X20" s="7">
        <v>1967</v>
      </c>
      <c r="Y20" s="1">
        <f t="shared" si="28"/>
        <v>524.38712252160644</v>
      </c>
      <c r="Z20" s="5">
        <v>1093588.79</v>
      </c>
      <c r="AA20" s="5">
        <f>2569.48+73.6</f>
        <v>2643.08</v>
      </c>
      <c r="AB20" s="8">
        <v>1976</v>
      </c>
      <c r="AC20" s="5">
        <f t="shared" si="29"/>
        <v>553.43562246963563</v>
      </c>
      <c r="AD20" s="1">
        <v>1147514.71</v>
      </c>
      <c r="AE20" s="1">
        <f>3670.95+341.06</f>
        <v>4012.0099999999998</v>
      </c>
      <c r="AF20" s="7">
        <v>1980</v>
      </c>
      <c r="AG20" s="1">
        <f t="shared" si="30"/>
        <v>579.55288383838376</v>
      </c>
      <c r="AH20" s="5">
        <v>1004619.72</v>
      </c>
      <c r="AI20" s="5">
        <f>10195.93+1159.33</f>
        <v>11355.26</v>
      </c>
      <c r="AJ20" s="8">
        <v>1991</v>
      </c>
      <c r="AK20" s="5">
        <f t="shared" si="31"/>
        <v>504.58047212456052</v>
      </c>
      <c r="AL20" s="1">
        <v>953084.23</v>
      </c>
      <c r="AM20" s="1">
        <f>3300.61+1601.26+143.33</f>
        <v>5045.2</v>
      </c>
      <c r="AN20" s="7">
        <v>1995</v>
      </c>
      <c r="AO20" s="6">
        <f t="shared" ref="AO20:AO22" si="35">+AL20/AN20</f>
        <v>477.73645614035087</v>
      </c>
      <c r="AP20" s="5">
        <v>862766.43</v>
      </c>
      <c r="AQ20" s="5">
        <v>2251.1799999999998</v>
      </c>
      <c r="AR20" s="3">
        <v>1985</v>
      </c>
      <c r="AS20" s="12">
        <f t="shared" ref="AS20:AS22" si="36">+AP20/AR20</f>
        <v>434.64303778337535</v>
      </c>
      <c r="AT20" s="1">
        <v>892309.52</v>
      </c>
      <c r="AU20" s="1">
        <v>3778.35</v>
      </c>
      <c r="AV20">
        <v>1988</v>
      </c>
      <c r="AW20" s="6">
        <f t="shared" ref="AW20:AW22" si="37">+AT20/AV20</f>
        <v>448.84784708249498</v>
      </c>
      <c r="AX20" s="5">
        <v>932440.14</v>
      </c>
      <c r="AY20" s="5">
        <v>1561.3</v>
      </c>
      <c r="AZ20" s="3">
        <v>1975</v>
      </c>
      <c r="BA20" s="12">
        <f t="shared" ref="BA20:BA22" si="38">+AX20/AZ20</f>
        <v>472.12158987341775</v>
      </c>
    </row>
    <row r="21" spans="1:53" x14ac:dyDescent="0.3">
      <c r="C21" t="s">
        <v>20</v>
      </c>
      <c r="D21" s="1">
        <f t="shared" si="32"/>
        <v>394334.23291666666</v>
      </c>
      <c r="F21" s="1">
        <v>818401.78</v>
      </c>
      <c r="G21" s="1"/>
      <c r="H21" s="7">
        <v>2</v>
      </c>
      <c r="I21" s="1">
        <f t="shared" si="33"/>
        <v>409200.89</v>
      </c>
      <c r="J21" s="5">
        <v>835733.48</v>
      </c>
      <c r="K21" s="5"/>
      <c r="L21" s="8">
        <v>2</v>
      </c>
      <c r="M21" s="5">
        <f t="shared" si="34"/>
        <v>417866.74</v>
      </c>
      <c r="N21" s="1">
        <v>834780.61</v>
      </c>
      <c r="O21" s="1"/>
      <c r="P21" s="7">
        <v>2</v>
      </c>
      <c r="Q21" s="1">
        <f t="shared" si="26"/>
        <v>417390.30499999999</v>
      </c>
      <c r="R21" s="5">
        <v>799013.95</v>
      </c>
      <c r="S21" s="5"/>
      <c r="T21" s="8">
        <v>2</v>
      </c>
      <c r="U21" s="5">
        <f t="shared" si="27"/>
        <v>399506.97499999998</v>
      </c>
      <c r="V21" s="1">
        <v>831504.81</v>
      </c>
      <c r="W21" s="1"/>
      <c r="X21" s="7">
        <v>2</v>
      </c>
      <c r="Y21" s="1">
        <f t="shared" si="28"/>
        <v>415752.40500000003</v>
      </c>
      <c r="Z21" s="5">
        <v>793705.04</v>
      </c>
      <c r="AA21" s="5"/>
      <c r="AB21" s="8">
        <v>2</v>
      </c>
      <c r="AC21" s="5">
        <f t="shared" si="29"/>
        <v>396852.52</v>
      </c>
      <c r="AD21" s="1">
        <v>770895.31</v>
      </c>
      <c r="AE21" s="1"/>
      <c r="AF21" s="7">
        <v>2</v>
      </c>
      <c r="AG21" s="1">
        <f t="shared" si="30"/>
        <v>385447.65500000003</v>
      </c>
      <c r="AH21" s="5">
        <v>773321.91</v>
      </c>
      <c r="AI21" s="5"/>
      <c r="AJ21" s="8">
        <v>2</v>
      </c>
      <c r="AK21" s="5">
        <f t="shared" si="31"/>
        <v>386660.95500000002</v>
      </c>
      <c r="AL21" s="1">
        <v>737922.62</v>
      </c>
      <c r="AM21" s="1"/>
      <c r="AN21" s="7">
        <v>2</v>
      </c>
      <c r="AO21" s="6">
        <f t="shared" si="35"/>
        <v>368961.31</v>
      </c>
      <c r="AP21" s="5">
        <v>765791.92</v>
      </c>
      <c r="AR21" s="3">
        <v>2</v>
      </c>
      <c r="AS21" s="12">
        <f t="shared" si="36"/>
        <v>382895.96</v>
      </c>
      <c r="AT21" s="1">
        <v>735710.62</v>
      </c>
      <c r="AV21">
        <v>2</v>
      </c>
      <c r="AW21" s="6">
        <f t="shared" si="37"/>
        <v>367855.31</v>
      </c>
      <c r="AX21" s="5">
        <v>767239.54</v>
      </c>
      <c r="AZ21" s="3">
        <v>2</v>
      </c>
      <c r="BA21" s="12">
        <f t="shared" si="38"/>
        <v>383619.77</v>
      </c>
    </row>
    <row r="22" spans="1:53" x14ac:dyDescent="0.3">
      <c r="C22" t="s">
        <v>21</v>
      </c>
      <c r="D22" s="1">
        <f t="shared" si="32"/>
        <v>961.00990530303034</v>
      </c>
      <c r="F22" s="1">
        <v>31507.69</v>
      </c>
      <c r="G22" s="1"/>
      <c r="H22" s="7">
        <v>32</v>
      </c>
      <c r="I22" s="1">
        <f t="shared" si="33"/>
        <v>984.61531249999996</v>
      </c>
      <c r="J22" s="5">
        <v>30602.16</v>
      </c>
      <c r="K22" s="5"/>
      <c r="L22" s="8">
        <v>32</v>
      </c>
      <c r="M22" s="5">
        <f t="shared" si="34"/>
        <v>956.3175</v>
      </c>
      <c r="N22" s="1">
        <v>30688.94</v>
      </c>
      <c r="O22" s="1"/>
      <c r="P22" s="7">
        <v>32</v>
      </c>
      <c r="Q22" s="1">
        <f t="shared" si="26"/>
        <v>959.02937499999996</v>
      </c>
      <c r="R22" s="5">
        <v>31028.21</v>
      </c>
      <c r="S22" s="5"/>
      <c r="T22" s="8">
        <v>33</v>
      </c>
      <c r="U22" s="5">
        <f t="shared" si="27"/>
        <v>940.24878787878788</v>
      </c>
      <c r="V22" s="1">
        <v>31198.77</v>
      </c>
      <c r="W22" s="1"/>
      <c r="X22" s="7">
        <v>33</v>
      </c>
      <c r="Y22" s="1">
        <f t="shared" si="28"/>
        <v>945.41727272727269</v>
      </c>
      <c r="Z22" s="5">
        <v>31363.54</v>
      </c>
      <c r="AA22" s="5"/>
      <c r="AB22" s="8">
        <v>33</v>
      </c>
      <c r="AC22" s="5">
        <f t="shared" si="29"/>
        <v>950.41030303030311</v>
      </c>
      <c r="AD22" s="1">
        <v>31511.03</v>
      </c>
      <c r="AE22" s="1"/>
      <c r="AF22" s="7">
        <v>32</v>
      </c>
      <c r="AG22" s="1">
        <f t="shared" si="30"/>
        <v>984.71968749999996</v>
      </c>
      <c r="AH22" s="5">
        <v>30371.11</v>
      </c>
      <c r="AI22" s="5"/>
      <c r="AJ22" s="8">
        <v>32</v>
      </c>
      <c r="AK22" s="5">
        <f t="shared" si="31"/>
        <v>949.09718750000002</v>
      </c>
      <c r="AL22" s="1">
        <v>30637.63</v>
      </c>
      <c r="AM22" s="1"/>
      <c r="AN22" s="7">
        <v>32</v>
      </c>
      <c r="AO22" s="6">
        <f t="shared" si="35"/>
        <v>957.42593750000003</v>
      </c>
      <c r="AP22" s="5">
        <v>30610</v>
      </c>
      <c r="AR22" s="3">
        <v>32</v>
      </c>
      <c r="AS22" s="12">
        <f t="shared" si="36"/>
        <v>956.5625</v>
      </c>
      <c r="AT22" s="1">
        <v>31032.85</v>
      </c>
      <c r="AV22">
        <v>32</v>
      </c>
      <c r="AW22" s="6">
        <f t="shared" si="37"/>
        <v>969.77656249999995</v>
      </c>
      <c r="AX22" s="5">
        <v>31311.95</v>
      </c>
      <c r="AZ22" s="3">
        <v>32</v>
      </c>
      <c r="BA22" s="12">
        <f t="shared" si="38"/>
        <v>978.49843750000002</v>
      </c>
    </row>
    <row r="23" spans="1:53" x14ac:dyDescent="0.3">
      <c r="F23" s="1">
        <f>SUM(F19:F22)</f>
        <v>9129160.0499999989</v>
      </c>
      <c r="G23" s="1">
        <f>SUM(G19:G22)</f>
        <v>238291.74</v>
      </c>
      <c r="H23" s="7">
        <f>SUM(H19:H22)</f>
        <v>35377</v>
      </c>
      <c r="I23" s="1"/>
      <c r="J23" s="5">
        <f t="shared" ref="J23:K23" si="39">SUM(J19:J22)</f>
        <v>6531649.620000001</v>
      </c>
      <c r="K23" s="5">
        <f t="shared" si="39"/>
        <v>256495.00999999998</v>
      </c>
      <c r="L23" s="11">
        <f t="shared" ref="L23" si="40">SUM(L19:L22)</f>
        <v>35400</v>
      </c>
      <c r="M23" s="5"/>
      <c r="N23" s="1">
        <f>SUM(N19:N22)</f>
        <v>6733641.040000001</v>
      </c>
      <c r="O23" s="1">
        <f>SUM(O19:O22)</f>
        <v>234054.9</v>
      </c>
      <c r="Q23">
        <f>SUM(P19:P22)</f>
        <v>35436</v>
      </c>
      <c r="R23" s="5">
        <f>SUM(R19:R22)</f>
        <v>5704651.71</v>
      </c>
      <c r="S23" s="5">
        <f>SUM(S19:S22)</f>
        <v>242172.11</v>
      </c>
      <c r="T23" s="8">
        <f>SUM(T19:T22)</f>
        <v>35417</v>
      </c>
      <c r="U23" s="5"/>
      <c r="V23" s="1">
        <f>SUM(V19:V22)</f>
        <v>6241645.7199999988</v>
      </c>
      <c r="W23" s="1">
        <f>SUM(W19:W22)</f>
        <v>159291.59</v>
      </c>
      <c r="X23" s="7">
        <f>SUM(X19:X22)</f>
        <v>35442</v>
      </c>
      <c r="Y23" s="1"/>
      <c r="Z23" s="5">
        <f>SUM(Z19:Z22)</f>
        <v>6931076.8600000003</v>
      </c>
      <c r="AA23" s="5">
        <f>SUM(AA19:AA22)</f>
        <v>134254.07999999999</v>
      </c>
      <c r="AB23" s="8">
        <f>SUM(AB19:AB22)</f>
        <v>35558</v>
      </c>
      <c r="AC23" s="5"/>
      <c r="AD23" s="1">
        <f>SUM(AD19:AD22)</f>
        <v>7029464.9400000004</v>
      </c>
      <c r="AE23" s="1">
        <f>SUM(AE19:AE22)</f>
        <v>113538.81000000001</v>
      </c>
      <c r="AF23" s="7">
        <f>SUM(AF19:AF22)</f>
        <v>35552</v>
      </c>
      <c r="AG23" s="1"/>
      <c r="AH23" s="5">
        <f>SUM(AH19:AH22)</f>
        <v>6319541.9200000009</v>
      </c>
      <c r="AI23" s="5">
        <f>SUM(AI19:AI22)</f>
        <v>130345.57999999999</v>
      </c>
      <c r="AJ23" s="8">
        <f>SUM(AJ19:AJ22)</f>
        <v>35557</v>
      </c>
      <c r="AK23" s="5"/>
      <c r="AL23" s="1">
        <f>SUM(AL19:AL22)</f>
        <v>5893148.5</v>
      </c>
      <c r="AM23" s="1">
        <f>SUM(AM19:AM22)</f>
        <v>114366.23</v>
      </c>
      <c r="AN23" s="7">
        <f>SUM(AN19:AN22)</f>
        <v>35567</v>
      </c>
      <c r="AP23" s="5">
        <f t="shared" ref="AP23:AQ23" si="41">SUM(AP19:AP22)</f>
        <v>5608704.8399999999</v>
      </c>
      <c r="AQ23" s="5">
        <f t="shared" si="41"/>
        <v>94500.309999999983</v>
      </c>
      <c r="AR23" s="13">
        <f t="shared" ref="AR23" si="42">SUM(AR19:AR22)</f>
        <v>35525</v>
      </c>
      <c r="AT23" s="1">
        <f>SUM(AT19:AT22)</f>
        <v>6749012.4300000006</v>
      </c>
      <c r="AU23" s="1">
        <f>SUM(AU19:AU22)</f>
        <v>90155.610000000015</v>
      </c>
      <c r="AV23">
        <f>SUM(AV19:AV22)</f>
        <v>35524</v>
      </c>
      <c r="AX23" s="5">
        <f>SUM(AX19:AX22)</f>
        <v>7239187.4500000002</v>
      </c>
      <c r="AY23" s="5">
        <f>SUM(AY19:AY22)</f>
        <v>108849.76</v>
      </c>
      <c r="AZ23" s="3">
        <f>SUM(AZ19:AZ22)</f>
        <v>35502</v>
      </c>
    </row>
    <row r="24" spans="1:53" x14ac:dyDescent="0.3">
      <c r="I24" s="1"/>
      <c r="J24" s="5"/>
      <c r="K24" s="5"/>
    </row>
    <row r="25" spans="1:53" s="7" customFormat="1" x14ac:dyDescent="0.3">
      <c r="C25" s="16" t="s">
        <v>29</v>
      </c>
      <c r="G25" s="7">
        <v>1795</v>
      </c>
      <c r="J25" s="8"/>
      <c r="K25" s="8">
        <f>115+142+1464</f>
        <v>1721</v>
      </c>
      <c r="L25" s="8"/>
      <c r="M25" s="8"/>
      <c r="O25" s="7">
        <f>150+357+1524</f>
        <v>2031</v>
      </c>
      <c r="R25" s="8"/>
      <c r="S25" s="8">
        <f>147+283+1663</f>
        <v>2093</v>
      </c>
      <c r="T25" s="8"/>
      <c r="U25" s="8"/>
      <c r="W25" s="7">
        <f>128+297+1405</f>
        <v>1830</v>
      </c>
      <c r="Z25" s="8"/>
      <c r="AA25" s="8">
        <f>129+187+1195</f>
        <v>1511</v>
      </c>
      <c r="AB25" s="8"/>
      <c r="AC25" s="8"/>
      <c r="AE25" s="7">
        <f>108+118+1217</f>
        <v>1443</v>
      </c>
      <c r="AH25" s="8"/>
      <c r="AI25" s="3">
        <f>126+126+1246</f>
        <v>1498</v>
      </c>
      <c r="AJ25" s="8"/>
      <c r="AK25" s="8"/>
      <c r="AM25" s="7">
        <f>1129+118+980</f>
        <v>2227</v>
      </c>
      <c r="AP25" s="8"/>
      <c r="AQ25" s="8">
        <f>136+125+851</f>
        <v>1112</v>
      </c>
      <c r="AR25" s="8"/>
      <c r="AS25" s="8"/>
      <c r="AU25" s="7">
        <f>116+116+802</f>
        <v>1034</v>
      </c>
      <c r="AX25" s="8"/>
      <c r="AY25" s="8">
        <f>96+102+757</f>
        <v>955</v>
      </c>
      <c r="AZ25" s="8"/>
      <c r="BA25" s="8"/>
    </row>
    <row r="26" spans="1:53" x14ac:dyDescent="0.3">
      <c r="C26" s="17" t="s">
        <v>31</v>
      </c>
      <c r="D26" s="1">
        <f>AVERAGE(G26,K26,O26,S26,W26,AA26,AE26,AI26,AM26,AQ26,AU26,AY26)</f>
        <v>99.319686758832418</v>
      </c>
      <c r="G26" s="1">
        <f>+G23/G25</f>
        <v>132.75305849582173</v>
      </c>
      <c r="K26" s="5">
        <f>+K23/K25</f>
        <v>149.03835560720509</v>
      </c>
      <c r="O26" s="1">
        <f t="shared" ref="O26" si="43">+O23/O25</f>
        <v>115.24121122599705</v>
      </c>
      <c r="S26" s="5">
        <f t="shared" ref="S26" si="44">+S23/S25</f>
        <v>115.7057381748686</v>
      </c>
      <c r="W26" s="1">
        <f t="shared" ref="W26" si="45">+W23/W25</f>
        <v>87.044584699453551</v>
      </c>
      <c r="AA26" s="5">
        <f t="shared" ref="AA26" si="46">+AA23/AA25</f>
        <v>88.851144937127728</v>
      </c>
      <c r="AE26" s="1">
        <f t="shared" ref="AE26" si="47">+AE23/AE25</f>
        <v>78.682474012474017</v>
      </c>
      <c r="AI26" s="5">
        <f t="shared" ref="AI26" si="48">+AI23/AI25</f>
        <v>87.013070761014674</v>
      </c>
      <c r="AM26" s="1">
        <f t="shared" ref="AM26" si="49">+AM23/AM25</f>
        <v>51.354391558149977</v>
      </c>
      <c r="AN26" s="7"/>
      <c r="AP26" s="3"/>
      <c r="AQ26" s="5">
        <f t="shared" ref="AQ26" si="50">+AQ23/AQ25</f>
        <v>84.98229316546761</v>
      </c>
      <c r="AR26" s="8"/>
      <c r="AT26"/>
      <c r="AU26" s="1">
        <f t="shared" ref="AU26" si="51">+AU23/AU25</f>
        <v>87.191112185686663</v>
      </c>
      <c r="AV26" s="7"/>
      <c r="AX26" s="3"/>
      <c r="AY26" s="5">
        <f t="shared" ref="AY26" si="52">+AY23/AY25</f>
        <v>113.9788062827225</v>
      </c>
      <c r="AZ26" s="8"/>
    </row>
    <row r="27" spans="1:53" x14ac:dyDescent="0.3">
      <c r="E27" s="2"/>
      <c r="F27" s="23" t="s">
        <v>1</v>
      </c>
      <c r="G27" s="23"/>
      <c r="H27" s="23"/>
      <c r="I27" s="23"/>
      <c r="J27" s="24" t="s">
        <v>2</v>
      </c>
      <c r="K27" s="24"/>
      <c r="L27" s="24"/>
      <c r="M27" s="24"/>
      <c r="N27" s="23" t="s">
        <v>3</v>
      </c>
      <c r="O27" s="23"/>
      <c r="P27" s="23"/>
      <c r="Q27" s="23"/>
      <c r="R27" s="24" t="s">
        <v>4</v>
      </c>
      <c r="S27" s="24"/>
      <c r="T27" s="24"/>
      <c r="U27" s="24"/>
      <c r="V27" s="23" t="s">
        <v>5</v>
      </c>
      <c r="W27" s="23"/>
      <c r="X27" s="23"/>
      <c r="Y27" s="23"/>
      <c r="Z27" s="24" t="s">
        <v>6</v>
      </c>
      <c r="AA27" s="24"/>
      <c r="AB27" s="24"/>
      <c r="AC27" s="24"/>
      <c r="AD27" s="23" t="s">
        <v>7</v>
      </c>
      <c r="AE27" s="23"/>
      <c r="AF27" s="23"/>
      <c r="AG27" s="23"/>
      <c r="AH27" s="24" t="s">
        <v>8</v>
      </c>
      <c r="AI27" s="24"/>
      <c r="AJ27" s="24"/>
      <c r="AK27" s="24"/>
      <c r="AL27" s="23" t="s">
        <v>22</v>
      </c>
      <c r="AM27" s="23"/>
      <c r="AN27" s="23"/>
      <c r="AO27" s="23"/>
      <c r="AP27" s="24" t="s">
        <v>9</v>
      </c>
      <c r="AQ27" s="24"/>
      <c r="AR27" s="24"/>
      <c r="AS27" s="24"/>
      <c r="AT27" s="23" t="s">
        <v>10</v>
      </c>
      <c r="AU27" s="23"/>
      <c r="AV27" s="23"/>
      <c r="AW27" s="23"/>
      <c r="AX27" s="24" t="s">
        <v>11</v>
      </c>
      <c r="AY27" s="24"/>
      <c r="AZ27" s="24"/>
      <c r="BA27" s="24"/>
    </row>
    <row r="28" spans="1:53" x14ac:dyDescent="0.3">
      <c r="A28" t="s">
        <v>14</v>
      </c>
      <c r="B28" s="2">
        <v>2019</v>
      </c>
      <c r="C28" s="2" t="s">
        <v>17</v>
      </c>
      <c r="D28" s="2"/>
      <c r="F28" s="17" t="s">
        <v>23</v>
      </c>
      <c r="G28" s="17" t="s">
        <v>28</v>
      </c>
      <c r="H28" s="10" t="s">
        <v>12</v>
      </c>
      <c r="I28" s="17" t="s">
        <v>16</v>
      </c>
      <c r="J28" s="18" t="s">
        <v>23</v>
      </c>
      <c r="K28" s="18" t="s">
        <v>28</v>
      </c>
      <c r="L28" s="9" t="s">
        <v>12</v>
      </c>
      <c r="M28" s="18" t="s">
        <v>16</v>
      </c>
      <c r="N28" s="17" t="s">
        <v>23</v>
      </c>
      <c r="O28" s="17" t="s">
        <v>28</v>
      </c>
      <c r="P28" s="10" t="s">
        <v>12</v>
      </c>
      <c r="Q28" s="17" t="s">
        <v>16</v>
      </c>
      <c r="R28" s="18" t="s">
        <v>23</v>
      </c>
      <c r="S28" s="18" t="s">
        <v>28</v>
      </c>
      <c r="T28" s="9" t="s">
        <v>12</v>
      </c>
      <c r="U28" s="18" t="s">
        <v>16</v>
      </c>
      <c r="V28" s="17" t="s">
        <v>23</v>
      </c>
      <c r="W28" s="17" t="s">
        <v>28</v>
      </c>
      <c r="X28" s="10" t="s">
        <v>12</v>
      </c>
      <c r="Y28" s="17" t="s">
        <v>16</v>
      </c>
      <c r="Z28" s="18" t="s">
        <v>23</v>
      </c>
      <c r="AA28" s="18" t="s">
        <v>28</v>
      </c>
      <c r="AB28" s="9" t="s">
        <v>12</v>
      </c>
      <c r="AC28" s="18" t="s">
        <v>16</v>
      </c>
      <c r="AD28" s="17" t="s">
        <v>23</v>
      </c>
      <c r="AE28" s="17" t="s">
        <v>28</v>
      </c>
      <c r="AF28" s="10" t="s">
        <v>12</v>
      </c>
      <c r="AG28" s="17" t="s">
        <v>16</v>
      </c>
      <c r="AH28" s="18" t="s">
        <v>23</v>
      </c>
      <c r="AI28" s="18" t="s">
        <v>28</v>
      </c>
      <c r="AJ28" s="9" t="s">
        <v>12</v>
      </c>
      <c r="AK28" s="18" t="s">
        <v>16</v>
      </c>
      <c r="AL28" s="17" t="s">
        <v>23</v>
      </c>
      <c r="AM28" s="17" t="s">
        <v>28</v>
      </c>
      <c r="AN28" s="10" t="s">
        <v>12</v>
      </c>
      <c r="AO28" s="17" t="s">
        <v>16</v>
      </c>
      <c r="AP28" s="18" t="s">
        <v>23</v>
      </c>
      <c r="AQ28" s="18" t="s">
        <v>28</v>
      </c>
      <c r="AR28" s="9" t="s">
        <v>12</v>
      </c>
      <c r="AS28" s="18" t="s">
        <v>16</v>
      </c>
      <c r="AT28" s="17" t="s">
        <v>23</v>
      </c>
      <c r="AU28" s="17" t="s">
        <v>28</v>
      </c>
      <c r="AV28" s="10" t="s">
        <v>12</v>
      </c>
      <c r="AW28" s="17" t="s">
        <v>16</v>
      </c>
      <c r="AX28" s="18" t="s">
        <v>23</v>
      </c>
      <c r="AY28" s="18" t="s">
        <v>28</v>
      </c>
      <c r="AZ28" s="9" t="s">
        <v>12</v>
      </c>
      <c r="BA28" s="18" t="s">
        <v>16</v>
      </c>
    </row>
    <row r="29" spans="1:53" x14ac:dyDescent="0.3">
      <c r="C29" t="s">
        <v>18</v>
      </c>
      <c r="D29" s="1">
        <f>AVERAGE(I29,M29,Q29,U29,Y29,AC29,AG29,AK29,AO29,AS29,AW29,BA29)</f>
        <v>139.6491074799988</v>
      </c>
      <c r="F29" s="1">
        <f>2215+4137262.95+2085686.24+164705.94</f>
        <v>6389870.1300000008</v>
      </c>
      <c r="G29" s="1">
        <f>83776.78+9623.49+7519.11+34898.03+5935.39+4613.88+665.56</f>
        <v>147032.24000000002</v>
      </c>
      <c r="H29" s="7">
        <v>33481</v>
      </c>
      <c r="I29" s="1">
        <f>+F29/H29</f>
        <v>190.8506355843613</v>
      </c>
      <c r="J29" s="5">
        <f>4626.21+3369629.77+1714291.26+141586.94</f>
        <v>5230134.1800000006</v>
      </c>
      <c r="K29" s="5">
        <f>127345.93+5428.44+8833.07+44949.36+6206.73+6688.04+1483.93</f>
        <v>200935.5</v>
      </c>
      <c r="L29" s="8">
        <v>33567</v>
      </c>
      <c r="M29" s="5">
        <f>+J29/L29</f>
        <v>155.81178478863171</v>
      </c>
      <c r="N29" s="1">
        <f>1660.96+2830111.39+1503436.13+127625.05+0</f>
        <v>4462833.53</v>
      </c>
      <c r="O29" s="1">
        <f>120668.6+6860.87+9514.88+38037.21+5288.57+7538.54+1447.13+220.97</f>
        <v>189576.77000000002</v>
      </c>
      <c r="P29" s="7">
        <v>33637</v>
      </c>
      <c r="Q29" s="1">
        <f t="shared" ref="Q29:Q32" si="53">+N29/P29</f>
        <v>132.67632458304843</v>
      </c>
      <c r="R29" s="5">
        <f>3760.27+2129852.16+1200712.74+119409.9</f>
        <v>3453735.07</v>
      </c>
      <c r="S29" s="5">
        <f>86799.54+9538.64+8652.14+26338.68+4020.86+8398.08+982.61+332.14</f>
        <v>145062.68999999997</v>
      </c>
      <c r="T29" s="8">
        <v>33604</v>
      </c>
      <c r="U29" s="5">
        <f t="shared" ref="U29:U32" si="54">+R29/T29</f>
        <v>102.77749880966552</v>
      </c>
      <c r="V29" s="1">
        <f>2230.39+2429150.32+1373814.47+129276.01</f>
        <v>3934471.1899999995</v>
      </c>
      <c r="W29" s="1">
        <f>44884.69+8515.82+8747.84+18323.66+2584.09+7794.45+117.81+507.28</f>
        <v>91475.64</v>
      </c>
      <c r="X29" s="7">
        <v>33619</v>
      </c>
      <c r="Y29" s="1">
        <f t="shared" ref="Y29:Y32" si="55">+V29/X29</f>
        <v>117.03117850025282</v>
      </c>
      <c r="Z29" s="5">
        <f>4565.45+2773082.56+1589436.19+111442.59</f>
        <v>4478526.79</v>
      </c>
      <c r="AA29" s="5">
        <f>37770.43+2635.2+6837.12+15934.28+2878.95+6880.16+51.57</f>
        <v>72987.710000000006</v>
      </c>
      <c r="AB29" s="8">
        <v>33708</v>
      </c>
      <c r="AC29" s="5">
        <f t="shared" ref="AC29:AC32" si="56">+Z29/AB29</f>
        <v>132.86242998694672</v>
      </c>
      <c r="AD29" s="1">
        <f>1202.51+3187885.19+1839927.67+146317.71</f>
        <v>5175333.0799999991</v>
      </c>
      <c r="AE29" s="1">
        <f>36173.96+2833.08+5229.79+17249.5+2901.94+5970.48</f>
        <v>70358.75</v>
      </c>
      <c r="AF29" s="7">
        <v>33702</v>
      </c>
      <c r="AG29" s="1">
        <f t="shared" ref="AG29:AG32" si="57">+AD29/AF29</f>
        <v>153.56160109192331</v>
      </c>
      <c r="AH29" s="5">
        <f>5573.3+3011563.13+1734847.1+159238.17</f>
        <v>4911221.6999999993</v>
      </c>
      <c r="AI29" s="5">
        <f>45888.44+2268.77+3144.85+24106.03+4158.73+5596.06+24.23</f>
        <v>85187.109999999986</v>
      </c>
      <c r="AJ29" s="8">
        <v>33711</v>
      </c>
      <c r="AK29" s="5">
        <f t="shared" ref="AK29:AK32" si="58">+AH29/AJ29</f>
        <v>145.68602829936813</v>
      </c>
      <c r="AL29" s="1">
        <f>26330+2684258.19+1538140.59+145748.97</f>
        <v>4394477.75</v>
      </c>
      <c r="AM29" s="1">
        <f>41913.79+3060.33+4494.13+22331.14+4649.33+7537.09+216.63</f>
        <v>84202.44</v>
      </c>
      <c r="AN29" s="7">
        <v>33745</v>
      </c>
      <c r="AO29" s="6">
        <f>+AL29/AN29</f>
        <v>130.2260408949474</v>
      </c>
      <c r="AP29" s="5">
        <f>1255+2409801.4+1263122.05+115986.72</f>
        <v>3790165.1700000004</v>
      </c>
      <c r="AQ29" s="5">
        <f>24215+44568.09+2556.99+4997.24+24798.73+3878.54+9011.01+111.56+211.31+194.77</f>
        <v>114543.23999999999</v>
      </c>
      <c r="AR29" s="3">
        <v>33506</v>
      </c>
      <c r="AS29" s="12">
        <f>+AP29/AR29</f>
        <v>113.11899868680237</v>
      </c>
      <c r="AT29" s="1">
        <f>1905+3158684.92+1598743.71+132931.75</f>
        <v>4892265.38</v>
      </c>
      <c r="AU29" s="1">
        <f>24215+37077.05+2540.15+3630.79+14560.57+1958.81+6524.28+60.42+35.5+406.08</f>
        <v>91008.65</v>
      </c>
      <c r="AV29">
        <v>33502</v>
      </c>
      <c r="AW29" s="6">
        <f>+AT29/AV29</f>
        <v>146.02905438481284</v>
      </c>
      <c r="AX29" s="5">
        <f>2225+3357054.53+1710293.18+127124.61</f>
        <v>5196697.32</v>
      </c>
      <c r="AY29" s="5">
        <f>57706.53+2086.6+24215+4025.11+21606.25+2248.45+4442.56+6.92+441.58</f>
        <v>116779</v>
      </c>
      <c r="AZ29" s="3">
        <v>33493</v>
      </c>
      <c r="BA29" s="12">
        <f>+AX29/AZ29</f>
        <v>155.15771414922523</v>
      </c>
    </row>
    <row r="30" spans="1:53" x14ac:dyDescent="0.3">
      <c r="C30" t="s">
        <v>19</v>
      </c>
      <c r="D30" s="1">
        <f t="shared" ref="D30:D32" si="59">AVERAGE(I30,M30,Q30,U30,Y30,AC30,AG30,AK30,AO30,AS30,AW30,BA30)</f>
        <v>487.65633428778943</v>
      </c>
      <c r="F30" s="1">
        <v>1041796.11</v>
      </c>
      <c r="G30" s="1">
        <v>23227.06</v>
      </c>
      <c r="H30" s="7">
        <v>1981</v>
      </c>
      <c r="I30" s="1">
        <f t="shared" ref="I30:I32" si="60">+F30/H30</f>
        <v>525.8940484603736</v>
      </c>
      <c r="J30" s="5">
        <v>847371.7</v>
      </c>
      <c r="K30" s="5">
        <f>7961.26+25267.5</f>
        <v>33228.76</v>
      </c>
      <c r="L30" s="8">
        <v>2073</v>
      </c>
      <c r="M30" s="5">
        <f t="shared" ref="M30:M32" si="61">+J30/L30</f>
        <v>408.76589483839842</v>
      </c>
      <c r="N30" s="1">
        <v>875647.29</v>
      </c>
      <c r="O30" s="1">
        <f>2443.1+3356.77+10747.29</f>
        <v>16547.16</v>
      </c>
      <c r="P30" s="7">
        <v>1986</v>
      </c>
      <c r="Q30" s="1">
        <f t="shared" si="53"/>
        <v>440.91001510574017</v>
      </c>
      <c r="R30" s="5">
        <v>830518.08</v>
      </c>
      <c r="S30" s="5">
        <f>1330.56+29.74+14094.06</f>
        <v>15454.359999999999</v>
      </c>
      <c r="T30" s="8">
        <v>1978</v>
      </c>
      <c r="U30" s="5">
        <f t="shared" si="54"/>
        <v>419.87769464105156</v>
      </c>
      <c r="V30" s="1">
        <v>1008439.89</v>
      </c>
      <c r="W30" s="1">
        <f>1219.48+67.15+13891.87</f>
        <v>15178.5</v>
      </c>
      <c r="X30" s="7">
        <v>1963</v>
      </c>
      <c r="Y30" s="1">
        <f t="shared" si="55"/>
        <v>513.72383596535917</v>
      </c>
      <c r="Z30" s="5">
        <v>1014420.32</v>
      </c>
      <c r="AA30" s="5">
        <f>10661.37+54.09+13891.87</f>
        <v>24607.33</v>
      </c>
      <c r="AB30" s="8">
        <v>1990</v>
      </c>
      <c r="AC30" s="5">
        <f t="shared" si="56"/>
        <v>509.75895477386933</v>
      </c>
      <c r="AD30" s="1">
        <v>1112579.6000000001</v>
      </c>
      <c r="AE30" s="1">
        <f>1289.65+170.42+13891.87</f>
        <v>15351.94</v>
      </c>
      <c r="AF30" s="7">
        <v>1973</v>
      </c>
      <c r="AG30" s="1">
        <f t="shared" si="57"/>
        <v>563.90248352762296</v>
      </c>
      <c r="AH30" s="5">
        <v>1083135.2</v>
      </c>
      <c r="AI30" s="5">
        <f>772.97+203.68+14062.29</f>
        <v>15038.94</v>
      </c>
      <c r="AJ30" s="8">
        <v>1976</v>
      </c>
      <c r="AK30" s="5">
        <f t="shared" si="58"/>
        <v>548.14534412955459</v>
      </c>
      <c r="AL30" s="1">
        <v>999461</v>
      </c>
      <c r="AM30" s="1">
        <f>455.97+13891.87</f>
        <v>14347.84</v>
      </c>
      <c r="AN30" s="7">
        <v>1978</v>
      </c>
      <c r="AO30" s="6">
        <f t="shared" ref="AO30:AO32" si="62">+AL30/AN30</f>
        <v>505.28867542972699</v>
      </c>
      <c r="AP30" s="5">
        <v>859286.82</v>
      </c>
      <c r="AQ30" s="5">
        <f>1076.6+13891.87</f>
        <v>14968.470000000001</v>
      </c>
      <c r="AR30" s="3">
        <v>1985</v>
      </c>
      <c r="AS30" s="12">
        <f t="shared" ref="AS30:AS32" si="63">+AP30/AR30</f>
        <v>432.89008564231733</v>
      </c>
      <c r="AT30" s="1">
        <v>871199.19</v>
      </c>
      <c r="AU30" s="1">
        <f>15753.87+229.53+13891.87</f>
        <v>29875.270000000004</v>
      </c>
      <c r="AV30">
        <v>1988</v>
      </c>
      <c r="AW30" s="6">
        <f t="shared" ref="AW30:AW32" si="64">+AT30/AV30</f>
        <v>438.22896881287721</v>
      </c>
      <c r="AX30" s="5">
        <v>1075367.77</v>
      </c>
      <c r="AY30" s="5">
        <f>888.62+13.01+13933.22</f>
        <v>14834.849999999999</v>
      </c>
      <c r="AZ30" s="3">
        <v>1975</v>
      </c>
      <c r="BA30" s="12">
        <f t="shared" ref="BA30:BA32" si="65">+AX30/AZ30</f>
        <v>544.49001012658232</v>
      </c>
    </row>
    <row r="31" spans="1:53" x14ac:dyDescent="0.3">
      <c r="C31" t="s">
        <v>20</v>
      </c>
      <c r="D31" s="1">
        <f t="shared" si="59"/>
        <v>354173.04541666666</v>
      </c>
      <c r="F31" s="1">
        <v>788368.64</v>
      </c>
      <c r="G31" s="1"/>
      <c r="H31" s="7">
        <v>2</v>
      </c>
      <c r="I31" s="1">
        <f t="shared" si="60"/>
        <v>394184.32</v>
      </c>
      <c r="J31" s="5">
        <v>705333.01</v>
      </c>
      <c r="K31" s="5"/>
      <c r="L31" s="8">
        <v>2</v>
      </c>
      <c r="M31" s="5">
        <f t="shared" si="61"/>
        <v>352666.505</v>
      </c>
      <c r="N31" s="1">
        <v>750768.99</v>
      </c>
      <c r="O31" s="1"/>
      <c r="P31" s="7">
        <v>2</v>
      </c>
      <c r="Q31" s="1">
        <f t="shared" si="53"/>
        <v>375384.495</v>
      </c>
      <c r="R31" s="5">
        <v>769192.7</v>
      </c>
      <c r="S31" s="5"/>
      <c r="T31" s="8">
        <v>2</v>
      </c>
      <c r="U31" s="5">
        <f t="shared" si="54"/>
        <v>384596.35</v>
      </c>
      <c r="V31" s="1">
        <v>775131.61</v>
      </c>
      <c r="W31" s="1"/>
      <c r="X31" s="7">
        <v>2</v>
      </c>
      <c r="Y31" s="1">
        <f t="shared" si="55"/>
        <v>387565.80499999999</v>
      </c>
      <c r="Z31" s="5">
        <v>763442.63</v>
      </c>
      <c r="AA31" s="5"/>
      <c r="AB31" s="8">
        <v>2</v>
      </c>
      <c r="AC31" s="5">
        <f t="shared" si="56"/>
        <v>381721.315</v>
      </c>
      <c r="AD31" s="1">
        <v>697677.94</v>
      </c>
      <c r="AE31" s="1"/>
      <c r="AF31" s="7">
        <v>2</v>
      </c>
      <c r="AG31" s="1">
        <f t="shared" si="57"/>
        <v>348838.97</v>
      </c>
      <c r="AH31" s="5">
        <v>718159.15</v>
      </c>
      <c r="AI31" s="5"/>
      <c r="AJ31" s="8">
        <v>2</v>
      </c>
      <c r="AK31" s="5">
        <f t="shared" si="58"/>
        <v>359079.57500000001</v>
      </c>
      <c r="AL31" s="1">
        <v>635052.75</v>
      </c>
      <c r="AM31" s="1"/>
      <c r="AN31" s="7">
        <v>2</v>
      </c>
      <c r="AO31" s="6">
        <f t="shared" si="62"/>
        <v>317526.375</v>
      </c>
      <c r="AP31" s="5">
        <v>663940.99</v>
      </c>
      <c r="AR31" s="3">
        <v>2</v>
      </c>
      <c r="AS31" s="12">
        <f t="shared" si="63"/>
        <v>331970.495</v>
      </c>
      <c r="AT31" s="1">
        <v>602033.68000000005</v>
      </c>
      <c r="AV31">
        <v>2</v>
      </c>
      <c r="AW31" s="6">
        <f t="shared" si="64"/>
        <v>301016.84000000003</v>
      </c>
      <c r="AX31" s="5">
        <v>631051</v>
      </c>
      <c r="AZ31" s="3">
        <v>2</v>
      </c>
      <c r="BA31" s="12">
        <f t="shared" si="65"/>
        <v>315525.5</v>
      </c>
    </row>
    <row r="32" spans="1:53" x14ac:dyDescent="0.3">
      <c r="C32" t="s">
        <v>21</v>
      </c>
      <c r="D32" s="1">
        <f t="shared" si="59"/>
        <v>971.61866792929311</v>
      </c>
      <c r="F32" s="1">
        <v>31586.83</v>
      </c>
      <c r="G32" s="1"/>
      <c r="H32" s="7">
        <v>32</v>
      </c>
      <c r="I32" s="1">
        <f t="shared" si="60"/>
        <v>987.08843750000005</v>
      </c>
      <c r="J32" s="5">
        <v>30336.13</v>
      </c>
      <c r="K32" s="5"/>
      <c r="L32" s="8">
        <v>32</v>
      </c>
      <c r="M32" s="5">
        <f t="shared" si="61"/>
        <v>948.00406250000003</v>
      </c>
      <c r="N32" s="1">
        <v>30547.74</v>
      </c>
      <c r="O32" s="1"/>
      <c r="P32" s="7">
        <v>32</v>
      </c>
      <c r="Q32" s="1">
        <f t="shared" si="53"/>
        <v>954.61687500000005</v>
      </c>
      <c r="R32" s="5">
        <v>30834.63</v>
      </c>
      <c r="S32" s="5"/>
      <c r="T32" s="8">
        <v>33</v>
      </c>
      <c r="U32" s="5">
        <f t="shared" si="54"/>
        <v>934.38272727272727</v>
      </c>
      <c r="V32" s="1">
        <v>31849.51</v>
      </c>
      <c r="W32" s="1"/>
      <c r="X32" s="7">
        <v>33</v>
      </c>
      <c r="Y32" s="1">
        <f t="shared" si="55"/>
        <v>965.13666666666666</v>
      </c>
      <c r="Z32" s="5">
        <v>31951.26</v>
      </c>
      <c r="AA32" s="5"/>
      <c r="AB32" s="8">
        <v>33</v>
      </c>
      <c r="AC32" s="5">
        <f t="shared" si="56"/>
        <v>968.21999999999991</v>
      </c>
      <c r="AD32" s="1">
        <v>32227.47</v>
      </c>
      <c r="AE32" s="1"/>
      <c r="AF32" s="7">
        <v>33</v>
      </c>
      <c r="AG32" s="1">
        <f t="shared" si="57"/>
        <v>976.59</v>
      </c>
      <c r="AH32" s="5">
        <v>32222.080000000002</v>
      </c>
      <c r="AI32" s="5"/>
      <c r="AJ32" s="8">
        <v>33</v>
      </c>
      <c r="AK32" s="5">
        <f t="shared" si="58"/>
        <v>976.42666666666673</v>
      </c>
      <c r="AL32" s="1">
        <v>31612.53</v>
      </c>
      <c r="AM32" s="1"/>
      <c r="AN32" s="7">
        <v>33</v>
      </c>
      <c r="AO32" s="6">
        <f t="shared" si="62"/>
        <v>957.95545454545447</v>
      </c>
      <c r="AP32" s="5">
        <v>31541.45</v>
      </c>
      <c r="AR32" s="3">
        <v>32</v>
      </c>
      <c r="AS32" s="12">
        <f t="shared" si="63"/>
        <v>985.67031250000002</v>
      </c>
      <c r="AT32" s="1">
        <v>31948.27</v>
      </c>
      <c r="AV32">
        <v>32</v>
      </c>
      <c r="AW32" s="6">
        <f t="shared" si="64"/>
        <v>998.38343750000001</v>
      </c>
      <c r="AX32" s="5">
        <v>32222.38</v>
      </c>
      <c r="AZ32" s="3">
        <v>32</v>
      </c>
      <c r="BA32" s="12">
        <f t="shared" si="65"/>
        <v>1006.949375</v>
      </c>
    </row>
    <row r="33" spans="1:71" x14ac:dyDescent="0.3">
      <c r="F33" s="1">
        <f>SUM(F29:F32)</f>
        <v>8251621.7100000009</v>
      </c>
      <c r="G33" s="1">
        <f>SUM(G29:G32)</f>
        <v>170259.30000000002</v>
      </c>
      <c r="H33" s="7">
        <f>SUM(H29:H32)</f>
        <v>35496</v>
      </c>
      <c r="I33" s="1"/>
      <c r="J33" s="5">
        <f t="shared" ref="J33:K33" si="66">SUM(J29:J32)</f>
        <v>6813175.0200000005</v>
      </c>
      <c r="K33" s="5">
        <f t="shared" si="66"/>
        <v>234164.26</v>
      </c>
      <c r="L33" s="11">
        <f t="shared" ref="L33" si="67">SUM(L29:L32)</f>
        <v>35674</v>
      </c>
      <c r="M33" s="5"/>
      <c r="N33" s="1">
        <f>SUM(N29:N32)</f>
        <v>6119797.5500000007</v>
      </c>
      <c r="O33" s="1">
        <f>SUM(O29:O32)</f>
        <v>206123.93000000002</v>
      </c>
      <c r="Q33">
        <f>SUM(P29:P32)</f>
        <v>35657</v>
      </c>
      <c r="R33" s="5">
        <f>SUM(R29:R32)</f>
        <v>5084280.4799999995</v>
      </c>
      <c r="S33" s="5">
        <f>SUM(S29:S32)</f>
        <v>160517.04999999996</v>
      </c>
      <c r="T33" s="8">
        <f>SUM(T29:T32)</f>
        <v>35617</v>
      </c>
      <c r="U33" s="5"/>
      <c r="V33" s="1">
        <f>SUM(V29:V32)</f>
        <v>5749892.1999999993</v>
      </c>
      <c r="W33" s="1">
        <f>SUM(W29:W32)</f>
        <v>106654.14</v>
      </c>
      <c r="X33" s="7">
        <f>SUM(X29:X32)</f>
        <v>35617</v>
      </c>
      <c r="Y33" s="1"/>
      <c r="Z33" s="5">
        <f>SUM(Z29:Z32)</f>
        <v>6288341</v>
      </c>
      <c r="AA33" s="5">
        <f>SUM(AA29:AA32)</f>
        <v>97595.040000000008</v>
      </c>
      <c r="AB33" s="8">
        <f>SUM(AB29:AB32)</f>
        <v>35733</v>
      </c>
      <c r="AC33" s="5"/>
      <c r="AD33" s="1">
        <f>SUM(AD29:AD32)</f>
        <v>7017818.0899999989</v>
      </c>
      <c r="AE33" s="1">
        <f>SUM(AE29:AE32)</f>
        <v>85710.69</v>
      </c>
      <c r="AF33" s="7">
        <f>SUM(AF29:AF32)</f>
        <v>35710</v>
      </c>
      <c r="AG33" s="1"/>
      <c r="AH33" s="5">
        <f>SUM(AH29:AH32)</f>
        <v>6744738.1299999999</v>
      </c>
      <c r="AI33" s="5">
        <f>SUM(AI29:AI32)</f>
        <v>100226.04999999999</v>
      </c>
      <c r="AJ33" s="8">
        <f>SUM(AJ29:AJ32)</f>
        <v>35722</v>
      </c>
      <c r="AK33" s="5"/>
      <c r="AL33" s="1">
        <f>SUM(AL29:AL32)</f>
        <v>6060604.0300000003</v>
      </c>
      <c r="AM33" s="1">
        <f>SUM(AM29:AM32)</f>
        <v>98550.28</v>
      </c>
      <c r="AN33" s="7">
        <f>SUM(AN29:AN32)</f>
        <v>35758</v>
      </c>
      <c r="AP33" s="5">
        <f t="shared" ref="AP33:AQ33" si="68">SUM(AP29:AP32)</f>
        <v>5344934.4300000006</v>
      </c>
      <c r="AQ33" s="5">
        <f t="shared" si="68"/>
        <v>129511.70999999999</v>
      </c>
      <c r="AR33" s="13">
        <f t="shared" ref="AR33" si="69">SUM(AR29:AR32)</f>
        <v>35525</v>
      </c>
      <c r="AT33" s="1">
        <f>SUM(AT29:AT32)</f>
        <v>6397446.5199999996</v>
      </c>
      <c r="AU33" s="1">
        <f>SUM(AU29:AU32)</f>
        <v>120883.92</v>
      </c>
      <c r="AV33">
        <f>SUM(AV29:AV32)</f>
        <v>35524</v>
      </c>
      <c r="AX33" s="5">
        <f>SUM(AX29:AX32)</f>
        <v>6935338.4699999997</v>
      </c>
      <c r="AY33" s="5">
        <f>SUM(AY29:AY32)</f>
        <v>131613.85</v>
      </c>
      <c r="AZ33" s="3">
        <f>SUM(AZ29:AZ32)</f>
        <v>35502</v>
      </c>
    </row>
    <row r="34" spans="1:71" x14ac:dyDescent="0.3">
      <c r="I34" s="1"/>
    </row>
    <row r="35" spans="1:71" s="7" customFormat="1" x14ac:dyDescent="0.3">
      <c r="C35" s="16" t="s">
        <v>29</v>
      </c>
      <c r="G35" s="7">
        <f>93+154+1101</f>
        <v>1348</v>
      </c>
      <c r="J35" s="8"/>
      <c r="K35" s="8">
        <f>112+223+1458</f>
        <v>1793</v>
      </c>
      <c r="L35" s="8"/>
      <c r="M35" s="8"/>
      <c r="O35" s="7">
        <f>216+251+1408</f>
        <v>1875</v>
      </c>
      <c r="R35" s="8"/>
      <c r="S35" s="8">
        <f>214+219+1188</f>
        <v>1621</v>
      </c>
      <c r="T35" s="8"/>
      <c r="U35" s="8"/>
      <c r="W35" s="7">
        <f>202+172+1047</f>
        <v>1421</v>
      </c>
      <c r="Z35" s="8"/>
      <c r="AA35" s="8">
        <f>186+99+745</f>
        <v>1030</v>
      </c>
      <c r="AB35" s="8"/>
      <c r="AC35" s="8"/>
      <c r="AE35" s="7">
        <f>185+82+609</f>
        <v>876</v>
      </c>
      <c r="AH35" s="8"/>
      <c r="AI35" s="8">
        <f>190+86+782</f>
        <v>1058</v>
      </c>
      <c r="AJ35" s="8"/>
      <c r="AK35" s="8"/>
      <c r="AM35" s="7">
        <f>193+93+739</f>
        <v>1025</v>
      </c>
      <c r="AP35" s="8"/>
      <c r="AQ35" s="8">
        <f>206+99+805</f>
        <v>1110</v>
      </c>
      <c r="AR35" s="8"/>
      <c r="AS35" s="8"/>
      <c r="AU35" s="7">
        <f>175+95+799</f>
        <v>1069</v>
      </c>
      <c r="AX35" s="8"/>
      <c r="AY35" s="8">
        <f>177+72+760</f>
        <v>1009</v>
      </c>
      <c r="AZ35" s="8"/>
      <c r="BA35" s="8"/>
    </row>
    <row r="36" spans="1:71" x14ac:dyDescent="0.3">
      <c r="C36" s="17" t="s">
        <v>31</v>
      </c>
      <c r="D36" s="1">
        <f>AVERAGE(G36,K36,O36,S36,W36,AA36,AE36,AI36,AM36,AQ36,AU36,AY36)</f>
        <v>107.04904633097722</v>
      </c>
      <c r="G36" s="1">
        <f>+G33/G35</f>
        <v>126.30511869436204</v>
      </c>
      <c r="K36" s="5">
        <f>+K33/K35</f>
        <v>130.59914110429449</v>
      </c>
      <c r="O36" s="1">
        <f t="shared" ref="O36" si="70">+O33/O35</f>
        <v>109.93276266666668</v>
      </c>
      <c r="S36" s="5">
        <f t="shared" ref="S36" si="71">+S33/S35</f>
        <v>99.02347316471311</v>
      </c>
      <c r="W36" s="1">
        <f t="shared" ref="W36" si="72">+W33/W35</f>
        <v>75.055693173821254</v>
      </c>
      <c r="AA36" s="5">
        <f t="shared" ref="AA36" si="73">+AA33/AA35</f>
        <v>94.752466019417483</v>
      </c>
      <c r="AE36" s="1">
        <f t="shared" ref="AE36" si="74">+AE33/AE35</f>
        <v>97.843253424657533</v>
      </c>
      <c r="AI36" s="5">
        <f t="shared" ref="AI36" si="75">+AI33/AI35</f>
        <v>94.731616257088831</v>
      </c>
      <c r="AM36" s="1">
        <f t="shared" ref="AM36" si="76">+AM33/AM35</f>
        <v>96.146614634146346</v>
      </c>
      <c r="AN36" s="7"/>
      <c r="AP36" s="3"/>
      <c r="AQ36" s="5">
        <f t="shared" ref="AQ36" si="77">+AQ33/AQ35</f>
        <v>116.67721621621621</v>
      </c>
      <c r="AR36" s="8"/>
      <c r="AT36"/>
      <c r="AU36" s="1">
        <f t="shared" ref="AU36" si="78">+AU33/AU35</f>
        <v>113.08130963517306</v>
      </c>
      <c r="AV36" s="7"/>
      <c r="AX36" s="3"/>
      <c r="AY36" s="5">
        <f t="shared" ref="AY36" si="79">+AY33/AY35</f>
        <v>130.43989098116947</v>
      </c>
      <c r="AZ36" s="8"/>
    </row>
    <row r="37" spans="1:71" x14ac:dyDescent="0.3">
      <c r="E37" s="2"/>
      <c r="F37" s="23" t="s">
        <v>1</v>
      </c>
      <c r="G37" s="23"/>
      <c r="H37" s="23"/>
      <c r="I37" s="23"/>
      <c r="J37" s="24" t="s">
        <v>2</v>
      </c>
      <c r="K37" s="24"/>
      <c r="L37" s="24"/>
      <c r="M37" s="24"/>
      <c r="N37" s="23" t="s">
        <v>3</v>
      </c>
      <c r="O37" s="23"/>
      <c r="P37" s="23"/>
      <c r="Q37" s="23"/>
      <c r="R37" s="24" t="s">
        <v>4</v>
      </c>
      <c r="S37" s="24"/>
      <c r="T37" s="24"/>
      <c r="U37" s="24"/>
      <c r="V37" s="23" t="s">
        <v>5</v>
      </c>
      <c r="W37" s="23"/>
      <c r="X37" s="23"/>
      <c r="Y37" s="23"/>
      <c r="Z37" s="24" t="s">
        <v>6</v>
      </c>
      <c r="AA37" s="24"/>
      <c r="AB37" s="24"/>
      <c r="AC37" s="24"/>
      <c r="AD37" s="23" t="s">
        <v>7</v>
      </c>
      <c r="AE37" s="23"/>
      <c r="AF37" s="23"/>
      <c r="AG37" s="23"/>
      <c r="AH37" s="24" t="s">
        <v>8</v>
      </c>
      <c r="AI37" s="24"/>
      <c r="AJ37" s="24"/>
      <c r="AK37" s="24"/>
      <c r="AL37" s="23" t="s">
        <v>22</v>
      </c>
      <c r="AM37" s="23"/>
      <c r="AN37" s="23"/>
      <c r="AO37" s="23"/>
      <c r="AP37" s="24" t="s">
        <v>9</v>
      </c>
      <c r="AQ37" s="24"/>
      <c r="AR37" s="24"/>
      <c r="AS37" s="24"/>
      <c r="AT37" s="23" t="s">
        <v>10</v>
      </c>
      <c r="AU37" s="23"/>
      <c r="AV37" s="23"/>
      <c r="AW37" s="23"/>
      <c r="AX37" s="24" t="s">
        <v>11</v>
      </c>
      <c r="AY37" s="24"/>
      <c r="AZ37" s="24"/>
      <c r="BA37" s="24"/>
    </row>
    <row r="38" spans="1:71" x14ac:dyDescent="0.3">
      <c r="A38" t="s">
        <v>15</v>
      </c>
      <c r="B38" s="19">
        <v>2020</v>
      </c>
      <c r="C38" s="2" t="s">
        <v>17</v>
      </c>
      <c r="D38" s="2"/>
      <c r="F38" s="17" t="s">
        <v>23</v>
      </c>
      <c r="G38" s="17" t="s">
        <v>30</v>
      </c>
      <c r="H38" s="10" t="s">
        <v>12</v>
      </c>
      <c r="I38" s="17" t="s">
        <v>16</v>
      </c>
      <c r="J38" s="18" t="s">
        <v>23</v>
      </c>
      <c r="K38" s="18" t="s">
        <v>28</v>
      </c>
      <c r="L38" s="9" t="s">
        <v>12</v>
      </c>
      <c r="M38" s="18" t="s">
        <v>16</v>
      </c>
      <c r="N38" s="17" t="s">
        <v>23</v>
      </c>
      <c r="O38" s="17" t="s">
        <v>28</v>
      </c>
      <c r="P38" s="10" t="s">
        <v>12</v>
      </c>
      <c r="Q38" s="17" t="s">
        <v>16</v>
      </c>
      <c r="R38" s="18" t="s">
        <v>23</v>
      </c>
      <c r="S38" s="18" t="s">
        <v>28</v>
      </c>
      <c r="T38" s="9" t="s">
        <v>12</v>
      </c>
      <c r="U38" s="18" t="s">
        <v>16</v>
      </c>
      <c r="V38" s="17" t="s">
        <v>23</v>
      </c>
      <c r="W38" s="17" t="s">
        <v>28</v>
      </c>
      <c r="X38" s="10" t="s">
        <v>12</v>
      </c>
      <c r="Y38" s="17" t="s">
        <v>16</v>
      </c>
      <c r="Z38" s="18" t="s">
        <v>23</v>
      </c>
      <c r="AA38" s="18" t="s">
        <v>28</v>
      </c>
      <c r="AB38" s="9" t="s">
        <v>12</v>
      </c>
      <c r="AC38" s="18" t="s">
        <v>16</v>
      </c>
      <c r="AD38" s="17" t="s">
        <v>23</v>
      </c>
      <c r="AE38" s="17" t="s">
        <v>28</v>
      </c>
      <c r="AF38" s="10" t="s">
        <v>12</v>
      </c>
      <c r="AG38" s="17" t="s">
        <v>16</v>
      </c>
      <c r="AH38" s="18" t="s">
        <v>23</v>
      </c>
      <c r="AI38" s="18" t="s">
        <v>28</v>
      </c>
      <c r="AJ38" s="9" t="s">
        <v>12</v>
      </c>
      <c r="AK38" s="18" t="s">
        <v>16</v>
      </c>
      <c r="AL38" s="17" t="s">
        <v>23</v>
      </c>
      <c r="AM38" s="17" t="s">
        <v>28</v>
      </c>
      <c r="AN38" s="10" t="s">
        <v>12</v>
      </c>
      <c r="AO38" s="17" t="s">
        <v>16</v>
      </c>
      <c r="AP38" s="18" t="s">
        <v>23</v>
      </c>
      <c r="AQ38" s="18" t="s">
        <v>28</v>
      </c>
      <c r="AR38" s="9" t="s">
        <v>12</v>
      </c>
      <c r="AS38" s="18" t="s">
        <v>16</v>
      </c>
      <c r="AT38" s="17" t="s">
        <v>23</v>
      </c>
      <c r="AU38" s="17" t="s">
        <v>28</v>
      </c>
      <c r="AV38" s="10" t="s">
        <v>12</v>
      </c>
      <c r="AW38" s="17" t="s">
        <v>16</v>
      </c>
      <c r="AX38" s="18" t="s">
        <v>23</v>
      </c>
      <c r="AY38" s="18" t="s">
        <v>28</v>
      </c>
      <c r="AZ38" s="9" t="s">
        <v>12</v>
      </c>
      <c r="BA38" s="18" t="s">
        <v>16</v>
      </c>
    </row>
    <row r="39" spans="1:71" x14ac:dyDescent="0.3">
      <c r="B39" s="14"/>
      <c r="C39" t="s">
        <v>18</v>
      </c>
      <c r="F39" s="1">
        <f>3689275.36+1862581.47+150643.1+1694.75</f>
        <v>5704194.6799999997</v>
      </c>
      <c r="G39" s="1">
        <f>60854.76+4804.06+2246.65+20323.07+3646.45+4025.04+9.41+441.58+24215</f>
        <v>120566.02</v>
      </c>
      <c r="H39" s="7">
        <v>33682</v>
      </c>
      <c r="I39" s="1">
        <f>+F39/H39</f>
        <v>169.35439344456978</v>
      </c>
      <c r="J39" s="5">
        <f>2143.96+3227874.17+1662569.86+131164.98</f>
        <v>5023752.9700000007</v>
      </c>
      <c r="K39" s="5">
        <f>122357.71+3205.72+4487.05+44265.91+5220.99+5562.83+149.08</f>
        <v>185249.28999999998</v>
      </c>
      <c r="L39" s="8">
        <v>33762</v>
      </c>
      <c r="M39" s="5">
        <f>+J39/L39</f>
        <v>148.79903352881939</v>
      </c>
      <c r="N39" s="1">
        <f>5470+2505119.17+1330265.37+90197.72</f>
        <v>3931052.2600000002</v>
      </c>
      <c r="O39" s="1">
        <f>134244.3+32869.35+5572.95+59716.9+17980.25+7222.29+1274.17+0.28</f>
        <v>258880.49000000002</v>
      </c>
      <c r="P39" s="7">
        <v>33828</v>
      </c>
      <c r="Q39" s="1">
        <f t="shared" ref="Q39:Q42" si="80">+N39/P39</f>
        <v>116.20705510228214</v>
      </c>
      <c r="R39" s="5">
        <f>1179.92+2244801.55+1216325.5+76179.24</f>
        <v>3538486.21</v>
      </c>
      <c r="S39" s="5">
        <f>110983.92+44895.94+23111.86+58904.15+28482.61+18944.33+562.68</f>
        <v>285885.49</v>
      </c>
      <c r="T39" s="8">
        <v>33883</v>
      </c>
      <c r="U39" s="5">
        <f t="shared" ref="U39:U42" si="81">+R39/T39</f>
        <v>104.43249446625151</v>
      </c>
      <c r="V39" s="1">
        <v>3696284.68</v>
      </c>
      <c r="W39" s="1">
        <f>90202.18+42558.03+40766.6+56673.76+33014.39+31042.25+40.62</f>
        <v>294297.83</v>
      </c>
      <c r="X39" s="7">
        <v>33968</v>
      </c>
      <c r="Y39" s="1">
        <f t="shared" ref="Y39:Y42" si="82">+V39/X39</f>
        <v>108.81667098445597</v>
      </c>
      <c r="Z39" s="5"/>
      <c r="AA39" s="5"/>
      <c r="AC39" s="5" t="e">
        <f t="shared" ref="AC39:AC42" si="83">+Z39/AB39</f>
        <v>#DIV/0!</v>
      </c>
      <c r="AD39" s="1"/>
      <c r="AE39" s="1"/>
      <c r="AG39" s="1" t="e">
        <f t="shared" ref="AG39:AG42" si="84">+AD39/AF39</f>
        <v>#DIV/0!</v>
      </c>
      <c r="AH39" s="5"/>
      <c r="AI39" s="5"/>
      <c r="AK39" s="5" t="e">
        <f t="shared" ref="AK39:AK42" si="85">+AH39/AJ39</f>
        <v>#DIV/0!</v>
      </c>
      <c r="AL39" s="1"/>
      <c r="AM39" s="1"/>
      <c r="AN39" s="7"/>
      <c r="AO39" s="6" t="e">
        <f>+AL39/AN39</f>
        <v>#DIV/0!</v>
      </c>
      <c r="AS39" s="12" t="e">
        <f>+AP39/AR39</f>
        <v>#DIV/0!</v>
      </c>
      <c r="AW39" s="6" t="e">
        <f>+AT39/AV39</f>
        <v>#DIV/0!</v>
      </c>
      <c r="BA39" s="12" t="e">
        <f>+AX39/AZ39</f>
        <v>#DIV/0!</v>
      </c>
    </row>
    <row r="40" spans="1:71" x14ac:dyDescent="0.3">
      <c r="B40" s="14"/>
      <c r="C40" t="s">
        <v>19</v>
      </c>
      <c r="F40" s="1">
        <v>961726.79</v>
      </c>
      <c r="G40" s="1">
        <f>1259.39+94.81+13946.23</f>
        <v>15300.43</v>
      </c>
      <c r="H40" s="7">
        <v>1992</v>
      </c>
      <c r="I40" s="1">
        <f t="shared" ref="I40:I42" si="86">+F40/H40</f>
        <v>482.79457329317273</v>
      </c>
      <c r="J40" s="5">
        <v>828183.19</v>
      </c>
      <c r="K40" s="5">
        <f>3588.19+70.02+13981.83</f>
        <v>17640.04</v>
      </c>
      <c r="L40" s="8">
        <v>1994</v>
      </c>
      <c r="M40" s="5">
        <f t="shared" ref="M40:M42" si="87">+J40/L40</f>
        <v>415.33760782347036</v>
      </c>
      <c r="N40" s="1">
        <v>759983.54</v>
      </c>
      <c r="O40" s="1">
        <f>19294.54+1295.76+13891.87</f>
        <v>34482.17</v>
      </c>
      <c r="P40" s="7">
        <v>1989</v>
      </c>
      <c r="Q40" s="1">
        <f t="shared" si="80"/>
        <v>382.09328305681248</v>
      </c>
      <c r="R40" s="5">
        <v>666308.64</v>
      </c>
      <c r="S40" s="5">
        <f>19425.19+12139.98+14985.58</f>
        <v>46550.75</v>
      </c>
      <c r="T40" s="8">
        <v>1992</v>
      </c>
      <c r="U40" s="5">
        <f t="shared" si="81"/>
        <v>334.4922891566265</v>
      </c>
      <c r="V40" s="1">
        <v>763621.51</v>
      </c>
      <c r="W40" s="1">
        <f>10802.53+6676.74+17818.01</f>
        <v>35297.279999999999</v>
      </c>
      <c r="X40" s="7">
        <v>1955</v>
      </c>
      <c r="Y40" s="1">
        <f t="shared" si="82"/>
        <v>390.59923785166239</v>
      </c>
      <c r="Z40" s="5"/>
      <c r="AA40" s="5"/>
      <c r="AC40" s="5" t="e">
        <f t="shared" si="83"/>
        <v>#DIV/0!</v>
      </c>
      <c r="AD40" s="1"/>
      <c r="AE40" s="1"/>
      <c r="AG40" s="1" t="e">
        <f t="shared" si="84"/>
        <v>#DIV/0!</v>
      </c>
      <c r="AH40" s="5"/>
      <c r="AI40" s="5"/>
      <c r="AK40" s="5" t="e">
        <f t="shared" si="85"/>
        <v>#DIV/0!</v>
      </c>
      <c r="AL40" s="1"/>
      <c r="AM40" s="1"/>
      <c r="AN40" s="7"/>
      <c r="AO40" s="6" t="e">
        <f t="shared" ref="AO40:AO42" si="88">+AL40/AN40</f>
        <v>#DIV/0!</v>
      </c>
      <c r="AS40" s="12" t="e">
        <f t="shared" ref="AS40:AS42" si="89">+AP40/AR40</f>
        <v>#DIV/0!</v>
      </c>
      <c r="AW40" s="6" t="e">
        <f t="shared" ref="AW40:AW42" si="90">+AT40/AV40</f>
        <v>#DIV/0!</v>
      </c>
      <c r="BA40" s="12" t="e">
        <f t="shared" ref="BA40:BA42" si="91">+AX40/AZ40</f>
        <v>#DIV/0!</v>
      </c>
    </row>
    <row r="41" spans="1:71" x14ac:dyDescent="0.3">
      <c r="B41" s="14"/>
      <c r="C41" t="s">
        <v>20</v>
      </c>
      <c r="F41" s="1">
        <v>606143.05000000005</v>
      </c>
      <c r="G41" s="1">
        <v>0</v>
      </c>
      <c r="H41" s="7">
        <v>2</v>
      </c>
      <c r="I41" s="1">
        <f t="shared" si="86"/>
        <v>303071.52500000002</v>
      </c>
      <c r="J41" s="5">
        <v>548941.72</v>
      </c>
      <c r="K41" s="5"/>
      <c r="L41" s="8">
        <v>2</v>
      </c>
      <c r="M41" s="5">
        <f t="shared" si="87"/>
        <v>274470.86</v>
      </c>
      <c r="N41" s="1">
        <v>470518.51</v>
      </c>
      <c r="O41" s="1"/>
      <c r="P41" s="7">
        <v>2</v>
      </c>
      <c r="Q41" s="1">
        <f t="shared" si="80"/>
        <v>235259.255</v>
      </c>
      <c r="R41" s="5">
        <v>295207.3</v>
      </c>
      <c r="S41" s="5"/>
      <c r="T41" s="8">
        <v>2</v>
      </c>
      <c r="U41" s="5">
        <f t="shared" si="81"/>
        <v>147603.65</v>
      </c>
      <c r="V41" s="1">
        <v>347773.28</v>
      </c>
      <c r="W41" s="1"/>
      <c r="X41" s="7">
        <v>2</v>
      </c>
      <c r="Y41" s="1">
        <f t="shared" si="82"/>
        <v>173886.64</v>
      </c>
      <c r="Z41" s="5"/>
      <c r="AA41" s="5"/>
      <c r="AC41" s="5" t="e">
        <f t="shared" si="83"/>
        <v>#DIV/0!</v>
      </c>
      <c r="AD41" s="1"/>
      <c r="AE41" s="1"/>
      <c r="AG41" s="1" t="e">
        <f t="shared" si="84"/>
        <v>#DIV/0!</v>
      </c>
      <c r="AH41" s="5"/>
      <c r="AI41" s="5"/>
      <c r="AK41" s="5" t="e">
        <f t="shared" si="85"/>
        <v>#DIV/0!</v>
      </c>
      <c r="AL41" s="1"/>
      <c r="AM41" s="1"/>
      <c r="AN41" s="7"/>
      <c r="AO41" s="6" t="e">
        <f t="shared" si="88"/>
        <v>#DIV/0!</v>
      </c>
      <c r="AS41" s="12" t="e">
        <f t="shared" si="89"/>
        <v>#DIV/0!</v>
      </c>
      <c r="AW41" s="6" t="e">
        <f t="shared" si="90"/>
        <v>#DIV/0!</v>
      </c>
      <c r="BA41" s="12" t="e">
        <f t="shared" si="91"/>
        <v>#DIV/0!</v>
      </c>
    </row>
    <row r="42" spans="1:71" x14ac:dyDescent="0.3">
      <c r="B42" s="14"/>
      <c r="C42" t="s">
        <v>21</v>
      </c>
      <c r="F42" s="1">
        <v>32341.52</v>
      </c>
      <c r="G42" s="1">
        <v>0</v>
      </c>
      <c r="H42" s="7">
        <v>32</v>
      </c>
      <c r="I42" s="1">
        <f t="shared" si="86"/>
        <v>1010.6725</v>
      </c>
      <c r="J42" s="5">
        <v>31168.35</v>
      </c>
      <c r="K42" s="5"/>
      <c r="L42" s="8">
        <v>32</v>
      </c>
      <c r="M42" s="5">
        <f t="shared" si="87"/>
        <v>974.01093749999995</v>
      </c>
      <c r="N42" s="1">
        <v>31276.9</v>
      </c>
      <c r="O42" s="1"/>
      <c r="P42" s="7">
        <v>32</v>
      </c>
      <c r="Q42" s="1">
        <f t="shared" si="80"/>
        <v>977.40312500000005</v>
      </c>
      <c r="R42" s="5">
        <v>31452.69</v>
      </c>
      <c r="S42" s="5"/>
      <c r="T42" s="8">
        <v>32</v>
      </c>
      <c r="U42" s="5">
        <f t="shared" si="81"/>
        <v>982.89656249999996</v>
      </c>
      <c r="V42" s="1">
        <v>31726.53</v>
      </c>
      <c r="W42" s="1"/>
      <c r="X42" s="7">
        <v>32</v>
      </c>
      <c r="Y42" s="1">
        <f t="shared" si="82"/>
        <v>991.45406249999996</v>
      </c>
      <c r="Z42" s="5"/>
      <c r="AA42" s="5"/>
      <c r="AC42" s="5" t="e">
        <f t="shared" si="83"/>
        <v>#DIV/0!</v>
      </c>
      <c r="AD42" s="1"/>
      <c r="AE42" s="1"/>
      <c r="AG42" s="1" t="e">
        <f t="shared" si="84"/>
        <v>#DIV/0!</v>
      </c>
      <c r="AH42" s="5"/>
      <c r="AI42" s="5"/>
      <c r="AK42" s="5" t="e">
        <f t="shared" si="85"/>
        <v>#DIV/0!</v>
      </c>
      <c r="AL42" s="1"/>
      <c r="AM42" s="1"/>
      <c r="AN42" s="7"/>
      <c r="AO42" s="6" t="e">
        <f t="shared" si="88"/>
        <v>#DIV/0!</v>
      </c>
      <c r="AS42" s="12" t="e">
        <f t="shared" si="89"/>
        <v>#DIV/0!</v>
      </c>
      <c r="AW42" s="6" t="e">
        <f t="shared" si="90"/>
        <v>#DIV/0!</v>
      </c>
      <c r="BA42" s="12" t="e">
        <f t="shared" si="91"/>
        <v>#DIV/0!</v>
      </c>
    </row>
    <row r="43" spans="1:71" x14ac:dyDescent="0.3">
      <c r="F43" s="1">
        <f>SUM(F39:F42)</f>
        <v>7304406.0399999991</v>
      </c>
      <c r="G43" s="1">
        <f>SUM(G39:G42)</f>
        <v>135866.45000000001</v>
      </c>
      <c r="H43" s="7">
        <f>SUM(H39:H42)</f>
        <v>35708</v>
      </c>
      <c r="I43" s="1"/>
      <c r="J43" s="5">
        <f t="shared" ref="J43" si="92">SUM(J39:J42)</f>
        <v>6432046.2299999995</v>
      </c>
      <c r="K43" s="5">
        <f>SUM(K39:K42)</f>
        <v>202889.33</v>
      </c>
      <c r="L43" s="11">
        <f t="shared" ref="L43" si="93">SUM(L39:L42)</f>
        <v>35790</v>
      </c>
      <c r="M43" s="5"/>
      <c r="N43" s="1">
        <f>SUM(N39:N42)</f>
        <v>5192831.2100000009</v>
      </c>
      <c r="O43" s="1">
        <f>SUM(O39:O42)</f>
        <v>293362.66000000003</v>
      </c>
      <c r="Q43">
        <f>SUM(P39:P42)</f>
        <v>35851</v>
      </c>
      <c r="R43" s="5">
        <f>SUM(R39:R42)</f>
        <v>4531454.84</v>
      </c>
      <c r="S43" s="5">
        <f>SUM(S39:S42)</f>
        <v>332436.24</v>
      </c>
      <c r="T43" s="8">
        <f>SUM(T39:T42)</f>
        <v>35909</v>
      </c>
      <c r="U43" s="5"/>
      <c r="V43" s="1">
        <f>SUM(V39:V42)</f>
        <v>4839406.0000000009</v>
      </c>
      <c r="W43" s="1">
        <f>SUM(W39:W42)</f>
        <v>329595.11</v>
      </c>
      <c r="X43" s="7">
        <f>SUM(X39:X42)</f>
        <v>35957</v>
      </c>
      <c r="Y43" s="1"/>
      <c r="Z43" s="5">
        <f>SUM(Z39:Z42)</f>
        <v>0</v>
      </c>
      <c r="AA43" s="5"/>
      <c r="AB43" s="8">
        <f>SUM(AB39:AB42)</f>
        <v>0</v>
      </c>
      <c r="AC43" s="5"/>
      <c r="AD43" s="1">
        <f>SUM(AD39:AD42)</f>
        <v>0</v>
      </c>
      <c r="AE43" s="1"/>
      <c r="AF43" s="7">
        <f>SUM(AF39:AF42)</f>
        <v>0</v>
      </c>
      <c r="AG43" s="1"/>
      <c r="AH43" s="5">
        <f>SUM(AH39:AH42)</f>
        <v>0</v>
      </c>
      <c r="AI43" s="5"/>
      <c r="AJ43" s="8">
        <f>SUM(AJ39:AJ42)</f>
        <v>0</v>
      </c>
      <c r="AK43" s="5"/>
      <c r="AL43" s="1">
        <f>SUM(AL39:AL42)</f>
        <v>0</v>
      </c>
      <c r="AM43" s="1"/>
      <c r="AN43" s="7">
        <f>SUM(AN39:AN42)</f>
        <v>0</v>
      </c>
      <c r="AP43" s="5">
        <f t="shared" ref="AP43" si="94">SUM(AP39:AP42)</f>
        <v>0</v>
      </c>
      <c r="AR43" s="13">
        <f t="shared" ref="AR43" si="95">SUM(AR39:AR42)</f>
        <v>0</v>
      </c>
      <c r="AT43" s="1">
        <f>SUM(AT39:AT42)</f>
        <v>0</v>
      </c>
      <c r="AV43">
        <f>SUM(AV39:AV42)</f>
        <v>0</v>
      </c>
      <c r="AX43" s="5">
        <f>SUM(AX39:AX42)</f>
        <v>0</v>
      </c>
      <c r="AZ43" s="3">
        <f>SUM(AZ39:AZ42)</f>
        <v>0</v>
      </c>
    </row>
    <row r="44" spans="1:71" s="14" customFormat="1" x14ac:dyDescent="0.3">
      <c r="A44"/>
      <c r="B44"/>
      <c r="C44"/>
      <c r="D44"/>
      <c r="F44"/>
      <c r="G44"/>
      <c r="H44" s="7"/>
      <c r="I44" s="1"/>
      <c r="J44" s="3"/>
      <c r="K44" s="3"/>
      <c r="L44" s="8"/>
      <c r="M44" s="3"/>
      <c r="N44"/>
      <c r="O44"/>
      <c r="P44" s="7"/>
      <c r="Q44"/>
      <c r="R44" s="3"/>
      <c r="S44" s="3"/>
      <c r="T44" s="8"/>
      <c r="U44" s="3"/>
      <c r="V44"/>
      <c r="W44"/>
      <c r="X44" s="7"/>
      <c r="Y44"/>
      <c r="Z44" s="3"/>
      <c r="AA44" s="3"/>
      <c r="AB44" s="8"/>
      <c r="AC44" s="3"/>
      <c r="AD44"/>
      <c r="AE44"/>
      <c r="AF44" s="7"/>
      <c r="AG44"/>
      <c r="AH44" s="3"/>
      <c r="AI44" s="3"/>
      <c r="AJ44" s="8"/>
      <c r="AK44" s="3"/>
      <c r="AL44"/>
      <c r="AM44"/>
      <c r="AN44"/>
      <c r="AO44"/>
      <c r="AP44" s="5"/>
      <c r="AQ44" s="5"/>
      <c r="AR44" s="3"/>
      <c r="AS44" s="3"/>
      <c r="AT44" s="1"/>
      <c r="AU44" s="1"/>
      <c r="AV44"/>
      <c r="AW44"/>
      <c r="AX44" s="5"/>
      <c r="AY44" s="5"/>
      <c r="AZ44" s="3"/>
      <c r="BA44" s="3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</row>
    <row r="45" spans="1:71" s="14" customFormat="1" x14ac:dyDescent="0.3">
      <c r="C45" s="16" t="s">
        <v>29</v>
      </c>
      <c r="G45" s="20">
        <f>171+89+979</f>
        <v>1239</v>
      </c>
      <c r="H45" s="15"/>
      <c r="J45" s="3"/>
      <c r="K45" s="3">
        <f>179+107+1310</f>
        <v>1596</v>
      </c>
      <c r="L45" s="8"/>
      <c r="M45" s="3"/>
      <c r="O45" s="14">
        <f>206+317+1676</f>
        <v>2199</v>
      </c>
      <c r="P45" s="15"/>
      <c r="R45" s="3"/>
      <c r="S45" s="3">
        <f>342+617+1694</f>
        <v>2653</v>
      </c>
      <c r="T45" s="8"/>
      <c r="U45" s="3"/>
      <c r="W45" s="14">
        <f>527+686+1603</f>
        <v>2816</v>
      </c>
      <c r="X45" s="15"/>
      <c r="AB45" s="15"/>
      <c r="AF45" s="15"/>
      <c r="AJ45" s="15"/>
      <c r="AP45" s="16"/>
      <c r="AQ45" s="16"/>
      <c r="AT45" s="16"/>
      <c r="AU45" s="16"/>
      <c r="AX45" s="16"/>
      <c r="AY45" s="16"/>
    </row>
    <row r="46" spans="1:71" s="14" customFormat="1" x14ac:dyDescent="0.3">
      <c r="C46" s="17" t="s">
        <v>31</v>
      </c>
      <c r="D46" s="16">
        <f>AVERAGE(G46:T46)</f>
        <v>123.87371938481805</v>
      </c>
      <c r="G46" s="1">
        <f>+G43/G45</f>
        <v>109.65815173527039</v>
      </c>
      <c r="H46" s="15"/>
      <c r="J46" s="3"/>
      <c r="K46" s="5">
        <f t="shared" ref="K46" si="96">+K43/K45</f>
        <v>127.12364035087718</v>
      </c>
      <c r="L46" s="8"/>
      <c r="M46" s="3"/>
      <c r="O46" s="1">
        <f t="shared" ref="O46" si="97">+O43/O45</f>
        <v>133.40730331969078</v>
      </c>
      <c r="P46" s="15"/>
      <c r="R46" s="3"/>
      <c r="S46" s="5">
        <f>+S43/S45</f>
        <v>125.30578213343385</v>
      </c>
      <c r="T46" s="8"/>
      <c r="U46" s="3"/>
      <c r="W46" s="16">
        <f>+W43/W45</f>
        <v>117.04371803977273</v>
      </c>
      <c r="X46" s="15"/>
      <c r="AB46" s="15"/>
      <c r="AF46" s="15"/>
      <c r="AJ46" s="15"/>
      <c r="AP46" s="16"/>
      <c r="AQ46" s="16"/>
      <c r="AT46" s="16"/>
      <c r="AU46" s="16"/>
      <c r="AX46" s="16"/>
      <c r="AY46" s="16"/>
    </row>
    <row r="47" spans="1:71" s="14" customFormat="1" x14ac:dyDescent="0.3">
      <c r="H47" s="15"/>
      <c r="L47" s="15"/>
      <c r="P47" s="15"/>
      <c r="T47" s="15"/>
      <c r="X47" s="15"/>
      <c r="AB47" s="15"/>
      <c r="AF47" s="15"/>
      <c r="AJ47" s="15"/>
      <c r="AP47" s="16"/>
      <c r="AQ47" s="16"/>
      <c r="AT47" s="16"/>
      <c r="AU47" s="16"/>
      <c r="AX47" s="16"/>
      <c r="AY47" s="16"/>
    </row>
    <row r="48" spans="1:71" s="14" customFormat="1" x14ac:dyDescent="0.3">
      <c r="H48" s="15"/>
      <c r="L48" s="15"/>
      <c r="P48" s="15"/>
      <c r="T48" s="15"/>
      <c r="X48" s="15"/>
      <c r="AB48" s="15"/>
      <c r="AF48" s="15"/>
      <c r="AJ48" s="15"/>
      <c r="AP48" s="16"/>
      <c r="AQ48" s="16"/>
      <c r="AT48" s="16"/>
      <c r="AU48" s="16"/>
      <c r="AX48" s="16"/>
      <c r="AY48" s="16"/>
    </row>
    <row r="49" spans="8:51" s="14" customFormat="1" x14ac:dyDescent="0.3">
      <c r="H49" s="15"/>
      <c r="L49" s="15"/>
      <c r="P49" s="15"/>
      <c r="T49" s="15"/>
      <c r="X49" s="15"/>
      <c r="AB49" s="15"/>
      <c r="AF49" s="15"/>
      <c r="AJ49" s="15"/>
      <c r="AP49" s="16"/>
      <c r="AQ49" s="16"/>
      <c r="AT49" s="16"/>
      <c r="AU49" s="16"/>
      <c r="AX49" s="16"/>
      <c r="AY49" s="16"/>
    </row>
    <row r="50" spans="8:51" s="14" customFormat="1" x14ac:dyDescent="0.3">
      <c r="H50" s="15"/>
      <c r="L50" s="15"/>
      <c r="P50" s="15"/>
      <c r="T50" s="15"/>
      <c r="X50" s="15"/>
      <c r="AB50" s="15"/>
      <c r="AF50" s="15"/>
      <c r="AJ50" s="15"/>
      <c r="AP50" s="16"/>
      <c r="AQ50" s="16"/>
      <c r="AT50" s="16"/>
      <c r="AU50" s="16"/>
      <c r="AX50" s="16"/>
      <c r="AY50" s="16"/>
    </row>
    <row r="51" spans="8:51" s="14" customFormat="1" x14ac:dyDescent="0.3">
      <c r="H51" s="15"/>
      <c r="L51" s="15"/>
      <c r="P51" s="15"/>
      <c r="T51" s="15"/>
      <c r="X51" s="15"/>
      <c r="AB51" s="15"/>
      <c r="AF51" s="15"/>
      <c r="AJ51" s="15"/>
      <c r="AP51" s="16"/>
      <c r="AQ51" s="16"/>
      <c r="AT51" s="16"/>
      <c r="AU51" s="16"/>
      <c r="AX51" s="16"/>
      <c r="AY51" s="16"/>
    </row>
    <row r="52" spans="8:51" s="14" customFormat="1" x14ac:dyDescent="0.3">
      <c r="H52" s="15"/>
      <c r="L52" s="15"/>
      <c r="P52" s="15"/>
      <c r="T52" s="15"/>
      <c r="X52" s="15"/>
      <c r="AB52" s="15"/>
      <c r="AF52" s="15"/>
      <c r="AJ52" s="15"/>
      <c r="AP52" s="16"/>
      <c r="AQ52" s="16"/>
      <c r="AT52" s="16"/>
      <c r="AU52" s="16"/>
      <c r="AX52" s="16"/>
      <c r="AY52" s="16"/>
    </row>
    <row r="53" spans="8:51" s="14" customFormat="1" x14ac:dyDescent="0.3">
      <c r="H53" s="15"/>
      <c r="L53" s="15"/>
      <c r="P53" s="15"/>
      <c r="T53" s="15"/>
      <c r="X53" s="15"/>
      <c r="AB53" s="15"/>
      <c r="AF53" s="15"/>
      <c r="AJ53" s="15"/>
      <c r="AP53" s="16"/>
      <c r="AQ53" s="16"/>
      <c r="AT53" s="16"/>
      <c r="AU53" s="16"/>
      <c r="AX53" s="16"/>
      <c r="AY53" s="16"/>
    </row>
    <row r="54" spans="8:51" s="14" customFormat="1" x14ac:dyDescent="0.3">
      <c r="H54" s="15"/>
      <c r="L54" s="15"/>
      <c r="P54" s="15"/>
      <c r="T54" s="15"/>
      <c r="X54" s="15"/>
      <c r="AB54" s="15"/>
      <c r="AF54" s="15"/>
      <c r="AJ54" s="15"/>
      <c r="AP54" s="16"/>
      <c r="AQ54" s="16"/>
      <c r="AT54" s="16"/>
      <c r="AU54" s="16"/>
      <c r="AX54" s="16"/>
      <c r="AY54" s="16"/>
    </row>
    <row r="55" spans="8:51" s="14" customFormat="1" x14ac:dyDescent="0.3">
      <c r="H55" s="15"/>
      <c r="L55" s="15"/>
      <c r="P55" s="15"/>
      <c r="T55" s="15"/>
      <c r="X55" s="15"/>
      <c r="AB55" s="15"/>
      <c r="AF55" s="15"/>
      <c r="AJ55" s="15"/>
      <c r="AP55" s="16"/>
      <c r="AQ55" s="16"/>
      <c r="AT55" s="16"/>
      <c r="AU55" s="16"/>
      <c r="AX55" s="16"/>
      <c r="AY55" s="16"/>
    </row>
    <row r="56" spans="8:51" s="14" customFormat="1" x14ac:dyDescent="0.3">
      <c r="H56" s="15"/>
      <c r="L56" s="15"/>
      <c r="P56" s="15"/>
      <c r="T56" s="15"/>
      <c r="X56" s="15"/>
      <c r="AB56" s="15"/>
      <c r="AF56" s="15"/>
      <c r="AJ56" s="15"/>
      <c r="AP56" s="16"/>
      <c r="AQ56" s="16"/>
      <c r="AT56" s="16"/>
      <c r="AU56" s="16"/>
      <c r="AX56" s="16"/>
      <c r="AY56" s="16"/>
    </row>
    <row r="57" spans="8:51" s="14" customFormat="1" x14ac:dyDescent="0.3">
      <c r="H57" s="15"/>
      <c r="L57" s="15"/>
      <c r="P57" s="15"/>
      <c r="T57" s="15"/>
      <c r="X57" s="15"/>
      <c r="AB57" s="15"/>
      <c r="AF57" s="15"/>
      <c r="AJ57" s="15"/>
      <c r="AP57" s="16"/>
      <c r="AQ57" s="16"/>
      <c r="AT57" s="16"/>
      <c r="AU57" s="16"/>
      <c r="AX57" s="16"/>
      <c r="AY57" s="16"/>
    </row>
    <row r="58" spans="8:51" s="14" customFormat="1" x14ac:dyDescent="0.3">
      <c r="H58" s="15"/>
      <c r="L58" s="15"/>
      <c r="P58" s="15"/>
      <c r="T58" s="15"/>
      <c r="X58" s="15"/>
      <c r="AB58" s="15"/>
      <c r="AF58" s="15"/>
      <c r="AJ58" s="15"/>
      <c r="AP58" s="16"/>
      <c r="AQ58" s="16"/>
      <c r="AT58" s="16"/>
      <c r="AU58" s="16"/>
      <c r="AX58" s="16"/>
      <c r="AY58" s="16"/>
    </row>
    <row r="59" spans="8:51" s="14" customFormat="1" x14ac:dyDescent="0.3">
      <c r="H59" s="15"/>
      <c r="L59" s="15"/>
      <c r="P59" s="15"/>
      <c r="T59" s="15"/>
      <c r="X59" s="15"/>
      <c r="AB59" s="15"/>
      <c r="AF59" s="15"/>
      <c r="AJ59" s="15"/>
      <c r="AP59" s="16"/>
      <c r="AQ59" s="16"/>
      <c r="AT59" s="16"/>
      <c r="AU59" s="16"/>
      <c r="AX59" s="16"/>
      <c r="AY59" s="16"/>
    </row>
    <row r="60" spans="8:51" s="14" customFormat="1" x14ac:dyDescent="0.3">
      <c r="H60" s="15"/>
      <c r="L60" s="15"/>
      <c r="P60" s="15"/>
      <c r="T60" s="15"/>
      <c r="X60" s="15"/>
      <c r="AB60" s="15"/>
      <c r="AF60" s="15"/>
      <c r="AJ60" s="15"/>
      <c r="AP60" s="16"/>
      <c r="AQ60" s="16"/>
      <c r="AT60" s="16"/>
      <c r="AU60" s="16"/>
      <c r="AX60" s="16"/>
      <c r="AY60" s="16"/>
    </row>
    <row r="61" spans="8:51" s="14" customFormat="1" x14ac:dyDescent="0.3">
      <c r="H61" s="15"/>
      <c r="L61" s="15"/>
      <c r="P61" s="15"/>
      <c r="T61" s="15"/>
      <c r="X61" s="15"/>
      <c r="AB61" s="15"/>
      <c r="AF61" s="15"/>
      <c r="AJ61" s="15"/>
      <c r="AP61" s="16"/>
      <c r="AQ61" s="16"/>
      <c r="AT61" s="16"/>
      <c r="AU61" s="16"/>
      <c r="AX61" s="16"/>
      <c r="AY61" s="16"/>
    </row>
    <row r="62" spans="8:51" s="14" customFormat="1" x14ac:dyDescent="0.3">
      <c r="H62" s="15"/>
      <c r="L62" s="15"/>
      <c r="P62" s="15"/>
      <c r="T62" s="15"/>
      <c r="X62" s="15"/>
      <c r="AB62" s="15"/>
      <c r="AF62" s="15"/>
      <c r="AJ62" s="15"/>
      <c r="AP62" s="16"/>
      <c r="AQ62" s="16"/>
      <c r="AT62" s="16"/>
      <c r="AU62" s="16"/>
      <c r="AX62" s="16"/>
      <c r="AY62" s="16"/>
    </row>
    <row r="63" spans="8:51" s="14" customFormat="1" x14ac:dyDescent="0.3">
      <c r="H63" s="15"/>
      <c r="L63" s="15"/>
      <c r="P63" s="15"/>
      <c r="T63" s="15"/>
      <c r="X63" s="15"/>
      <c r="AB63" s="15"/>
      <c r="AF63" s="15"/>
      <c r="AJ63" s="15"/>
      <c r="AP63" s="16"/>
      <c r="AQ63" s="16"/>
      <c r="AT63" s="16"/>
      <c r="AU63" s="16"/>
      <c r="AX63" s="16"/>
      <c r="AY63" s="16"/>
    </row>
    <row r="64" spans="8:51" s="14" customFormat="1" x14ac:dyDescent="0.3">
      <c r="H64" s="15"/>
      <c r="L64" s="15"/>
      <c r="P64" s="15"/>
      <c r="T64" s="15"/>
      <c r="X64" s="15"/>
      <c r="AB64" s="15"/>
      <c r="AF64" s="15"/>
      <c r="AJ64" s="15"/>
      <c r="AP64" s="16"/>
      <c r="AQ64" s="16"/>
      <c r="AT64" s="16"/>
      <c r="AU64" s="16"/>
      <c r="AX64" s="16"/>
      <c r="AY64" s="16"/>
    </row>
    <row r="65" spans="8:51" s="14" customFormat="1" x14ac:dyDescent="0.3">
      <c r="H65" s="15"/>
      <c r="L65" s="15"/>
      <c r="P65" s="15"/>
      <c r="T65" s="15"/>
      <c r="X65" s="15"/>
      <c r="AB65" s="15"/>
      <c r="AF65" s="15"/>
      <c r="AJ65" s="15"/>
      <c r="AP65" s="16"/>
      <c r="AQ65" s="16"/>
      <c r="AT65" s="16"/>
      <c r="AU65" s="16"/>
      <c r="AX65" s="16"/>
      <c r="AY65" s="16"/>
    </row>
    <row r="66" spans="8:51" s="14" customFormat="1" x14ac:dyDescent="0.3">
      <c r="H66" s="15"/>
      <c r="L66" s="15"/>
      <c r="P66" s="15"/>
      <c r="T66" s="15"/>
      <c r="X66" s="15"/>
      <c r="AB66" s="15"/>
      <c r="AF66" s="15"/>
      <c r="AJ66" s="15"/>
      <c r="AP66" s="16"/>
      <c r="AQ66" s="16"/>
      <c r="AT66" s="16"/>
      <c r="AU66" s="16"/>
      <c r="AX66" s="16"/>
      <c r="AY66" s="16"/>
    </row>
    <row r="67" spans="8:51" s="14" customFormat="1" x14ac:dyDescent="0.3">
      <c r="H67" s="15"/>
      <c r="L67" s="15"/>
      <c r="P67" s="15"/>
      <c r="T67" s="15"/>
      <c r="X67" s="15"/>
      <c r="AB67" s="15"/>
      <c r="AF67" s="15"/>
      <c r="AJ67" s="15"/>
      <c r="AP67" s="16"/>
      <c r="AQ67" s="16"/>
      <c r="AT67" s="16"/>
      <c r="AU67" s="16"/>
      <c r="AX67" s="16"/>
      <c r="AY67" s="16"/>
    </row>
    <row r="68" spans="8:51" s="14" customFormat="1" x14ac:dyDescent="0.3">
      <c r="H68" s="15"/>
      <c r="L68" s="15"/>
      <c r="P68" s="15"/>
      <c r="T68" s="15"/>
      <c r="X68" s="15"/>
      <c r="AB68" s="15"/>
      <c r="AF68" s="15"/>
      <c r="AJ68" s="15"/>
      <c r="AP68" s="16"/>
      <c r="AQ68" s="16"/>
      <c r="AT68" s="16"/>
      <c r="AU68" s="16"/>
      <c r="AX68" s="16"/>
      <c r="AY68" s="16"/>
    </row>
    <row r="69" spans="8:51" s="14" customFormat="1" x14ac:dyDescent="0.3">
      <c r="H69" s="15"/>
      <c r="L69" s="15"/>
      <c r="P69" s="15"/>
      <c r="T69" s="15"/>
      <c r="X69" s="15"/>
      <c r="AB69" s="15"/>
      <c r="AF69" s="15"/>
      <c r="AJ69" s="15"/>
      <c r="AP69" s="16"/>
      <c r="AQ69" s="16"/>
      <c r="AT69" s="16"/>
      <c r="AU69" s="16"/>
      <c r="AX69" s="16"/>
      <c r="AY69" s="16"/>
    </row>
    <row r="70" spans="8:51" s="14" customFormat="1" x14ac:dyDescent="0.3">
      <c r="H70" s="15"/>
      <c r="L70" s="15"/>
      <c r="P70" s="15"/>
      <c r="T70" s="15"/>
      <c r="X70" s="15"/>
      <c r="AB70" s="15"/>
      <c r="AF70" s="15"/>
      <c r="AJ70" s="15"/>
      <c r="AP70" s="16"/>
      <c r="AQ70" s="16"/>
      <c r="AT70" s="16"/>
      <c r="AU70" s="16"/>
      <c r="AX70" s="16"/>
      <c r="AY70" s="16"/>
    </row>
    <row r="71" spans="8:51" s="14" customFormat="1" x14ac:dyDescent="0.3">
      <c r="H71" s="15"/>
      <c r="L71" s="15"/>
      <c r="P71" s="15"/>
      <c r="T71" s="15"/>
      <c r="X71" s="15"/>
      <c r="AB71" s="15"/>
      <c r="AF71" s="15"/>
      <c r="AJ71" s="15"/>
      <c r="AP71" s="16"/>
      <c r="AQ71" s="16"/>
      <c r="AT71" s="16"/>
      <c r="AU71" s="16"/>
      <c r="AX71" s="16"/>
      <c r="AY71" s="16"/>
    </row>
    <row r="72" spans="8:51" s="14" customFormat="1" x14ac:dyDescent="0.3">
      <c r="H72" s="15"/>
      <c r="L72" s="15"/>
      <c r="P72" s="15"/>
      <c r="T72" s="15"/>
      <c r="X72" s="15"/>
      <c r="AB72" s="15"/>
      <c r="AF72" s="15"/>
      <c r="AJ72" s="15"/>
      <c r="AP72" s="16"/>
      <c r="AQ72" s="16"/>
      <c r="AT72" s="16"/>
      <c r="AU72" s="16"/>
      <c r="AX72" s="16"/>
      <c r="AY72" s="16"/>
    </row>
    <row r="73" spans="8:51" s="14" customFormat="1" x14ac:dyDescent="0.3">
      <c r="H73" s="15"/>
      <c r="L73" s="15"/>
      <c r="P73" s="15"/>
      <c r="T73" s="15"/>
      <c r="X73" s="15"/>
      <c r="AB73" s="15"/>
      <c r="AF73" s="15"/>
      <c r="AJ73" s="15"/>
      <c r="AP73" s="16"/>
      <c r="AQ73" s="16"/>
      <c r="AT73" s="16"/>
      <c r="AU73" s="16"/>
      <c r="AX73" s="16"/>
      <c r="AY73" s="16"/>
    </row>
    <row r="74" spans="8:51" s="14" customFormat="1" x14ac:dyDescent="0.3">
      <c r="H74" s="15"/>
      <c r="L74" s="15"/>
      <c r="P74" s="15"/>
      <c r="T74" s="15"/>
      <c r="X74" s="15"/>
      <c r="AB74" s="15"/>
      <c r="AF74" s="15"/>
      <c r="AJ74" s="15"/>
      <c r="AP74" s="16"/>
      <c r="AQ74" s="16"/>
      <c r="AT74" s="16"/>
      <c r="AU74" s="16"/>
      <c r="AX74" s="16"/>
      <c r="AY74" s="16"/>
    </row>
    <row r="75" spans="8:51" s="14" customFormat="1" x14ac:dyDescent="0.3">
      <c r="H75" s="15"/>
      <c r="L75" s="15"/>
      <c r="P75" s="15"/>
      <c r="T75" s="15"/>
      <c r="X75" s="15"/>
      <c r="AB75" s="15"/>
      <c r="AF75" s="15"/>
      <c r="AJ75" s="15"/>
      <c r="AP75" s="16"/>
      <c r="AQ75" s="16"/>
      <c r="AT75" s="16"/>
      <c r="AU75" s="16"/>
      <c r="AX75" s="16"/>
      <c r="AY75" s="16"/>
    </row>
    <row r="76" spans="8:51" s="14" customFormat="1" x14ac:dyDescent="0.3">
      <c r="H76" s="15"/>
      <c r="L76" s="15"/>
      <c r="P76" s="15"/>
      <c r="T76" s="15"/>
      <c r="X76" s="15"/>
      <c r="AB76" s="15"/>
      <c r="AF76" s="15"/>
      <c r="AJ76" s="15"/>
      <c r="AP76" s="16"/>
      <c r="AQ76" s="16"/>
      <c r="AT76" s="16"/>
      <c r="AU76" s="16"/>
      <c r="AX76" s="16"/>
      <c r="AY76" s="16"/>
    </row>
    <row r="77" spans="8:51" s="14" customFormat="1" x14ac:dyDescent="0.3">
      <c r="H77" s="15"/>
      <c r="L77" s="15"/>
      <c r="P77" s="15"/>
      <c r="T77" s="15"/>
      <c r="X77" s="15"/>
      <c r="AB77" s="15"/>
      <c r="AF77" s="15"/>
      <c r="AJ77" s="15"/>
      <c r="AP77" s="16"/>
      <c r="AQ77" s="16"/>
      <c r="AT77" s="16"/>
      <c r="AU77" s="16"/>
      <c r="AX77" s="16"/>
      <c r="AY77" s="16"/>
    </row>
    <row r="78" spans="8:51" s="14" customFormat="1" x14ac:dyDescent="0.3">
      <c r="H78" s="15"/>
      <c r="L78" s="15"/>
      <c r="P78" s="15"/>
      <c r="T78" s="15"/>
      <c r="X78" s="15"/>
      <c r="AB78" s="15"/>
      <c r="AF78" s="15"/>
      <c r="AJ78" s="15"/>
      <c r="AP78" s="16"/>
      <c r="AQ78" s="16"/>
      <c r="AT78" s="16"/>
      <c r="AU78" s="16"/>
      <c r="AX78" s="16"/>
      <c r="AY78" s="16"/>
    </row>
    <row r="79" spans="8:51" s="14" customFormat="1" x14ac:dyDescent="0.3">
      <c r="H79" s="15"/>
      <c r="L79" s="15"/>
      <c r="P79" s="15"/>
      <c r="T79" s="15"/>
      <c r="X79" s="15"/>
      <c r="AB79" s="15"/>
      <c r="AF79" s="15"/>
      <c r="AJ79" s="15"/>
      <c r="AP79" s="16"/>
      <c r="AQ79" s="16"/>
      <c r="AT79" s="16"/>
      <c r="AU79" s="16"/>
      <c r="AX79" s="16"/>
      <c r="AY79" s="16"/>
    </row>
    <row r="80" spans="8:51" s="14" customFormat="1" x14ac:dyDescent="0.3">
      <c r="H80" s="15"/>
      <c r="L80" s="15"/>
      <c r="P80" s="15"/>
      <c r="T80" s="15"/>
      <c r="X80" s="15"/>
      <c r="AB80" s="15"/>
      <c r="AF80" s="15"/>
      <c r="AJ80" s="15"/>
      <c r="AP80" s="16"/>
      <c r="AQ80" s="16"/>
      <c r="AT80" s="16"/>
      <c r="AU80" s="16"/>
      <c r="AX80" s="16"/>
      <c r="AY80" s="16"/>
    </row>
    <row r="81" spans="8:51" s="14" customFormat="1" x14ac:dyDescent="0.3">
      <c r="H81" s="15"/>
      <c r="L81" s="15"/>
      <c r="P81" s="15"/>
      <c r="T81" s="15"/>
      <c r="X81" s="15"/>
      <c r="AB81" s="15"/>
      <c r="AF81" s="15"/>
      <c r="AJ81" s="15"/>
      <c r="AP81" s="16"/>
      <c r="AQ81" s="16"/>
      <c r="AT81" s="16"/>
      <c r="AU81" s="16"/>
      <c r="AX81" s="16"/>
      <c r="AY81" s="16"/>
    </row>
    <row r="82" spans="8:51" s="14" customFormat="1" x14ac:dyDescent="0.3">
      <c r="H82" s="15"/>
      <c r="L82" s="15"/>
      <c r="P82" s="15"/>
      <c r="T82" s="15"/>
      <c r="X82" s="15"/>
      <c r="AB82" s="15"/>
      <c r="AF82" s="15"/>
      <c r="AJ82" s="15"/>
      <c r="AP82" s="16"/>
      <c r="AQ82" s="16"/>
      <c r="AT82" s="16"/>
      <c r="AU82" s="16"/>
      <c r="AX82" s="16"/>
      <c r="AY82" s="16"/>
    </row>
    <row r="83" spans="8:51" s="14" customFormat="1" x14ac:dyDescent="0.3">
      <c r="H83" s="15"/>
      <c r="L83" s="15"/>
      <c r="P83" s="15"/>
      <c r="T83" s="15"/>
      <c r="X83" s="15"/>
      <c r="AB83" s="15"/>
      <c r="AF83" s="15"/>
      <c r="AJ83" s="15"/>
      <c r="AP83" s="16"/>
      <c r="AQ83" s="16"/>
      <c r="AT83" s="16"/>
      <c r="AU83" s="16"/>
      <c r="AX83" s="16"/>
      <c r="AY83" s="16"/>
    </row>
    <row r="84" spans="8:51" s="14" customFormat="1" x14ac:dyDescent="0.3">
      <c r="H84" s="15"/>
      <c r="L84" s="15"/>
      <c r="P84" s="15"/>
      <c r="T84" s="15"/>
      <c r="X84" s="15"/>
      <c r="AB84" s="15"/>
      <c r="AF84" s="15"/>
      <c r="AJ84" s="15"/>
      <c r="AP84" s="16"/>
      <c r="AQ84" s="16"/>
      <c r="AT84" s="16"/>
      <c r="AU84" s="16"/>
      <c r="AX84" s="16"/>
      <c r="AY84" s="16"/>
    </row>
    <row r="85" spans="8:51" s="14" customFormat="1" x14ac:dyDescent="0.3">
      <c r="H85" s="15"/>
      <c r="L85" s="15"/>
      <c r="P85" s="15"/>
      <c r="T85" s="15"/>
      <c r="X85" s="15"/>
      <c r="AB85" s="15"/>
      <c r="AF85" s="15"/>
      <c r="AJ85" s="15"/>
      <c r="AP85" s="16"/>
      <c r="AQ85" s="16"/>
      <c r="AT85" s="16"/>
      <c r="AU85" s="16"/>
      <c r="AX85" s="16"/>
      <c r="AY85" s="16"/>
    </row>
    <row r="86" spans="8:51" s="14" customFormat="1" x14ac:dyDescent="0.3">
      <c r="H86" s="15"/>
      <c r="L86" s="15"/>
      <c r="P86" s="15"/>
      <c r="T86" s="15"/>
      <c r="X86" s="15"/>
      <c r="AB86" s="15"/>
      <c r="AF86" s="15"/>
      <c r="AJ86" s="15"/>
      <c r="AP86" s="16"/>
      <c r="AQ86" s="16"/>
      <c r="AT86" s="16"/>
      <c r="AU86" s="16"/>
      <c r="AX86" s="16"/>
      <c r="AY86" s="16"/>
    </row>
    <row r="87" spans="8:51" s="14" customFormat="1" x14ac:dyDescent="0.3">
      <c r="H87" s="15"/>
      <c r="L87" s="15"/>
      <c r="P87" s="15"/>
      <c r="T87" s="15"/>
      <c r="X87" s="15"/>
      <c r="AB87" s="15"/>
      <c r="AF87" s="15"/>
      <c r="AJ87" s="15"/>
      <c r="AP87" s="16"/>
      <c r="AQ87" s="16"/>
      <c r="AT87" s="16"/>
      <c r="AU87" s="16"/>
      <c r="AX87" s="16"/>
      <c r="AY87" s="16"/>
    </row>
    <row r="88" spans="8:51" s="14" customFormat="1" x14ac:dyDescent="0.3">
      <c r="H88" s="15"/>
      <c r="L88" s="15"/>
      <c r="P88" s="15"/>
      <c r="T88" s="15"/>
      <c r="X88" s="15"/>
      <c r="AB88" s="15"/>
      <c r="AF88" s="15"/>
      <c r="AJ88" s="15"/>
      <c r="AP88" s="16"/>
      <c r="AQ88" s="16"/>
      <c r="AT88" s="16"/>
      <c r="AU88" s="16"/>
      <c r="AX88" s="16"/>
      <c r="AY88" s="16"/>
    </row>
    <row r="89" spans="8:51" s="14" customFormat="1" x14ac:dyDescent="0.3">
      <c r="H89" s="15"/>
      <c r="L89" s="15"/>
      <c r="P89" s="15"/>
      <c r="T89" s="15"/>
      <c r="X89" s="15"/>
      <c r="AB89" s="15"/>
      <c r="AF89" s="15"/>
      <c r="AJ89" s="15"/>
      <c r="AP89" s="16"/>
      <c r="AQ89" s="16"/>
      <c r="AT89" s="16"/>
      <c r="AU89" s="16"/>
      <c r="AX89" s="16"/>
      <c r="AY89" s="16"/>
    </row>
    <row r="90" spans="8:51" s="14" customFormat="1" x14ac:dyDescent="0.3">
      <c r="H90" s="15"/>
      <c r="L90" s="15"/>
      <c r="P90" s="15"/>
      <c r="T90" s="15"/>
      <c r="X90" s="15"/>
      <c r="AB90" s="15"/>
      <c r="AF90" s="15"/>
      <c r="AJ90" s="15"/>
      <c r="AP90" s="16"/>
      <c r="AQ90" s="16"/>
      <c r="AT90" s="16"/>
      <c r="AU90" s="16"/>
      <c r="AX90" s="16"/>
      <c r="AY90" s="16"/>
    </row>
    <row r="91" spans="8:51" s="14" customFormat="1" x14ac:dyDescent="0.3">
      <c r="H91" s="15"/>
      <c r="L91" s="15"/>
      <c r="P91" s="15"/>
      <c r="T91" s="15"/>
      <c r="X91" s="15"/>
      <c r="AB91" s="15"/>
      <c r="AF91" s="15"/>
      <c r="AJ91" s="15"/>
      <c r="AP91" s="16"/>
      <c r="AQ91" s="16"/>
      <c r="AT91" s="16"/>
      <c r="AU91" s="16"/>
      <c r="AX91" s="16"/>
      <c r="AY91" s="16"/>
    </row>
    <row r="92" spans="8:51" s="14" customFormat="1" x14ac:dyDescent="0.3">
      <c r="H92" s="15"/>
      <c r="L92" s="15"/>
      <c r="P92" s="15"/>
      <c r="T92" s="15"/>
      <c r="X92" s="15"/>
      <c r="AB92" s="15"/>
      <c r="AF92" s="15"/>
      <c r="AJ92" s="15"/>
      <c r="AP92" s="16"/>
      <c r="AQ92" s="16"/>
      <c r="AT92" s="16"/>
      <c r="AU92" s="16"/>
      <c r="AX92" s="16"/>
      <c r="AY92" s="16"/>
    </row>
    <row r="93" spans="8:51" s="14" customFormat="1" x14ac:dyDescent="0.3">
      <c r="H93" s="15"/>
      <c r="L93" s="15"/>
      <c r="P93" s="15"/>
      <c r="T93" s="15"/>
      <c r="X93" s="15"/>
      <c r="AB93" s="15"/>
      <c r="AF93" s="15"/>
      <c r="AJ93" s="15"/>
      <c r="AP93" s="16"/>
      <c r="AQ93" s="16"/>
      <c r="AT93" s="16"/>
      <c r="AU93" s="16"/>
      <c r="AX93" s="16"/>
      <c r="AY93" s="16"/>
    </row>
    <row r="94" spans="8:51" s="14" customFormat="1" x14ac:dyDescent="0.3">
      <c r="H94" s="15"/>
      <c r="L94" s="15"/>
      <c r="P94" s="15"/>
      <c r="T94" s="15"/>
      <c r="X94" s="15"/>
      <c r="AB94" s="15"/>
      <c r="AF94" s="15"/>
      <c r="AJ94" s="15"/>
      <c r="AP94" s="16"/>
      <c r="AQ94" s="16"/>
      <c r="AT94" s="16"/>
      <c r="AU94" s="16"/>
      <c r="AX94" s="16"/>
      <c r="AY94" s="16"/>
    </row>
    <row r="95" spans="8:51" s="14" customFormat="1" x14ac:dyDescent="0.3">
      <c r="H95" s="15"/>
      <c r="L95" s="15"/>
      <c r="P95" s="15"/>
      <c r="T95" s="15"/>
      <c r="X95" s="15"/>
      <c r="AB95" s="15"/>
      <c r="AF95" s="15"/>
      <c r="AJ95" s="15"/>
      <c r="AP95" s="16"/>
      <c r="AQ95" s="16"/>
      <c r="AT95" s="16"/>
      <c r="AU95" s="16"/>
      <c r="AX95" s="16"/>
      <c r="AY95" s="16"/>
    </row>
    <row r="96" spans="8:51" s="14" customFormat="1" x14ac:dyDescent="0.3">
      <c r="H96" s="15"/>
      <c r="L96" s="15"/>
      <c r="P96" s="15"/>
      <c r="T96" s="15"/>
      <c r="X96" s="15"/>
      <c r="AB96" s="15"/>
      <c r="AF96" s="15"/>
      <c r="AJ96" s="15"/>
      <c r="AP96" s="16"/>
      <c r="AQ96" s="16"/>
      <c r="AT96" s="16"/>
      <c r="AU96" s="16"/>
      <c r="AX96" s="16"/>
      <c r="AY96" s="16"/>
    </row>
    <row r="97" spans="8:51" s="14" customFormat="1" x14ac:dyDescent="0.3">
      <c r="H97" s="15"/>
      <c r="L97" s="15"/>
      <c r="P97" s="15"/>
      <c r="T97" s="15"/>
      <c r="X97" s="15"/>
      <c r="AB97" s="15"/>
      <c r="AF97" s="15"/>
      <c r="AJ97" s="15"/>
      <c r="AP97" s="16"/>
      <c r="AQ97" s="16"/>
      <c r="AT97" s="16"/>
      <c r="AU97" s="16"/>
      <c r="AX97" s="16"/>
      <c r="AY97" s="16"/>
    </row>
    <row r="98" spans="8:51" s="14" customFormat="1" x14ac:dyDescent="0.3">
      <c r="H98" s="15"/>
      <c r="L98" s="15"/>
      <c r="P98" s="15"/>
      <c r="T98" s="15"/>
      <c r="X98" s="15"/>
      <c r="AB98" s="15"/>
      <c r="AF98" s="15"/>
      <c r="AJ98" s="15"/>
      <c r="AP98" s="16"/>
      <c r="AQ98" s="16"/>
      <c r="AT98" s="16"/>
      <c r="AU98" s="16"/>
      <c r="AX98" s="16"/>
      <c r="AY98" s="16"/>
    </row>
    <row r="99" spans="8:51" s="14" customFormat="1" x14ac:dyDescent="0.3">
      <c r="H99" s="15"/>
      <c r="L99" s="15"/>
      <c r="P99" s="15"/>
      <c r="T99" s="15"/>
      <c r="X99" s="15"/>
      <c r="AB99" s="15"/>
      <c r="AF99" s="15"/>
      <c r="AJ99" s="15"/>
      <c r="AP99" s="16"/>
      <c r="AQ99" s="16"/>
      <c r="AT99" s="16"/>
      <c r="AU99" s="16"/>
      <c r="AX99" s="16"/>
      <c r="AY99" s="16"/>
    </row>
    <row r="100" spans="8:51" s="14" customFormat="1" x14ac:dyDescent="0.3">
      <c r="H100" s="15"/>
      <c r="L100" s="15"/>
      <c r="P100" s="15"/>
      <c r="T100" s="15"/>
      <c r="X100" s="15"/>
      <c r="AB100" s="15"/>
      <c r="AF100" s="15"/>
      <c r="AJ100" s="15"/>
      <c r="AP100" s="16"/>
      <c r="AQ100" s="16"/>
      <c r="AT100" s="16"/>
      <c r="AU100" s="16"/>
      <c r="AX100" s="16"/>
      <c r="AY100" s="16"/>
    </row>
    <row r="101" spans="8:51" s="14" customFormat="1" x14ac:dyDescent="0.3">
      <c r="H101" s="15"/>
      <c r="L101" s="15"/>
      <c r="P101" s="15"/>
      <c r="T101" s="15"/>
      <c r="X101" s="15"/>
      <c r="AB101" s="15"/>
      <c r="AF101" s="15"/>
      <c r="AJ101" s="15"/>
      <c r="AP101" s="16"/>
      <c r="AQ101" s="16"/>
      <c r="AT101" s="16"/>
      <c r="AU101" s="16"/>
      <c r="AX101" s="16"/>
      <c r="AY101" s="16"/>
    </row>
    <row r="102" spans="8:51" s="14" customFormat="1" x14ac:dyDescent="0.3">
      <c r="H102" s="15"/>
      <c r="L102" s="15"/>
      <c r="P102" s="15"/>
      <c r="T102" s="15"/>
      <c r="X102" s="15"/>
      <c r="AB102" s="15"/>
      <c r="AF102" s="15"/>
      <c r="AJ102" s="15"/>
      <c r="AP102" s="16"/>
      <c r="AQ102" s="16"/>
      <c r="AT102" s="16"/>
      <c r="AU102" s="16"/>
      <c r="AX102" s="16"/>
      <c r="AY102" s="16"/>
    </row>
    <row r="103" spans="8:51" s="14" customFormat="1" x14ac:dyDescent="0.3">
      <c r="H103" s="15"/>
      <c r="L103" s="15"/>
      <c r="P103" s="15"/>
      <c r="T103" s="15"/>
      <c r="X103" s="15"/>
      <c r="AB103" s="15"/>
      <c r="AF103" s="15"/>
      <c r="AJ103" s="15"/>
      <c r="AP103" s="16"/>
      <c r="AQ103" s="16"/>
      <c r="AT103" s="16"/>
      <c r="AU103" s="16"/>
      <c r="AX103" s="16"/>
      <c r="AY103" s="16"/>
    </row>
    <row r="104" spans="8:51" s="14" customFormat="1" x14ac:dyDescent="0.3">
      <c r="H104" s="15"/>
      <c r="L104" s="15"/>
      <c r="P104" s="15"/>
      <c r="T104" s="15"/>
      <c r="X104" s="15"/>
      <c r="AB104" s="15"/>
      <c r="AF104" s="15"/>
      <c r="AJ104" s="15"/>
      <c r="AP104" s="16"/>
      <c r="AQ104" s="16"/>
      <c r="AT104" s="16"/>
      <c r="AU104" s="16"/>
      <c r="AX104" s="16"/>
      <c r="AY104" s="16"/>
    </row>
    <row r="105" spans="8:51" s="14" customFormat="1" x14ac:dyDescent="0.3">
      <c r="H105" s="15"/>
      <c r="L105" s="15"/>
      <c r="P105" s="15"/>
      <c r="T105" s="15"/>
      <c r="X105" s="15"/>
      <c r="AB105" s="15"/>
      <c r="AF105" s="15"/>
      <c r="AJ105" s="15"/>
      <c r="AP105" s="16"/>
      <c r="AQ105" s="16"/>
      <c r="AT105" s="16"/>
      <c r="AU105" s="16"/>
      <c r="AX105" s="16"/>
      <c r="AY105" s="16"/>
    </row>
    <row r="106" spans="8:51" s="14" customFormat="1" x14ac:dyDescent="0.3">
      <c r="H106" s="15"/>
      <c r="L106" s="15"/>
      <c r="P106" s="15"/>
      <c r="T106" s="15"/>
      <c r="X106" s="15"/>
      <c r="AB106" s="15"/>
      <c r="AF106" s="15"/>
      <c r="AJ106" s="15"/>
      <c r="AP106" s="16"/>
      <c r="AQ106" s="16"/>
      <c r="AT106" s="16"/>
      <c r="AU106" s="16"/>
      <c r="AX106" s="16"/>
      <c r="AY106" s="16"/>
    </row>
    <row r="107" spans="8:51" s="14" customFormat="1" x14ac:dyDescent="0.3">
      <c r="H107" s="15"/>
      <c r="L107" s="15"/>
      <c r="P107" s="15"/>
      <c r="T107" s="15"/>
      <c r="X107" s="15"/>
      <c r="AB107" s="15"/>
      <c r="AF107" s="15"/>
      <c r="AJ107" s="15"/>
      <c r="AP107" s="16"/>
      <c r="AQ107" s="16"/>
      <c r="AT107" s="16"/>
      <c r="AU107" s="16"/>
      <c r="AX107" s="16"/>
      <c r="AY107" s="16"/>
    </row>
    <row r="108" spans="8:51" s="14" customFormat="1" x14ac:dyDescent="0.3">
      <c r="H108" s="15"/>
      <c r="L108" s="15"/>
      <c r="P108" s="15"/>
      <c r="T108" s="15"/>
      <c r="X108" s="15"/>
      <c r="AB108" s="15"/>
      <c r="AF108" s="15"/>
      <c r="AJ108" s="15"/>
      <c r="AP108" s="16"/>
      <c r="AQ108" s="16"/>
      <c r="AT108" s="16"/>
      <c r="AU108" s="16"/>
      <c r="AX108" s="16"/>
      <c r="AY108" s="16"/>
    </row>
    <row r="109" spans="8:51" s="14" customFormat="1" x14ac:dyDescent="0.3">
      <c r="H109" s="15"/>
      <c r="L109" s="15"/>
      <c r="P109" s="15"/>
      <c r="T109" s="15"/>
      <c r="X109" s="15"/>
      <c r="AB109" s="15"/>
      <c r="AF109" s="15"/>
      <c r="AJ109" s="15"/>
      <c r="AP109" s="16"/>
      <c r="AQ109" s="16"/>
      <c r="AT109" s="16"/>
      <c r="AU109" s="16"/>
      <c r="AX109" s="16"/>
      <c r="AY109" s="16"/>
    </row>
    <row r="110" spans="8:51" s="14" customFormat="1" x14ac:dyDescent="0.3">
      <c r="H110" s="15"/>
      <c r="L110" s="15"/>
      <c r="P110" s="15"/>
      <c r="T110" s="15"/>
      <c r="X110" s="15"/>
      <c r="AB110" s="15"/>
      <c r="AF110" s="15"/>
      <c r="AJ110" s="15"/>
      <c r="AP110" s="16"/>
      <c r="AQ110" s="16"/>
      <c r="AT110" s="16"/>
      <c r="AU110" s="16"/>
      <c r="AX110" s="16"/>
      <c r="AY110" s="16"/>
    </row>
    <row r="111" spans="8:51" s="14" customFormat="1" x14ac:dyDescent="0.3">
      <c r="H111" s="15"/>
      <c r="L111" s="15"/>
      <c r="P111" s="15"/>
      <c r="T111" s="15"/>
      <c r="X111" s="15"/>
      <c r="AB111" s="15"/>
      <c r="AF111" s="15"/>
      <c r="AJ111" s="15"/>
      <c r="AP111" s="16"/>
      <c r="AQ111" s="16"/>
      <c r="AT111" s="16"/>
      <c r="AU111" s="16"/>
      <c r="AX111" s="16"/>
      <c r="AY111" s="16"/>
    </row>
    <row r="112" spans="8:51" s="14" customFormat="1" x14ac:dyDescent="0.3">
      <c r="H112" s="15"/>
      <c r="L112" s="15"/>
      <c r="P112" s="15"/>
      <c r="T112" s="15"/>
      <c r="X112" s="15"/>
      <c r="AB112" s="15"/>
      <c r="AF112" s="15"/>
      <c r="AJ112" s="15"/>
      <c r="AP112" s="16"/>
      <c r="AQ112" s="16"/>
      <c r="AT112" s="16"/>
      <c r="AU112" s="16"/>
      <c r="AX112" s="16"/>
      <c r="AY112" s="16"/>
    </row>
    <row r="113" spans="8:51" s="14" customFormat="1" x14ac:dyDescent="0.3">
      <c r="H113" s="15"/>
      <c r="L113" s="15"/>
      <c r="P113" s="15"/>
      <c r="T113" s="15"/>
      <c r="X113" s="15"/>
      <c r="AB113" s="15"/>
      <c r="AF113" s="15"/>
      <c r="AJ113" s="15"/>
      <c r="AP113" s="16"/>
      <c r="AQ113" s="16"/>
      <c r="AT113" s="16"/>
      <c r="AU113" s="16"/>
      <c r="AX113" s="16"/>
      <c r="AY113" s="16"/>
    </row>
    <row r="114" spans="8:51" s="14" customFormat="1" x14ac:dyDescent="0.3">
      <c r="H114" s="15"/>
      <c r="L114" s="15"/>
      <c r="P114" s="15"/>
      <c r="T114" s="15"/>
      <c r="X114" s="15"/>
      <c r="AB114" s="15"/>
      <c r="AF114" s="15"/>
      <c r="AJ114" s="15"/>
      <c r="AP114" s="16"/>
      <c r="AQ114" s="16"/>
      <c r="AT114" s="16"/>
      <c r="AU114" s="16"/>
      <c r="AX114" s="16"/>
      <c r="AY114" s="16"/>
    </row>
    <row r="115" spans="8:51" s="14" customFormat="1" x14ac:dyDescent="0.3">
      <c r="H115" s="15"/>
      <c r="L115" s="15"/>
      <c r="P115" s="15"/>
      <c r="T115" s="15"/>
      <c r="X115" s="15"/>
      <c r="AB115" s="15"/>
      <c r="AF115" s="15"/>
      <c r="AJ115" s="15"/>
      <c r="AP115" s="16"/>
      <c r="AQ115" s="16"/>
      <c r="AT115" s="16"/>
      <c r="AU115" s="16"/>
      <c r="AX115" s="16"/>
      <c r="AY115" s="16"/>
    </row>
    <row r="116" spans="8:51" s="14" customFormat="1" x14ac:dyDescent="0.3">
      <c r="H116" s="15"/>
      <c r="L116" s="15"/>
      <c r="P116" s="15"/>
      <c r="T116" s="15"/>
      <c r="X116" s="15"/>
      <c r="AB116" s="15"/>
      <c r="AF116" s="15"/>
      <c r="AJ116" s="15"/>
      <c r="AP116" s="16"/>
      <c r="AQ116" s="16"/>
      <c r="AT116" s="16"/>
      <c r="AU116" s="16"/>
      <c r="AX116" s="16"/>
      <c r="AY116" s="16"/>
    </row>
    <row r="117" spans="8:51" s="14" customFormat="1" x14ac:dyDescent="0.3">
      <c r="H117" s="15"/>
      <c r="L117" s="15"/>
      <c r="P117" s="15"/>
      <c r="T117" s="15"/>
      <c r="X117" s="15"/>
      <c r="AB117" s="15"/>
      <c r="AF117" s="15"/>
      <c r="AJ117" s="15"/>
      <c r="AP117" s="16"/>
      <c r="AQ117" s="16"/>
      <c r="AT117" s="16"/>
      <c r="AU117" s="16"/>
      <c r="AX117" s="16"/>
      <c r="AY117" s="16"/>
    </row>
    <row r="118" spans="8:51" s="14" customFormat="1" x14ac:dyDescent="0.3">
      <c r="H118" s="15"/>
      <c r="L118" s="15"/>
      <c r="P118" s="15"/>
      <c r="T118" s="15"/>
      <c r="X118" s="15"/>
      <c r="AB118" s="15"/>
      <c r="AF118" s="15"/>
      <c r="AJ118" s="15"/>
      <c r="AP118" s="16"/>
      <c r="AQ118" s="16"/>
      <c r="AT118" s="16"/>
      <c r="AU118" s="16"/>
      <c r="AX118" s="16"/>
      <c r="AY118" s="16"/>
    </row>
    <row r="119" spans="8:51" s="14" customFormat="1" x14ac:dyDescent="0.3">
      <c r="H119" s="15"/>
      <c r="L119" s="15"/>
      <c r="P119" s="15"/>
      <c r="T119" s="15"/>
      <c r="X119" s="15"/>
      <c r="AB119" s="15"/>
      <c r="AF119" s="15"/>
      <c r="AJ119" s="15"/>
      <c r="AP119" s="16"/>
      <c r="AQ119" s="16"/>
      <c r="AT119" s="16"/>
      <c r="AU119" s="16"/>
      <c r="AX119" s="16"/>
      <c r="AY119" s="16"/>
    </row>
    <row r="120" spans="8:51" s="14" customFormat="1" x14ac:dyDescent="0.3">
      <c r="H120" s="15"/>
      <c r="L120" s="15"/>
      <c r="P120" s="15"/>
      <c r="T120" s="15"/>
      <c r="X120" s="15"/>
      <c r="AB120" s="15"/>
      <c r="AF120" s="15"/>
      <c r="AJ120" s="15"/>
      <c r="AP120" s="16"/>
      <c r="AQ120" s="16"/>
      <c r="AT120" s="16"/>
      <c r="AU120" s="16"/>
      <c r="AX120" s="16"/>
      <c r="AY120" s="16"/>
    </row>
    <row r="121" spans="8:51" s="14" customFormat="1" x14ac:dyDescent="0.3">
      <c r="H121" s="15"/>
      <c r="L121" s="15"/>
      <c r="P121" s="15"/>
      <c r="T121" s="15"/>
      <c r="X121" s="15"/>
      <c r="AB121" s="15"/>
      <c r="AF121" s="15"/>
      <c r="AJ121" s="15"/>
      <c r="AP121" s="16"/>
      <c r="AQ121" s="16"/>
      <c r="AT121" s="16"/>
      <c r="AU121" s="16"/>
      <c r="AX121" s="16"/>
      <c r="AY121" s="16"/>
    </row>
    <row r="122" spans="8:51" s="14" customFormat="1" x14ac:dyDescent="0.3">
      <c r="H122" s="15"/>
      <c r="L122" s="15"/>
      <c r="P122" s="15"/>
      <c r="T122" s="15"/>
      <c r="X122" s="15"/>
      <c r="AB122" s="15"/>
      <c r="AF122" s="15"/>
      <c r="AJ122" s="15"/>
      <c r="AP122" s="16"/>
      <c r="AQ122" s="16"/>
      <c r="AT122" s="16"/>
      <c r="AU122" s="16"/>
      <c r="AX122" s="16"/>
      <c r="AY122" s="16"/>
    </row>
    <row r="123" spans="8:51" s="14" customFormat="1" x14ac:dyDescent="0.3">
      <c r="H123" s="15"/>
      <c r="L123" s="15"/>
      <c r="P123" s="15"/>
      <c r="T123" s="15"/>
      <c r="X123" s="15"/>
      <c r="AB123" s="15"/>
      <c r="AF123" s="15"/>
      <c r="AJ123" s="15"/>
      <c r="AP123" s="16"/>
      <c r="AQ123" s="16"/>
      <c r="AT123" s="16"/>
      <c r="AU123" s="16"/>
      <c r="AX123" s="16"/>
      <c r="AY123" s="16"/>
    </row>
    <row r="124" spans="8:51" s="14" customFormat="1" x14ac:dyDescent="0.3">
      <c r="H124" s="15"/>
      <c r="L124" s="15"/>
      <c r="P124" s="15"/>
      <c r="T124" s="15"/>
      <c r="X124" s="15"/>
      <c r="AB124" s="15"/>
      <c r="AF124" s="15"/>
      <c r="AJ124" s="15"/>
      <c r="AP124" s="16"/>
      <c r="AQ124" s="16"/>
      <c r="AT124" s="16"/>
      <c r="AU124" s="16"/>
      <c r="AX124" s="16"/>
      <c r="AY124" s="16"/>
    </row>
    <row r="125" spans="8:51" s="14" customFormat="1" x14ac:dyDescent="0.3">
      <c r="H125" s="15"/>
      <c r="L125" s="15"/>
      <c r="P125" s="15"/>
      <c r="T125" s="15"/>
      <c r="X125" s="15"/>
      <c r="AB125" s="15"/>
      <c r="AF125" s="15"/>
      <c r="AJ125" s="15"/>
      <c r="AP125" s="16"/>
      <c r="AQ125" s="16"/>
      <c r="AT125" s="16"/>
      <c r="AU125" s="16"/>
      <c r="AX125" s="16"/>
      <c r="AY125" s="16"/>
    </row>
    <row r="126" spans="8:51" s="14" customFormat="1" x14ac:dyDescent="0.3">
      <c r="H126" s="15"/>
      <c r="L126" s="15"/>
      <c r="P126" s="15"/>
      <c r="T126" s="15"/>
      <c r="X126" s="15"/>
      <c r="AB126" s="15"/>
      <c r="AF126" s="15"/>
      <c r="AJ126" s="15"/>
      <c r="AP126" s="16"/>
      <c r="AQ126" s="16"/>
      <c r="AT126" s="16"/>
      <c r="AU126" s="16"/>
      <c r="AX126" s="16"/>
      <c r="AY126" s="16"/>
    </row>
    <row r="127" spans="8:51" s="14" customFormat="1" x14ac:dyDescent="0.3">
      <c r="H127" s="15"/>
      <c r="L127" s="15"/>
      <c r="P127" s="15"/>
      <c r="T127" s="15"/>
      <c r="X127" s="15"/>
      <c r="AB127" s="15"/>
      <c r="AF127" s="15"/>
      <c r="AJ127" s="15"/>
      <c r="AP127" s="16"/>
      <c r="AQ127" s="16"/>
      <c r="AT127" s="16"/>
      <c r="AU127" s="16"/>
      <c r="AX127" s="16"/>
      <c r="AY127" s="16"/>
    </row>
    <row r="128" spans="8:51" s="14" customFormat="1" x14ac:dyDescent="0.3">
      <c r="H128" s="15"/>
      <c r="L128" s="15"/>
      <c r="P128" s="15"/>
      <c r="T128" s="15"/>
      <c r="X128" s="15"/>
      <c r="AB128" s="15"/>
      <c r="AF128" s="15"/>
      <c r="AJ128" s="15"/>
      <c r="AP128" s="16"/>
      <c r="AQ128" s="16"/>
      <c r="AT128" s="16"/>
      <c r="AU128" s="16"/>
      <c r="AX128" s="16"/>
      <c r="AY128" s="16"/>
    </row>
    <row r="129" spans="8:51" s="14" customFormat="1" x14ac:dyDescent="0.3">
      <c r="H129" s="15"/>
      <c r="L129" s="15"/>
      <c r="P129" s="15"/>
      <c r="T129" s="15"/>
      <c r="X129" s="15"/>
      <c r="AB129" s="15"/>
      <c r="AF129" s="15"/>
      <c r="AJ129" s="15"/>
      <c r="AP129" s="16"/>
      <c r="AQ129" s="16"/>
      <c r="AT129" s="16"/>
      <c r="AU129" s="16"/>
      <c r="AX129" s="16"/>
      <c r="AY129" s="16"/>
    </row>
    <row r="130" spans="8:51" s="14" customFormat="1" x14ac:dyDescent="0.3">
      <c r="H130" s="15"/>
      <c r="L130" s="15"/>
      <c r="P130" s="15"/>
      <c r="T130" s="15"/>
      <c r="X130" s="15"/>
      <c r="AB130" s="15"/>
      <c r="AF130" s="15"/>
      <c r="AJ130" s="15"/>
      <c r="AP130" s="16"/>
      <c r="AQ130" s="16"/>
      <c r="AT130" s="16"/>
      <c r="AU130" s="16"/>
      <c r="AX130" s="16"/>
      <c r="AY130" s="16"/>
    </row>
    <row r="131" spans="8:51" s="14" customFormat="1" x14ac:dyDescent="0.3">
      <c r="H131" s="15"/>
      <c r="L131" s="15"/>
      <c r="P131" s="15"/>
      <c r="T131" s="15"/>
      <c r="X131" s="15"/>
      <c r="AB131" s="15"/>
      <c r="AF131" s="15"/>
      <c r="AJ131" s="15"/>
      <c r="AP131" s="16"/>
      <c r="AQ131" s="16"/>
      <c r="AT131" s="16"/>
      <c r="AU131" s="16"/>
      <c r="AX131" s="16"/>
      <c r="AY131" s="16"/>
    </row>
    <row r="132" spans="8:51" s="14" customFormat="1" x14ac:dyDescent="0.3">
      <c r="H132" s="15"/>
      <c r="L132" s="15"/>
      <c r="P132" s="15"/>
      <c r="T132" s="15"/>
      <c r="X132" s="15"/>
      <c r="AB132" s="15"/>
      <c r="AF132" s="15"/>
      <c r="AJ132" s="15"/>
      <c r="AP132" s="16"/>
      <c r="AQ132" s="16"/>
      <c r="AT132" s="16"/>
      <c r="AU132" s="16"/>
      <c r="AX132" s="16"/>
      <c r="AY132" s="16"/>
    </row>
    <row r="133" spans="8:51" s="14" customFormat="1" x14ac:dyDescent="0.3">
      <c r="H133" s="15"/>
      <c r="L133" s="15"/>
      <c r="P133" s="15"/>
      <c r="T133" s="15"/>
      <c r="X133" s="15"/>
      <c r="AB133" s="15"/>
      <c r="AF133" s="15"/>
      <c r="AJ133" s="15"/>
      <c r="AP133" s="16"/>
      <c r="AQ133" s="16"/>
      <c r="AT133" s="16"/>
      <c r="AU133" s="16"/>
      <c r="AX133" s="16"/>
      <c r="AY133" s="16"/>
    </row>
    <row r="134" spans="8:51" s="14" customFormat="1" x14ac:dyDescent="0.3">
      <c r="H134" s="15"/>
      <c r="L134" s="15"/>
      <c r="P134" s="15"/>
      <c r="T134" s="15"/>
      <c r="X134" s="15"/>
      <c r="AB134" s="15"/>
      <c r="AF134" s="15"/>
      <c r="AJ134" s="15"/>
      <c r="AP134" s="16"/>
      <c r="AQ134" s="16"/>
      <c r="AT134" s="16"/>
      <c r="AU134" s="16"/>
      <c r="AX134" s="16"/>
      <c r="AY134" s="16"/>
    </row>
    <row r="135" spans="8:51" s="14" customFormat="1" x14ac:dyDescent="0.3">
      <c r="H135" s="15"/>
      <c r="L135" s="15"/>
      <c r="P135" s="15"/>
      <c r="T135" s="15"/>
      <c r="X135" s="15"/>
      <c r="AB135" s="15"/>
      <c r="AF135" s="15"/>
      <c r="AJ135" s="15"/>
      <c r="AP135" s="16"/>
      <c r="AQ135" s="16"/>
      <c r="AT135" s="16"/>
      <c r="AU135" s="16"/>
      <c r="AX135" s="16"/>
      <c r="AY135" s="16"/>
    </row>
    <row r="136" spans="8:51" s="14" customFormat="1" x14ac:dyDescent="0.3">
      <c r="H136" s="15"/>
      <c r="L136" s="15"/>
      <c r="P136" s="15"/>
      <c r="T136" s="15"/>
      <c r="X136" s="15"/>
      <c r="AB136" s="15"/>
      <c r="AF136" s="15"/>
      <c r="AJ136" s="15"/>
      <c r="AP136" s="16"/>
      <c r="AQ136" s="16"/>
      <c r="AT136" s="16"/>
      <c r="AU136" s="16"/>
      <c r="AX136" s="16"/>
      <c r="AY136" s="16"/>
    </row>
    <row r="137" spans="8:51" s="14" customFormat="1" x14ac:dyDescent="0.3">
      <c r="H137" s="15"/>
      <c r="L137" s="15"/>
      <c r="P137" s="15"/>
      <c r="T137" s="15"/>
      <c r="X137" s="15"/>
      <c r="AB137" s="15"/>
      <c r="AF137" s="15"/>
      <c r="AJ137" s="15"/>
      <c r="AP137" s="16"/>
      <c r="AQ137" s="16"/>
      <c r="AT137" s="16"/>
      <c r="AU137" s="16"/>
      <c r="AX137" s="16"/>
      <c r="AY137" s="16"/>
    </row>
    <row r="138" spans="8:51" s="14" customFormat="1" x14ac:dyDescent="0.3">
      <c r="H138" s="15"/>
      <c r="L138" s="15"/>
      <c r="P138" s="15"/>
      <c r="T138" s="15"/>
      <c r="X138" s="15"/>
      <c r="AB138" s="15"/>
      <c r="AF138" s="15"/>
      <c r="AJ138" s="15"/>
      <c r="AP138" s="16"/>
      <c r="AQ138" s="16"/>
      <c r="AT138" s="16"/>
      <c r="AU138" s="16"/>
      <c r="AX138" s="16"/>
      <c r="AY138" s="16"/>
    </row>
    <row r="139" spans="8:51" s="14" customFormat="1" x14ac:dyDescent="0.3">
      <c r="H139" s="15"/>
      <c r="L139" s="15"/>
      <c r="P139" s="15"/>
      <c r="T139" s="15"/>
      <c r="X139" s="15"/>
      <c r="AB139" s="15"/>
      <c r="AF139" s="15"/>
      <c r="AJ139" s="15"/>
      <c r="AP139" s="16"/>
      <c r="AQ139" s="16"/>
      <c r="AT139" s="16"/>
      <c r="AU139" s="16"/>
      <c r="AX139" s="16"/>
      <c r="AY139" s="16"/>
    </row>
    <row r="140" spans="8:51" s="14" customFormat="1" x14ac:dyDescent="0.3">
      <c r="H140" s="15"/>
      <c r="L140" s="15"/>
      <c r="P140" s="15"/>
      <c r="T140" s="15"/>
      <c r="X140" s="15"/>
      <c r="AB140" s="15"/>
      <c r="AF140" s="15"/>
      <c r="AJ140" s="15"/>
      <c r="AP140" s="16"/>
      <c r="AQ140" s="16"/>
      <c r="AT140" s="16"/>
      <c r="AU140" s="16"/>
      <c r="AX140" s="16"/>
      <c r="AY140" s="16"/>
    </row>
    <row r="141" spans="8:51" s="14" customFormat="1" x14ac:dyDescent="0.3">
      <c r="H141" s="15"/>
      <c r="L141" s="15"/>
      <c r="P141" s="15"/>
      <c r="T141" s="15"/>
      <c r="X141" s="15"/>
      <c r="AB141" s="15"/>
      <c r="AF141" s="15"/>
      <c r="AJ141" s="15"/>
      <c r="AP141" s="16"/>
      <c r="AQ141" s="16"/>
      <c r="AT141" s="16"/>
      <c r="AU141" s="16"/>
      <c r="AX141" s="16"/>
      <c r="AY141" s="16"/>
    </row>
    <row r="142" spans="8:51" s="14" customFormat="1" x14ac:dyDescent="0.3">
      <c r="H142" s="15"/>
      <c r="L142" s="15"/>
      <c r="P142" s="15"/>
      <c r="T142" s="15"/>
      <c r="X142" s="15"/>
      <c r="AB142" s="15"/>
      <c r="AF142" s="15"/>
      <c r="AJ142" s="15"/>
      <c r="AP142" s="16"/>
      <c r="AQ142" s="16"/>
      <c r="AT142" s="16"/>
      <c r="AU142" s="16"/>
      <c r="AX142" s="16"/>
      <c r="AY142" s="16"/>
    </row>
    <row r="143" spans="8:51" s="14" customFormat="1" x14ac:dyDescent="0.3">
      <c r="H143" s="15"/>
      <c r="L143" s="15"/>
      <c r="P143" s="15"/>
      <c r="T143" s="15"/>
      <c r="X143" s="15"/>
      <c r="AB143" s="15"/>
      <c r="AF143" s="15"/>
      <c r="AJ143" s="15"/>
      <c r="AP143" s="16"/>
      <c r="AQ143" s="16"/>
      <c r="AT143" s="16"/>
      <c r="AU143" s="16"/>
      <c r="AX143" s="16"/>
      <c r="AY143" s="16"/>
    </row>
    <row r="144" spans="8:51" s="14" customFormat="1" x14ac:dyDescent="0.3">
      <c r="H144" s="15"/>
      <c r="L144" s="15"/>
      <c r="P144" s="15"/>
      <c r="T144" s="15"/>
      <c r="X144" s="15"/>
      <c r="AB144" s="15"/>
      <c r="AF144" s="15"/>
      <c r="AJ144" s="15"/>
      <c r="AP144" s="16"/>
      <c r="AQ144" s="16"/>
      <c r="AT144" s="16"/>
      <c r="AU144" s="16"/>
      <c r="AX144" s="16"/>
      <c r="AY144" s="16"/>
    </row>
    <row r="145" spans="8:51" s="14" customFormat="1" x14ac:dyDescent="0.3">
      <c r="H145" s="15"/>
      <c r="L145" s="15"/>
      <c r="P145" s="15"/>
      <c r="T145" s="15"/>
      <c r="X145" s="15"/>
      <c r="AB145" s="15"/>
      <c r="AF145" s="15"/>
      <c r="AJ145" s="15"/>
      <c r="AP145" s="16"/>
      <c r="AQ145" s="16"/>
      <c r="AT145" s="16"/>
      <c r="AU145" s="16"/>
      <c r="AX145" s="16"/>
      <c r="AY145" s="16"/>
    </row>
    <row r="146" spans="8:51" s="14" customFormat="1" x14ac:dyDescent="0.3">
      <c r="H146" s="15"/>
      <c r="L146" s="15"/>
      <c r="P146" s="15"/>
      <c r="T146" s="15"/>
      <c r="X146" s="15"/>
      <c r="AB146" s="15"/>
      <c r="AF146" s="15"/>
      <c r="AJ146" s="15"/>
      <c r="AP146" s="16"/>
      <c r="AQ146" s="16"/>
      <c r="AT146" s="16"/>
      <c r="AU146" s="16"/>
      <c r="AX146" s="16"/>
      <c r="AY146" s="16"/>
    </row>
    <row r="147" spans="8:51" s="14" customFormat="1" x14ac:dyDescent="0.3">
      <c r="H147" s="15"/>
      <c r="L147" s="15"/>
      <c r="P147" s="15"/>
      <c r="T147" s="15"/>
      <c r="X147" s="15"/>
      <c r="AB147" s="15"/>
      <c r="AF147" s="15"/>
      <c r="AJ147" s="15"/>
      <c r="AP147" s="16"/>
      <c r="AQ147" s="16"/>
      <c r="AT147" s="16"/>
      <c r="AU147" s="16"/>
      <c r="AX147" s="16"/>
      <c r="AY147" s="16"/>
    </row>
    <row r="148" spans="8:51" s="14" customFormat="1" x14ac:dyDescent="0.3">
      <c r="H148" s="15"/>
      <c r="L148" s="15"/>
      <c r="P148" s="15"/>
      <c r="T148" s="15"/>
      <c r="X148" s="15"/>
      <c r="AB148" s="15"/>
      <c r="AF148" s="15"/>
      <c r="AJ148" s="15"/>
      <c r="AP148" s="16"/>
      <c r="AQ148" s="16"/>
      <c r="AT148" s="16"/>
      <c r="AU148" s="16"/>
      <c r="AX148" s="16"/>
      <c r="AY148" s="16"/>
    </row>
    <row r="149" spans="8:51" s="14" customFormat="1" x14ac:dyDescent="0.3">
      <c r="H149" s="15"/>
      <c r="L149" s="15"/>
      <c r="P149" s="15"/>
      <c r="T149" s="15"/>
      <c r="X149" s="15"/>
      <c r="AB149" s="15"/>
      <c r="AF149" s="15"/>
      <c r="AJ149" s="15"/>
      <c r="AP149" s="16"/>
      <c r="AQ149" s="16"/>
      <c r="AT149" s="16"/>
      <c r="AU149" s="16"/>
      <c r="AX149" s="16"/>
      <c r="AY149" s="16"/>
    </row>
    <row r="150" spans="8:51" s="14" customFormat="1" x14ac:dyDescent="0.3">
      <c r="H150" s="15"/>
      <c r="L150" s="15"/>
      <c r="P150" s="15"/>
      <c r="T150" s="15"/>
      <c r="X150" s="15"/>
      <c r="AB150" s="15"/>
      <c r="AF150" s="15"/>
      <c r="AJ150" s="15"/>
      <c r="AP150" s="16"/>
      <c r="AQ150" s="16"/>
      <c r="AT150" s="16"/>
      <c r="AU150" s="16"/>
      <c r="AX150" s="16"/>
      <c r="AY150" s="16"/>
    </row>
    <row r="151" spans="8:51" s="14" customFormat="1" x14ac:dyDescent="0.3">
      <c r="H151" s="15"/>
      <c r="L151" s="15"/>
      <c r="P151" s="15"/>
      <c r="T151" s="15"/>
      <c r="X151" s="15"/>
      <c r="AB151" s="15"/>
      <c r="AF151" s="15"/>
      <c r="AJ151" s="15"/>
      <c r="AP151" s="16"/>
      <c r="AQ151" s="16"/>
      <c r="AT151" s="16"/>
      <c r="AU151" s="16"/>
      <c r="AX151" s="16"/>
      <c r="AY151" s="16"/>
    </row>
    <row r="152" spans="8:51" s="14" customFormat="1" x14ac:dyDescent="0.3">
      <c r="H152" s="15"/>
      <c r="L152" s="15"/>
      <c r="P152" s="15"/>
      <c r="T152" s="15"/>
      <c r="X152" s="15"/>
      <c r="AB152" s="15"/>
      <c r="AF152" s="15"/>
      <c r="AJ152" s="15"/>
      <c r="AP152" s="16"/>
      <c r="AQ152" s="16"/>
      <c r="AT152" s="16"/>
      <c r="AU152" s="16"/>
      <c r="AX152" s="16"/>
      <c r="AY152" s="16"/>
    </row>
    <row r="153" spans="8:51" s="14" customFormat="1" x14ac:dyDescent="0.3">
      <c r="H153" s="15"/>
      <c r="L153" s="15"/>
      <c r="P153" s="15"/>
      <c r="T153" s="15"/>
      <c r="X153" s="15"/>
      <c r="AB153" s="15"/>
      <c r="AF153" s="15"/>
      <c r="AJ153" s="15"/>
      <c r="AP153" s="16"/>
      <c r="AQ153" s="16"/>
      <c r="AT153" s="16"/>
      <c r="AU153" s="16"/>
      <c r="AX153" s="16"/>
      <c r="AY153" s="16"/>
    </row>
    <row r="154" spans="8:51" s="14" customFormat="1" x14ac:dyDescent="0.3">
      <c r="H154" s="15"/>
      <c r="L154" s="15"/>
      <c r="P154" s="15"/>
      <c r="T154" s="15"/>
      <c r="X154" s="15"/>
      <c r="AB154" s="15"/>
      <c r="AF154" s="15"/>
      <c r="AJ154" s="15"/>
      <c r="AP154" s="16"/>
      <c r="AQ154" s="16"/>
      <c r="AT154" s="16"/>
      <c r="AU154" s="16"/>
      <c r="AX154" s="16"/>
      <c r="AY154" s="16"/>
    </row>
    <row r="155" spans="8:51" s="14" customFormat="1" x14ac:dyDescent="0.3">
      <c r="H155" s="15"/>
      <c r="L155" s="15"/>
      <c r="P155" s="15"/>
      <c r="T155" s="15"/>
      <c r="X155" s="15"/>
      <c r="AB155" s="15"/>
      <c r="AF155" s="15"/>
      <c r="AJ155" s="15"/>
      <c r="AP155" s="16"/>
      <c r="AQ155" s="16"/>
      <c r="AT155" s="16"/>
      <c r="AU155" s="16"/>
      <c r="AX155" s="16"/>
      <c r="AY155" s="16"/>
    </row>
    <row r="156" spans="8:51" s="14" customFormat="1" x14ac:dyDescent="0.3">
      <c r="H156" s="15"/>
      <c r="L156" s="15"/>
      <c r="P156" s="15"/>
      <c r="T156" s="15"/>
      <c r="X156" s="15"/>
      <c r="AB156" s="15"/>
      <c r="AF156" s="15"/>
      <c r="AJ156" s="15"/>
      <c r="AP156" s="16"/>
      <c r="AQ156" s="16"/>
      <c r="AT156" s="16"/>
      <c r="AU156" s="16"/>
      <c r="AX156" s="16"/>
      <c r="AY156" s="16"/>
    </row>
    <row r="157" spans="8:51" s="14" customFormat="1" x14ac:dyDescent="0.3">
      <c r="H157" s="15"/>
      <c r="L157" s="15"/>
      <c r="P157" s="15"/>
      <c r="T157" s="15"/>
      <c r="X157" s="15"/>
      <c r="AB157" s="15"/>
      <c r="AF157" s="15"/>
      <c r="AJ157" s="15"/>
      <c r="AP157" s="16"/>
      <c r="AQ157" s="16"/>
      <c r="AT157" s="16"/>
      <c r="AU157" s="16"/>
      <c r="AX157" s="16"/>
      <c r="AY157" s="16"/>
    </row>
    <row r="158" spans="8:51" s="14" customFormat="1" x14ac:dyDescent="0.3">
      <c r="H158" s="15"/>
      <c r="L158" s="15"/>
      <c r="P158" s="15"/>
      <c r="T158" s="15"/>
      <c r="X158" s="15"/>
      <c r="AB158" s="15"/>
      <c r="AF158" s="15"/>
      <c r="AJ158" s="15"/>
      <c r="AP158" s="16"/>
      <c r="AQ158" s="16"/>
      <c r="AT158" s="16"/>
      <c r="AU158" s="16"/>
      <c r="AX158" s="16"/>
      <c r="AY158" s="16"/>
    </row>
    <row r="159" spans="8:51" s="14" customFormat="1" x14ac:dyDescent="0.3">
      <c r="H159" s="15"/>
      <c r="L159" s="15"/>
      <c r="P159" s="15"/>
      <c r="T159" s="15"/>
      <c r="X159" s="15"/>
      <c r="AB159" s="15"/>
      <c r="AF159" s="15"/>
      <c r="AJ159" s="15"/>
      <c r="AP159" s="16"/>
      <c r="AQ159" s="16"/>
      <c r="AT159" s="16"/>
      <c r="AU159" s="16"/>
      <c r="AX159" s="16"/>
      <c r="AY159" s="16"/>
    </row>
    <row r="160" spans="8:51" s="14" customFormat="1" x14ac:dyDescent="0.3">
      <c r="H160" s="15"/>
      <c r="L160" s="15"/>
      <c r="P160" s="15"/>
      <c r="T160" s="15"/>
      <c r="X160" s="15"/>
      <c r="AB160" s="15"/>
      <c r="AF160" s="15"/>
      <c r="AJ160" s="15"/>
      <c r="AP160" s="16"/>
      <c r="AQ160" s="16"/>
      <c r="AT160" s="16"/>
      <c r="AU160" s="16"/>
      <c r="AX160" s="16"/>
      <c r="AY160" s="16"/>
    </row>
    <row r="161" spans="8:51" s="14" customFormat="1" x14ac:dyDescent="0.3">
      <c r="H161" s="15"/>
      <c r="L161" s="15"/>
      <c r="P161" s="15"/>
      <c r="T161" s="15"/>
      <c r="X161" s="15"/>
      <c r="AB161" s="15"/>
      <c r="AF161" s="15"/>
      <c r="AJ161" s="15"/>
      <c r="AP161" s="16"/>
      <c r="AQ161" s="16"/>
      <c r="AT161" s="16"/>
      <c r="AU161" s="16"/>
      <c r="AX161" s="16"/>
      <c r="AY161" s="16"/>
    </row>
    <row r="162" spans="8:51" s="14" customFormat="1" x14ac:dyDescent="0.3">
      <c r="H162" s="15"/>
      <c r="L162" s="15"/>
      <c r="P162" s="15"/>
      <c r="T162" s="15"/>
      <c r="X162" s="15"/>
      <c r="AB162" s="15"/>
      <c r="AF162" s="15"/>
      <c r="AJ162" s="15"/>
      <c r="AP162" s="16"/>
      <c r="AQ162" s="16"/>
      <c r="AT162" s="16"/>
      <c r="AU162" s="16"/>
      <c r="AX162" s="16"/>
      <c r="AY162" s="16"/>
    </row>
    <row r="163" spans="8:51" s="14" customFormat="1" x14ac:dyDescent="0.3">
      <c r="H163" s="15"/>
      <c r="L163" s="15"/>
      <c r="P163" s="15"/>
      <c r="T163" s="15"/>
      <c r="X163" s="15"/>
      <c r="AB163" s="15"/>
      <c r="AF163" s="15"/>
      <c r="AJ163" s="15"/>
      <c r="AP163" s="16"/>
      <c r="AQ163" s="16"/>
      <c r="AT163" s="16"/>
      <c r="AU163" s="16"/>
      <c r="AX163" s="16"/>
      <c r="AY163" s="16"/>
    </row>
    <row r="164" spans="8:51" s="14" customFormat="1" x14ac:dyDescent="0.3">
      <c r="H164" s="15"/>
      <c r="L164" s="15"/>
      <c r="P164" s="15"/>
      <c r="T164" s="15"/>
      <c r="X164" s="15"/>
      <c r="AB164" s="15"/>
      <c r="AF164" s="15"/>
      <c r="AJ164" s="15"/>
      <c r="AP164" s="16"/>
      <c r="AQ164" s="16"/>
      <c r="AT164" s="16"/>
      <c r="AU164" s="16"/>
      <c r="AX164" s="16"/>
      <c r="AY164" s="16"/>
    </row>
    <row r="165" spans="8:51" s="14" customFormat="1" x14ac:dyDescent="0.3">
      <c r="H165" s="15"/>
      <c r="L165" s="15"/>
      <c r="P165" s="15"/>
      <c r="T165" s="15"/>
      <c r="X165" s="15"/>
      <c r="AB165" s="15"/>
      <c r="AF165" s="15"/>
      <c r="AJ165" s="15"/>
      <c r="AP165" s="16"/>
      <c r="AQ165" s="16"/>
      <c r="AT165" s="16"/>
      <c r="AU165" s="16"/>
      <c r="AX165" s="16"/>
      <c r="AY165" s="16"/>
    </row>
    <row r="166" spans="8:51" s="14" customFormat="1" x14ac:dyDescent="0.3">
      <c r="H166" s="15"/>
      <c r="L166" s="15"/>
      <c r="P166" s="15"/>
      <c r="T166" s="15"/>
      <c r="X166" s="15"/>
      <c r="AB166" s="15"/>
      <c r="AF166" s="15"/>
      <c r="AJ166" s="15"/>
      <c r="AP166" s="16"/>
      <c r="AQ166" s="16"/>
      <c r="AT166" s="16"/>
      <c r="AU166" s="16"/>
      <c r="AX166" s="16"/>
      <c r="AY166" s="16"/>
    </row>
    <row r="167" spans="8:51" s="14" customFormat="1" x14ac:dyDescent="0.3">
      <c r="H167" s="15"/>
      <c r="L167" s="15"/>
      <c r="P167" s="15"/>
      <c r="T167" s="15"/>
      <c r="X167" s="15"/>
      <c r="AB167" s="15"/>
      <c r="AF167" s="15"/>
      <c r="AJ167" s="15"/>
      <c r="AP167" s="16"/>
      <c r="AQ167" s="16"/>
      <c r="AT167" s="16"/>
      <c r="AU167" s="16"/>
      <c r="AX167" s="16"/>
      <c r="AY167" s="16"/>
    </row>
    <row r="168" spans="8:51" s="14" customFormat="1" x14ac:dyDescent="0.3">
      <c r="H168" s="15"/>
      <c r="L168" s="15"/>
      <c r="P168" s="15"/>
      <c r="T168" s="15"/>
      <c r="X168" s="15"/>
      <c r="AB168" s="15"/>
      <c r="AF168" s="15"/>
      <c r="AJ168" s="15"/>
      <c r="AP168" s="16"/>
      <c r="AQ168" s="16"/>
      <c r="AT168" s="16"/>
      <c r="AU168" s="16"/>
      <c r="AX168" s="16"/>
      <c r="AY168" s="16"/>
    </row>
    <row r="169" spans="8:51" s="14" customFormat="1" x14ac:dyDescent="0.3">
      <c r="H169" s="15"/>
      <c r="L169" s="15"/>
      <c r="P169" s="15"/>
      <c r="T169" s="15"/>
      <c r="X169" s="15"/>
      <c r="AB169" s="15"/>
      <c r="AF169" s="15"/>
      <c r="AJ169" s="15"/>
      <c r="AP169" s="16"/>
      <c r="AQ169" s="16"/>
      <c r="AT169" s="16"/>
      <c r="AU169" s="16"/>
      <c r="AX169" s="16"/>
      <c r="AY169" s="16"/>
    </row>
    <row r="170" spans="8:51" s="14" customFormat="1" x14ac:dyDescent="0.3">
      <c r="H170" s="15"/>
      <c r="L170" s="15"/>
      <c r="P170" s="15"/>
      <c r="T170" s="15"/>
      <c r="X170" s="15"/>
      <c r="AB170" s="15"/>
      <c r="AF170" s="15"/>
      <c r="AJ170" s="15"/>
      <c r="AP170" s="16"/>
      <c r="AQ170" s="16"/>
      <c r="AT170" s="16"/>
      <c r="AU170" s="16"/>
      <c r="AX170" s="16"/>
      <c r="AY170" s="16"/>
    </row>
    <row r="171" spans="8:51" s="14" customFormat="1" x14ac:dyDescent="0.3">
      <c r="H171" s="15"/>
      <c r="L171" s="15"/>
      <c r="P171" s="15"/>
      <c r="T171" s="15"/>
      <c r="X171" s="15"/>
      <c r="AB171" s="15"/>
      <c r="AF171" s="15"/>
      <c r="AJ171" s="15"/>
      <c r="AP171" s="16"/>
      <c r="AQ171" s="16"/>
      <c r="AT171" s="16"/>
      <c r="AU171" s="16"/>
      <c r="AX171" s="16"/>
      <c r="AY171" s="16"/>
    </row>
    <row r="172" spans="8:51" s="14" customFormat="1" x14ac:dyDescent="0.3">
      <c r="H172" s="15"/>
      <c r="L172" s="15"/>
      <c r="P172" s="15"/>
      <c r="T172" s="15"/>
      <c r="X172" s="15"/>
      <c r="AB172" s="15"/>
      <c r="AF172" s="15"/>
      <c r="AJ172" s="15"/>
      <c r="AP172" s="16"/>
      <c r="AQ172" s="16"/>
      <c r="AT172" s="16"/>
      <c r="AU172" s="16"/>
      <c r="AX172" s="16"/>
      <c r="AY172" s="16"/>
    </row>
    <row r="173" spans="8:51" s="14" customFormat="1" x14ac:dyDescent="0.3">
      <c r="H173" s="15"/>
      <c r="L173" s="15"/>
      <c r="P173" s="15"/>
      <c r="T173" s="15"/>
      <c r="X173" s="15"/>
      <c r="AB173" s="15"/>
      <c r="AF173" s="15"/>
      <c r="AJ173" s="15"/>
      <c r="AP173" s="16"/>
      <c r="AQ173" s="16"/>
      <c r="AT173" s="16"/>
      <c r="AU173" s="16"/>
      <c r="AX173" s="16"/>
      <c r="AY173" s="16"/>
    </row>
    <row r="174" spans="8:51" s="14" customFormat="1" x14ac:dyDescent="0.3">
      <c r="H174" s="15"/>
      <c r="L174" s="15"/>
      <c r="P174" s="15"/>
      <c r="T174" s="15"/>
      <c r="X174" s="15"/>
      <c r="AB174" s="15"/>
      <c r="AF174" s="15"/>
      <c r="AJ174" s="15"/>
      <c r="AP174" s="16"/>
      <c r="AQ174" s="16"/>
      <c r="AT174" s="16"/>
      <c r="AU174" s="16"/>
      <c r="AX174" s="16"/>
      <c r="AY174" s="16"/>
    </row>
    <row r="175" spans="8:51" s="14" customFormat="1" x14ac:dyDescent="0.3">
      <c r="H175" s="15"/>
      <c r="L175" s="15"/>
      <c r="P175" s="15"/>
      <c r="T175" s="15"/>
      <c r="X175" s="15"/>
      <c r="AB175" s="15"/>
      <c r="AF175" s="15"/>
      <c r="AJ175" s="15"/>
      <c r="AP175" s="16"/>
      <c r="AQ175" s="16"/>
      <c r="AT175" s="16"/>
      <c r="AU175" s="16"/>
      <c r="AX175" s="16"/>
      <c r="AY175" s="16"/>
    </row>
    <row r="176" spans="8:51" s="14" customFormat="1" x14ac:dyDescent="0.3">
      <c r="H176" s="15"/>
      <c r="L176" s="15"/>
      <c r="P176" s="15"/>
      <c r="T176" s="15"/>
      <c r="X176" s="15"/>
      <c r="AB176" s="15"/>
      <c r="AF176" s="15"/>
      <c r="AJ176" s="15"/>
      <c r="AP176" s="16"/>
      <c r="AQ176" s="16"/>
      <c r="AT176" s="16"/>
      <c r="AU176" s="16"/>
      <c r="AX176" s="16"/>
      <c r="AY176" s="16"/>
    </row>
    <row r="177" spans="8:51" s="14" customFormat="1" x14ac:dyDescent="0.3">
      <c r="H177" s="15"/>
      <c r="L177" s="15"/>
      <c r="P177" s="15"/>
      <c r="T177" s="15"/>
      <c r="X177" s="15"/>
      <c r="AB177" s="15"/>
      <c r="AF177" s="15"/>
      <c r="AJ177" s="15"/>
      <c r="AP177" s="16"/>
      <c r="AQ177" s="16"/>
      <c r="AT177" s="16"/>
      <c r="AU177" s="16"/>
      <c r="AX177" s="16"/>
      <c r="AY177" s="16"/>
    </row>
    <row r="178" spans="8:51" s="14" customFormat="1" x14ac:dyDescent="0.3">
      <c r="H178" s="15"/>
      <c r="L178" s="15"/>
      <c r="P178" s="15"/>
      <c r="T178" s="15"/>
      <c r="X178" s="15"/>
      <c r="AB178" s="15"/>
      <c r="AF178" s="15"/>
      <c r="AJ178" s="15"/>
      <c r="AP178" s="16"/>
      <c r="AQ178" s="16"/>
      <c r="AT178" s="16"/>
      <c r="AU178" s="16"/>
      <c r="AX178" s="16"/>
      <c r="AY178" s="16"/>
    </row>
    <row r="179" spans="8:51" s="14" customFormat="1" x14ac:dyDescent="0.3">
      <c r="H179" s="15"/>
      <c r="L179" s="15"/>
      <c r="P179" s="15"/>
      <c r="T179" s="15"/>
      <c r="X179" s="15"/>
      <c r="AB179" s="15"/>
      <c r="AF179" s="15"/>
      <c r="AJ179" s="15"/>
      <c r="AP179" s="16"/>
      <c r="AQ179" s="16"/>
      <c r="AT179" s="16"/>
      <c r="AU179" s="16"/>
      <c r="AX179" s="16"/>
      <c r="AY179" s="16"/>
    </row>
    <row r="180" spans="8:51" s="14" customFormat="1" x14ac:dyDescent="0.3">
      <c r="H180" s="15"/>
      <c r="L180" s="15"/>
      <c r="P180" s="15"/>
      <c r="T180" s="15"/>
      <c r="X180" s="15"/>
      <c r="AB180" s="15"/>
      <c r="AF180" s="15"/>
      <c r="AJ180" s="15"/>
      <c r="AP180" s="16"/>
      <c r="AQ180" s="16"/>
      <c r="AT180" s="16"/>
      <c r="AU180" s="16"/>
      <c r="AX180" s="16"/>
      <c r="AY180" s="16"/>
    </row>
    <row r="181" spans="8:51" s="14" customFormat="1" x14ac:dyDescent="0.3">
      <c r="H181" s="15"/>
      <c r="L181" s="15"/>
      <c r="P181" s="15"/>
      <c r="T181" s="15"/>
      <c r="X181" s="15"/>
      <c r="AB181" s="15"/>
      <c r="AF181" s="15"/>
      <c r="AJ181" s="15"/>
      <c r="AP181" s="16"/>
      <c r="AQ181" s="16"/>
      <c r="AT181" s="16"/>
      <c r="AU181" s="16"/>
      <c r="AX181" s="16"/>
      <c r="AY181" s="16"/>
    </row>
    <row r="182" spans="8:51" s="14" customFormat="1" x14ac:dyDescent="0.3">
      <c r="H182" s="15"/>
      <c r="L182" s="15"/>
      <c r="P182" s="15"/>
      <c r="T182" s="15"/>
      <c r="X182" s="15"/>
      <c r="AB182" s="15"/>
      <c r="AF182" s="15"/>
      <c r="AJ182" s="15"/>
      <c r="AP182" s="16"/>
      <c r="AQ182" s="16"/>
      <c r="AT182" s="16"/>
      <c r="AU182" s="16"/>
      <c r="AX182" s="16"/>
      <c r="AY182" s="16"/>
    </row>
    <row r="183" spans="8:51" s="14" customFormat="1" x14ac:dyDescent="0.3">
      <c r="H183" s="15"/>
      <c r="L183" s="15"/>
      <c r="P183" s="15"/>
      <c r="T183" s="15"/>
      <c r="X183" s="15"/>
      <c r="AB183" s="15"/>
      <c r="AF183" s="15"/>
      <c r="AJ183" s="15"/>
      <c r="AP183" s="16"/>
      <c r="AQ183" s="16"/>
      <c r="AT183" s="16"/>
      <c r="AU183" s="16"/>
      <c r="AX183" s="16"/>
      <c r="AY183" s="16"/>
    </row>
    <row r="184" spans="8:51" s="14" customFormat="1" x14ac:dyDescent="0.3">
      <c r="H184" s="15"/>
      <c r="L184" s="15"/>
      <c r="P184" s="15"/>
      <c r="T184" s="15"/>
      <c r="X184" s="15"/>
      <c r="AB184" s="15"/>
      <c r="AF184" s="15"/>
      <c r="AJ184" s="15"/>
      <c r="AP184" s="16"/>
      <c r="AQ184" s="16"/>
      <c r="AT184" s="16"/>
      <c r="AU184" s="16"/>
      <c r="AX184" s="16"/>
      <c r="AY184" s="16"/>
    </row>
    <row r="185" spans="8:51" s="14" customFormat="1" x14ac:dyDescent="0.3">
      <c r="H185" s="15"/>
      <c r="L185" s="15"/>
      <c r="P185" s="15"/>
      <c r="T185" s="15"/>
      <c r="X185" s="15"/>
      <c r="AB185" s="15"/>
      <c r="AF185" s="15"/>
      <c r="AJ185" s="15"/>
      <c r="AP185" s="16"/>
      <c r="AQ185" s="16"/>
      <c r="AT185" s="16"/>
      <c r="AU185" s="16"/>
      <c r="AX185" s="16"/>
      <c r="AY185" s="16"/>
    </row>
    <row r="186" spans="8:51" s="14" customFormat="1" x14ac:dyDescent="0.3">
      <c r="H186" s="15"/>
      <c r="L186" s="15"/>
      <c r="P186" s="15"/>
      <c r="T186" s="15"/>
      <c r="X186" s="15"/>
      <c r="AB186" s="15"/>
      <c r="AF186" s="15"/>
      <c r="AJ186" s="15"/>
      <c r="AP186" s="16"/>
      <c r="AQ186" s="16"/>
      <c r="AT186" s="16"/>
      <c r="AU186" s="16"/>
      <c r="AX186" s="16"/>
      <c r="AY186" s="16"/>
    </row>
    <row r="187" spans="8:51" s="14" customFormat="1" x14ac:dyDescent="0.3">
      <c r="H187" s="15"/>
      <c r="L187" s="15"/>
      <c r="P187" s="15"/>
      <c r="T187" s="15"/>
      <c r="X187" s="15"/>
      <c r="AB187" s="15"/>
      <c r="AF187" s="15"/>
      <c r="AJ187" s="15"/>
      <c r="AP187" s="16"/>
      <c r="AQ187" s="16"/>
      <c r="AT187" s="16"/>
      <c r="AU187" s="16"/>
      <c r="AX187" s="16"/>
      <c r="AY187" s="16"/>
    </row>
    <row r="188" spans="8:51" s="14" customFormat="1" x14ac:dyDescent="0.3">
      <c r="H188" s="15"/>
      <c r="L188" s="15"/>
      <c r="P188" s="15"/>
      <c r="T188" s="15"/>
      <c r="X188" s="15"/>
      <c r="AB188" s="15"/>
      <c r="AF188" s="15"/>
      <c r="AJ188" s="15"/>
      <c r="AP188" s="16"/>
      <c r="AQ188" s="16"/>
      <c r="AT188" s="16"/>
      <c r="AU188" s="16"/>
      <c r="AX188" s="16"/>
      <c r="AY188" s="16"/>
    </row>
    <row r="189" spans="8:51" s="14" customFormat="1" x14ac:dyDescent="0.3">
      <c r="H189" s="15"/>
      <c r="L189" s="15"/>
      <c r="P189" s="15"/>
      <c r="T189" s="15"/>
      <c r="X189" s="15"/>
      <c r="AB189" s="15"/>
      <c r="AF189" s="15"/>
      <c r="AJ189" s="15"/>
      <c r="AP189" s="16"/>
      <c r="AQ189" s="16"/>
      <c r="AT189" s="16"/>
      <c r="AU189" s="16"/>
      <c r="AX189" s="16"/>
      <c r="AY189" s="16"/>
    </row>
    <row r="190" spans="8:51" s="14" customFormat="1" x14ac:dyDescent="0.3">
      <c r="H190" s="15"/>
      <c r="L190" s="15"/>
      <c r="P190" s="15"/>
      <c r="T190" s="15"/>
      <c r="X190" s="15"/>
      <c r="AB190" s="15"/>
      <c r="AF190" s="15"/>
      <c r="AJ190" s="15"/>
      <c r="AP190" s="16"/>
      <c r="AQ190" s="16"/>
      <c r="AT190" s="16"/>
      <c r="AU190" s="16"/>
      <c r="AX190" s="16"/>
      <c r="AY190" s="16"/>
    </row>
    <row r="191" spans="8:51" s="14" customFormat="1" x14ac:dyDescent="0.3">
      <c r="H191" s="15"/>
      <c r="L191" s="15"/>
      <c r="P191" s="15"/>
      <c r="T191" s="15"/>
      <c r="X191" s="15"/>
      <c r="AB191" s="15"/>
      <c r="AF191" s="15"/>
      <c r="AJ191" s="15"/>
      <c r="AP191" s="16"/>
      <c r="AQ191" s="16"/>
      <c r="AT191" s="16"/>
      <c r="AU191" s="16"/>
      <c r="AX191" s="16"/>
      <c r="AY191" s="16"/>
    </row>
    <row r="192" spans="8:51" s="14" customFormat="1" x14ac:dyDescent="0.3">
      <c r="H192" s="15"/>
      <c r="L192" s="15"/>
      <c r="P192" s="15"/>
      <c r="T192" s="15"/>
      <c r="X192" s="15"/>
      <c r="AB192" s="15"/>
      <c r="AF192" s="15"/>
      <c r="AJ192" s="15"/>
      <c r="AP192" s="16"/>
      <c r="AQ192" s="16"/>
      <c r="AT192" s="16"/>
      <c r="AU192" s="16"/>
      <c r="AX192" s="16"/>
      <c r="AY192" s="16"/>
    </row>
    <row r="193" spans="8:51" s="14" customFormat="1" x14ac:dyDescent="0.3">
      <c r="H193" s="15"/>
      <c r="L193" s="15"/>
      <c r="P193" s="15"/>
      <c r="T193" s="15"/>
      <c r="X193" s="15"/>
      <c r="AB193" s="15"/>
      <c r="AF193" s="15"/>
      <c r="AJ193" s="15"/>
      <c r="AP193" s="16"/>
      <c r="AQ193" s="16"/>
      <c r="AT193" s="16"/>
      <c r="AU193" s="16"/>
      <c r="AX193" s="16"/>
      <c r="AY193" s="16"/>
    </row>
    <row r="194" spans="8:51" s="14" customFormat="1" x14ac:dyDescent="0.3">
      <c r="H194" s="15"/>
      <c r="L194" s="15"/>
      <c r="P194" s="15"/>
      <c r="T194" s="15"/>
      <c r="X194" s="15"/>
      <c r="AB194" s="15"/>
      <c r="AF194" s="15"/>
      <c r="AJ194" s="15"/>
      <c r="AP194" s="16"/>
      <c r="AQ194" s="16"/>
      <c r="AT194" s="16"/>
      <c r="AU194" s="16"/>
      <c r="AX194" s="16"/>
      <c r="AY194" s="16"/>
    </row>
    <row r="195" spans="8:51" s="14" customFormat="1" x14ac:dyDescent="0.3">
      <c r="H195" s="15"/>
      <c r="L195" s="15"/>
      <c r="P195" s="15"/>
      <c r="T195" s="15"/>
      <c r="X195" s="15"/>
      <c r="AB195" s="15"/>
      <c r="AF195" s="15"/>
      <c r="AJ195" s="15"/>
      <c r="AP195" s="16"/>
      <c r="AQ195" s="16"/>
      <c r="AT195" s="16"/>
      <c r="AU195" s="16"/>
      <c r="AX195" s="16"/>
      <c r="AY195" s="16"/>
    </row>
    <row r="196" spans="8:51" s="14" customFormat="1" x14ac:dyDescent="0.3">
      <c r="H196" s="15"/>
      <c r="L196" s="15"/>
      <c r="P196" s="15"/>
      <c r="T196" s="15"/>
      <c r="X196" s="15"/>
      <c r="AB196" s="15"/>
      <c r="AF196" s="15"/>
      <c r="AJ196" s="15"/>
      <c r="AP196" s="16"/>
      <c r="AQ196" s="16"/>
      <c r="AT196" s="16"/>
      <c r="AU196" s="16"/>
      <c r="AX196" s="16"/>
      <c r="AY196" s="16"/>
    </row>
    <row r="197" spans="8:51" s="14" customFormat="1" x14ac:dyDescent="0.3">
      <c r="H197" s="15"/>
      <c r="L197" s="15"/>
      <c r="P197" s="15"/>
      <c r="T197" s="15"/>
      <c r="X197" s="15"/>
      <c r="AB197" s="15"/>
      <c r="AF197" s="15"/>
      <c r="AJ197" s="15"/>
      <c r="AP197" s="16"/>
      <c r="AQ197" s="16"/>
      <c r="AT197" s="16"/>
      <c r="AU197" s="16"/>
      <c r="AX197" s="16"/>
      <c r="AY197" s="16"/>
    </row>
    <row r="198" spans="8:51" s="14" customFormat="1" x14ac:dyDescent="0.3">
      <c r="H198" s="15"/>
      <c r="L198" s="15"/>
      <c r="P198" s="15"/>
      <c r="T198" s="15"/>
      <c r="X198" s="15"/>
      <c r="AB198" s="15"/>
      <c r="AF198" s="15"/>
      <c r="AJ198" s="15"/>
      <c r="AP198" s="16"/>
      <c r="AQ198" s="16"/>
      <c r="AT198" s="16"/>
      <c r="AU198" s="16"/>
      <c r="AX198" s="16"/>
      <c r="AY198" s="16"/>
    </row>
    <row r="199" spans="8:51" s="14" customFormat="1" x14ac:dyDescent="0.3">
      <c r="H199" s="15"/>
      <c r="L199" s="15"/>
      <c r="P199" s="15"/>
      <c r="T199" s="15"/>
      <c r="X199" s="15"/>
      <c r="AB199" s="15"/>
      <c r="AF199" s="15"/>
      <c r="AJ199" s="15"/>
      <c r="AP199" s="16"/>
      <c r="AQ199" s="16"/>
      <c r="AT199" s="16"/>
      <c r="AU199" s="16"/>
      <c r="AX199" s="16"/>
      <c r="AY199" s="16"/>
    </row>
    <row r="200" spans="8:51" s="14" customFormat="1" x14ac:dyDescent="0.3">
      <c r="H200" s="15"/>
      <c r="L200" s="15"/>
      <c r="P200" s="15"/>
      <c r="T200" s="15"/>
      <c r="X200" s="15"/>
      <c r="AB200" s="15"/>
      <c r="AF200" s="15"/>
      <c r="AJ200" s="15"/>
      <c r="AP200" s="16"/>
      <c r="AQ200" s="16"/>
      <c r="AT200" s="16"/>
      <c r="AU200" s="16"/>
      <c r="AX200" s="16"/>
      <c r="AY200" s="16"/>
    </row>
    <row r="201" spans="8:51" s="14" customFormat="1" x14ac:dyDescent="0.3">
      <c r="H201" s="15"/>
      <c r="L201" s="15"/>
      <c r="P201" s="15"/>
      <c r="T201" s="15"/>
      <c r="X201" s="15"/>
      <c r="AB201" s="15"/>
      <c r="AF201" s="15"/>
      <c r="AJ201" s="15"/>
      <c r="AP201" s="16"/>
      <c r="AQ201" s="16"/>
      <c r="AT201" s="16"/>
      <c r="AU201" s="16"/>
      <c r="AX201" s="16"/>
      <c r="AY201" s="16"/>
    </row>
    <row r="202" spans="8:51" s="14" customFormat="1" x14ac:dyDescent="0.3">
      <c r="H202" s="15"/>
      <c r="L202" s="15"/>
      <c r="P202" s="15"/>
      <c r="T202" s="15"/>
      <c r="X202" s="15"/>
      <c r="AB202" s="15"/>
      <c r="AF202" s="15"/>
      <c r="AJ202" s="15"/>
      <c r="AP202" s="16"/>
      <c r="AQ202" s="16"/>
      <c r="AT202" s="16"/>
      <c r="AU202" s="16"/>
      <c r="AX202" s="16"/>
      <c r="AY202" s="16"/>
    </row>
    <row r="203" spans="8:51" s="14" customFormat="1" x14ac:dyDescent="0.3">
      <c r="H203" s="15"/>
      <c r="L203" s="15"/>
      <c r="P203" s="15"/>
      <c r="T203" s="15"/>
      <c r="X203" s="15"/>
      <c r="AB203" s="15"/>
      <c r="AF203" s="15"/>
      <c r="AJ203" s="15"/>
      <c r="AP203" s="16"/>
      <c r="AQ203" s="16"/>
      <c r="AT203" s="16"/>
      <c r="AU203" s="16"/>
      <c r="AX203" s="16"/>
      <c r="AY203" s="16"/>
    </row>
    <row r="204" spans="8:51" s="14" customFormat="1" x14ac:dyDescent="0.3">
      <c r="H204" s="15"/>
      <c r="L204" s="15"/>
      <c r="P204" s="15"/>
      <c r="T204" s="15"/>
      <c r="X204" s="15"/>
      <c r="AB204" s="15"/>
      <c r="AF204" s="15"/>
      <c r="AJ204" s="15"/>
      <c r="AP204" s="16"/>
      <c r="AQ204" s="16"/>
      <c r="AT204" s="16"/>
      <c r="AU204" s="16"/>
      <c r="AX204" s="16"/>
      <c r="AY204" s="16"/>
    </row>
    <row r="205" spans="8:51" s="14" customFormat="1" x14ac:dyDescent="0.3">
      <c r="H205" s="15"/>
      <c r="L205" s="15"/>
      <c r="P205" s="15"/>
      <c r="T205" s="15"/>
      <c r="X205" s="15"/>
      <c r="AB205" s="15"/>
      <c r="AF205" s="15"/>
      <c r="AJ205" s="15"/>
      <c r="AP205" s="16"/>
      <c r="AQ205" s="16"/>
      <c r="AT205" s="16"/>
      <c r="AU205" s="16"/>
      <c r="AX205" s="16"/>
      <c r="AY205" s="16"/>
    </row>
    <row r="206" spans="8:51" s="14" customFormat="1" x14ac:dyDescent="0.3">
      <c r="H206" s="15"/>
      <c r="L206" s="15"/>
      <c r="P206" s="15"/>
      <c r="T206" s="15"/>
      <c r="X206" s="15"/>
      <c r="AB206" s="15"/>
      <c r="AF206" s="15"/>
      <c r="AJ206" s="15"/>
      <c r="AP206" s="16"/>
      <c r="AQ206" s="16"/>
      <c r="AT206" s="16"/>
      <c r="AU206" s="16"/>
      <c r="AX206" s="16"/>
      <c r="AY206" s="16"/>
    </row>
    <row r="207" spans="8:51" s="14" customFormat="1" x14ac:dyDescent="0.3">
      <c r="H207" s="15"/>
      <c r="L207" s="15"/>
      <c r="P207" s="15"/>
      <c r="T207" s="15"/>
      <c r="X207" s="15"/>
      <c r="AB207" s="15"/>
      <c r="AF207" s="15"/>
      <c r="AJ207" s="15"/>
      <c r="AP207" s="16"/>
      <c r="AQ207" s="16"/>
      <c r="AT207" s="16"/>
      <c r="AU207" s="16"/>
      <c r="AX207" s="16"/>
      <c r="AY207" s="16"/>
    </row>
    <row r="208" spans="8:51" s="14" customFormat="1" x14ac:dyDescent="0.3">
      <c r="H208" s="15"/>
      <c r="L208" s="15"/>
      <c r="P208" s="15"/>
      <c r="T208" s="15"/>
      <c r="X208" s="15"/>
      <c r="AB208" s="15"/>
      <c r="AF208" s="15"/>
      <c r="AJ208" s="15"/>
      <c r="AP208" s="16"/>
      <c r="AQ208" s="16"/>
      <c r="AT208" s="16"/>
      <c r="AU208" s="16"/>
      <c r="AX208" s="16"/>
      <c r="AY208" s="16"/>
    </row>
    <row r="209" spans="8:51" s="14" customFormat="1" x14ac:dyDescent="0.3">
      <c r="H209" s="15"/>
      <c r="L209" s="15"/>
      <c r="P209" s="15"/>
      <c r="T209" s="15"/>
      <c r="X209" s="15"/>
      <c r="AB209" s="15"/>
      <c r="AF209" s="15"/>
      <c r="AJ209" s="15"/>
      <c r="AP209" s="16"/>
      <c r="AQ209" s="16"/>
      <c r="AT209" s="16"/>
      <c r="AU209" s="16"/>
      <c r="AX209" s="16"/>
      <c r="AY209" s="16"/>
    </row>
    <row r="210" spans="8:51" s="14" customFormat="1" x14ac:dyDescent="0.3">
      <c r="H210" s="15"/>
      <c r="L210" s="15"/>
      <c r="P210" s="15"/>
      <c r="T210" s="15"/>
      <c r="X210" s="15"/>
      <c r="AB210" s="15"/>
      <c r="AF210" s="15"/>
      <c r="AJ210" s="15"/>
      <c r="AP210" s="16"/>
      <c r="AQ210" s="16"/>
      <c r="AT210" s="16"/>
      <c r="AU210" s="16"/>
      <c r="AX210" s="16"/>
      <c r="AY210" s="16"/>
    </row>
    <row r="211" spans="8:51" s="14" customFormat="1" x14ac:dyDescent="0.3">
      <c r="H211" s="15"/>
      <c r="L211" s="15"/>
      <c r="P211" s="15"/>
      <c r="T211" s="15"/>
      <c r="X211" s="15"/>
      <c r="AB211" s="15"/>
      <c r="AF211" s="15"/>
      <c r="AJ211" s="15"/>
      <c r="AP211" s="16"/>
      <c r="AQ211" s="16"/>
      <c r="AT211" s="16"/>
      <c r="AU211" s="16"/>
      <c r="AX211" s="16"/>
      <c r="AY211" s="16"/>
    </row>
    <row r="212" spans="8:51" s="14" customFormat="1" x14ac:dyDescent="0.3">
      <c r="H212" s="15"/>
      <c r="L212" s="15"/>
      <c r="P212" s="15"/>
      <c r="T212" s="15"/>
      <c r="X212" s="15"/>
      <c r="AB212" s="15"/>
      <c r="AF212" s="15"/>
      <c r="AJ212" s="15"/>
      <c r="AP212" s="16"/>
      <c r="AQ212" s="16"/>
      <c r="AT212" s="16"/>
      <c r="AU212" s="16"/>
      <c r="AX212" s="16"/>
      <c r="AY212" s="16"/>
    </row>
    <row r="213" spans="8:51" s="14" customFormat="1" x14ac:dyDescent="0.3">
      <c r="H213" s="15"/>
      <c r="L213" s="15"/>
      <c r="P213" s="15"/>
      <c r="T213" s="15"/>
      <c r="X213" s="15"/>
      <c r="AB213" s="15"/>
      <c r="AF213" s="15"/>
      <c r="AJ213" s="15"/>
      <c r="AP213" s="16"/>
      <c r="AQ213" s="16"/>
      <c r="AT213" s="16"/>
      <c r="AU213" s="16"/>
      <c r="AX213" s="16"/>
      <c r="AY213" s="16"/>
    </row>
    <row r="214" spans="8:51" s="14" customFormat="1" x14ac:dyDescent="0.3">
      <c r="H214" s="15"/>
      <c r="L214" s="15"/>
      <c r="P214" s="15"/>
      <c r="T214" s="15"/>
      <c r="X214" s="15"/>
      <c r="AB214" s="15"/>
      <c r="AF214" s="15"/>
      <c r="AJ214" s="15"/>
      <c r="AP214" s="16"/>
      <c r="AQ214" s="16"/>
      <c r="AT214" s="16"/>
      <c r="AU214" s="16"/>
      <c r="AX214" s="16"/>
      <c r="AY214" s="16"/>
    </row>
    <row r="215" spans="8:51" s="14" customFormat="1" x14ac:dyDescent="0.3">
      <c r="H215" s="15"/>
      <c r="L215" s="15"/>
      <c r="P215" s="15"/>
      <c r="T215" s="15"/>
      <c r="X215" s="15"/>
      <c r="AB215" s="15"/>
      <c r="AF215" s="15"/>
      <c r="AJ215" s="15"/>
      <c r="AP215" s="16"/>
      <c r="AQ215" s="16"/>
      <c r="AT215" s="16"/>
      <c r="AU215" s="16"/>
      <c r="AX215" s="16"/>
      <c r="AY215" s="16"/>
    </row>
    <row r="216" spans="8:51" s="14" customFormat="1" x14ac:dyDescent="0.3">
      <c r="H216" s="15"/>
      <c r="L216" s="15"/>
      <c r="P216" s="15"/>
      <c r="T216" s="15"/>
      <c r="X216" s="15"/>
      <c r="AB216" s="15"/>
      <c r="AF216" s="15"/>
      <c r="AJ216" s="15"/>
      <c r="AP216" s="16"/>
      <c r="AQ216" s="16"/>
      <c r="AT216" s="16"/>
      <c r="AU216" s="16"/>
      <c r="AX216" s="16"/>
      <c r="AY216" s="16"/>
    </row>
    <row r="217" spans="8:51" s="14" customFormat="1" x14ac:dyDescent="0.3">
      <c r="H217" s="15"/>
      <c r="L217" s="15"/>
      <c r="P217" s="15"/>
      <c r="T217" s="15"/>
      <c r="X217" s="15"/>
      <c r="AB217" s="15"/>
      <c r="AF217" s="15"/>
      <c r="AJ217" s="15"/>
      <c r="AP217" s="16"/>
      <c r="AQ217" s="16"/>
      <c r="AT217" s="16"/>
      <c r="AU217" s="16"/>
      <c r="AX217" s="16"/>
      <c r="AY217" s="16"/>
    </row>
    <row r="218" spans="8:51" s="14" customFormat="1" x14ac:dyDescent="0.3">
      <c r="H218" s="15"/>
      <c r="L218" s="15"/>
      <c r="P218" s="15"/>
      <c r="T218" s="15"/>
      <c r="X218" s="15"/>
      <c r="AB218" s="15"/>
      <c r="AF218" s="15"/>
      <c r="AJ218" s="15"/>
      <c r="AP218" s="16"/>
      <c r="AQ218" s="16"/>
      <c r="AT218" s="16"/>
      <c r="AU218" s="16"/>
      <c r="AX218" s="16"/>
      <c r="AY218" s="16"/>
    </row>
    <row r="219" spans="8:51" s="14" customFormat="1" x14ac:dyDescent="0.3">
      <c r="H219" s="15"/>
      <c r="L219" s="15"/>
      <c r="P219" s="15"/>
      <c r="T219" s="15"/>
      <c r="X219" s="15"/>
      <c r="AB219" s="15"/>
      <c r="AF219" s="15"/>
      <c r="AJ219" s="15"/>
      <c r="AP219" s="16"/>
      <c r="AQ219" s="16"/>
      <c r="AT219" s="16"/>
      <c r="AU219" s="16"/>
      <c r="AX219" s="16"/>
      <c r="AY219" s="16"/>
    </row>
    <row r="220" spans="8:51" s="14" customFormat="1" x14ac:dyDescent="0.3">
      <c r="H220" s="15"/>
      <c r="L220" s="15"/>
      <c r="P220" s="15"/>
      <c r="T220" s="15"/>
      <c r="X220" s="15"/>
      <c r="AB220" s="15"/>
      <c r="AF220" s="15"/>
      <c r="AJ220" s="15"/>
      <c r="AP220" s="16"/>
      <c r="AQ220" s="16"/>
      <c r="AT220" s="16"/>
      <c r="AU220" s="16"/>
      <c r="AX220" s="16"/>
      <c r="AY220" s="16"/>
    </row>
    <row r="221" spans="8:51" s="14" customFormat="1" x14ac:dyDescent="0.3">
      <c r="H221" s="15"/>
      <c r="L221" s="15"/>
      <c r="P221" s="15"/>
      <c r="T221" s="15"/>
      <c r="X221" s="15"/>
      <c r="AB221" s="15"/>
      <c r="AF221" s="15"/>
      <c r="AJ221" s="15"/>
      <c r="AP221" s="16"/>
      <c r="AQ221" s="16"/>
      <c r="AT221" s="16"/>
      <c r="AU221" s="16"/>
      <c r="AX221" s="16"/>
      <c r="AY221" s="16"/>
    </row>
    <row r="222" spans="8:51" s="14" customFormat="1" x14ac:dyDescent="0.3">
      <c r="H222" s="15"/>
      <c r="L222" s="15"/>
      <c r="P222" s="15"/>
      <c r="T222" s="15"/>
      <c r="X222" s="15"/>
      <c r="AB222" s="15"/>
      <c r="AF222" s="15"/>
      <c r="AJ222" s="15"/>
      <c r="AP222" s="16"/>
      <c r="AQ222" s="16"/>
      <c r="AT222" s="16"/>
      <c r="AU222" s="16"/>
      <c r="AX222" s="16"/>
      <c r="AY222" s="16"/>
    </row>
    <row r="223" spans="8:51" s="14" customFormat="1" x14ac:dyDescent="0.3">
      <c r="H223" s="15"/>
      <c r="L223" s="15"/>
      <c r="P223" s="15"/>
      <c r="T223" s="15"/>
      <c r="X223" s="15"/>
      <c r="AB223" s="15"/>
      <c r="AF223" s="15"/>
      <c r="AJ223" s="15"/>
      <c r="AP223" s="16"/>
      <c r="AQ223" s="16"/>
      <c r="AT223" s="16"/>
      <c r="AU223" s="16"/>
      <c r="AX223" s="16"/>
      <c r="AY223" s="16"/>
    </row>
    <row r="224" spans="8:51" s="14" customFormat="1" x14ac:dyDescent="0.3">
      <c r="H224" s="15"/>
      <c r="L224" s="15"/>
      <c r="P224" s="15"/>
      <c r="T224" s="15"/>
      <c r="X224" s="15"/>
      <c r="AB224" s="15"/>
      <c r="AF224" s="15"/>
      <c r="AJ224" s="15"/>
      <c r="AP224" s="16"/>
      <c r="AQ224" s="16"/>
      <c r="AT224" s="16"/>
      <c r="AU224" s="16"/>
      <c r="AX224" s="16"/>
      <c r="AY224" s="16"/>
    </row>
    <row r="225" spans="8:51" s="14" customFormat="1" x14ac:dyDescent="0.3">
      <c r="H225" s="15"/>
      <c r="L225" s="15"/>
      <c r="P225" s="15"/>
      <c r="T225" s="15"/>
      <c r="X225" s="15"/>
      <c r="AB225" s="15"/>
      <c r="AF225" s="15"/>
      <c r="AJ225" s="15"/>
      <c r="AP225" s="16"/>
      <c r="AQ225" s="16"/>
      <c r="AT225" s="16"/>
      <c r="AU225" s="16"/>
      <c r="AX225" s="16"/>
      <c r="AY225" s="16"/>
    </row>
    <row r="226" spans="8:51" s="14" customFormat="1" x14ac:dyDescent="0.3">
      <c r="H226" s="15"/>
      <c r="L226" s="15"/>
      <c r="P226" s="15"/>
      <c r="T226" s="15"/>
      <c r="X226" s="15"/>
      <c r="AB226" s="15"/>
      <c r="AF226" s="15"/>
      <c r="AJ226" s="15"/>
      <c r="AP226" s="16"/>
      <c r="AQ226" s="16"/>
      <c r="AT226" s="16"/>
      <c r="AU226" s="16"/>
      <c r="AX226" s="16"/>
      <c r="AY226" s="16"/>
    </row>
    <row r="227" spans="8:51" s="14" customFormat="1" x14ac:dyDescent="0.3">
      <c r="H227" s="15"/>
      <c r="L227" s="15"/>
      <c r="P227" s="15"/>
      <c r="T227" s="15"/>
      <c r="X227" s="15"/>
      <c r="AB227" s="15"/>
      <c r="AF227" s="15"/>
      <c r="AJ227" s="15"/>
      <c r="AP227" s="16"/>
      <c r="AQ227" s="16"/>
      <c r="AT227" s="16"/>
      <c r="AU227" s="16"/>
      <c r="AX227" s="16"/>
      <c r="AY227" s="16"/>
    </row>
    <row r="228" spans="8:51" s="14" customFormat="1" x14ac:dyDescent="0.3">
      <c r="H228" s="15"/>
      <c r="L228" s="15"/>
      <c r="P228" s="15"/>
      <c r="T228" s="15"/>
      <c r="X228" s="15"/>
      <c r="AB228" s="15"/>
      <c r="AF228" s="15"/>
      <c r="AJ228" s="15"/>
      <c r="AP228" s="16"/>
      <c r="AQ228" s="16"/>
      <c r="AT228" s="16"/>
      <c r="AU228" s="16"/>
      <c r="AX228" s="16"/>
      <c r="AY228" s="16"/>
    </row>
    <row r="229" spans="8:51" s="14" customFormat="1" x14ac:dyDescent="0.3">
      <c r="H229" s="15"/>
      <c r="L229" s="15"/>
      <c r="P229" s="15"/>
      <c r="T229" s="15"/>
      <c r="X229" s="15"/>
      <c r="AB229" s="15"/>
      <c r="AF229" s="15"/>
      <c r="AJ229" s="15"/>
      <c r="AP229" s="16"/>
      <c r="AQ229" s="16"/>
      <c r="AT229" s="16"/>
      <c r="AU229" s="16"/>
      <c r="AX229" s="16"/>
      <c r="AY229" s="16"/>
    </row>
    <row r="230" spans="8:51" s="14" customFormat="1" x14ac:dyDescent="0.3">
      <c r="H230" s="15"/>
      <c r="L230" s="15"/>
      <c r="P230" s="15"/>
      <c r="T230" s="15"/>
      <c r="X230" s="15"/>
      <c r="AB230" s="15"/>
      <c r="AF230" s="15"/>
      <c r="AJ230" s="15"/>
      <c r="AP230" s="16"/>
      <c r="AQ230" s="16"/>
      <c r="AT230" s="16"/>
      <c r="AU230" s="16"/>
      <c r="AX230" s="16"/>
      <c r="AY230" s="16"/>
    </row>
    <row r="231" spans="8:51" s="14" customFormat="1" x14ac:dyDescent="0.3">
      <c r="H231" s="15"/>
      <c r="L231" s="15"/>
      <c r="P231" s="15"/>
      <c r="T231" s="15"/>
      <c r="X231" s="15"/>
      <c r="AB231" s="15"/>
      <c r="AF231" s="15"/>
      <c r="AJ231" s="15"/>
      <c r="AP231" s="16"/>
      <c r="AQ231" s="16"/>
      <c r="AT231" s="16"/>
      <c r="AU231" s="16"/>
      <c r="AX231" s="16"/>
      <c r="AY231" s="16"/>
    </row>
    <row r="232" spans="8:51" s="14" customFormat="1" x14ac:dyDescent="0.3">
      <c r="H232" s="15"/>
      <c r="L232" s="15"/>
      <c r="P232" s="15"/>
      <c r="T232" s="15"/>
      <c r="X232" s="15"/>
      <c r="AB232" s="15"/>
      <c r="AF232" s="15"/>
      <c r="AJ232" s="15"/>
      <c r="AP232" s="16"/>
      <c r="AQ232" s="16"/>
      <c r="AT232" s="16"/>
      <c r="AU232" s="16"/>
      <c r="AX232" s="16"/>
      <c r="AY232" s="16"/>
    </row>
    <row r="233" spans="8:51" s="14" customFormat="1" x14ac:dyDescent="0.3">
      <c r="H233" s="15"/>
      <c r="L233" s="15"/>
      <c r="P233" s="15"/>
      <c r="T233" s="15"/>
      <c r="X233" s="15"/>
      <c r="AB233" s="15"/>
      <c r="AF233" s="15"/>
      <c r="AJ233" s="15"/>
      <c r="AP233" s="16"/>
      <c r="AQ233" s="16"/>
      <c r="AT233" s="16"/>
      <c r="AU233" s="16"/>
      <c r="AX233" s="16"/>
      <c r="AY233" s="16"/>
    </row>
    <row r="234" spans="8:51" s="14" customFormat="1" x14ac:dyDescent="0.3">
      <c r="H234" s="15"/>
      <c r="L234" s="15"/>
      <c r="P234" s="15"/>
      <c r="T234" s="15"/>
      <c r="X234" s="15"/>
      <c r="AB234" s="15"/>
      <c r="AF234" s="15"/>
      <c r="AJ234" s="15"/>
      <c r="AP234" s="16"/>
      <c r="AQ234" s="16"/>
      <c r="AT234" s="16"/>
      <c r="AU234" s="16"/>
      <c r="AX234" s="16"/>
      <c r="AY234" s="16"/>
    </row>
    <row r="235" spans="8:51" s="14" customFormat="1" x14ac:dyDescent="0.3">
      <c r="H235" s="15"/>
      <c r="L235" s="15"/>
      <c r="P235" s="15"/>
      <c r="T235" s="15"/>
      <c r="X235" s="15"/>
      <c r="AB235" s="15"/>
      <c r="AF235" s="15"/>
      <c r="AJ235" s="15"/>
      <c r="AP235" s="16"/>
      <c r="AQ235" s="16"/>
      <c r="AT235" s="16"/>
      <c r="AU235" s="16"/>
      <c r="AX235" s="16"/>
      <c r="AY235" s="16"/>
    </row>
    <row r="236" spans="8:51" s="14" customFormat="1" x14ac:dyDescent="0.3">
      <c r="H236" s="15"/>
      <c r="L236" s="15"/>
      <c r="P236" s="15"/>
      <c r="T236" s="15"/>
      <c r="X236" s="15"/>
      <c r="AB236" s="15"/>
      <c r="AF236" s="15"/>
      <c r="AJ236" s="15"/>
      <c r="AP236" s="16"/>
      <c r="AQ236" s="16"/>
      <c r="AT236" s="16"/>
      <c r="AU236" s="16"/>
      <c r="AX236" s="16"/>
      <c r="AY236" s="16"/>
    </row>
    <row r="237" spans="8:51" s="14" customFormat="1" x14ac:dyDescent="0.3">
      <c r="H237" s="15"/>
      <c r="L237" s="15"/>
      <c r="P237" s="15"/>
      <c r="T237" s="15"/>
      <c r="X237" s="15"/>
      <c r="AB237" s="15"/>
      <c r="AF237" s="15"/>
      <c r="AJ237" s="15"/>
      <c r="AP237" s="16"/>
      <c r="AQ237" s="16"/>
      <c r="AT237" s="16"/>
      <c r="AU237" s="16"/>
      <c r="AX237" s="16"/>
      <c r="AY237" s="16"/>
    </row>
    <row r="238" spans="8:51" s="14" customFormat="1" x14ac:dyDescent="0.3">
      <c r="H238" s="15"/>
      <c r="L238" s="15"/>
      <c r="P238" s="15"/>
      <c r="T238" s="15"/>
      <c r="X238" s="15"/>
      <c r="AB238" s="15"/>
      <c r="AF238" s="15"/>
      <c r="AJ238" s="15"/>
      <c r="AP238" s="16"/>
      <c r="AQ238" s="16"/>
      <c r="AT238" s="16"/>
      <c r="AU238" s="16"/>
      <c r="AX238" s="16"/>
      <c r="AY238" s="16"/>
    </row>
    <row r="239" spans="8:51" s="14" customFormat="1" x14ac:dyDescent="0.3">
      <c r="H239" s="15"/>
      <c r="L239" s="15"/>
      <c r="P239" s="15"/>
      <c r="T239" s="15"/>
      <c r="X239" s="15"/>
      <c r="AB239" s="15"/>
      <c r="AF239" s="15"/>
      <c r="AJ239" s="15"/>
      <c r="AP239" s="16"/>
      <c r="AQ239" s="16"/>
      <c r="AT239" s="16"/>
      <c r="AU239" s="16"/>
      <c r="AX239" s="16"/>
      <c r="AY239" s="16"/>
    </row>
    <row r="240" spans="8:51" s="14" customFormat="1" x14ac:dyDescent="0.3">
      <c r="H240" s="15"/>
      <c r="L240" s="15"/>
      <c r="P240" s="15"/>
      <c r="T240" s="15"/>
      <c r="X240" s="15"/>
      <c r="AB240" s="15"/>
      <c r="AF240" s="15"/>
      <c r="AJ240" s="15"/>
      <c r="AP240" s="16"/>
      <c r="AQ240" s="16"/>
      <c r="AT240" s="16"/>
      <c r="AU240" s="16"/>
      <c r="AX240" s="16"/>
      <c r="AY240" s="16"/>
    </row>
    <row r="241" spans="8:51" s="14" customFormat="1" x14ac:dyDescent="0.3">
      <c r="H241" s="15"/>
      <c r="L241" s="15"/>
      <c r="P241" s="15"/>
      <c r="T241" s="15"/>
      <c r="X241" s="15"/>
      <c r="AB241" s="15"/>
      <c r="AF241" s="15"/>
      <c r="AJ241" s="15"/>
      <c r="AP241" s="16"/>
      <c r="AQ241" s="16"/>
      <c r="AT241" s="16"/>
      <c r="AU241" s="16"/>
      <c r="AX241" s="16"/>
      <c r="AY241" s="16"/>
    </row>
    <row r="242" spans="8:51" s="14" customFormat="1" x14ac:dyDescent="0.3">
      <c r="H242" s="15"/>
      <c r="L242" s="15"/>
      <c r="P242" s="15"/>
      <c r="T242" s="15"/>
      <c r="X242" s="15"/>
      <c r="AB242" s="15"/>
      <c r="AF242" s="15"/>
      <c r="AJ242" s="15"/>
      <c r="AP242" s="16"/>
      <c r="AQ242" s="16"/>
      <c r="AT242" s="16"/>
      <c r="AU242" s="16"/>
      <c r="AX242" s="16"/>
      <c r="AY242" s="16"/>
    </row>
    <row r="243" spans="8:51" s="14" customFormat="1" x14ac:dyDescent="0.3">
      <c r="H243" s="15"/>
      <c r="L243" s="15"/>
      <c r="P243" s="15"/>
      <c r="T243" s="15"/>
      <c r="X243" s="15"/>
      <c r="AB243" s="15"/>
      <c r="AF243" s="15"/>
      <c r="AJ243" s="15"/>
      <c r="AP243" s="16"/>
      <c r="AQ243" s="16"/>
      <c r="AT243" s="16"/>
      <c r="AU243" s="16"/>
      <c r="AX243" s="16"/>
      <c r="AY243" s="16"/>
    </row>
    <row r="244" spans="8:51" s="14" customFormat="1" x14ac:dyDescent="0.3">
      <c r="H244" s="15"/>
      <c r="L244" s="15"/>
      <c r="P244" s="15"/>
      <c r="T244" s="15"/>
      <c r="X244" s="15"/>
      <c r="AB244" s="15"/>
      <c r="AF244" s="15"/>
      <c r="AJ244" s="15"/>
      <c r="AP244" s="16"/>
      <c r="AQ244" s="16"/>
      <c r="AT244" s="16"/>
      <c r="AU244" s="16"/>
      <c r="AX244" s="16"/>
      <c r="AY244" s="16"/>
    </row>
    <row r="245" spans="8:51" s="14" customFormat="1" x14ac:dyDescent="0.3">
      <c r="H245" s="15"/>
      <c r="L245" s="15"/>
      <c r="P245" s="15"/>
      <c r="T245" s="15"/>
      <c r="X245" s="15"/>
      <c r="AB245" s="15"/>
      <c r="AF245" s="15"/>
      <c r="AJ245" s="15"/>
      <c r="AP245" s="16"/>
      <c r="AQ245" s="16"/>
      <c r="AT245" s="16"/>
      <c r="AU245" s="16"/>
      <c r="AX245" s="16"/>
      <c r="AY245" s="16"/>
    </row>
    <row r="246" spans="8:51" s="14" customFormat="1" x14ac:dyDescent="0.3">
      <c r="H246" s="15"/>
      <c r="L246" s="15"/>
      <c r="P246" s="15"/>
      <c r="T246" s="15"/>
      <c r="X246" s="15"/>
      <c r="AB246" s="15"/>
      <c r="AF246" s="15"/>
      <c r="AJ246" s="15"/>
      <c r="AP246" s="16"/>
      <c r="AQ246" s="16"/>
      <c r="AT246" s="16"/>
      <c r="AU246" s="16"/>
      <c r="AX246" s="16"/>
      <c r="AY246" s="16"/>
    </row>
    <row r="247" spans="8:51" s="14" customFormat="1" x14ac:dyDescent="0.3">
      <c r="H247" s="15"/>
      <c r="L247" s="15"/>
      <c r="P247" s="15"/>
      <c r="T247" s="15"/>
      <c r="X247" s="15"/>
      <c r="AB247" s="15"/>
      <c r="AF247" s="15"/>
      <c r="AJ247" s="15"/>
      <c r="AP247" s="16"/>
      <c r="AQ247" s="16"/>
      <c r="AT247" s="16"/>
      <c r="AU247" s="16"/>
      <c r="AX247" s="16"/>
      <c r="AY247" s="16"/>
    </row>
    <row r="248" spans="8:51" s="14" customFormat="1" x14ac:dyDescent="0.3">
      <c r="H248" s="15"/>
      <c r="L248" s="15"/>
      <c r="P248" s="15"/>
      <c r="T248" s="15"/>
      <c r="X248" s="15"/>
      <c r="AB248" s="15"/>
      <c r="AF248" s="15"/>
      <c r="AJ248" s="15"/>
      <c r="AP248" s="16"/>
      <c r="AQ248" s="16"/>
      <c r="AT248" s="16"/>
      <c r="AU248" s="16"/>
      <c r="AX248" s="16"/>
      <c r="AY248" s="16"/>
    </row>
    <row r="249" spans="8:51" s="14" customFormat="1" x14ac:dyDescent="0.3">
      <c r="H249" s="15"/>
      <c r="L249" s="15"/>
      <c r="P249" s="15"/>
      <c r="T249" s="15"/>
      <c r="X249" s="15"/>
      <c r="AB249" s="15"/>
      <c r="AF249" s="15"/>
      <c r="AJ249" s="15"/>
      <c r="AP249" s="16"/>
      <c r="AQ249" s="16"/>
      <c r="AT249" s="16"/>
      <c r="AU249" s="16"/>
      <c r="AX249" s="16"/>
      <c r="AY249" s="16"/>
    </row>
    <row r="250" spans="8:51" s="14" customFormat="1" x14ac:dyDescent="0.3">
      <c r="H250" s="15"/>
      <c r="L250" s="15"/>
      <c r="P250" s="15"/>
      <c r="T250" s="15"/>
      <c r="X250" s="15"/>
      <c r="AB250" s="15"/>
      <c r="AF250" s="15"/>
      <c r="AJ250" s="15"/>
      <c r="AP250" s="16"/>
      <c r="AQ250" s="16"/>
      <c r="AT250" s="16"/>
      <c r="AU250" s="16"/>
      <c r="AX250" s="16"/>
      <c r="AY250" s="16"/>
    </row>
    <row r="251" spans="8:51" s="14" customFormat="1" x14ac:dyDescent="0.3">
      <c r="H251" s="15"/>
      <c r="L251" s="15"/>
      <c r="P251" s="15"/>
      <c r="T251" s="15"/>
      <c r="X251" s="15"/>
      <c r="AB251" s="15"/>
      <c r="AF251" s="15"/>
      <c r="AJ251" s="15"/>
      <c r="AP251" s="16"/>
      <c r="AQ251" s="16"/>
      <c r="AT251" s="16"/>
      <c r="AU251" s="16"/>
      <c r="AX251" s="16"/>
      <c r="AY251" s="16"/>
    </row>
    <row r="252" spans="8:51" s="14" customFormat="1" x14ac:dyDescent="0.3">
      <c r="H252" s="15"/>
      <c r="L252" s="15"/>
      <c r="P252" s="15"/>
      <c r="T252" s="15"/>
      <c r="X252" s="15"/>
      <c r="AB252" s="15"/>
      <c r="AF252" s="15"/>
      <c r="AJ252" s="15"/>
      <c r="AP252" s="16"/>
      <c r="AQ252" s="16"/>
      <c r="AT252" s="16"/>
      <c r="AU252" s="16"/>
      <c r="AX252" s="16"/>
      <c r="AY252" s="16"/>
    </row>
    <row r="253" spans="8:51" s="14" customFormat="1" x14ac:dyDescent="0.3">
      <c r="H253" s="15"/>
      <c r="L253" s="15"/>
      <c r="P253" s="15"/>
      <c r="T253" s="15"/>
      <c r="X253" s="15"/>
      <c r="AB253" s="15"/>
      <c r="AF253" s="15"/>
      <c r="AJ253" s="15"/>
      <c r="AP253" s="16"/>
      <c r="AQ253" s="16"/>
      <c r="AT253" s="16"/>
      <c r="AU253" s="16"/>
      <c r="AX253" s="16"/>
      <c r="AY253" s="16"/>
    </row>
    <row r="254" spans="8:51" s="14" customFormat="1" x14ac:dyDescent="0.3">
      <c r="H254" s="15"/>
      <c r="L254" s="15"/>
      <c r="P254" s="15"/>
      <c r="T254" s="15"/>
      <c r="X254" s="15"/>
      <c r="AB254" s="15"/>
      <c r="AF254" s="15"/>
      <c r="AJ254" s="15"/>
      <c r="AP254" s="16"/>
      <c r="AQ254" s="16"/>
      <c r="AT254" s="16"/>
      <c r="AU254" s="16"/>
      <c r="AX254" s="16"/>
      <c r="AY254" s="16"/>
    </row>
    <row r="255" spans="8:51" s="14" customFormat="1" x14ac:dyDescent="0.3">
      <c r="H255" s="15"/>
      <c r="L255" s="15"/>
      <c r="P255" s="15"/>
      <c r="T255" s="15"/>
      <c r="X255" s="15"/>
      <c r="AB255" s="15"/>
      <c r="AF255" s="15"/>
      <c r="AJ255" s="15"/>
      <c r="AP255" s="16"/>
      <c r="AQ255" s="16"/>
      <c r="AT255" s="16"/>
      <c r="AU255" s="16"/>
      <c r="AX255" s="16"/>
      <c r="AY255" s="16"/>
    </row>
    <row r="256" spans="8:51" s="14" customFormat="1" x14ac:dyDescent="0.3">
      <c r="H256" s="15"/>
      <c r="L256" s="15"/>
      <c r="P256" s="15"/>
      <c r="T256" s="15"/>
      <c r="X256" s="15"/>
      <c r="AB256" s="15"/>
      <c r="AF256" s="15"/>
      <c r="AJ256" s="15"/>
      <c r="AP256" s="16"/>
      <c r="AQ256" s="16"/>
      <c r="AT256" s="16"/>
      <c r="AU256" s="16"/>
      <c r="AX256" s="16"/>
      <c r="AY256" s="16"/>
    </row>
    <row r="257" spans="8:51" s="14" customFormat="1" x14ac:dyDescent="0.3">
      <c r="H257" s="15"/>
      <c r="L257" s="15"/>
      <c r="P257" s="15"/>
      <c r="T257" s="15"/>
      <c r="X257" s="15"/>
      <c r="AB257" s="15"/>
      <c r="AF257" s="15"/>
      <c r="AJ257" s="15"/>
      <c r="AP257" s="16"/>
      <c r="AQ257" s="16"/>
      <c r="AT257" s="16"/>
      <c r="AU257" s="16"/>
      <c r="AX257" s="16"/>
      <c r="AY257" s="16"/>
    </row>
    <row r="258" spans="8:51" s="14" customFormat="1" x14ac:dyDescent="0.3">
      <c r="H258" s="15"/>
      <c r="L258" s="15"/>
      <c r="P258" s="15"/>
      <c r="T258" s="15"/>
      <c r="X258" s="15"/>
      <c r="AB258" s="15"/>
      <c r="AF258" s="15"/>
      <c r="AJ258" s="15"/>
      <c r="AP258" s="16"/>
      <c r="AQ258" s="16"/>
      <c r="AT258" s="16"/>
      <c r="AU258" s="16"/>
      <c r="AX258" s="16"/>
      <c r="AY258" s="16"/>
    </row>
    <row r="259" spans="8:51" s="14" customFormat="1" x14ac:dyDescent="0.3">
      <c r="H259" s="15"/>
      <c r="L259" s="15"/>
      <c r="P259" s="15"/>
      <c r="T259" s="15"/>
      <c r="X259" s="15"/>
      <c r="AB259" s="15"/>
      <c r="AF259" s="15"/>
      <c r="AJ259" s="15"/>
      <c r="AP259" s="16"/>
      <c r="AQ259" s="16"/>
      <c r="AT259" s="16"/>
      <c r="AU259" s="16"/>
      <c r="AX259" s="16"/>
      <c r="AY259" s="16"/>
    </row>
    <row r="260" spans="8:51" s="14" customFormat="1" x14ac:dyDescent="0.3">
      <c r="H260" s="15"/>
      <c r="L260" s="15"/>
      <c r="P260" s="15"/>
      <c r="T260" s="15"/>
      <c r="X260" s="15"/>
      <c r="AB260" s="15"/>
      <c r="AF260" s="15"/>
      <c r="AJ260" s="15"/>
      <c r="AP260" s="16"/>
      <c r="AQ260" s="16"/>
      <c r="AT260" s="16"/>
      <c r="AU260" s="16"/>
      <c r="AX260" s="16"/>
      <c r="AY260" s="16"/>
    </row>
    <row r="261" spans="8:51" s="14" customFormat="1" x14ac:dyDescent="0.3">
      <c r="H261" s="15"/>
      <c r="L261" s="15"/>
      <c r="P261" s="15"/>
      <c r="T261" s="15"/>
      <c r="X261" s="15"/>
      <c r="AB261" s="15"/>
      <c r="AF261" s="15"/>
      <c r="AJ261" s="15"/>
      <c r="AP261" s="16"/>
      <c r="AQ261" s="16"/>
      <c r="AT261" s="16"/>
      <c r="AU261" s="16"/>
      <c r="AX261" s="16"/>
      <c r="AY261" s="16"/>
    </row>
    <row r="262" spans="8:51" s="14" customFormat="1" x14ac:dyDescent="0.3">
      <c r="H262" s="15"/>
      <c r="L262" s="15"/>
      <c r="P262" s="15"/>
      <c r="T262" s="15"/>
      <c r="X262" s="15"/>
      <c r="AB262" s="15"/>
      <c r="AF262" s="15"/>
      <c r="AJ262" s="15"/>
      <c r="AP262" s="16"/>
      <c r="AQ262" s="16"/>
      <c r="AT262" s="16"/>
      <c r="AU262" s="16"/>
      <c r="AX262" s="16"/>
      <c r="AY262" s="16"/>
    </row>
    <row r="263" spans="8:51" s="14" customFormat="1" x14ac:dyDescent="0.3">
      <c r="H263" s="15"/>
      <c r="L263" s="15"/>
      <c r="P263" s="15"/>
      <c r="T263" s="15"/>
      <c r="X263" s="15"/>
      <c r="AB263" s="15"/>
      <c r="AF263" s="15"/>
      <c r="AJ263" s="15"/>
      <c r="AP263" s="16"/>
      <c r="AQ263" s="16"/>
      <c r="AT263" s="16"/>
      <c r="AU263" s="16"/>
      <c r="AX263" s="16"/>
      <c r="AY263" s="16"/>
    </row>
    <row r="264" spans="8:51" s="14" customFormat="1" x14ac:dyDescent="0.3">
      <c r="H264" s="15"/>
      <c r="L264" s="15"/>
      <c r="P264" s="15"/>
      <c r="T264" s="15"/>
      <c r="X264" s="15"/>
      <c r="AB264" s="15"/>
      <c r="AF264" s="15"/>
      <c r="AJ264" s="15"/>
      <c r="AP264" s="16"/>
      <c r="AQ264" s="16"/>
      <c r="AT264" s="16"/>
      <c r="AU264" s="16"/>
      <c r="AX264" s="16"/>
      <c r="AY264" s="16"/>
    </row>
    <row r="265" spans="8:51" s="14" customFormat="1" x14ac:dyDescent="0.3">
      <c r="H265" s="15"/>
      <c r="L265" s="15"/>
      <c r="P265" s="15"/>
      <c r="T265" s="15"/>
      <c r="X265" s="15"/>
      <c r="AB265" s="15"/>
      <c r="AF265" s="15"/>
      <c r="AJ265" s="15"/>
      <c r="AP265" s="16"/>
      <c r="AQ265" s="16"/>
      <c r="AT265" s="16"/>
      <c r="AU265" s="16"/>
      <c r="AX265" s="16"/>
      <c r="AY265" s="16"/>
    </row>
    <row r="266" spans="8:51" s="14" customFormat="1" x14ac:dyDescent="0.3">
      <c r="H266" s="15"/>
      <c r="L266" s="15"/>
      <c r="P266" s="15"/>
      <c r="T266" s="15"/>
      <c r="X266" s="15"/>
      <c r="AB266" s="15"/>
      <c r="AF266" s="15"/>
      <c r="AJ266" s="15"/>
      <c r="AP266" s="16"/>
      <c r="AQ266" s="16"/>
      <c r="AT266" s="16"/>
      <c r="AU266" s="16"/>
      <c r="AX266" s="16"/>
      <c r="AY266" s="16"/>
    </row>
    <row r="267" spans="8:51" s="14" customFormat="1" x14ac:dyDescent="0.3">
      <c r="H267" s="15"/>
      <c r="L267" s="15"/>
      <c r="P267" s="15"/>
      <c r="T267" s="15"/>
      <c r="X267" s="15"/>
      <c r="AB267" s="15"/>
      <c r="AF267" s="15"/>
      <c r="AJ267" s="15"/>
      <c r="AP267" s="16"/>
      <c r="AQ267" s="16"/>
      <c r="AT267" s="16"/>
      <c r="AU267" s="16"/>
      <c r="AX267" s="16"/>
      <c r="AY267" s="16"/>
    </row>
    <row r="268" spans="8:51" s="14" customFormat="1" x14ac:dyDescent="0.3">
      <c r="H268" s="15"/>
      <c r="L268" s="15"/>
      <c r="P268" s="15"/>
      <c r="T268" s="15"/>
      <c r="X268" s="15"/>
      <c r="AB268" s="15"/>
      <c r="AF268" s="15"/>
      <c r="AJ268" s="15"/>
      <c r="AP268" s="16"/>
      <c r="AQ268" s="16"/>
      <c r="AT268" s="16"/>
      <c r="AU268" s="16"/>
      <c r="AX268" s="16"/>
      <c r="AY268" s="16"/>
    </row>
    <row r="269" spans="8:51" s="14" customFormat="1" x14ac:dyDescent="0.3">
      <c r="H269" s="15"/>
      <c r="L269" s="15"/>
      <c r="P269" s="15"/>
      <c r="T269" s="15"/>
      <c r="X269" s="15"/>
      <c r="AB269" s="15"/>
      <c r="AF269" s="15"/>
      <c r="AJ269" s="15"/>
      <c r="AP269" s="16"/>
      <c r="AQ269" s="16"/>
      <c r="AT269" s="16"/>
      <c r="AU269" s="16"/>
      <c r="AX269" s="16"/>
      <c r="AY269" s="16"/>
    </row>
    <row r="270" spans="8:51" s="14" customFormat="1" x14ac:dyDescent="0.3">
      <c r="H270" s="15"/>
      <c r="L270" s="15"/>
      <c r="P270" s="15"/>
      <c r="T270" s="15"/>
      <c r="X270" s="15"/>
      <c r="AB270" s="15"/>
      <c r="AF270" s="15"/>
      <c r="AJ270" s="15"/>
      <c r="AP270" s="16"/>
      <c r="AQ270" s="16"/>
      <c r="AT270" s="16"/>
      <c r="AU270" s="16"/>
      <c r="AX270" s="16"/>
      <c r="AY270" s="16"/>
    </row>
    <row r="271" spans="8:51" s="14" customFormat="1" x14ac:dyDescent="0.3">
      <c r="H271" s="15"/>
      <c r="L271" s="15"/>
      <c r="P271" s="15"/>
      <c r="T271" s="15"/>
      <c r="X271" s="15"/>
      <c r="AB271" s="15"/>
      <c r="AF271" s="15"/>
      <c r="AJ271" s="15"/>
      <c r="AP271" s="16"/>
      <c r="AQ271" s="16"/>
      <c r="AT271" s="16"/>
      <c r="AU271" s="16"/>
      <c r="AX271" s="16"/>
      <c r="AY271" s="16"/>
    </row>
    <row r="272" spans="8:51" s="14" customFormat="1" x14ac:dyDescent="0.3">
      <c r="H272" s="15"/>
      <c r="L272" s="15"/>
      <c r="P272" s="15"/>
      <c r="T272" s="15"/>
      <c r="X272" s="15"/>
      <c r="AB272" s="15"/>
      <c r="AF272" s="15"/>
      <c r="AJ272" s="15"/>
      <c r="AP272" s="16"/>
      <c r="AQ272" s="16"/>
      <c r="AT272" s="16"/>
      <c r="AU272" s="16"/>
      <c r="AX272" s="16"/>
      <c r="AY272" s="16"/>
    </row>
    <row r="273" spans="8:51" s="14" customFormat="1" x14ac:dyDescent="0.3">
      <c r="H273" s="15"/>
      <c r="L273" s="15"/>
      <c r="P273" s="15"/>
      <c r="T273" s="15"/>
      <c r="X273" s="15"/>
      <c r="AB273" s="15"/>
      <c r="AF273" s="15"/>
      <c r="AJ273" s="15"/>
      <c r="AP273" s="16"/>
      <c r="AQ273" s="16"/>
      <c r="AT273" s="16"/>
      <c r="AU273" s="16"/>
      <c r="AX273" s="16"/>
      <c r="AY273" s="16"/>
    </row>
    <row r="274" spans="8:51" s="14" customFormat="1" x14ac:dyDescent="0.3">
      <c r="H274" s="15"/>
      <c r="L274" s="15"/>
      <c r="P274" s="15"/>
      <c r="T274" s="15"/>
      <c r="X274" s="15"/>
      <c r="AB274" s="15"/>
      <c r="AF274" s="15"/>
      <c r="AJ274" s="15"/>
      <c r="AP274" s="16"/>
      <c r="AQ274" s="16"/>
      <c r="AT274" s="16"/>
      <c r="AU274" s="16"/>
      <c r="AX274" s="16"/>
      <c r="AY274" s="16"/>
    </row>
    <row r="275" spans="8:51" s="14" customFormat="1" x14ac:dyDescent="0.3">
      <c r="H275" s="15"/>
      <c r="L275" s="15"/>
      <c r="P275" s="15"/>
      <c r="T275" s="15"/>
      <c r="X275" s="15"/>
      <c r="AB275" s="15"/>
      <c r="AF275" s="15"/>
      <c r="AJ275" s="15"/>
      <c r="AP275" s="16"/>
      <c r="AQ275" s="16"/>
      <c r="AT275" s="16"/>
      <c r="AU275" s="16"/>
      <c r="AX275" s="16"/>
      <c r="AY275" s="16"/>
    </row>
    <row r="276" spans="8:51" s="14" customFormat="1" x14ac:dyDescent="0.3">
      <c r="H276" s="15"/>
      <c r="L276" s="15"/>
      <c r="P276" s="15"/>
      <c r="T276" s="15"/>
      <c r="X276" s="15"/>
      <c r="AB276" s="15"/>
      <c r="AF276" s="15"/>
      <c r="AJ276" s="15"/>
      <c r="AP276" s="16"/>
      <c r="AQ276" s="16"/>
      <c r="AT276" s="16"/>
      <c r="AU276" s="16"/>
      <c r="AX276" s="16"/>
      <c r="AY276" s="16"/>
    </row>
    <row r="277" spans="8:51" s="14" customFormat="1" x14ac:dyDescent="0.3">
      <c r="H277" s="15"/>
      <c r="L277" s="15"/>
      <c r="P277" s="15"/>
      <c r="T277" s="15"/>
      <c r="X277" s="15"/>
      <c r="AB277" s="15"/>
      <c r="AF277" s="15"/>
      <c r="AJ277" s="15"/>
      <c r="AP277" s="16"/>
      <c r="AQ277" s="16"/>
      <c r="AT277" s="16"/>
      <c r="AU277" s="16"/>
      <c r="AX277" s="16"/>
      <c r="AY277" s="16"/>
    </row>
    <row r="278" spans="8:51" s="14" customFormat="1" x14ac:dyDescent="0.3">
      <c r="H278" s="15"/>
      <c r="L278" s="15"/>
      <c r="P278" s="15"/>
      <c r="T278" s="15"/>
      <c r="X278" s="15"/>
      <c r="AB278" s="15"/>
      <c r="AF278" s="15"/>
      <c r="AJ278" s="15"/>
      <c r="AP278" s="16"/>
      <c r="AQ278" s="16"/>
      <c r="AT278" s="16"/>
      <c r="AU278" s="16"/>
      <c r="AX278" s="16"/>
      <c r="AY278" s="16"/>
    </row>
    <row r="279" spans="8:51" s="14" customFormat="1" x14ac:dyDescent="0.3">
      <c r="H279" s="15"/>
      <c r="L279" s="15"/>
      <c r="P279" s="15"/>
      <c r="T279" s="15"/>
      <c r="X279" s="15"/>
      <c r="AB279" s="15"/>
      <c r="AF279" s="15"/>
      <c r="AJ279" s="15"/>
      <c r="AP279" s="16"/>
      <c r="AQ279" s="16"/>
      <c r="AT279" s="16"/>
      <c r="AU279" s="16"/>
      <c r="AX279" s="16"/>
      <c r="AY279" s="16"/>
    </row>
    <row r="280" spans="8:51" s="14" customFormat="1" x14ac:dyDescent="0.3">
      <c r="H280" s="15"/>
      <c r="L280" s="15"/>
      <c r="P280" s="15"/>
      <c r="T280" s="15"/>
      <c r="X280" s="15"/>
      <c r="AB280" s="15"/>
      <c r="AF280" s="15"/>
      <c r="AJ280" s="15"/>
      <c r="AP280" s="16"/>
      <c r="AQ280" s="16"/>
      <c r="AT280" s="16"/>
      <c r="AU280" s="16"/>
      <c r="AX280" s="16"/>
      <c r="AY280" s="16"/>
    </row>
    <row r="281" spans="8:51" s="14" customFormat="1" x14ac:dyDescent="0.3">
      <c r="H281" s="15"/>
      <c r="L281" s="15"/>
      <c r="P281" s="15"/>
      <c r="T281" s="15"/>
      <c r="X281" s="15"/>
      <c r="AB281" s="15"/>
      <c r="AF281" s="15"/>
      <c r="AJ281" s="15"/>
      <c r="AP281" s="16"/>
      <c r="AQ281" s="16"/>
      <c r="AT281" s="16"/>
      <c r="AU281" s="16"/>
      <c r="AX281" s="16"/>
      <c r="AY281" s="16"/>
    </row>
    <row r="282" spans="8:51" s="14" customFormat="1" x14ac:dyDescent="0.3">
      <c r="H282" s="15"/>
      <c r="L282" s="15"/>
      <c r="P282" s="15"/>
      <c r="T282" s="15"/>
      <c r="X282" s="15"/>
      <c r="AB282" s="15"/>
      <c r="AF282" s="15"/>
      <c r="AJ282" s="15"/>
      <c r="AP282" s="16"/>
      <c r="AQ282" s="16"/>
      <c r="AT282" s="16"/>
      <c r="AU282" s="16"/>
      <c r="AX282" s="16"/>
      <c r="AY282" s="16"/>
    </row>
    <row r="283" spans="8:51" s="14" customFormat="1" x14ac:dyDescent="0.3">
      <c r="H283" s="15"/>
      <c r="L283" s="15"/>
      <c r="P283" s="15"/>
      <c r="T283" s="15"/>
      <c r="X283" s="15"/>
      <c r="AB283" s="15"/>
      <c r="AF283" s="15"/>
      <c r="AJ283" s="15"/>
      <c r="AP283" s="16"/>
      <c r="AQ283" s="16"/>
      <c r="AT283" s="16"/>
      <c r="AU283" s="16"/>
      <c r="AX283" s="16"/>
      <c r="AY283" s="16"/>
    </row>
    <row r="284" spans="8:51" s="14" customFormat="1" x14ac:dyDescent="0.3">
      <c r="H284" s="15"/>
      <c r="L284" s="15"/>
      <c r="P284" s="15"/>
      <c r="T284" s="15"/>
      <c r="X284" s="15"/>
      <c r="AB284" s="15"/>
      <c r="AF284" s="15"/>
      <c r="AJ284" s="15"/>
      <c r="AP284" s="16"/>
      <c r="AQ284" s="16"/>
      <c r="AT284" s="16"/>
      <c r="AU284" s="16"/>
      <c r="AX284" s="16"/>
      <c r="AY284" s="16"/>
    </row>
    <row r="285" spans="8:51" s="14" customFormat="1" x14ac:dyDescent="0.3">
      <c r="H285" s="15"/>
      <c r="L285" s="15"/>
      <c r="P285" s="15"/>
      <c r="T285" s="15"/>
      <c r="X285" s="15"/>
      <c r="AB285" s="15"/>
      <c r="AF285" s="15"/>
      <c r="AJ285" s="15"/>
      <c r="AP285" s="16"/>
      <c r="AQ285" s="16"/>
      <c r="AT285" s="16"/>
      <c r="AU285" s="16"/>
      <c r="AX285" s="16"/>
      <c r="AY285" s="16"/>
    </row>
    <row r="286" spans="8:51" s="14" customFormat="1" x14ac:dyDescent="0.3">
      <c r="H286" s="15"/>
      <c r="L286" s="15"/>
      <c r="P286" s="15"/>
      <c r="T286" s="15"/>
      <c r="X286" s="15"/>
      <c r="AB286" s="15"/>
      <c r="AF286" s="15"/>
      <c r="AJ286" s="15"/>
      <c r="AP286" s="16"/>
      <c r="AQ286" s="16"/>
      <c r="AT286" s="16"/>
      <c r="AU286" s="16"/>
      <c r="AX286" s="16"/>
      <c r="AY286" s="16"/>
    </row>
    <row r="287" spans="8:51" s="14" customFormat="1" x14ac:dyDescent="0.3">
      <c r="H287" s="15"/>
      <c r="L287" s="15"/>
      <c r="P287" s="15"/>
      <c r="T287" s="15"/>
      <c r="X287" s="15"/>
      <c r="AB287" s="15"/>
      <c r="AF287" s="15"/>
      <c r="AJ287" s="15"/>
      <c r="AP287" s="16"/>
      <c r="AQ287" s="16"/>
      <c r="AT287" s="16"/>
      <c r="AU287" s="16"/>
      <c r="AX287" s="16"/>
      <c r="AY287" s="16"/>
    </row>
    <row r="288" spans="8:51" s="14" customFormat="1" x14ac:dyDescent="0.3">
      <c r="H288" s="15"/>
      <c r="L288" s="15"/>
      <c r="P288" s="15"/>
      <c r="T288" s="15"/>
      <c r="X288" s="15"/>
      <c r="AB288" s="15"/>
      <c r="AF288" s="15"/>
      <c r="AJ288" s="15"/>
      <c r="AP288" s="16"/>
      <c r="AQ288" s="16"/>
      <c r="AT288" s="16"/>
      <c r="AU288" s="16"/>
      <c r="AX288" s="16"/>
      <c r="AY288" s="16"/>
    </row>
    <row r="289" spans="8:51" s="14" customFormat="1" x14ac:dyDescent="0.3">
      <c r="H289" s="15"/>
      <c r="L289" s="15"/>
      <c r="P289" s="15"/>
      <c r="T289" s="15"/>
      <c r="X289" s="15"/>
      <c r="AB289" s="15"/>
      <c r="AF289" s="15"/>
      <c r="AJ289" s="15"/>
      <c r="AP289" s="16"/>
      <c r="AQ289" s="16"/>
      <c r="AT289" s="16"/>
      <c r="AU289" s="16"/>
      <c r="AX289" s="16"/>
      <c r="AY289" s="16"/>
    </row>
    <row r="290" spans="8:51" s="14" customFormat="1" x14ac:dyDescent="0.3">
      <c r="H290" s="15"/>
      <c r="L290" s="15"/>
      <c r="P290" s="15"/>
      <c r="T290" s="15"/>
      <c r="X290" s="15"/>
      <c r="AB290" s="15"/>
      <c r="AF290" s="15"/>
      <c r="AJ290" s="15"/>
      <c r="AP290" s="16"/>
      <c r="AQ290" s="16"/>
      <c r="AT290" s="16"/>
      <c r="AU290" s="16"/>
      <c r="AX290" s="16"/>
      <c r="AY290" s="16"/>
    </row>
    <row r="291" spans="8:51" s="14" customFormat="1" x14ac:dyDescent="0.3">
      <c r="H291" s="15"/>
      <c r="L291" s="15"/>
      <c r="P291" s="15"/>
      <c r="T291" s="15"/>
      <c r="X291" s="15"/>
      <c r="AB291" s="15"/>
      <c r="AF291" s="15"/>
      <c r="AJ291" s="15"/>
      <c r="AP291" s="16"/>
      <c r="AQ291" s="16"/>
      <c r="AT291" s="16"/>
      <c r="AU291" s="16"/>
      <c r="AX291" s="16"/>
      <c r="AY291" s="16"/>
    </row>
    <row r="292" spans="8:51" s="14" customFormat="1" x14ac:dyDescent="0.3">
      <c r="H292" s="15"/>
      <c r="L292" s="15"/>
      <c r="P292" s="15"/>
      <c r="T292" s="15"/>
      <c r="X292" s="15"/>
      <c r="AB292" s="15"/>
      <c r="AF292" s="15"/>
      <c r="AJ292" s="15"/>
      <c r="AP292" s="16"/>
      <c r="AQ292" s="16"/>
      <c r="AT292" s="16"/>
      <c r="AU292" s="16"/>
      <c r="AX292" s="16"/>
      <c r="AY292" s="16"/>
    </row>
    <row r="293" spans="8:51" s="14" customFormat="1" x14ac:dyDescent="0.3">
      <c r="H293" s="15"/>
      <c r="L293" s="15"/>
      <c r="P293" s="15"/>
      <c r="T293" s="15"/>
      <c r="X293" s="15"/>
      <c r="AB293" s="15"/>
      <c r="AF293" s="15"/>
      <c r="AJ293" s="15"/>
      <c r="AP293" s="16"/>
      <c r="AQ293" s="16"/>
      <c r="AT293" s="16"/>
      <c r="AU293" s="16"/>
      <c r="AX293" s="16"/>
      <c r="AY293" s="16"/>
    </row>
    <row r="294" spans="8:51" s="14" customFormat="1" x14ac:dyDescent="0.3">
      <c r="H294" s="15"/>
      <c r="L294" s="15"/>
      <c r="P294" s="15"/>
      <c r="T294" s="15"/>
      <c r="X294" s="15"/>
      <c r="AB294" s="15"/>
      <c r="AF294" s="15"/>
      <c r="AJ294" s="15"/>
      <c r="AP294" s="16"/>
      <c r="AQ294" s="16"/>
      <c r="AT294" s="16"/>
      <c r="AU294" s="16"/>
      <c r="AX294" s="16"/>
      <c r="AY294" s="16"/>
    </row>
    <row r="295" spans="8:51" s="14" customFormat="1" x14ac:dyDescent="0.3">
      <c r="H295" s="15"/>
      <c r="L295" s="15"/>
      <c r="P295" s="15"/>
      <c r="T295" s="15"/>
      <c r="X295" s="15"/>
      <c r="AB295" s="15"/>
      <c r="AF295" s="15"/>
      <c r="AJ295" s="15"/>
      <c r="AP295" s="16"/>
      <c r="AQ295" s="16"/>
      <c r="AT295" s="16"/>
      <c r="AU295" s="16"/>
      <c r="AX295" s="16"/>
      <c r="AY295" s="16"/>
    </row>
    <row r="296" spans="8:51" s="14" customFormat="1" x14ac:dyDescent="0.3">
      <c r="H296" s="15"/>
      <c r="L296" s="15"/>
      <c r="P296" s="15"/>
      <c r="T296" s="15"/>
      <c r="X296" s="15"/>
      <c r="AB296" s="15"/>
      <c r="AF296" s="15"/>
      <c r="AJ296" s="15"/>
      <c r="AP296" s="16"/>
      <c r="AQ296" s="16"/>
      <c r="AT296" s="16"/>
      <c r="AU296" s="16"/>
      <c r="AX296" s="16"/>
      <c r="AY296" s="16"/>
    </row>
    <row r="297" spans="8:51" s="14" customFormat="1" x14ac:dyDescent="0.3">
      <c r="H297" s="15"/>
      <c r="L297" s="15"/>
      <c r="P297" s="15"/>
      <c r="T297" s="15"/>
      <c r="X297" s="15"/>
      <c r="AB297" s="15"/>
      <c r="AF297" s="15"/>
      <c r="AJ297" s="15"/>
      <c r="AP297" s="16"/>
      <c r="AQ297" s="16"/>
      <c r="AT297" s="16"/>
      <c r="AU297" s="16"/>
      <c r="AX297" s="16"/>
      <c r="AY297" s="16"/>
    </row>
    <row r="298" spans="8:51" s="14" customFormat="1" x14ac:dyDescent="0.3">
      <c r="H298" s="15"/>
      <c r="L298" s="15"/>
      <c r="P298" s="15"/>
      <c r="T298" s="15"/>
      <c r="X298" s="15"/>
      <c r="AB298" s="15"/>
      <c r="AF298" s="15"/>
      <c r="AJ298" s="15"/>
      <c r="AP298" s="16"/>
      <c r="AQ298" s="16"/>
      <c r="AT298" s="16"/>
      <c r="AU298" s="16"/>
      <c r="AX298" s="16"/>
      <c r="AY298" s="16"/>
    </row>
    <row r="299" spans="8:51" s="14" customFormat="1" x14ac:dyDescent="0.3">
      <c r="H299" s="15"/>
      <c r="L299" s="15"/>
      <c r="P299" s="15"/>
      <c r="T299" s="15"/>
      <c r="X299" s="15"/>
      <c r="AB299" s="15"/>
      <c r="AF299" s="15"/>
      <c r="AJ299" s="15"/>
      <c r="AP299" s="16"/>
      <c r="AQ299" s="16"/>
      <c r="AT299" s="16"/>
      <c r="AU299" s="16"/>
      <c r="AX299" s="16"/>
      <c r="AY299" s="16"/>
    </row>
    <row r="300" spans="8:51" s="14" customFormat="1" x14ac:dyDescent="0.3">
      <c r="H300" s="15"/>
      <c r="L300" s="15"/>
      <c r="P300" s="15"/>
      <c r="T300" s="15"/>
      <c r="X300" s="15"/>
      <c r="AB300" s="15"/>
      <c r="AF300" s="15"/>
      <c r="AJ300" s="15"/>
      <c r="AP300" s="16"/>
      <c r="AQ300" s="16"/>
      <c r="AT300" s="16"/>
      <c r="AU300" s="16"/>
      <c r="AX300" s="16"/>
      <c r="AY300" s="16"/>
    </row>
    <row r="301" spans="8:51" s="14" customFormat="1" x14ac:dyDescent="0.3">
      <c r="H301" s="15"/>
      <c r="L301" s="15"/>
      <c r="P301" s="15"/>
      <c r="T301" s="15"/>
      <c r="X301" s="15"/>
      <c r="AB301" s="15"/>
      <c r="AF301" s="15"/>
      <c r="AJ301" s="15"/>
      <c r="AP301" s="16"/>
      <c r="AQ301" s="16"/>
      <c r="AT301" s="16"/>
      <c r="AU301" s="16"/>
      <c r="AX301" s="16"/>
      <c r="AY301" s="16"/>
    </row>
    <row r="302" spans="8:51" s="14" customFormat="1" x14ac:dyDescent="0.3">
      <c r="H302" s="15"/>
      <c r="L302" s="15"/>
      <c r="P302" s="15"/>
      <c r="T302" s="15"/>
      <c r="X302" s="15"/>
      <c r="AB302" s="15"/>
      <c r="AF302" s="15"/>
      <c r="AJ302" s="15"/>
      <c r="AP302" s="16"/>
      <c r="AQ302" s="16"/>
      <c r="AT302" s="16"/>
      <c r="AU302" s="16"/>
      <c r="AX302" s="16"/>
      <c r="AY302" s="16"/>
    </row>
    <row r="303" spans="8:51" s="14" customFormat="1" x14ac:dyDescent="0.3">
      <c r="H303" s="15"/>
      <c r="L303" s="15"/>
      <c r="P303" s="15"/>
      <c r="T303" s="15"/>
      <c r="X303" s="15"/>
      <c r="AB303" s="15"/>
      <c r="AF303" s="15"/>
      <c r="AJ303" s="15"/>
      <c r="AP303" s="16"/>
      <c r="AQ303" s="16"/>
      <c r="AT303" s="16"/>
      <c r="AU303" s="16"/>
      <c r="AX303" s="16"/>
      <c r="AY303" s="16"/>
    </row>
    <row r="304" spans="8:51" s="14" customFormat="1" x14ac:dyDescent="0.3">
      <c r="H304" s="15"/>
      <c r="L304" s="15"/>
      <c r="P304" s="15"/>
      <c r="T304" s="15"/>
      <c r="X304" s="15"/>
      <c r="AB304" s="15"/>
      <c r="AF304" s="15"/>
      <c r="AJ304" s="15"/>
      <c r="AP304" s="16"/>
      <c r="AQ304" s="16"/>
      <c r="AT304" s="16"/>
      <c r="AU304" s="16"/>
      <c r="AX304" s="16"/>
      <c r="AY304" s="16"/>
    </row>
    <row r="305" spans="8:51" s="14" customFormat="1" x14ac:dyDescent="0.3">
      <c r="H305" s="15"/>
      <c r="L305" s="15"/>
      <c r="P305" s="15"/>
      <c r="T305" s="15"/>
      <c r="X305" s="15"/>
      <c r="AB305" s="15"/>
      <c r="AF305" s="15"/>
      <c r="AJ305" s="15"/>
      <c r="AP305" s="16"/>
      <c r="AQ305" s="16"/>
      <c r="AT305" s="16"/>
      <c r="AU305" s="16"/>
      <c r="AX305" s="16"/>
      <c r="AY305" s="16"/>
    </row>
    <row r="306" spans="8:51" s="14" customFormat="1" x14ac:dyDescent="0.3">
      <c r="H306" s="15"/>
      <c r="L306" s="15"/>
      <c r="P306" s="15"/>
      <c r="T306" s="15"/>
      <c r="X306" s="15"/>
      <c r="AB306" s="15"/>
      <c r="AF306" s="15"/>
      <c r="AJ306" s="15"/>
      <c r="AP306" s="16"/>
      <c r="AQ306" s="16"/>
      <c r="AT306" s="16"/>
      <c r="AU306" s="16"/>
      <c r="AX306" s="16"/>
      <c r="AY306" s="16"/>
    </row>
    <row r="307" spans="8:51" s="14" customFormat="1" x14ac:dyDescent="0.3">
      <c r="H307" s="15"/>
      <c r="L307" s="15"/>
      <c r="P307" s="15"/>
      <c r="T307" s="15"/>
      <c r="X307" s="15"/>
      <c r="AB307" s="15"/>
      <c r="AF307" s="15"/>
      <c r="AJ307" s="15"/>
      <c r="AP307" s="16"/>
      <c r="AQ307" s="16"/>
      <c r="AT307" s="16"/>
      <c r="AU307" s="16"/>
      <c r="AX307" s="16"/>
      <c r="AY307" s="16"/>
    </row>
    <row r="308" spans="8:51" s="14" customFormat="1" x14ac:dyDescent="0.3">
      <c r="H308" s="15"/>
      <c r="L308" s="15"/>
      <c r="P308" s="15"/>
      <c r="T308" s="15"/>
      <c r="X308" s="15"/>
      <c r="AB308" s="15"/>
      <c r="AF308" s="15"/>
      <c r="AJ308" s="15"/>
      <c r="AP308" s="16"/>
      <c r="AQ308" s="16"/>
      <c r="AT308" s="16"/>
      <c r="AU308" s="16"/>
      <c r="AX308" s="16"/>
      <c r="AY308" s="16"/>
    </row>
    <row r="309" spans="8:51" s="14" customFormat="1" x14ac:dyDescent="0.3">
      <c r="H309" s="15"/>
      <c r="L309" s="15"/>
      <c r="P309" s="15"/>
      <c r="T309" s="15"/>
      <c r="X309" s="15"/>
      <c r="AB309" s="15"/>
      <c r="AF309" s="15"/>
      <c r="AJ309" s="15"/>
      <c r="AP309" s="16"/>
      <c r="AQ309" s="16"/>
      <c r="AT309" s="16"/>
      <c r="AU309" s="16"/>
      <c r="AX309" s="16"/>
      <c r="AY309" s="16"/>
    </row>
    <row r="310" spans="8:51" s="14" customFormat="1" x14ac:dyDescent="0.3">
      <c r="H310" s="15"/>
      <c r="L310" s="15"/>
      <c r="P310" s="15"/>
      <c r="T310" s="15"/>
      <c r="X310" s="15"/>
      <c r="AB310" s="15"/>
      <c r="AF310" s="15"/>
      <c r="AJ310" s="15"/>
      <c r="AP310" s="16"/>
      <c r="AQ310" s="16"/>
      <c r="AT310" s="16"/>
      <c r="AU310" s="16"/>
      <c r="AX310" s="16"/>
      <c r="AY310" s="16"/>
    </row>
    <row r="311" spans="8:51" s="14" customFormat="1" x14ac:dyDescent="0.3">
      <c r="H311" s="15"/>
      <c r="L311" s="15"/>
      <c r="P311" s="15"/>
      <c r="T311" s="15"/>
      <c r="X311" s="15"/>
      <c r="AB311" s="15"/>
      <c r="AF311" s="15"/>
      <c r="AJ311" s="15"/>
      <c r="AP311" s="16"/>
      <c r="AQ311" s="16"/>
      <c r="AT311" s="16"/>
      <c r="AU311" s="16"/>
      <c r="AX311" s="16"/>
      <c r="AY311" s="16"/>
    </row>
    <row r="312" spans="8:51" s="14" customFormat="1" x14ac:dyDescent="0.3">
      <c r="H312" s="15"/>
      <c r="L312" s="15"/>
      <c r="P312" s="15"/>
      <c r="T312" s="15"/>
      <c r="X312" s="15"/>
      <c r="AB312" s="15"/>
      <c r="AF312" s="15"/>
      <c r="AJ312" s="15"/>
      <c r="AP312" s="16"/>
      <c r="AQ312" s="16"/>
      <c r="AT312" s="16"/>
      <c r="AU312" s="16"/>
      <c r="AX312" s="16"/>
      <c r="AY312" s="16"/>
    </row>
    <row r="313" spans="8:51" s="14" customFormat="1" x14ac:dyDescent="0.3">
      <c r="H313" s="15"/>
      <c r="L313" s="15"/>
      <c r="P313" s="15"/>
      <c r="T313" s="15"/>
      <c r="X313" s="15"/>
      <c r="AB313" s="15"/>
      <c r="AF313" s="15"/>
      <c r="AJ313" s="15"/>
      <c r="AP313" s="16"/>
      <c r="AQ313" s="16"/>
      <c r="AT313" s="16"/>
      <c r="AU313" s="16"/>
      <c r="AX313" s="16"/>
      <c r="AY313" s="16"/>
    </row>
    <row r="314" spans="8:51" s="14" customFormat="1" x14ac:dyDescent="0.3">
      <c r="H314" s="15"/>
      <c r="L314" s="15"/>
      <c r="P314" s="15"/>
      <c r="T314" s="15"/>
      <c r="X314" s="15"/>
      <c r="AB314" s="15"/>
      <c r="AF314" s="15"/>
      <c r="AJ314" s="15"/>
      <c r="AP314" s="16"/>
      <c r="AQ314" s="16"/>
      <c r="AT314" s="16"/>
      <c r="AU314" s="16"/>
      <c r="AX314" s="16"/>
      <c r="AY314" s="16"/>
    </row>
    <row r="315" spans="8:51" s="14" customFormat="1" x14ac:dyDescent="0.3">
      <c r="H315" s="15"/>
      <c r="L315" s="15"/>
      <c r="P315" s="15"/>
      <c r="T315" s="15"/>
      <c r="X315" s="15"/>
      <c r="AB315" s="15"/>
      <c r="AF315" s="15"/>
      <c r="AJ315" s="15"/>
      <c r="AP315" s="16"/>
      <c r="AQ315" s="16"/>
      <c r="AT315" s="16"/>
      <c r="AU315" s="16"/>
      <c r="AX315" s="16"/>
      <c r="AY315" s="16"/>
    </row>
    <row r="316" spans="8:51" s="14" customFormat="1" x14ac:dyDescent="0.3">
      <c r="H316" s="15"/>
      <c r="L316" s="15"/>
      <c r="P316" s="15"/>
      <c r="T316" s="15"/>
      <c r="X316" s="15"/>
      <c r="AB316" s="15"/>
      <c r="AF316" s="15"/>
      <c r="AJ316" s="15"/>
      <c r="AP316" s="16"/>
      <c r="AQ316" s="16"/>
      <c r="AT316" s="16"/>
      <c r="AU316" s="16"/>
      <c r="AX316" s="16"/>
      <c r="AY316" s="16"/>
    </row>
    <row r="317" spans="8:51" s="14" customFormat="1" x14ac:dyDescent="0.3">
      <c r="H317" s="15"/>
      <c r="L317" s="15"/>
      <c r="P317" s="15"/>
      <c r="T317" s="15"/>
      <c r="X317" s="15"/>
      <c r="AB317" s="15"/>
      <c r="AF317" s="15"/>
      <c r="AJ317" s="15"/>
      <c r="AP317" s="16"/>
      <c r="AQ317" s="16"/>
      <c r="AT317" s="16"/>
      <c r="AU317" s="16"/>
      <c r="AX317" s="16"/>
      <c r="AY317" s="16"/>
    </row>
    <row r="318" spans="8:51" s="14" customFormat="1" x14ac:dyDescent="0.3">
      <c r="H318" s="15"/>
      <c r="L318" s="15"/>
      <c r="P318" s="15"/>
      <c r="T318" s="15"/>
      <c r="X318" s="15"/>
      <c r="AB318" s="15"/>
      <c r="AF318" s="15"/>
      <c r="AJ318" s="15"/>
      <c r="AP318" s="16"/>
      <c r="AQ318" s="16"/>
      <c r="AT318" s="16"/>
      <c r="AU318" s="16"/>
      <c r="AX318" s="16"/>
      <c r="AY318" s="16"/>
    </row>
    <row r="319" spans="8:51" s="14" customFormat="1" x14ac:dyDescent="0.3">
      <c r="H319" s="15"/>
      <c r="L319" s="15"/>
      <c r="P319" s="15"/>
      <c r="T319" s="15"/>
      <c r="X319" s="15"/>
      <c r="AB319" s="15"/>
      <c r="AF319" s="15"/>
      <c r="AJ319" s="15"/>
      <c r="AP319" s="16"/>
      <c r="AQ319" s="16"/>
      <c r="AT319" s="16"/>
      <c r="AU319" s="16"/>
      <c r="AX319" s="16"/>
      <c r="AY319" s="16"/>
    </row>
    <row r="320" spans="8:51" s="14" customFormat="1" x14ac:dyDescent="0.3">
      <c r="H320" s="15"/>
      <c r="L320" s="15"/>
      <c r="P320" s="15"/>
      <c r="T320" s="15"/>
      <c r="X320" s="15"/>
      <c r="AB320" s="15"/>
      <c r="AF320" s="15"/>
      <c r="AJ320" s="15"/>
      <c r="AP320" s="16"/>
      <c r="AQ320" s="16"/>
      <c r="AT320" s="16"/>
      <c r="AU320" s="16"/>
      <c r="AX320" s="16"/>
      <c r="AY320" s="16"/>
    </row>
    <row r="321" spans="8:51" s="14" customFormat="1" x14ac:dyDescent="0.3">
      <c r="H321" s="15"/>
      <c r="L321" s="15"/>
      <c r="P321" s="15"/>
      <c r="T321" s="15"/>
      <c r="X321" s="15"/>
      <c r="AB321" s="15"/>
      <c r="AF321" s="15"/>
      <c r="AJ321" s="15"/>
      <c r="AP321" s="16"/>
      <c r="AQ321" s="16"/>
      <c r="AT321" s="16"/>
      <c r="AU321" s="16"/>
      <c r="AX321" s="16"/>
      <c r="AY321" s="16"/>
    </row>
    <row r="322" spans="8:51" s="14" customFormat="1" x14ac:dyDescent="0.3">
      <c r="H322" s="15"/>
      <c r="L322" s="15"/>
      <c r="P322" s="15"/>
      <c r="T322" s="15"/>
      <c r="X322" s="15"/>
      <c r="AB322" s="15"/>
      <c r="AF322" s="15"/>
      <c r="AJ322" s="15"/>
      <c r="AP322" s="16"/>
      <c r="AQ322" s="16"/>
      <c r="AT322" s="16"/>
      <c r="AU322" s="16"/>
      <c r="AX322" s="16"/>
      <c r="AY322" s="16"/>
    </row>
    <row r="323" spans="8:51" s="14" customFormat="1" x14ac:dyDescent="0.3">
      <c r="H323" s="15"/>
      <c r="L323" s="15"/>
      <c r="P323" s="15"/>
      <c r="T323" s="15"/>
      <c r="X323" s="15"/>
      <c r="AB323" s="15"/>
      <c r="AF323" s="15"/>
      <c r="AJ323" s="15"/>
      <c r="AP323" s="16"/>
      <c r="AQ323" s="16"/>
      <c r="AT323" s="16"/>
      <c r="AU323" s="16"/>
      <c r="AX323" s="16"/>
      <c r="AY323" s="16"/>
    </row>
    <row r="324" spans="8:51" s="14" customFormat="1" x14ac:dyDescent="0.3">
      <c r="H324" s="15"/>
      <c r="L324" s="15"/>
      <c r="P324" s="15"/>
      <c r="T324" s="15"/>
      <c r="X324" s="15"/>
      <c r="AB324" s="15"/>
      <c r="AF324" s="15"/>
      <c r="AJ324" s="15"/>
      <c r="AP324" s="16"/>
      <c r="AQ324" s="16"/>
      <c r="AT324" s="16"/>
      <c r="AU324" s="16"/>
      <c r="AX324" s="16"/>
      <c r="AY324" s="16"/>
    </row>
    <row r="325" spans="8:51" s="14" customFormat="1" x14ac:dyDescent="0.3">
      <c r="H325" s="15"/>
      <c r="L325" s="15"/>
      <c r="P325" s="15"/>
      <c r="T325" s="15"/>
      <c r="X325" s="15"/>
      <c r="AB325" s="15"/>
      <c r="AF325" s="15"/>
      <c r="AJ325" s="15"/>
      <c r="AP325" s="16"/>
      <c r="AQ325" s="16"/>
      <c r="AT325" s="16"/>
      <c r="AU325" s="16"/>
      <c r="AX325" s="16"/>
      <c r="AY325" s="16"/>
    </row>
    <row r="326" spans="8:51" s="14" customFormat="1" x14ac:dyDescent="0.3">
      <c r="H326" s="15"/>
      <c r="L326" s="15"/>
      <c r="P326" s="15"/>
      <c r="T326" s="15"/>
      <c r="X326" s="15"/>
      <c r="AB326" s="15"/>
      <c r="AF326" s="15"/>
      <c r="AJ326" s="15"/>
      <c r="AP326" s="16"/>
      <c r="AQ326" s="16"/>
      <c r="AT326" s="16"/>
      <c r="AU326" s="16"/>
      <c r="AX326" s="16"/>
      <c r="AY326" s="16"/>
    </row>
    <row r="327" spans="8:51" s="14" customFormat="1" x14ac:dyDescent="0.3">
      <c r="H327" s="15"/>
      <c r="L327" s="15"/>
      <c r="P327" s="15"/>
      <c r="T327" s="15"/>
      <c r="X327" s="15"/>
      <c r="AB327" s="15"/>
      <c r="AF327" s="15"/>
      <c r="AJ327" s="15"/>
      <c r="AP327" s="16"/>
      <c r="AQ327" s="16"/>
      <c r="AT327" s="16"/>
      <c r="AU327" s="16"/>
      <c r="AX327" s="16"/>
      <c r="AY327" s="16"/>
    </row>
    <row r="328" spans="8:51" s="14" customFormat="1" x14ac:dyDescent="0.3">
      <c r="H328" s="15"/>
      <c r="L328" s="15"/>
      <c r="P328" s="15"/>
      <c r="T328" s="15"/>
      <c r="X328" s="15"/>
      <c r="AB328" s="15"/>
      <c r="AF328" s="15"/>
      <c r="AJ328" s="15"/>
      <c r="AP328" s="16"/>
      <c r="AQ328" s="16"/>
      <c r="AT328" s="16"/>
      <c r="AU328" s="16"/>
      <c r="AX328" s="16"/>
      <c r="AY328" s="16"/>
    </row>
    <row r="329" spans="8:51" s="14" customFormat="1" x14ac:dyDescent="0.3">
      <c r="H329" s="15"/>
      <c r="L329" s="15"/>
      <c r="P329" s="15"/>
      <c r="T329" s="15"/>
      <c r="X329" s="15"/>
      <c r="AB329" s="15"/>
      <c r="AF329" s="15"/>
      <c r="AJ329" s="15"/>
      <c r="AP329" s="16"/>
      <c r="AQ329" s="16"/>
      <c r="AT329" s="16"/>
      <c r="AU329" s="16"/>
      <c r="AX329" s="16"/>
      <c r="AY329" s="16"/>
    </row>
    <row r="330" spans="8:51" s="14" customFormat="1" x14ac:dyDescent="0.3">
      <c r="H330" s="15"/>
      <c r="L330" s="15"/>
      <c r="P330" s="15"/>
      <c r="T330" s="15"/>
      <c r="X330" s="15"/>
      <c r="AB330" s="15"/>
      <c r="AF330" s="15"/>
      <c r="AJ330" s="15"/>
      <c r="AP330" s="16"/>
      <c r="AQ330" s="16"/>
      <c r="AT330" s="16"/>
      <c r="AU330" s="16"/>
      <c r="AX330" s="16"/>
      <c r="AY330" s="16"/>
    </row>
    <row r="331" spans="8:51" s="14" customFormat="1" x14ac:dyDescent="0.3">
      <c r="H331" s="15"/>
      <c r="L331" s="15"/>
      <c r="P331" s="15"/>
      <c r="T331" s="15"/>
      <c r="X331" s="15"/>
      <c r="AB331" s="15"/>
      <c r="AF331" s="15"/>
      <c r="AJ331" s="15"/>
      <c r="AP331" s="16"/>
      <c r="AQ331" s="16"/>
      <c r="AT331" s="16"/>
      <c r="AU331" s="16"/>
      <c r="AX331" s="16"/>
      <c r="AY331" s="16"/>
    </row>
    <row r="332" spans="8:51" s="14" customFormat="1" x14ac:dyDescent="0.3">
      <c r="H332" s="15"/>
      <c r="L332" s="15"/>
      <c r="P332" s="15"/>
      <c r="T332" s="15"/>
      <c r="X332" s="15"/>
      <c r="AB332" s="15"/>
      <c r="AF332" s="15"/>
      <c r="AJ332" s="15"/>
      <c r="AP332" s="16"/>
      <c r="AQ332" s="16"/>
      <c r="AT332" s="16"/>
      <c r="AU332" s="16"/>
      <c r="AX332" s="16"/>
      <c r="AY332" s="16"/>
    </row>
    <row r="333" spans="8:51" s="14" customFormat="1" x14ac:dyDescent="0.3">
      <c r="H333" s="15"/>
      <c r="L333" s="15"/>
      <c r="P333" s="15"/>
      <c r="T333" s="15"/>
      <c r="X333" s="15"/>
      <c r="AB333" s="15"/>
      <c r="AF333" s="15"/>
      <c r="AJ333" s="15"/>
      <c r="AP333" s="16"/>
      <c r="AQ333" s="16"/>
      <c r="AT333" s="16"/>
      <c r="AU333" s="16"/>
      <c r="AX333" s="16"/>
      <c r="AY333" s="16"/>
    </row>
    <row r="334" spans="8:51" s="14" customFormat="1" x14ac:dyDescent="0.3">
      <c r="H334" s="15"/>
      <c r="L334" s="15"/>
      <c r="P334" s="15"/>
      <c r="T334" s="15"/>
      <c r="X334" s="15"/>
      <c r="AB334" s="15"/>
      <c r="AF334" s="15"/>
      <c r="AJ334" s="15"/>
      <c r="AP334" s="16"/>
      <c r="AQ334" s="16"/>
      <c r="AT334" s="16"/>
      <c r="AU334" s="16"/>
      <c r="AX334" s="16"/>
      <c r="AY334" s="16"/>
    </row>
    <row r="335" spans="8:51" s="14" customFormat="1" x14ac:dyDescent="0.3">
      <c r="H335" s="15"/>
      <c r="L335" s="15"/>
      <c r="P335" s="15"/>
      <c r="T335" s="15"/>
      <c r="X335" s="15"/>
      <c r="AB335" s="15"/>
      <c r="AF335" s="15"/>
      <c r="AJ335" s="15"/>
      <c r="AP335" s="16"/>
      <c r="AQ335" s="16"/>
      <c r="AT335" s="16"/>
      <c r="AU335" s="16"/>
      <c r="AX335" s="16"/>
      <c r="AY335" s="16"/>
    </row>
    <row r="336" spans="8:51" s="14" customFormat="1" x14ac:dyDescent="0.3">
      <c r="H336" s="15"/>
      <c r="L336" s="15"/>
      <c r="P336" s="15"/>
      <c r="T336" s="15"/>
      <c r="X336" s="15"/>
      <c r="AB336" s="15"/>
      <c r="AF336" s="15"/>
      <c r="AJ336" s="15"/>
      <c r="AP336" s="16"/>
      <c r="AQ336" s="16"/>
      <c r="AT336" s="16"/>
      <c r="AU336" s="16"/>
      <c r="AX336" s="16"/>
      <c r="AY336" s="16"/>
    </row>
    <row r="337" spans="8:51" s="14" customFormat="1" x14ac:dyDescent="0.3">
      <c r="H337" s="15"/>
      <c r="L337" s="15"/>
      <c r="P337" s="15"/>
      <c r="T337" s="15"/>
      <c r="X337" s="15"/>
      <c r="AB337" s="15"/>
      <c r="AF337" s="15"/>
      <c r="AJ337" s="15"/>
      <c r="AP337" s="16"/>
      <c r="AQ337" s="16"/>
      <c r="AT337" s="16"/>
      <c r="AU337" s="16"/>
      <c r="AX337" s="16"/>
      <c r="AY337" s="16"/>
    </row>
    <row r="338" spans="8:51" s="14" customFormat="1" x14ac:dyDescent="0.3">
      <c r="H338" s="15"/>
      <c r="L338" s="15"/>
      <c r="P338" s="15"/>
      <c r="T338" s="15"/>
      <c r="X338" s="15"/>
      <c r="AB338" s="15"/>
      <c r="AF338" s="15"/>
      <c r="AJ338" s="15"/>
      <c r="AP338" s="16"/>
      <c r="AQ338" s="16"/>
      <c r="AT338" s="16"/>
      <c r="AU338" s="16"/>
      <c r="AX338" s="16"/>
      <c r="AY338" s="16"/>
    </row>
    <row r="339" spans="8:51" s="14" customFormat="1" x14ac:dyDescent="0.3">
      <c r="H339" s="15"/>
      <c r="L339" s="15"/>
      <c r="P339" s="15"/>
      <c r="T339" s="15"/>
      <c r="X339" s="15"/>
      <c r="AB339" s="15"/>
      <c r="AF339" s="15"/>
      <c r="AJ339" s="15"/>
      <c r="AP339" s="16"/>
      <c r="AQ339" s="16"/>
      <c r="AT339" s="16"/>
      <c r="AU339" s="16"/>
      <c r="AX339" s="16"/>
      <c r="AY339" s="16"/>
    </row>
    <row r="340" spans="8:51" s="14" customFormat="1" x14ac:dyDescent="0.3">
      <c r="H340" s="15"/>
      <c r="L340" s="15"/>
      <c r="P340" s="15"/>
      <c r="T340" s="15"/>
      <c r="X340" s="15"/>
      <c r="AB340" s="15"/>
      <c r="AF340" s="15"/>
      <c r="AJ340" s="15"/>
      <c r="AP340" s="16"/>
      <c r="AQ340" s="16"/>
      <c r="AT340" s="16"/>
      <c r="AU340" s="16"/>
      <c r="AX340" s="16"/>
      <c r="AY340" s="16"/>
    </row>
    <row r="341" spans="8:51" s="14" customFormat="1" x14ac:dyDescent="0.3">
      <c r="H341" s="15"/>
      <c r="L341" s="15"/>
      <c r="P341" s="15"/>
      <c r="T341" s="15"/>
      <c r="X341" s="15"/>
      <c r="AB341" s="15"/>
      <c r="AF341" s="15"/>
      <c r="AJ341" s="15"/>
      <c r="AP341" s="16"/>
      <c r="AQ341" s="16"/>
      <c r="AT341" s="16"/>
      <c r="AU341" s="16"/>
      <c r="AX341" s="16"/>
      <c r="AY341" s="16"/>
    </row>
    <row r="342" spans="8:51" s="14" customFormat="1" x14ac:dyDescent="0.3">
      <c r="H342" s="15"/>
      <c r="L342" s="15"/>
      <c r="P342" s="15"/>
      <c r="T342" s="15"/>
      <c r="X342" s="15"/>
      <c r="AB342" s="15"/>
      <c r="AF342" s="15"/>
      <c r="AJ342" s="15"/>
      <c r="AP342" s="16"/>
      <c r="AQ342" s="16"/>
      <c r="AT342" s="16"/>
      <c r="AU342" s="16"/>
      <c r="AX342" s="16"/>
      <c r="AY342" s="16"/>
    </row>
    <row r="343" spans="8:51" s="14" customFormat="1" x14ac:dyDescent="0.3">
      <c r="H343" s="15"/>
      <c r="L343" s="15"/>
      <c r="P343" s="15"/>
      <c r="T343" s="15"/>
      <c r="X343" s="15"/>
      <c r="AB343" s="15"/>
      <c r="AF343" s="15"/>
      <c r="AJ343" s="15"/>
      <c r="AP343" s="16"/>
      <c r="AQ343" s="16"/>
      <c r="AT343" s="16"/>
      <c r="AU343" s="16"/>
      <c r="AX343" s="16"/>
      <c r="AY343" s="16"/>
    </row>
    <row r="344" spans="8:51" s="14" customFormat="1" x14ac:dyDescent="0.3">
      <c r="H344" s="15"/>
      <c r="L344" s="15"/>
      <c r="P344" s="15"/>
      <c r="T344" s="15"/>
      <c r="X344" s="15"/>
      <c r="AB344" s="15"/>
      <c r="AF344" s="15"/>
      <c r="AJ344" s="15"/>
      <c r="AP344" s="16"/>
      <c r="AQ344" s="16"/>
      <c r="AT344" s="16"/>
      <c r="AU344" s="16"/>
      <c r="AX344" s="16"/>
      <c r="AY344" s="16"/>
    </row>
    <row r="345" spans="8:51" s="14" customFormat="1" x14ac:dyDescent="0.3">
      <c r="H345" s="15"/>
      <c r="L345" s="15"/>
      <c r="P345" s="15"/>
      <c r="T345" s="15"/>
      <c r="X345" s="15"/>
      <c r="AB345" s="15"/>
      <c r="AF345" s="15"/>
      <c r="AJ345" s="15"/>
      <c r="AP345" s="16"/>
      <c r="AQ345" s="16"/>
      <c r="AT345" s="16"/>
      <c r="AU345" s="16"/>
      <c r="AX345" s="16"/>
      <c r="AY345" s="16"/>
    </row>
    <row r="346" spans="8:51" s="14" customFormat="1" x14ac:dyDescent="0.3">
      <c r="H346" s="15"/>
      <c r="L346" s="15"/>
      <c r="P346" s="15"/>
      <c r="T346" s="15"/>
      <c r="X346" s="15"/>
      <c r="AB346" s="15"/>
      <c r="AF346" s="15"/>
      <c r="AJ346" s="15"/>
      <c r="AP346" s="16"/>
      <c r="AQ346" s="16"/>
      <c r="AT346" s="16"/>
      <c r="AU346" s="16"/>
      <c r="AX346" s="16"/>
      <c r="AY346" s="16"/>
    </row>
    <row r="347" spans="8:51" s="14" customFormat="1" x14ac:dyDescent="0.3">
      <c r="H347" s="15"/>
      <c r="L347" s="15"/>
      <c r="P347" s="15"/>
      <c r="T347" s="15"/>
      <c r="X347" s="15"/>
      <c r="AB347" s="15"/>
      <c r="AF347" s="15"/>
      <c r="AJ347" s="15"/>
      <c r="AP347" s="16"/>
      <c r="AQ347" s="16"/>
      <c r="AT347" s="16"/>
      <c r="AU347" s="16"/>
      <c r="AX347" s="16"/>
      <c r="AY347" s="16"/>
    </row>
    <row r="348" spans="8:51" s="14" customFormat="1" x14ac:dyDescent="0.3">
      <c r="H348" s="15"/>
      <c r="L348" s="15"/>
      <c r="P348" s="15"/>
      <c r="T348" s="15"/>
      <c r="X348" s="15"/>
      <c r="AB348" s="15"/>
      <c r="AF348" s="15"/>
      <c r="AJ348" s="15"/>
      <c r="AP348" s="16"/>
      <c r="AQ348" s="16"/>
      <c r="AT348" s="16"/>
      <c r="AU348" s="16"/>
      <c r="AX348" s="16"/>
      <c r="AY348" s="16"/>
    </row>
    <row r="349" spans="8:51" s="14" customFormat="1" x14ac:dyDescent="0.3">
      <c r="H349" s="15"/>
      <c r="L349" s="15"/>
      <c r="P349" s="15"/>
      <c r="T349" s="15"/>
      <c r="X349" s="15"/>
      <c r="AB349" s="15"/>
      <c r="AF349" s="15"/>
      <c r="AJ349" s="15"/>
      <c r="AP349" s="16"/>
      <c r="AQ349" s="16"/>
      <c r="AT349" s="16"/>
      <c r="AU349" s="16"/>
      <c r="AX349" s="16"/>
      <c r="AY349" s="16"/>
    </row>
    <row r="350" spans="8:51" s="14" customFormat="1" x14ac:dyDescent="0.3">
      <c r="H350" s="15"/>
      <c r="L350" s="15"/>
      <c r="P350" s="15"/>
      <c r="T350" s="15"/>
      <c r="X350" s="15"/>
      <c r="AB350" s="15"/>
      <c r="AF350" s="15"/>
      <c r="AJ350" s="15"/>
      <c r="AP350" s="16"/>
      <c r="AQ350" s="16"/>
      <c r="AT350" s="16"/>
      <c r="AU350" s="16"/>
      <c r="AX350" s="16"/>
      <c r="AY350" s="16"/>
    </row>
    <row r="351" spans="8:51" s="14" customFormat="1" x14ac:dyDescent="0.3">
      <c r="H351" s="15"/>
      <c r="L351" s="15"/>
      <c r="P351" s="15"/>
      <c r="T351" s="15"/>
      <c r="X351" s="15"/>
      <c r="AB351" s="15"/>
      <c r="AF351" s="15"/>
      <c r="AJ351" s="15"/>
      <c r="AP351" s="16"/>
      <c r="AQ351" s="16"/>
      <c r="AT351" s="16"/>
      <c r="AU351" s="16"/>
      <c r="AX351" s="16"/>
      <c r="AY351" s="16"/>
    </row>
    <row r="352" spans="8:51" s="14" customFormat="1" x14ac:dyDescent="0.3">
      <c r="H352" s="15"/>
      <c r="L352" s="15"/>
      <c r="P352" s="15"/>
      <c r="T352" s="15"/>
      <c r="X352" s="15"/>
      <c r="AB352" s="15"/>
      <c r="AF352" s="15"/>
      <c r="AJ352" s="15"/>
      <c r="AP352" s="16"/>
      <c r="AQ352" s="16"/>
      <c r="AT352" s="16"/>
      <c r="AU352" s="16"/>
      <c r="AX352" s="16"/>
      <c r="AY352" s="16"/>
    </row>
    <row r="353" spans="8:51" s="14" customFormat="1" x14ac:dyDescent="0.3">
      <c r="H353" s="15"/>
      <c r="L353" s="15"/>
      <c r="P353" s="15"/>
      <c r="T353" s="15"/>
      <c r="X353" s="15"/>
      <c r="AB353" s="15"/>
      <c r="AF353" s="15"/>
      <c r="AJ353" s="15"/>
      <c r="AP353" s="16"/>
      <c r="AQ353" s="16"/>
      <c r="AT353" s="16"/>
      <c r="AU353" s="16"/>
      <c r="AX353" s="16"/>
      <c r="AY353" s="16"/>
    </row>
    <row r="354" spans="8:51" s="14" customFormat="1" x14ac:dyDescent="0.3">
      <c r="H354" s="15"/>
      <c r="L354" s="15"/>
      <c r="P354" s="15"/>
      <c r="T354" s="15"/>
      <c r="X354" s="15"/>
      <c r="AB354" s="15"/>
      <c r="AF354" s="15"/>
      <c r="AJ354" s="15"/>
      <c r="AP354" s="16"/>
      <c r="AQ354" s="16"/>
      <c r="AT354" s="16"/>
      <c r="AU354" s="16"/>
      <c r="AX354" s="16"/>
      <c r="AY354" s="16"/>
    </row>
    <row r="355" spans="8:51" s="14" customFormat="1" x14ac:dyDescent="0.3">
      <c r="H355" s="15"/>
      <c r="L355" s="15"/>
      <c r="P355" s="15"/>
      <c r="T355" s="15"/>
      <c r="X355" s="15"/>
      <c r="AB355" s="15"/>
      <c r="AF355" s="15"/>
      <c r="AJ355" s="15"/>
      <c r="AP355" s="16"/>
      <c r="AQ355" s="16"/>
      <c r="AT355" s="16"/>
      <c r="AU355" s="16"/>
      <c r="AX355" s="16"/>
      <c r="AY355" s="16"/>
    </row>
    <row r="356" spans="8:51" s="14" customFormat="1" x14ac:dyDescent="0.3">
      <c r="H356" s="15"/>
      <c r="L356" s="15"/>
      <c r="P356" s="15"/>
      <c r="T356" s="15"/>
      <c r="X356" s="15"/>
      <c r="AB356" s="15"/>
      <c r="AF356" s="15"/>
      <c r="AJ356" s="15"/>
      <c r="AP356" s="16"/>
      <c r="AQ356" s="16"/>
      <c r="AT356" s="16"/>
      <c r="AU356" s="16"/>
      <c r="AX356" s="16"/>
      <c r="AY356" s="16"/>
    </row>
    <row r="357" spans="8:51" s="14" customFormat="1" x14ac:dyDescent="0.3">
      <c r="H357" s="15"/>
      <c r="L357" s="15"/>
      <c r="P357" s="15"/>
      <c r="T357" s="15"/>
      <c r="X357" s="15"/>
      <c r="AB357" s="15"/>
      <c r="AF357" s="15"/>
      <c r="AJ357" s="15"/>
      <c r="AP357" s="16"/>
      <c r="AQ357" s="16"/>
      <c r="AT357" s="16"/>
      <c r="AU357" s="16"/>
      <c r="AX357" s="16"/>
      <c r="AY357" s="16"/>
    </row>
    <row r="358" spans="8:51" s="14" customFormat="1" x14ac:dyDescent="0.3">
      <c r="H358" s="15"/>
      <c r="L358" s="15"/>
      <c r="P358" s="15"/>
      <c r="T358" s="15"/>
      <c r="X358" s="15"/>
      <c r="AB358" s="15"/>
      <c r="AF358" s="15"/>
      <c r="AJ358" s="15"/>
      <c r="AP358" s="16"/>
      <c r="AQ358" s="16"/>
      <c r="AT358" s="16"/>
      <c r="AU358" s="16"/>
      <c r="AX358" s="16"/>
      <c r="AY358" s="16"/>
    </row>
    <row r="359" spans="8:51" s="14" customFormat="1" x14ac:dyDescent="0.3">
      <c r="H359" s="15"/>
      <c r="L359" s="15"/>
      <c r="P359" s="15"/>
      <c r="T359" s="15"/>
      <c r="X359" s="15"/>
      <c r="AB359" s="15"/>
      <c r="AF359" s="15"/>
      <c r="AJ359" s="15"/>
      <c r="AP359" s="16"/>
      <c r="AQ359" s="16"/>
      <c r="AT359" s="16"/>
      <c r="AU359" s="16"/>
      <c r="AX359" s="16"/>
      <c r="AY359" s="16"/>
    </row>
    <row r="360" spans="8:51" s="14" customFormat="1" x14ac:dyDescent="0.3">
      <c r="H360" s="15"/>
      <c r="L360" s="15"/>
      <c r="P360" s="15"/>
      <c r="T360" s="15"/>
      <c r="X360" s="15"/>
      <c r="AB360" s="15"/>
      <c r="AF360" s="15"/>
      <c r="AJ360" s="15"/>
      <c r="AP360" s="16"/>
      <c r="AQ360" s="16"/>
      <c r="AT360" s="16"/>
      <c r="AU360" s="16"/>
      <c r="AX360" s="16"/>
      <c r="AY360" s="16"/>
    </row>
    <row r="361" spans="8:51" s="14" customFormat="1" x14ac:dyDescent="0.3">
      <c r="H361" s="15"/>
      <c r="L361" s="15"/>
      <c r="P361" s="15"/>
      <c r="T361" s="15"/>
      <c r="X361" s="15"/>
      <c r="AB361" s="15"/>
      <c r="AF361" s="15"/>
      <c r="AJ361" s="15"/>
      <c r="AP361" s="16"/>
      <c r="AQ361" s="16"/>
      <c r="AT361" s="16"/>
      <c r="AU361" s="16"/>
      <c r="AX361" s="16"/>
      <c r="AY361" s="16"/>
    </row>
    <row r="362" spans="8:51" s="14" customFormat="1" x14ac:dyDescent="0.3">
      <c r="H362" s="15"/>
      <c r="L362" s="15"/>
      <c r="P362" s="15"/>
      <c r="T362" s="15"/>
      <c r="X362" s="15"/>
      <c r="AB362" s="15"/>
      <c r="AF362" s="15"/>
      <c r="AJ362" s="15"/>
      <c r="AP362" s="16"/>
      <c r="AQ362" s="16"/>
      <c r="AT362" s="16"/>
      <c r="AU362" s="16"/>
      <c r="AX362" s="16"/>
      <c r="AY362" s="16"/>
    </row>
    <row r="363" spans="8:51" s="14" customFormat="1" x14ac:dyDescent="0.3">
      <c r="H363" s="15"/>
      <c r="L363" s="15"/>
      <c r="P363" s="15"/>
      <c r="T363" s="15"/>
      <c r="X363" s="15"/>
      <c r="AB363" s="15"/>
      <c r="AF363" s="15"/>
      <c r="AJ363" s="15"/>
      <c r="AP363" s="16"/>
      <c r="AQ363" s="16"/>
      <c r="AT363" s="16"/>
      <c r="AU363" s="16"/>
      <c r="AX363" s="16"/>
      <c r="AY363" s="16"/>
    </row>
    <row r="364" spans="8:51" s="14" customFormat="1" x14ac:dyDescent="0.3">
      <c r="H364" s="15"/>
      <c r="L364" s="15"/>
      <c r="P364" s="15"/>
      <c r="T364" s="15"/>
      <c r="X364" s="15"/>
      <c r="AB364" s="15"/>
      <c r="AF364" s="15"/>
      <c r="AJ364" s="15"/>
      <c r="AP364" s="16"/>
      <c r="AQ364" s="16"/>
      <c r="AT364" s="16"/>
      <c r="AU364" s="16"/>
      <c r="AX364" s="16"/>
      <c r="AY364" s="16"/>
    </row>
    <row r="365" spans="8:51" s="14" customFormat="1" x14ac:dyDescent="0.3">
      <c r="H365" s="15"/>
      <c r="L365" s="15"/>
      <c r="P365" s="15"/>
      <c r="T365" s="15"/>
      <c r="X365" s="15"/>
      <c r="AB365" s="15"/>
      <c r="AF365" s="15"/>
      <c r="AJ365" s="15"/>
      <c r="AP365" s="16"/>
      <c r="AQ365" s="16"/>
      <c r="AT365" s="16"/>
      <c r="AU365" s="16"/>
      <c r="AX365" s="16"/>
      <c r="AY365" s="16"/>
    </row>
    <row r="366" spans="8:51" s="14" customFormat="1" x14ac:dyDescent="0.3">
      <c r="H366" s="15"/>
      <c r="L366" s="15"/>
      <c r="P366" s="15"/>
      <c r="T366" s="15"/>
      <c r="X366" s="15"/>
      <c r="AB366" s="15"/>
      <c r="AF366" s="15"/>
      <c r="AJ366" s="15"/>
      <c r="AP366" s="16"/>
      <c r="AQ366" s="16"/>
      <c r="AT366" s="16"/>
      <c r="AU366" s="16"/>
      <c r="AX366" s="16"/>
      <c r="AY366" s="16"/>
    </row>
    <row r="367" spans="8:51" s="14" customFormat="1" x14ac:dyDescent="0.3">
      <c r="H367" s="15"/>
      <c r="L367" s="15"/>
      <c r="P367" s="15"/>
      <c r="T367" s="15"/>
      <c r="X367" s="15"/>
      <c r="AB367" s="15"/>
      <c r="AF367" s="15"/>
      <c r="AJ367" s="15"/>
      <c r="AP367" s="16"/>
      <c r="AQ367" s="16"/>
      <c r="AT367" s="16"/>
      <c r="AU367" s="16"/>
      <c r="AX367" s="16"/>
      <c r="AY367" s="16"/>
    </row>
    <row r="368" spans="8:51" s="14" customFormat="1" x14ac:dyDescent="0.3">
      <c r="H368" s="15"/>
      <c r="L368" s="15"/>
      <c r="P368" s="15"/>
      <c r="T368" s="15"/>
      <c r="X368" s="15"/>
      <c r="AB368" s="15"/>
      <c r="AF368" s="15"/>
      <c r="AJ368" s="15"/>
      <c r="AP368" s="16"/>
      <c r="AQ368" s="16"/>
      <c r="AT368" s="16"/>
      <c r="AU368" s="16"/>
      <c r="AX368" s="16"/>
      <c r="AY368" s="16"/>
    </row>
    <row r="369" spans="8:51" s="14" customFormat="1" x14ac:dyDescent="0.3">
      <c r="H369" s="15"/>
      <c r="L369" s="15"/>
      <c r="P369" s="15"/>
      <c r="T369" s="15"/>
      <c r="X369" s="15"/>
      <c r="AB369" s="15"/>
      <c r="AF369" s="15"/>
      <c r="AJ369" s="15"/>
      <c r="AP369" s="16"/>
      <c r="AQ369" s="16"/>
      <c r="AT369" s="16"/>
      <c r="AU369" s="16"/>
      <c r="AX369" s="16"/>
      <c r="AY369" s="16"/>
    </row>
    <row r="370" spans="8:51" s="14" customFormat="1" x14ac:dyDescent="0.3">
      <c r="H370" s="15"/>
      <c r="L370" s="15"/>
      <c r="P370" s="15"/>
      <c r="T370" s="15"/>
      <c r="X370" s="15"/>
      <c r="AB370" s="15"/>
      <c r="AF370" s="15"/>
      <c r="AJ370" s="15"/>
      <c r="AP370" s="16"/>
      <c r="AQ370" s="16"/>
      <c r="AT370" s="16"/>
      <c r="AU370" s="16"/>
      <c r="AX370" s="16"/>
      <c r="AY370" s="16"/>
    </row>
    <row r="371" spans="8:51" s="14" customFormat="1" x14ac:dyDescent="0.3">
      <c r="H371" s="15"/>
      <c r="L371" s="15"/>
      <c r="P371" s="15"/>
      <c r="T371" s="15"/>
      <c r="X371" s="15"/>
      <c r="AB371" s="15"/>
      <c r="AF371" s="15"/>
      <c r="AJ371" s="15"/>
      <c r="AP371" s="16"/>
      <c r="AQ371" s="16"/>
      <c r="AT371" s="16"/>
      <c r="AU371" s="16"/>
      <c r="AX371" s="16"/>
      <c r="AY371" s="16"/>
    </row>
    <row r="372" spans="8:51" s="14" customFormat="1" x14ac:dyDescent="0.3">
      <c r="H372" s="15"/>
      <c r="L372" s="15"/>
      <c r="P372" s="15"/>
      <c r="T372" s="15"/>
      <c r="X372" s="15"/>
      <c r="AB372" s="15"/>
      <c r="AF372" s="15"/>
      <c r="AJ372" s="15"/>
      <c r="AP372" s="16"/>
      <c r="AQ372" s="16"/>
      <c r="AT372" s="16"/>
      <c r="AU372" s="16"/>
      <c r="AX372" s="16"/>
      <c r="AY372" s="16"/>
    </row>
    <row r="373" spans="8:51" s="14" customFormat="1" x14ac:dyDescent="0.3">
      <c r="H373" s="15"/>
      <c r="L373" s="15"/>
      <c r="P373" s="15"/>
      <c r="T373" s="15"/>
      <c r="X373" s="15"/>
      <c r="AB373" s="15"/>
      <c r="AF373" s="15"/>
      <c r="AJ373" s="15"/>
      <c r="AP373" s="16"/>
      <c r="AQ373" s="16"/>
      <c r="AT373" s="16"/>
      <c r="AU373" s="16"/>
      <c r="AX373" s="16"/>
      <c r="AY373" s="16"/>
    </row>
    <row r="374" spans="8:51" s="14" customFormat="1" x14ac:dyDescent="0.3">
      <c r="H374" s="15"/>
      <c r="L374" s="15"/>
      <c r="P374" s="15"/>
      <c r="T374" s="15"/>
      <c r="X374" s="15"/>
      <c r="AB374" s="15"/>
      <c r="AF374" s="15"/>
      <c r="AJ374" s="15"/>
      <c r="AP374" s="16"/>
      <c r="AQ374" s="16"/>
      <c r="AT374" s="16"/>
      <c r="AU374" s="16"/>
      <c r="AX374" s="16"/>
      <c r="AY374" s="16"/>
    </row>
    <row r="375" spans="8:51" s="14" customFormat="1" x14ac:dyDescent="0.3">
      <c r="H375" s="15"/>
      <c r="L375" s="15"/>
      <c r="P375" s="15"/>
      <c r="T375" s="15"/>
      <c r="X375" s="15"/>
      <c r="AB375" s="15"/>
      <c r="AF375" s="15"/>
      <c r="AJ375" s="15"/>
      <c r="AP375" s="16"/>
      <c r="AQ375" s="16"/>
      <c r="AT375" s="16"/>
      <c r="AU375" s="16"/>
      <c r="AX375" s="16"/>
      <c r="AY375" s="16"/>
    </row>
    <row r="376" spans="8:51" s="14" customFormat="1" x14ac:dyDescent="0.3">
      <c r="H376" s="15"/>
      <c r="L376" s="15"/>
      <c r="P376" s="15"/>
      <c r="T376" s="15"/>
      <c r="X376" s="15"/>
      <c r="AB376" s="15"/>
      <c r="AF376" s="15"/>
      <c r="AJ376" s="15"/>
      <c r="AP376" s="16"/>
      <c r="AQ376" s="16"/>
      <c r="AT376" s="16"/>
      <c r="AU376" s="16"/>
      <c r="AX376" s="16"/>
      <c r="AY376" s="16"/>
    </row>
    <row r="377" spans="8:51" s="14" customFormat="1" x14ac:dyDescent="0.3">
      <c r="H377" s="15"/>
      <c r="L377" s="15"/>
      <c r="P377" s="15"/>
      <c r="T377" s="15"/>
      <c r="X377" s="15"/>
      <c r="AB377" s="15"/>
      <c r="AF377" s="15"/>
      <c r="AJ377" s="15"/>
      <c r="AP377" s="16"/>
      <c r="AQ377" s="16"/>
      <c r="AT377" s="16"/>
      <c r="AU377" s="16"/>
      <c r="AX377" s="16"/>
      <c r="AY377" s="16"/>
    </row>
    <row r="378" spans="8:51" s="14" customFormat="1" x14ac:dyDescent="0.3">
      <c r="H378" s="15"/>
      <c r="L378" s="15"/>
      <c r="P378" s="15"/>
      <c r="T378" s="15"/>
      <c r="X378" s="15"/>
      <c r="AB378" s="15"/>
      <c r="AF378" s="15"/>
      <c r="AJ378" s="15"/>
      <c r="AP378" s="16"/>
      <c r="AQ378" s="16"/>
      <c r="AT378" s="16"/>
      <c r="AU378" s="16"/>
      <c r="AX378" s="16"/>
      <c r="AY378" s="16"/>
    </row>
    <row r="379" spans="8:51" s="14" customFormat="1" x14ac:dyDescent="0.3">
      <c r="H379" s="15"/>
      <c r="L379" s="15"/>
      <c r="P379" s="15"/>
      <c r="T379" s="15"/>
      <c r="X379" s="15"/>
      <c r="AB379" s="15"/>
      <c r="AF379" s="15"/>
      <c r="AJ379" s="15"/>
      <c r="AP379" s="16"/>
      <c r="AQ379" s="16"/>
      <c r="AT379" s="16"/>
      <c r="AU379" s="16"/>
      <c r="AX379" s="16"/>
      <c r="AY379" s="16"/>
    </row>
    <row r="380" spans="8:51" s="14" customFormat="1" x14ac:dyDescent="0.3">
      <c r="H380" s="15"/>
      <c r="L380" s="15"/>
      <c r="P380" s="15"/>
      <c r="T380" s="15"/>
      <c r="X380" s="15"/>
      <c r="AB380" s="15"/>
      <c r="AF380" s="15"/>
      <c r="AJ380" s="15"/>
      <c r="AP380" s="16"/>
      <c r="AQ380" s="16"/>
      <c r="AT380" s="16"/>
      <c r="AU380" s="16"/>
      <c r="AX380" s="16"/>
      <c r="AY380" s="16"/>
    </row>
    <row r="381" spans="8:51" s="14" customFormat="1" x14ac:dyDescent="0.3">
      <c r="H381" s="15"/>
      <c r="L381" s="15"/>
      <c r="P381" s="15"/>
      <c r="T381" s="15"/>
      <c r="X381" s="15"/>
      <c r="AB381" s="15"/>
      <c r="AF381" s="15"/>
      <c r="AJ381" s="15"/>
      <c r="AP381" s="16"/>
      <c r="AQ381" s="16"/>
      <c r="AT381" s="16"/>
      <c r="AU381" s="16"/>
      <c r="AX381" s="16"/>
      <c r="AY381" s="16"/>
    </row>
    <row r="382" spans="8:51" s="14" customFormat="1" x14ac:dyDescent="0.3">
      <c r="H382" s="15"/>
      <c r="L382" s="15"/>
      <c r="P382" s="15"/>
      <c r="T382" s="15"/>
      <c r="X382" s="15"/>
      <c r="AB382" s="15"/>
      <c r="AF382" s="15"/>
      <c r="AJ382" s="15"/>
      <c r="AP382" s="16"/>
      <c r="AQ382" s="16"/>
      <c r="AT382" s="16"/>
      <c r="AU382" s="16"/>
      <c r="AX382" s="16"/>
      <c r="AY382" s="16"/>
    </row>
    <row r="383" spans="8:51" s="14" customFormat="1" x14ac:dyDescent="0.3">
      <c r="H383" s="15"/>
      <c r="L383" s="15"/>
      <c r="P383" s="15"/>
      <c r="T383" s="15"/>
      <c r="X383" s="15"/>
      <c r="AB383" s="15"/>
      <c r="AF383" s="15"/>
      <c r="AJ383" s="15"/>
      <c r="AP383" s="16"/>
      <c r="AQ383" s="16"/>
      <c r="AT383" s="16"/>
      <c r="AU383" s="16"/>
      <c r="AX383" s="16"/>
      <c r="AY383" s="16"/>
    </row>
    <row r="384" spans="8:51" s="14" customFormat="1" x14ac:dyDescent="0.3">
      <c r="H384" s="15"/>
      <c r="L384" s="15"/>
      <c r="P384" s="15"/>
      <c r="T384" s="15"/>
      <c r="X384" s="15"/>
      <c r="AB384" s="15"/>
      <c r="AF384" s="15"/>
      <c r="AJ384" s="15"/>
      <c r="AP384" s="16"/>
      <c r="AQ384" s="16"/>
      <c r="AT384" s="16"/>
      <c r="AU384" s="16"/>
      <c r="AX384" s="16"/>
      <c r="AY384" s="16"/>
    </row>
    <row r="385" spans="8:51" s="14" customFormat="1" x14ac:dyDescent="0.3">
      <c r="H385" s="15"/>
      <c r="L385" s="15"/>
      <c r="P385" s="15"/>
      <c r="T385" s="15"/>
      <c r="X385" s="15"/>
      <c r="AB385" s="15"/>
      <c r="AF385" s="15"/>
      <c r="AJ385" s="15"/>
      <c r="AP385" s="16"/>
      <c r="AQ385" s="16"/>
      <c r="AT385" s="16"/>
      <c r="AU385" s="16"/>
      <c r="AX385" s="16"/>
      <c r="AY385" s="16"/>
    </row>
    <row r="386" spans="8:51" s="14" customFormat="1" x14ac:dyDescent="0.3">
      <c r="H386" s="15"/>
      <c r="L386" s="15"/>
      <c r="P386" s="15"/>
      <c r="T386" s="15"/>
      <c r="X386" s="15"/>
      <c r="AB386" s="15"/>
      <c r="AF386" s="15"/>
      <c r="AJ386" s="15"/>
      <c r="AP386" s="16"/>
      <c r="AQ386" s="16"/>
      <c r="AT386" s="16"/>
      <c r="AU386" s="16"/>
      <c r="AX386" s="16"/>
      <c r="AY386" s="16"/>
    </row>
    <row r="387" spans="8:51" s="14" customFormat="1" x14ac:dyDescent="0.3">
      <c r="H387" s="15"/>
      <c r="L387" s="15"/>
      <c r="P387" s="15"/>
      <c r="T387" s="15"/>
      <c r="X387" s="15"/>
      <c r="AB387" s="15"/>
      <c r="AF387" s="15"/>
      <c r="AJ387" s="15"/>
      <c r="AP387" s="16"/>
      <c r="AQ387" s="16"/>
      <c r="AT387" s="16"/>
      <c r="AU387" s="16"/>
      <c r="AX387" s="16"/>
      <c r="AY387" s="16"/>
    </row>
    <row r="388" spans="8:51" s="14" customFormat="1" x14ac:dyDescent="0.3">
      <c r="H388" s="15"/>
      <c r="L388" s="15"/>
      <c r="P388" s="15"/>
      <c r="T388" s="15"/>
      <c r="X388" s="15"/>
      <c r="AB388" s="15"/>
      <c r="AF388" s="15"/>
      <c r="AJ388" s="15"/>
      <c r="AP388" s="16"/>
      <c r="AQ388" s="16"/>
      <c r="AT388" s="16"/>
      <c r="AU388" s="16"/>
      <c r="AX388" s="16"/>
      <c r="AY388" s="16"/>
    </row>
    <row r="389" spans="8:51" s="14" customFormat="1" x14ac:dyDescent="0.3">
      <c r="H389" s="15"/>
      <c r="L389" s="15"/>
      <c r="P389" s="15"/>
      <c r="T389" s="15"/>
      <c r="X389" s="15"/>
      <c r="AB389" s="15"/>
      <c r="AF389" s="15"/>
      <c r="AJ389" s="15"/>
      <c r="AP389" s="16"/>
      <c r="AQ389" s="16"/>
      <c r="AT389" s="16"/>
      <c r="AU389" s="16"/>
      <c r="AX389" s="16"/>
      <c r="AY389" s="16"/>
    </row>
    <row r="390" spans="8:51" s="14" customFormat="1" x14ac:dyDescent="0.3">
      <c r="H390" s="15"/>
      <c r="L390" s="15"/>
      <c r="P390" s="15"/>
      <c r="T390" s="15"/>
      <c r="X390" s="15"/>
      <c r="AB390" s="15"/>
      <c r="AF390" s="15"/>
      <c r="AJ390" s="15"/>
      <c r="AP390" s="16"/>
      <c r="AQ390" s="16"/>
      <c r="AT390" s="16"/>
      <c r="AU390" s="16"/>
      <c r="AX390" s="16"/>
      <c r="AY390" s="16"/>
    </row>
    <row r="391" spans="8:51" s="14" customFormat="1" x14ac:dyDescent="0.3">
      <c r="H391" s="15"/>
      <c r="L391" s="15"/>
      <c r="P391" s="15"/>
      <c r="T391" s="15"/>
      <c r="X391" s="15"/>
      <c r="AB391" s="15"/>
      <c r="AF391" s="15"/>
      <c r="AJ391" s="15"/>
      <c r="AP391" s="16"/>
      <c r="AQ391" s="16"/>
      <c r="AT391" s="16"/>
      <c r="AU391" s="16"/>
      <c r="AX391" s="16"/>
      <c r="AY391" s="16"/>
    </row>
    <row r="392" spans="8:51" s="14" customFormat="1" x14ac:dyDescent="0.3">
      <c r="H392" s="15"/>
      <c r="L392" s="15"/>
      <c r="P392" s="15"/>
      <c r="T392" s="15"/>
      <c r="X392" s="15"/>
      <c r="AB392" s="15"/>
      <c r="AF392" s="15"/>
      <c r="AJ392" s="15"/>
      <c r="AP392" s="16"/>
      <c r="AQ392" s="16"/>
      <c r="AT392" s="16"/>
      <c r="AU392" s="16"/>
      <c r="AX392" s="16"/>
      <c r="AY392" s="16"/>
    </row>
    <row r="393" spans="8:51" s="14" customFormat="1" x14ac:dyDescent="0.3">
      <c r="H393" s="15"/>
      <c r="L393" s="15"/>
      <c r="P393" s="15"/>
      <c r="T393" s="15"/>
      <c r="X393" s="15"/>
      <c r="AB393" s="15"/>
      <c r="AF393" s="15"/>
      <c r="AJ393" s="15"/>
      <c r="AP393" s="16"/>
      <c r="AQ393" s="16"/>
      <c r="AT393" s="16"/>
      <c r="AU393" s="16"/>
      <c r="AX393" s="16"/>
      <c r="AY393" s="16"/>
    </row>
    <row r="394" spans="8:51" s="14" customFormat="1" x14ac:dyDescent="0.3">
      <c r="H394" s="15"/>
      <c r="L394" s="15"/>
      <c r="P394" s="15"/>
      <c r="T394" s="15"/>
      <c r="X394" s="15"/>
      <c r="AB394" s="15"/>
      <c r="AF394" s="15"/>
      <c r="AJ394" s="15"/>
      <c r="AP394" s="16"/>
      <c r="AQ394" s="16"/>
      <c r="AT394" s="16"/>
      <c r="AU394" s="16"/>
      <c r="AX394" s="16"/>
      <c r="AY394" s="16"/>
    </row>
    <row r="395" spans="8:51" s="14" customFormat="1" x14ac:dyDescent="0.3">
      <c r="H395" s="15"/>
      <c r="L395" s="15"/>
      <c r="P395" s="15"/>
      <c r="T395" s="15"/>
      <c r="X395" s="15"/>
      <c r="AB395" s="15"/>
      <c r="AF395" s="15"/>
      <c r="AJ395" s="15"/>
      <c r="AP395" s="16"/>
      <c r="AQ395" s="16"/>
      <c r="AT395" s="16"/>
      <c r="AU395" s="16"/>
      <c r="AX395" s="16"/>
      <c r="AY395" s="16"/>
    </row>
    <row r="396" spans="8:51" s="14" customFormat="1" x14ac:dyDescent="0.3">
      <c r="H396" s="15"/>
      <c r="L396" s="15"/>
      <c r="P396" s="15"/>
      <c r="T396" s="15"/>
      <c r="X396" s="15"/>
      <c r="AB396" s="15"/>
      <c r="AF396" s="15"/>
      <c r="AJ396" s="15"/>
      <c r="AP396" s="16"/>
      <c r="AQ396" s="16"/>
      <c r="AT396" s="16"/>
      <c r="AU396" s="16"/>
      <c r="AX396" s="16"/>
      <c r="AY396" s="16"/>
    </row>
    <row r="397" spans="8:51" s="14" customFormat="1" x14ac:dyDescent="0.3">
      <c r="H397" s="15"/>
      <c r="L397" s="15"/>
      <c r="P397" s="15"/>
      <c r="T397" s="15"/>
      <c r="X397" s="15"/>
      <c r="AB397" s="15"/>
      <c r="AF397" s="15"/>
      <c r="AJ397" s="15"/>
      <c r="AP397" s="16"/>
      <c r="AQ397" s="16"/>
      <c r="AT397" s="16"/>
      <c r="AU397" s="16"/>
      <c r="AX397" s="16"/>
      <c r="AY397" s="16"/>
    </row>
    <row r="398" spans="8:51" s="14" customFormat="1" x14ac:dyDescent="0.3">
      <c r="H398" s="15"/>
      <c r="L398" s="15"/>
      <c r="P398" s="15"/>
      <c r="T398" s="15"/>
      <c r="X398" s="15"/>
      <c r="AB398" s="15"/>
      <c r="AF398" s="15"/>
      <c r="AJ398" s="15"/>
      <c r="AP398" s="16"/>
      <c r="AQ398" s="16"/>
      <c r="AT398" s="16"/>
      <c r="AU398" s="16"/>
      <c r="AX398" s="16"/>
      <c r="AY398" s="16"/>
    </row>
    <row r="399" spans="8:51" s="14" customFormat="1" x14ac:dyDescent="0.3">
      <c r="H399" s="15"/>
      <c r="L399" s="15"/>
      <c r="P399" s="15"/>
      <c r="T399" s="15"/>
      <c r="X399" s="15"/>
      <c r="AB399" s="15"/>
      <c r="AF399" s="15"/>
      <c r="AJ399" s="15"/>
      <c r="AP399" s="16"/>
      <c r="AQ399" s="16"/>
      <c r="AT399" s="16"/>
      <c r="AU399" s="16"/>
      <c r="AX399" s="16"/>
      <c r="AY399" s="16"/>
    </row>
    <row r="400" spans="8:51" s="14" customFormat="1" x14ac:dyDescent="0.3">
      <c r="H400" s="15"/>
      <c r="L400" s="15"/>
      <c r="P400" s="15"/>
      <c r="T400" s="15"/>
      <c r="X400" s="15"/>
      <c r="AB400" s="15"/>
      <c r="AF400" s="15"/>
      <c r="AJ400" s="15"/>
      <c r="AP400" s="16"/>
      <c r="AQ400" s="16"/>
      <c r="AT400" s="16"/>
      <c r="AU400" s="16"/>
      <c r="AX400" s="16"/>
      <c r="AY400" s="16"/>
    </row>
    <row r="401" spans="8:51" s="14" customFormat="1" x14ac:dyDescent="0.3">
      <c r="H401" s="15"/>
      <c r="L401" s="15"/>
      <c r="P401" s="15"/>
      <c r="T401" s="15"/>
      <c r="X401" s="15"/>
      <c r="AB401" s="15"/>
      <c r="AF401" s="15"/>
      <c r="AJ401" s="15"/>
      <c r="AP401" s="16"/>
      <c r="AQ401" s="16"/>
      <c r="AT401" s="16"/>
      <c r="AU401" s="16"/>
      <c r="AX401" s="16"/>
      <c r="AY401" s="16"/>
    </row>
    <row r="402" spans="8:51" s="14" customFormat="1" x14ac:dyDescent="0.3">
      <c r="H402" s="15"/>
      <c r="L402" s="15"/>
      <c r="P402" s="15"/>
      <c r="T402" s="15"/>
      <c r="X402" s="15"/>
      <c r="AB402" s="15"/>
      <c r="AF402" s="15"/>
      <c r="AJ402" s="15"/>
      <c r="AP402" s="16"/>
      <c r="AQ402" s="16"/>
      <c r="AT402" s="16"/>
      <c r="AU402" s="16"/>
      <c r="AX402" s="16"/>
      <c r="AY402" s="16"/>
    </row>
    <row r="403" spans="8:51" s="14" customFormat="1" x14ac:dyDescent="0.3">
      <c r="H403" s="15"/>
      <c r="L403" s="15"/>
      <c r="P403" s="15"/>
      <c r="T403" s="15"/>
      <c r="X403" s="15"/>
      <c r="AB403" s="15"/>
      <c r="AF403" s="15"/>
      <c r="AJ403" s="15"/>
      <c r="AP403" s="16"/>
      <c r="AQ403" s="16"/>
      <c r="AT403" s="16"/>
      <c r="AU403" s="16"/>
      <c r="AX403" s="16"/>
      <c r="AY403" s="16"/>
    </row>
    <row r="404" spans="8:51" s="14" customFormat="1" x14ac:dyDescent="0.3">
      <c r="H404" s="15"/>
      <c r="L404" s="15"/>
      <c r="P404" s="15"/>
      <c r="T404" s="15"/>
      <c r="X404" s="15"/>
      <c r="AB404" s="15"/>
      <c r="AF404" s="15"/>
      <c r="AJ404" s="15"/>
      <c r="AP404" s="16"/>
      <c r="AQ404" s="16"/>
      <c r="AT404" s="16"/>
      <c r="AU404" s="16"/>
      <c r="AX404" s="16"/>
      <c r="AY404" s="16"/>
    </row>
    <row r="405" spans="8:51" s="14" customFormat="1" x14ac:dyDescent="0.3">
      <c r="H405" s="15"/>
      <c r="L405" s="15"/>
      <c r="P405" s="15"/>
      <c r="T405" s="15"/>
      <c r="X405" s="15"/>
      <c r="AB405" s="15"/>
      <c r="AF405" s="15"/>
      <c r="AJ405" s="15"/>
      <c r="AP405" s="16"/>
      <c r="AQ405" s="16"/>
      <c r="AT405" s="16"/>
      <c r="AU405" s="16"/>
      <c r="AX405" s="16"/>
      <c r="AY405" s="16"/>
    </row>
    <row r="406" spans="8:51" s="14" customFormat="1" x14ac:dyDescent="0.3">
      <c r="H406" s="15"/>
      <c r="L406" s="15"/>
      <c r="P406" s="15"/>
      <c r="T406" s="15"/>
      <c r="X406" s="15"/>
      <c r="AB406" s="15"/>
      <c r="AF406" s="15"/>
      <c r="AJ406" s="15"/>
      <c r="AP406" s="16"/>
      <c r="AQ406" s="16"/>
      <c r="AT406" s="16"/>
      <c r="AU406" s="16"/>
      <c r="AX406" s="16"/>
      <c r="AY406" s="16"/>
    </row>
    <row r="407" spans="8:51" s="14" customFormat="1" x14ac:dyDescent="0.3">
      <c r="H407" s="15"/>
      <c r="L407" s="15"/>
      <c r="P407" s="15"/>
      <c r="T407" s="15"/>
      <c r="X407" s="15"/>
      <c r="AB407" s="15"/>
      <c r="AF407" s="15"/>
      <c r="AJ407" s="15"/>
      <c r="AP407" s="16"/>
      <c r="AQ407" s="16"/>
      <c r="AT407" s="16"/>
      <c r="AU407" s="16"/>
      <c r="AX407" s="16"/>
      <c r="AY407" s="16"/>
    </row>
    <row r="408" spans="8:51" s="14" customFormat="1" x14ac:dyDescent="0.3">
      <c r="H408" s="15"/>
      <c r="L408" s="15"/>
      <c r="P408" s="15"/>
      <c r="T408" s="15"/>
      <c r="X408" s="15"/>
      <c r="AB408" s="15"/>
      <c r="AF408" s="15"/>
      <c r="AJ408" s="15"/>
      <c r="AP408" s="16"/>
      <c r="AQ408" s="16"/>
      <c r="AT408" s="16"/>
      <c r="AU408" s="16"/>
      <c r="AX408" s="16"/>
      <c r="AY408" s="16"/>
    </row>
    <row r="409" spans="8:51" s="14" customFormat="1" x14ac:dyDescent="0.3">
      <c r="H409" s="15"/>
      <c r="L409" s="15"/>
      <c r="P409" s="15"/>
      <c r="T409" s="15"/>
      <c r="X409" s="15"/>
      <c r="AB409" s="15"/>
      <c r="AF409" s="15"/>
      <c r="AJ409" s="15"/>
      <c r="AP409" s="16"/>
      <c r="AQ409" s="16"/>
      <c r="AT409" s="16"/>
      <c r="AU409" s="16"/>
      <c r="AX409" s="16"/>
      <c r="AY409" s="16"/>
    </row>
    <row r="410" spans="8:51" s="14" customFormat="1" x14ac:dyDescent="0.3">
      <c r="H410" s="15"/>
      <c r="L410" s="15"/>
      <c r="P410" s="15"/>
      <c r="T410" s="15"/>
      <c r="X410" s="15"/>
      <c r="AB410" s="15"/>
      <c r="AF410" s="15"/>
      <c r="AJ410" s="15"/>
      <c r="AP410" s="16"/>
      <c r="AQ410" s="16"/>
      <c r="AT410" s="16"/>
      <c r="AU410" s="16"/>
      <c r="AX410" s="16"/>
      <c r="AY410" s="16"/>
    </row>
    <row r="411" spans="8:51" s="14" customFormat="1" x14ac:dyDescent="0.3">
      <c r="H411" s="15"/>
      <c r="L411" s="15"/>
      <c r="P411" s="15"/>
      <c r="T411" s="15"/>
      <c r="X411" s="15"/>
      <c r="AB411" s="15"/>
      <c r="AF411" s="15"/>
      <c r="AJ411" s="15"/>
      <c r="AP411" s="16"/>
      <c r="AQ411" s="16"/>
      <c r="AT411" s="16"/>
      <c r="AU411" s="16"/>
      <c r="AX411" s="16"/>
      <c r="AY411" s="16"/>
    </row>
    <row r="412" spans="8:51" s="14" customFormat="1" x14ac:dyDescent="0.3">
      <c r="H412" s="15"/>
      <c r="L412" s="15"/>
      <c r="P412" s="15"/>
      <c r="T412" s="15"/>
      <c r="X412" s="15"/>
      <c r="AB412" s="15"/>
      <c r="AF412" s="15"/>
      <c r="AJ412" s="15"/>
      <c r="AP412" s="16"/>
      <c r="AQ412" s="16"/>
      <c r="AT412" s="16"/>
      <c r="AU412" s="16"/>
      <c r="AX412" s="16"/>
      <c r="AY412" s="16"/>
    </row>
    <row r="413" spans="8:51" s="14" customFormat="1" x14ac:dyDescent="0.3">
      <c r="H413" s="15"/>
      <c r="L413" s="15"/>
      <c r="P413" s="15"/>
      <c r="T413" s="15"/>
      <c r="X413" s="15"/>
      <c r="AB413" s="15"/>
      <c r="AF413" s="15"/>
      <c r="AJ413" s="15"/>
      <c r="AP413" s="16"/>
      <c r="AQ413" s="16"/>
      <c r="AT413" s="16"/>
      <c r="AU413" s="16"/>
      <c r="AX413" s="16"/>
      <c r="AY413" s="16"/>
    </row>
    <row r="414" spans="8:51" s="14" customFormat="1" x14ac:dyDescent="0.3">
      <c r="H414" s="15"/>
      <c r="L414" s="15"/>
      <c r="P414" s="15"/>
      <c r="T414" s="15"/>
      <c r="X414" s="15"/>
      <c r="AB414" s="15"/>
      <c r="AF414" s="15"/>
      <c r="AJ414" s="15"/>
      <c r="AP414" s="16"/>
      <c r="AQ414" s="16"/>
      <c r="AT414" s="16"/>
      <c r="AU414" s="16"/>
      <c r="AX414" s="16"/>
      <c r="AY414" s="16"/>
    </row>
    <row r="415" spans="8:51" s="14" customFormat="1" x14ac:dyDescent="0.3">
      <c r="H415" s="15"/>
      <c r="L415" s="15"/>
      <c r="P415" s="15"/>
      <c r="T415" s="15"/>
      <c r="X415" s="15"/>
      <c r="AB415" s="15"/>
      <c r="AF415" s="15"/>
      <c r="AJ415" s="15"/>
      <c r="AP415" s="16"/>
      <c r="AQ415" s="16"/>
      <c r="AT415" s="16"/>
      <c r="AU415" s="16"/>
      <c r="AX415" s="16"/>
      <c r="AY415" s="16"/>
    </row>
    <row r="416" spans="8:51" s="14" customFormat="1" x14ac:dyDescent="0.3">
      <c r="H416" s="15"/>
      <c r="L416" s="15"/>
      <c r="P416" s="15"/>
      <c r="T416" s="15"/>
      <c r="X416" s="15"/>
      <c r="AB416" s="15"/>
      <c r="AF416" s="15"/>
      <c r="AJ416" s="15"/>
      <c r="AP416" s="16"/>
      <c r="AQ416" s="16"/>
      <c r="AT416" s="16"/>
      <c r="AU416" s="16"/>
      <c r="AX416" s="16"/>
      <c r="AY416" s="16"/>
    </row>
    <row r="417" spans="8:51" s="14" customFormat="1" x14ac:dyDescent="0.3">
      <c r="H417" s="15"/>
      <c r="L417" s="15"/>
      <c r="P417" s="15"/>
      <c r="T417" s="15"/>
      <c r="X417" s="15"/>
      <c r="AB417" s="15"/>
      <c r="AF417" s="15"/>
      <c r="AJ417" s="15"/>
      <c r="AP417" s="16"/>
      <c r="AQ417" s="16"/>
      <c r="AT417" s="16"/>
      <c r="AU417" s="16"/>
      <c r="AX417" s="16"/>
      <c r="AY417" s="16"/>
    </row>
    <row r="418" spans="8:51" s="14" customFormat="1" x14ac:dyDescent="0.3">
      <c r="H418" s="15"/>
      <c r="L418" s="15"/>
      <c r="P418" s="15"/>
      <c r="T418" s="15"/>
      <c r="X418" s="15"/>
      <c r="AB418" s="15"/>
      <c r="AF418" s="15"/>
      <c r="AJ418" s="15"/>
      <c r="AP418" s="16"/>
      <c r="AQ418" s="16"/>
      <c r="AT418" s="16"/>
      <c r="AU418" s="16"/>
      <c r="AX418" s="16"/>
      <c r="AY418" s="16"/>
    </row>
    <row r="419" spans="8:51" s="14" customFormat="1" x14ac:dyDescent="0.3">
      <c r="H419" s="15"/>
      <c r="L419" s="15"/>
      <c r="P419" s="15"/>
      <c r="T419" s="15"/>
      <c r="X419" s="15"/>
      <c r="AB419" s="15"/>
      <c r="AF419" s="15"/>
      <c r="AJ419" s="15"/>
      <c r="AP419" s="16"/>
      <c r="AQ419" s="16"/>
      <c r="AT419" s="16"/>
      <c r="AU419" s="16"/>
      <c r="AX419" s="16"/>
      <c r="AY419" s="16"/>
    </row>
    <row r="420" spans="8:51" s="14" customFormat="1" x14ac:dyDescent="0.3">
      <c r="H420" s="15"/>
      <c r="L420" s="15"/>
      <c r="P420" s="15"/>
      <c r="T420" s="15"/>
      <c r="X420" s="15"/>
      <c r="AB420" s="15"/>
      <c r="AF420" s="15"/>
      <c r="AJ420" s="15"/>
      <c r="AP420" s="16"/>
      <c r="AQ420" s="16"/>
      <c r="AT420" s="16"/>
      <c r="AU420" s="16"/>
      <c r="AX420" s="16"/>
      <c r="AY420" s="16"/>
    </row>
    <row r="421" spans="8:51" s="14" customFormat="1" x14ac:dyDescent="0.3">
      <c r="H421" s="15"/>
      <c r="L421" s="15"/>
      <c r="P421" s="15"/>
      <c r="T421" s="15"/>
      <c r="X421" s="15"/>
      <c r="AB421" s="15"/>
      <c r="AF421" s="15"/>
      <c r="AJ421" s="15"/>
      <c r="AP421" s="16"/>
      <c r="AQ421" s="16"/>
      <c r="AT421" s="16"/>
      <c r="AU421" s="16"/>
      <c r="AX421" s="16"/>
      <c r="AY421" s="16"/>
    </row>
    <row r="422" spans="8:51" s="14" customFormat="1" x14ac:dyDescent="0.3">
      <c r="H422" s="15"/>
      <c r="L422" s="15"/>
      <c r="P422" s="15"/>
      <c r="T422" s="15"/>
      <c r="X422" s="15"/>
      <c r="AB422" s="15"/>
      <c r="AF422" s="15"/>
      <c r="AJ422" s="15"/>
      <c r="AP422" s="16"/>
      <c r="AQ422" s="16"/>
      <c r="AT422" s="16"/>
      <c r="AU422" s="16"/>
      <c r="AX422" s="16"/>
      <c r="AY422" s="16"/>
    </row>
    <row r="423" spans="8:51" s="14" customFormat="1" x14ac:dyDescent="0.3">
      <c r="H423" s="15"/>
      <c r="L423" s="15"/>
      <c r="P423" s="15"/>
      <c r="T423" s="15"/>
      <c r="X423" s="15"/>
      <c r="AB423" s="15"/>
      <c r="AF423" s="15"/>
      <c r="AJ423" s="15"/>
      <c r="AP423" s="16"/>
      <c r="AQ423" s="16"/>
      <c r="AT423" s="16"/>
      <c r="AU423" s="16"/>
      <c r="AX423" s="16"/>
      <c r="AY423" s="16"/>
    </row>
    <row r="424" spans="8:51" s="14" customFormat="1" x14ac:dyDescent="0.3">
      <c r="H424" s="15"/>
      <c r="L424" s="15"/>
      <c r="P424" s="15"/>
      <c r="T424" s="15"/>
      <c r="X424" s="15"/>
      <c r="AB424" s="15"/>
      <c r="AF424" s="15"/>
      <c r="AJ424" s="15"/>
      <c r="AP424" s="16"/>
      <c r="AQ424" s="16"/>
      <c r="AT424" s="16"/>
      <c r="AU424" s="16"/>
      <c r="AX424" s="16"/>
      <c r="AY424" s="16"/>
    </row>
    <row r="425" spans="8:51" s="14" customFormat="1" x14ac:dyDescent="0.3">
      <c r="H425" s="15"/>
      <c r="L425" s="15"/>
      <c r="P425" s="15"/>
      <c r="T425" s="15"/>
      <c r="X425" s="15"/>
      <c r="AB425" s="15"/>
      <c r="AF425" s="15"/>
      <c r="AJ425" s="15"/>
      <c r="AP425" s="16"/>
      <c r="AQ425" s="16"/>
      <c r="AT425" s="16"/>
      <c r="AU425" s="16"/>
      <c r="AX425" s="16"/>
      <c r="AY425" s="16"/>
    </row>
    <row r="426" spans="8:51" s="14" customFormat="1" x14ac:dyDescent="0.3">
      <c r="H426" s="15"/>
      <c r="L426" s="15"/>
      <c r="P426" s="15"/>
      <c r="T426" s="15"/>
      <c r="X426" s="15"/>
      <c r="AB426" s="15"/>
      <c r="AF426" s="15"/>
      <c r="AJ426" s="15"/>
      <c r="AP426" s="16"/>
      <c r="AQ426" s="16"/>
      <c r="AT426" s="16"/>
      <c r="AU426" s="16"/>
      <c r="AX426" s="16"/>
      <c r="AY426" s="16"/>
    </row>
    <row r="427" spans="8:51" s="14" customFormat="1" x14ac:dyDescent="0.3">
      <c r="H427" s="15"/>
      <c r="L427" s="15"/>
      <c r="P427" s="15"/>
      <c r="T427" s="15"/>
      <c r="X427" s="15"/>
      <c r="AB427" s="15"/>
      <c r="AF427" s="15"/>
      <c r="AJ427" s="15"/>
      <c r="AP427" s="16"/>
      <c r="AQ427" s="16"/>
      <c r="AT427" s="16"/>
      <c r="AU427" s="16"/>
      <c r="AX427" s="16"/>
      <c r="AY427" s="16"/>
    </row>
    <row r="428" spans="8:51" s="14" customFormat="1" x14ac:dyDescent="0.3">
      <c r="H428" s="15"/>
      <c r="L428" s="15"/>
      <c r="P428" s="15"/>
      <c r="T428" s="15"/>
      <c r="X428" s="15"/>
      <c r="AB428" s="15"/>
      <c r="AF428" s="15"/>
      <c r="AJ428" s="15"/>
      <c r="AP428" s="16"/>
      <c r="AQ428" s="16"/>
      <c r="AT428" s="16"/>
      <c r="AU428" s="16"/>
      <c r="AX428" s="16"/>
      <c r="AY428" s="16"/>
    </row>
    <row r="429" spans="8:51" s="14" customFormat="1" x14ac:dyDescent="0.3">
      <c r="H429" s="15"/>
      <c r="L429" s="15"/>
      <c r="P429" s="15"/>
      <c r="T429" s="15"/>
      <c r="X429" s="15"/>
      <c r="AB429" s="15"/>
      <c r="AF429" s="15"/>
      <c r="AJ429" s="15"/>
      <c r="AP429" s="16"/>
      <c r="AQ429" s="16"/>
      <c r="AT429" s="16"/>
      <c r="AU429" s="16"/>
      <c r="AX429" s="16"/>
      <c r="AY429" s="16"/>
    </row>
    <row r="430" spans="8:51" s="14" customFormat="1" x14ac:dyDescent="0.3">
      <c r="H430" s="15"/>
      <c r="L430" s="15"/>
      <c r="P430" s="15"/>
      <c r="T430" s="15"/>
      <c r="X430" s="15"/>
      <c r="AB430" s="15"/>
      <c r="AF430" s="15"/>
      <c r="AJ430" s="15"/>
      <c r="AP430" s="16"/>
      <c r="AQ430" s="16"/>
      <c r="AT430" s="16"/>
      <c r="AU430" s="16"/>
      <c r="AX430" s="16"/>
      <c r="AY430" s="16"/>
    </row>
    <row r="431" spans="8:51" s="14" customFormat="1" x14ac:dyDescent="0.3">
      <c r="H431" s="15"/>
      <c r="L431" s="15"/>
      <c r="P431" s="15"/>
      <c r="T431" s="15"/>
      <c r="X431" s="15"/>
      <c r="AB431" s="15"/>
      <c r="AF431" s="15"/>
      <c r="AJ431" s="15"/>
      <c r="AP431" s="16"/>
      <c r="AQ431" s="16"/>
      <c r="AT431" s="16"/>
      <c r="AU431" s="16"/>
      <c r="AX431" s="16"/>
      <c r="AY431" s="16"/>
    </row>
    <row r="432" spans="8:51" s="14" customFormat="1" x14ac:dyDescent="0.3">
      <c r="H432" s="15"/>
      <c r="L432" s="15"/>
      <c r="P432" s="15"/>
      <c r="T432" s="15"/>
      <c r="X432" s="15"/>
      <c r="AB432" s="15"/>
      <c r="AF432" s="15"/>
      <c r="AJ432" s="15"/>
      <c r="AP432" s="16"/>
      <c r="AQ432" s="16"/>
      <c r="AT432" s="16"/>
      <c r="AU432" s="16"/>
      <c r="AX432" s="16"/>
      <c r="AY432" s="16"/>
    </row>
    <row r="433" spans="8:51" s="14" customFormat="1" x14ac:dyDescent="0.3">
      <c r="H433" s="15"/>
      <c r="L433" s="15"/>
      <c r="P433" s="15"/>
      <c r="T433" s="15"/>
      <c r="X433" s="15"/>
      <c r="AB433" s="15"/>
      <c r="AF433" s="15"/>
      <c r="AJ433" s="15"/>
      <c r="AP433" s="16"/>
      <c r="AQ433" s="16"/>
      <c r="AT433" s="16"/>
      <c r="AU433" s="16"/>
      <c r="AX433" s="16"/>
      <c r="AY433" s="16"/>
    </row>
    <row r="434" spans="8:51" s="14" customFormat="1" x14ac:dyDescent="0.3">
      <c r="H434" s="15"/>
      <c r="L434" s="15"/>
      <c r="P434" s="15"/>
      <c r="T434" s="15"/>
      <c r="X434" s="15"/>
      <c r="AB434" s="15"/>
      <c r="AF434" s="15"/>
      <c r="AJ434" s="15"/>
      <c r="AP434" s="16"/>
      <c r="AQ434" s="16"/>
      <c r="AT434" s="16"/>
      <c r="AU434" s="16"/>
      <c r="AX434" s="16"/>
      <c r="AY434" s="16"/>
    </row>
    <row r="435" spans="8:51" s="14" customFormat="1" x14ac:dyDescent="0.3">
      <c r="H435" s="15"/>
      <c r="L435" s="15"/>
      <c r="P435" s="15"/>
      <c r="T435" s="15"/>
      <c r="X435" s="15"/>
      <c r="AB435" s="15"/>
      <c r="AF435" s="15"/>
      <c r="AJ435" s="15"/>
      <c r="AP435" s="16"/>
      <c r="AQ435" s="16"/>
      <c r="AT435" s="16"/>
      <c r="AU435" s="16"/>
      <c r="AX435" s="16"/>
      <c r="AY435" s="16"/>
    </row>
    <row r="436" spans="8:51" s="14" customFormat="1" x14ac:dyDescent="0.3">
      <c r="H436" s="15"/>
      <c r="L436" s="15"/>
      <c r="P436" s="15"/>
      <c r="T436" s="15"/>
      <c r="X436" s="15"/>
      <c r="AB436" s="15"/>
      <c r="AF436" s="15"/>
      <c r="AJ436" s="15"/>
      <c r="AP436" s="16"/>
      <c r="AQ436" s="16"/>
      <c r="AT436" s="16"/>
      <c r="AU436" s="16"/>
      <c r="AX436" s="16"/>
      <c r="AY436" s="16"/>
    </row>
    <row r="437" spans="8:51" s="14" customFormat="1" x14ac:dyDescent="0.3">
      <c r="H437" s="15"/>
      <c r="L437" s="15"/>
      <c r="P437" s="15"/>
      <c r="T437" s="15"/>
      <c r="X437" s="15"/>
      <c r="AB437" s="15"/>
      <c r="AF437" s="15"/>
      <c r="AJ437" s="15"/>
      <c r="AP437" s="16"/>
      <c r="AQ437" s="16"/>
      <c r="AT437" s="16"/>
      <c r="AU437" s="16"/>
      <c r="AX437" s="16"/>
      <c r="AY437" s="16"/>
    </row>
    <row r="438" spans="8:51" s="14" customFormat="1" x14ac:dyDescent="0.3">
      <c r="H438" s="15"/>
      <c r="L438" s="15"/>
      <c r="P438" s="15"/>
      <c r="T438" s="15"/>
      <c r="X438" s="15"/>
      <c r="AB438" s="15"/>
      <c r="AF438" s="15"/>
      <c r="AJ438" s="15"/>
      <c r="AP438" s="16"/>
      <c r="AQ438" s="16"/>
      <c r="AT438" s="16"/>
      <c r="AU438" s="16"/>
      <c r="AX438" s="16"/>
      <c r="AY438" s="16"/>
    </row>
    <row r="439" spans="8:51" s="14" customFormat="1" x14ac:dyDescent="0.3">
      <c r="H439" s="15"/>
      <c r="L439" s="15"/>
      <c r="P439" s="15"/>
      <c r="T439" s="15"/>
      <c r="X439" s="15"/>
      <c r="AB439" s="15"/>
      <c r="AF439" s="15"/>
      <c r="AJ439" s="15"/>
      <c r="AP439" s="16"/>
      <c r="AQ439" s="16"/>
      <c r="AT439" s="16"/>
      <c r="AU439" s="16"/>
      <c r="AX439" s="16"/>
      <c r="AY439" s="16"/>
    </row>
    <row r="440" spans="8:51" s="14" customFormat="1" x14ac:dyDescent="0.3">
      <c r="H440" s="15"/>
      <c r="L440" s="15"/>
      <c r="P440" s="15"/>
      <c r="T440" s="15"/>
      <c r="X440" s="15"/>
      <c r="AB440" s="15"/>
      <c r="AF440" s="15"/>
      <c r="AJ440" s="15"/>
      <c r="AP440" s="16"/>
      <c r="AQ440" s="16"/>
      <c r="AT440" s="16"/>
      <c r="AU440" s="16"/>
      <c r="AX440" s="16"/>
      <c r="AY440" s="16"/>
    </row>
    <row r="441" spans="8:51" s="14" customFormat="1" x14ac:dyDescent="0.3">
      <c r="H441" s="15"/>
      <c r="L441" s="15"/>
      <c r="P441" s="15"/>
      <c r="T441" s="15"/>
      <c r="X441" s="15"/>
      <c r="AB441" s="15"/>
      <c r="AF441" s="15"/>
      <c r="AJ441" s="15"/>
      <c r="AP441" s="16"/>
      <c r="AQ441" s="16"/>
      <c r="AT441" s="16"/>
      <c r="AU441" s="16"/>
      <c r="AX441" s="16"/>
      <c r="AY441" s="16"/>
    </row>
    <row r="442" spans="8:51" s="14" customFormat="1" x14ac:dyDescent="0.3">
      <c r="H442" s="15"/>
      <c r="L442" s="15"/>
      <c r="P442" s="15"/>
      <c r="T442" s="15"/>
      <c r="X442" s="15"/>
      <c r="AB442" s="15"/>
      <c r="AF442" s="15"/>
      <c r="AJ442" s="15"/>
      <c r="AP442" s="16"/>
      <c r="AQ442" s="16"/>
      <c r="AT442" s="16"/>
      <c r="AU442" s="16"/>
      <c r="AX442" s="16"/>
      <c r="AY442" s="16"/>
    </row>
    <row r="443" spans="8:51" s="14" customFormat="1" x14ac:dyDescent="0.3">
      <c r="H443" s="15"/>
      <c r="L443" s="15"/>
      <c r="P443" s="15"/>
      <c r="T443" s="15"/>
      <c r="X443" s="15"/>
      <c r="AB443" s="15"/>
      <c r="AF443" s="15"/>
      <c r="AJ443" s="15"/>
      <c r="AP443" s="16"/>
      <c r="AQ443" s="16"/>
      <c r="AT443" s="16"/>
      <c r="AU443" s="16"/>
      <c r="AX443" s="16"/>
      <c r="AY443" s="16"/>
    </row>
    <row r="444" spans="8:51" s="14" customFormat="1" x14ac:dyDescent="0.3">
      <c r="H444" s="15"/>
      <c r="L444" s="15"/>
      <c r="P444" s="15"/>
      <c r="T444" s="15"/>
      <c r="X444" s="15"/>
      <c r="AB444" s="15"/>
      <c r="AF444" s="15"/>
      <c r="AJ444" s="15"/>
      <c r="AP444" s="16"/>
      <c r="AQ444" s="16"/>
      <c r="AT444" s="16"/>
      <c r="AU444" s="16"/>
      <c r="AX444" s="16"/>
      <c r="AY444" s="16"/>
    </row>
    <row r="445" spans="8:51" s="14" customFormat="1" x14ac:dyDescent="0.3">
      <c r="H445" s="15"/>
      <c r="L445" s="15"/>
      <c r="P445" s="15"/>
      <c r="T445" s="15"/>
      <c r="X445" s="15"/>
      <c r="AB445" s="15"/>
      <c r="AF445" s="15"/>
      <c r="AJ445" s="15"/>
      <c r="AP445" s="16"/>
      <c r="AQ445" s="16"/>
      <c r="AT445" s="16"/>
      <c r="AU445" s="16"/>
      <c r="AX445" s="16"/>
      <c r="AY445" s="16"/>
    </row>
    <row r="446" spans="8:51" s="14" customFormat="1" x14ac:dyDescent="0.3">
      <c r="H446" s="15"/>
      <c r="L446" s="15"/>
      <c r="P446" s="15"/>
      <c r="T446" s="15"/>
      <c r="X446" s="15"/>
      <c r="AB446" s="15"/>
      <c r="AF446" s="15"/>
      <c r="AJ446" s="15"/>
      <c r="AP446" s="16"/>
      <c r="AQ446" s="16"/>
      <c r="AT446" s="16"/>
      <c r="AU446" s="16"/>
      <c r="AX446" s="16"/>
      <c r="AY446" s="16"/>
    </row>
    <row r="447" spans="8:51" s="14" customFormat="1" x14ac:dyDescent="0.3">
      <c r="H447" s="15"/>
      <c r="L447" s="15"/>
      <c r="P447" s="15"/>
      <c r="T447" s="15"/>
      <c r="X447" s="15"/>
      <c r="AB447" s="15"/>
      <c r="AF447" s="15"/>
      <c r="AJ447" s="15"/>
      <c r="AP447" s="16"/>
      <c r="AQ447" s="16"/>
      <c r="AT447" s="16"/>
      <c r="AU447" s="16"/>
      <c r="AX447" s="16"/>
      <c r="AY447" s="16"/>
    </row>
    <row r="448" spans="8:51" s="14" customFormat="1" x14ac:dyDescent="0.3">
      <c r="H448" s="15"/>
      <c r="L448" s="15"/>
      <c r="P448" s="15"/>
      <c r="T448" s="15"/>
      <c r="X448" s="15"/>
      <c r="AB448" s="15"/>
      <c r="AF448" s="15"/>
      <c r="AJ448" s="15"/>
      <c r="AP448" s="16"/>
      <c r="AQ448" s="16"/>
      <c r="AT448" s="16"/>
      <c r="AU448" s="16"/>
      <c r="AX448" s="16"/>
      <c r="AY448" s="16"/>
    </row>
    <row r="449" spans="1:71" s="14" customFormat="1" x14ac:dyDescent="0.3">
      <c r="H449" s="15"/>
      <c r="L449" s="15"/>
      <c r="P449" s="15"/>
      <c r="T449" s="15"/>
      <c r="X449" s="15"/>
      <c r="AB449" s="15"/>
      <c r="AF449" s="15"/>
      <c r="AJ449" s="15"/>
      <c r="AP449" s="16"/>
      <c r="AQ449" s="16"/>
      <c r="AT449" s="16"/>
      <c r="AU449" s="16"/>
      <c r="AX449" s="16"/>
      <c r="AY449" s="16"/>
    </row>
    <row r="450" spans="1:71" s="14" customFormat="1" x14ac:dyDescent="0.3">
      <c r="H450" s="15"/>
      <c r="L450" s="15"/>
      <c r="P450" s="15"/>
      <c r="T450" s="15"/>
      <c r="X450" s="15"/>
      <c r="AB450" s="15"/>
      <c r="AF450" s="15"/>
      <c r="AJ450" s="15"/>
      <c r="AP450" s="16"/>
      <c r="AQ450" s="16"/>
      <c r="AT450" s="16"/>
      <c r="AU450" s="16"/>
      <c r="AX450" s="16"/>
      <c r="AY450" s="16"/>
    </row>
    <row r="451" spans="1:71" s="14" customFormat="1" x14ac:dyDescent="0.3">
      <c r="H451" s="15"/>
      <c r="L451" s="15"/>
      <c r="P451" s="15"/>
      <c r="T451" s="15"/>
      <c r="X451" s="15"/>
      <c r="AB451" s="15"/>
      <c r="AF451" s="15"/>
      <c r="AJ451" s="15"/>
      <c r="AP451" s="16"/>
      <c r="AQ451" s="16"/>
      <c r="AT451" s="16"/>
      <c r="AU451" s="16"/>
      <c r="AX451" s="16"/>
      <c r="AY451" s="16"/>
    </row>
    <row r="452" spans="1:71" s="14" customFormat="1" x14ac:dyDescent="0.3">
      <c r="H452" s="15"/>
      <c r="L452" s="15"/>
      <c r="P452" s="15"/>
      <c r="T452" s="15"/>
      <c r="X452" s="15"/>
      <c r="AB452" s="15"/>
      <c r="AF452" s="15"/>
      <c r="AJ452" s="15"/>
      <c r="AP452" s="16"/>
      <c r="AQ452" s="16"/>
      <c r="AT452" s="16"/>
      <c r="AU452" s="16"/>
      <c r="AX452" s="16"/>
      <c r="AY452" s="16"/>
    </row>
    <row r="453" spans="1:71" s="14" customFormat="1" x14ac:dyDescent="0.3">
      <c r="H453" s="15"/>
      <c r="L453" s="15"/>
      <c r="P453" s="15"/>
      <c r="T453" s="15"/>
      <c r="X453" s="15"/>
      <c r="AB453" s="15"/>
      <c r="AF453" s="15"/>
      <c r="AJ453" s="15"/>
      <c r="AP453" s="16"/>
      <c r="AQ453" s="16"/>
      <c r="AT453" s="16"/>
      <c r="AU453" s="16"/>
      <c r="AX453" s="16"/>
      <c r="AY453" s="16"/>
    </row>
    <row r="454" spans="1:71" s="14" customFormat="1" x14ac:dyDescent="0.3">
      <c r="H454" s="15"/>
      <c r="L454" s="15"/>
      <c r="P454" s="15"/>
      <c r="T454" s="15"/>
      <c r="X454" s="15"/>
      <c r="AB454" s="15"/>
      <c r="AF454" s="15"/>
      <c r="AJ454" s="15"/>
      <c r="AP454" s="16"/>
      <c r="AQ454" s="16"/>
      <c r="AT454" s="16"/>
      <c r="AU454" s="16"/>
      <c r="AX454" s="16"/>
      <c r="AY454" s="16"/>
    </row>
    <row r="455" spans="1:71" s="14" customFormat="1" x14ac:dyDescent="0.3">
      <c r="H455" s="15"/>
      <c r="L455" s="15"/>
      <c r="P455" s="15"/>
      <c r="T455" s="15"/>
      <c r="X455" s="15"/>
      <c r="AB455" s="15"/>
      <c r="AF455" s="15"/>
      <c r="AJ455" s="15"/>
      <c r="AP455" s="16"/>
      <c r="AQ455" s="16"/>
      <c r="AT455" s="16"/>
      <c r="AU455" s="16"/>
      <c r="AX455" s="16"/>
      <c r="AY455" s="16"/>
    </row>
    <row r="456" spans="1:71" s="14" customFormat="1" x14ac:dyDescent="0.3">
      <c r="H456" s="15"/>
      <c r="L456" s="15"/>
      <c r="P456" s="15"/>
      <c r="T456" s="15"/>
      <c r="X456" s="15"/>
      <c r="AB456" s="15"/>
      <c r="AF456" s="15"/>
      <c r="AJ456" s="15"/>
      <c r="AP456" s="16"/>
      <c r="AQ456" s="16"/>
      <c r="AT456" s="16"/>
      <c r="AU456" s="16"/>
      <c r="AX456" s="16"/>
      <c r="AY456" s="16"/>
    </row>
    <row r="457" spans="1:71" x14ac:dyDescent="0.3">
      <c r="A457" s="14"/>
      <c r="B457" s="14"/>
      <c r="C457" s="14"/>
      <c r="D457" s="14"/>
      <c r="F457" s="14"/>
      <c r="G457" s="14"/>
      <c r="H457" s="15"/>
      <c r="I457" s="14"/>
      <c r="J457" s="14"/>
      <c r="K457" s="14"/>
      <c r="L457" s="15"/>
      <c r="M457" s="14"/>
      <c r="N457" s="14"/>
      <c r="O457" s="14"/>
      <c r="P457" s="15"/>
      <c r="Q457" s="14"/>
      <c r="R457" s="14"/>
      <c r="S457" s="14"/>
      <c r="T457" s="15"/>
      <c r="U457" s="14"/>
      <c r="V457" s="14"/>
      <c r="W457" s="14"/>
      <c r="X457" s="15"/>
      <c r="Y457" s="14"/>
      <c r="Z457" s="14"/>
      <c r="AA457" s="14"/>
      <c r="AB457" s="15"/>
      <c r="AC457" s="14"/>
      <c r="AD457" s="14"/>
      <c r="AE457" s="14"/>
      <c r="AF457" s="15"/>
      <c r="AG457" s="14"/>
      <c r="AH457" s="14"/>
      <c r="AI457" s="14"/>
      <c r="AJ457" s="15"/>
      <c r="AK457" s="14"/>
      <c r="AL457" s="14"/>
      <c r="AM457" s="14"/>
      <c r="AN457" s="14"/>
      <c r="AO457" s="14"/>
      <c r="AP457" s="16"/>
      <c r="AQ457" s="16"/>
      <c r="AR457" s="14"/>
      <c r="AS457" s="14"/>
      <c r="AT457" s="16"/>
      <c r="AU457" s="16"/>
      <c r="AV457" s="14"/>
      <c r="AW457" s="14"/>
      <c r="AX457" s="16"/>
      <c r="AY457" s="16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</row>
  </sheetData>
  <mergeCells count="48">
    <mergeCell ref="AH37:AK37"/>
    <mergeCell ref="AL37:AO37"/>
    <mergeCell ref="AP37:AS37"/>
    <mergeCell ref="AT37:AW37"/>
    <mergeCell ref="AX37:BA37"/>
    <mergeCell ref="N37:Q37"/>
    <mergeCell ref="R37:U37"/>
    <mergeCell ref="V37:Y37"/>
    <mergeCell ref="Z37:AC37"/>
    <mergeCell ref="AD37:AG37"/>
    <mergeCell ref="AH27:AK27"/>
    <mergeCell ref="AL27:AO27"/>
    <mergeCell ref="AP27:AS27"/>
    <mergeCell ref="AT27:AW27"/>
    <mergeCell ref="AX27:BA27"/>
    <mergeCell ref="N27:Q27"/>
    <mergeCell ref="R27:U27"/>
    <mergeCell ref="V27:Y27"/>
    <mergeCell ref="Z27:AC27"/>
    <mergeCell ref="AD27:AG27"/>
    <mergeCell ref="AH17:AK17"/>
    <mergeCell ref="AL17:AO17"/>
    <mergeCell ref="AP17:AS17"/>
    <mergeCell ref="AT17:AW17"/>
    <mergeCell ref="AX17:BA17"/>
    <mergeCell ref="N17:Q17"/>
    <mergeCell ref="R17:U17"/>
    <mergeCell ref="V17:Y17"/>
    <mergeCell ref="Z17:AC17"/>
    <mergeCell ref="AD17:AG17"/>
    <mergeCell ref="AH6:AK6"/>
    <mergeCell ref="AL6:AO6"/>
    <mergeCell ref="AP6:AS6"/>
    <mergeCell ref="AT6:AW6"/>
    <mergeCell ref="AX6:BA6"/>
    <mergeCell ref="N6:Q6"/>
    <mergeCell ref="R6:U6"/>
    <mergeCell ref="V6:Y6"/>
    <mergeCell ref="Z6:AC6"/>
    <mergeCell ref="AD6:AG6"/>
    <mergeCell ref="F37:I37"/>
    <mergeCell ref="J37:M37"/>
    <mergeCell ref="F6:I6"/>
    <mergeCell ref="J6:M6"/>
    <mergeCell ref="F17:I17"/>
    <mergeCell ref="J17:M17"/>
    <mergeCell ref="F27:I27"/>
    <mergeCell ref="J27:M27"/>
  </mergeCells>
  <phoneticPr fontId="1" type="noConversion"/>
  <pageMargins left="0.7" right="0.7" top="0.75" bottom="0.75" header="0.3" footer="0.3"/>
  <pageSetup paperSize="5" scal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A116-CB09-4662-98E9-79C3C0E6BF38}">
  <sheetPr>
    <pageSetUpPr fitToPage="1"/>
  </sheetPr>
  <dimension ref="A3:AO42"/>
  <sheetViews>
    <sheetView view="pageLayout" topLeftCell="AD1" zoomScaleNormal="100" workbookViewId="0">
      <selection activeCell="C2" sqref="C2"/>
    </sheetView>
  </sheetViews>
  <sheetFormatPr defaultRowHeight="14.4" x14ac:dyDescent="0.3"/>
  <cols>
    <col min="3" max="3" width="27.88671875" bestFit="1" customWidth="1"/>
    <col min="4" max="4" width="25.88671875" bestFit="1" customWidth="1"/>
    <col min="5" max="5" width="7.6640625" customWidth="1"/>
    <col min="6" max="6" width="21.6640625" bestFit="1" customWidth="1"/>
    <col min="7" max="7" width="11.88671875" style="7" bestFit="1" customWidth="1"/>
    <col min="8" max="8" width="12.5546875" bestFit="1" customWidth="1"/>
    <col min="9" max="9" width="21.6640625" style="3" bestFit="1" customWidth="1"/>
    <col min="10" max="10" width="11.88671875" style="8" bestFit="1" customWidth="1"/>
    <col min="11" max="11" width="12.5546875" style="3" bestFit="1" customWidth="1"/>
    <col min="12" max="12" width="21.6640625" bestFit="1" customWidth="1"/>
    <col min="13" max="13" width="11.88671875" style="7" bestFit="1" customWidth="1"/>
    <col min="14" max="14" width="12.5546875" bestFit="1" customWidth="1"/>
    <col min="15" max="15" width="21.6640625" style="3" bestFit="1" customWidth="1"/>
    <col min="16" max="16" width="11.88671875" style="8" bestFit="1" customWidth="1"/>
    <col min="17" max="17" width="12.5546875" style="3" bestFit="1" customWidth="1"/>
    <col min="18" max="18" width="21.6640625" bestFit="1" customWidth="1"/>
    <col min="19" max="19" width="11.88671875" style="7" bestFit="1" customWidth="1"/>
    <col min="20" max="20" width="12.5546875" bestFit="1" customWidth="1"/>
    <col min="21" max="21" width="21.6640625" style="3" bestFit="1" customWidth="1"/>
    <col min="22" max="22" width="11.88671875" style="8" bestFit="1" customWidth="1"/>
    <col min="23" max="23" width="12.5546875" style="3" bestFit="1" customWidth="1"/>
    <col min="24" max="24" width="21.6640625" bestFit="1" customWidth="1"/>
    <col min="25" max="25" width="11.88671875" style="7" bestFit="1" customWidth="1"/>
    <col min="26" max="26" width="12.5546875" bestFit="1" customWidth="1"/>
    <col min="27" max="27" width="21.6640625" style="3" bestFit="1" customWidth="1"/>
    <col min="28" max="28" width="11.88671875" style="8" bestFit="1" customWidth="1"/>
    <col min="29" max="29" width="12.5546875" style="3" bestFit="1" customWidth="1"/>
    <col min="30" max="30" width="21.6640625" bestFit="1" customWidth="1"/>
    <col min="31" max="31" width="11.88671875" bestFit="1" customWidth="1"/>
    <col min="32" max="32" width="12.44140625" bestFit="1" customWidth="1"/>
    <col min="33" max="33" width="21.6640625" style="5" bestFit="1" customWidth="1"/>
    <col min="34" max="34" width="11.88671875" style="3" bestFit="1" customWidth="1"/>
    <col min="35" max="35" width="12.44140625" style="3" bestFit="1" customWidth="1"/>
    <col min="36" max="36" width="21.6640625" style="1" bestFit="1" customWidth="1"/>
    <col min="37" max="37" width="11.88671875" bestFit="1" customWidth="1"/>
    <col min="38" max="38" width="12.44140625" bestFit="1" customWidth="1"/>
    <col min="39" max="39" width="21.6640625" style="5" bestFit="1" customWidth="1"/>
    <col min="40" max="40" width="11.88671875" style="3" bestFit="1" customWidth="1"/>
    <col min="41" max="41" width="12.44140625" style="3" bestFit="1" customWidth="1"/>
  </cols>
  <sheetData>
    <row r="3" spans="1:41" x14ac:dyDescent="0.3">
      <c r="A3" s="25" t="s">
        <v>34</v>
      </c>
    </row>
    <row r="4" spans="1:41" x14ac:dyDescent="0.3">
      <c r="F4" s="23" t="s">
        <v>1</v>
      </c>
      <c r="G4" s="23"/>
      <c r="H4" s="23"/>
      <c r="I4" s="24" t="s">
        <v>2</v>
      </c>
      <c r="J4" s="24"/>
      <c r="K4" s="24"/>
      <c r="L4" s="23" t="s">
        <v>3</v>
      </c>
      <c r="M4" s="23"/>
      <c r="N4" s="23"/>
      <c r="O4" s="24" t="s">
        <v>4</v>
      </c>
      <c r="P4" s="24"/>
      <c r="Q4" s="24"/>
      <c r="R4" s="23" t="s">
        <v>5</v>
      </c>
      <c r="S4" s="23"/>
      <c r="T4" s="23"/>
      <c r="U4" s="24" t="s">
        <v>6</v>
      </c>
      <c r="V4" s="24"/>
      <c r="W4" s="24"/>
      <c r="X4" s="23" t="s">
        <v>7</v>
      </c>
      <c r="Y4" s="23"/>
      <c r="Z4" s="23"/>
      <c r="AA4" s="24" t="s">
        <v>8</v>
      </c>
      <c r="AB4" s="24"/>
      <c r="AC4" s="24"/>
      <c r="AD4" s="23" t="s">
        <v>22</v>
      </c>
      <c r="AE4" s="23"/>
      <c r="AF4" s="23"/>
      <c r="AG4" s="24" t="s">
        <v>9</v>
      </c>
      <c r="AH4" s="24"/>
      <c r="AI4" s="24"/>
      <c r="AJ4" s="23" t="s">
        <v>10</v>
      </c>
      <c r="AK4" s="23"/>
      <c r="AL4" s="23"/>
      <c r="AM4" s="24" t="s">
        <v>11</v>
      </c>
      <c r="AN4" s="24"/>
      <c r="AO4" s="24"/>
    </row>
    <row r="5" spans="1:41" x14ac:dyDescent="0.3">
      <c r="A5" t="s">
        <v>0</v>
      </c>
      <c r="B5" s="22">
        <v>2017</v>
      </c>
      <c r="C5" s="22" t="s">
        <v>17</v>
      </c>
      <c r="D5" s="22" t="s">
        <v>35</v>
      </c>
      <c r="E5" s="22"/>
      <c r="F5" s="22" t="s">
        <v>23</v>
      </c>
      <c r="G5" s="10" t="s">
        <v>12</v>
      </c>
      <c r="H5" s="22" t="s">
        <v>16</v>
      </c>
      <c r="I5" s="21" t="s">
        <v>23</v>
      </c>
      <c r="J5" s="9" t="s">
        <v>12</v>
      </c>
      <c r="K5" s="21" t="s">
        <v>16</v>
      </c>
      <c r="L5" s="22" t="s">
        <v>23</v>
      </c>
      <c r="M5" s="10" t="s">
        <v>12</v>
      </c>
      <c r="N5" s="22" t="s">
        <v>16</v>
      </c>
      <c r="O5" s="21" t="s">
        <v>23</v>
      </c>
      <c r="P5" s="9" t="s">
        <v>12</v>
      </c>
      <c r="Q5" s="21" t="s">
        <v>16</v>
      </c>
      <c r="R5" s="22" t="s">
        <v>23</v>
      </c>
      <c r="S5" s="10" t="s">
        <v>12</v>
      </c>
      <c r="T5" s="22" t="s">
        <v>16</v>
      </c>
      <c r="U5" s="21" t="s">
        <v>23</v>
      </c>
      <c r="V5" s="9" t="s">
        <v>12</v>
      </c>
      <c r="W5" s="21" t="s">
        <v>16</v>
      </c>
      <c r="X5" s="22" t="s">
        <v>23</v>
      </c>
      <c r="Y5" s="10" t="s">
        <v>12</v>
      </c>
      <c r="Z5" s="22" t="s">
        <v>16</v>
      </c>
      <c r="AA5" s="21" t="s">
        <v>23</v>
      </c>
      <c r="AB5" s="9" t="s">
        <v>12</v>
      </c>
      <c r="AC5" s="21" t="s">
        <v>16</v>
      </c>
      <c r="AD5" s="22" t="s">
        <v>23</v>
      </c>
      <c r="AE5" s="22" t="s">
        <v>12</v>
      </c>
      <c r="AF5" s="22" t="s">
        <v>16</v>
      </c>
      <c r="AG5" s="21" t="s">
        <v>23</v>
      </c>
      <c r="AH5" s="21" t="s">
        <v>12</v>
      </c>
      <c r="AI5" s="21" t="s">
        <v>16</v>
      </c>
      <c r="AJ5" s="22" t="s">
        <v>23</v>
      </c>
      <c r="AK5" s="22" t="s">
        <v>12</v>
      </c>
      <c r="AL5" s="22" t="s">
        <v>16</v>
      </c>
      <c r="AM5" s="21" t="s">
        <v>23</v>
      </c>
      <c r="AN5" s="21" t="s">
        <v>12</v>
      </c>
      <c r="AO5" s="21" t="s">
        <v>16</v>
      </c>
    </row>
    <row r="6" spans="1:41" x14ac:dyDescent="0.3">
      <c r="C6" t="s">
        <v>18</v>
      </c>
      <c r="D6" s="1">
        <f>AVERAGE(H6,K6,N6,Q6,T6,W6,Z6,AC6,AF6,AI6,AL6,AO6)</f>
        <v>131.32036849536289</v>
      </c>
      <c r="F6" s="1">
        <f>973.14+3187429.98+1629195.42+153282.34</f>
        <v>4970880.88</v>
      </c>
      <c r="G6" s="7">
        <v>33025</v>
      </c>
      <c r="H6" s="1">
        <f>+F6/G6</f>
        <v>150.5187246025738</v>
      </c>
      <c r="I6" s="5">
        <f>33798.24+2562252.43+1338168.44+133318</f>
        <v>4067537.1100000003</v>
      </c>
      <c r="J6" s="8">
        <v>33054</v>
      </c>
      <c r="K6" s="5">
        <f>+I6/J6</f>
        <v>123.05733375688268</v>
      </c>
      <c r="L6" s="1">
        <f>1860.15+2323582.77+1211198.85+129192</f>
        <v>3665833.77</v>
      </c>
      <c r="M6" s="7">
        <v>33090</v>
      </c>
      <c r="N6" s="1">
        <f t="shared" ref="N6:N10" si="0">+L6/M6</f>
        <v>110.78373436083409</v>
      </c>
      <c r="O6" s="5">
        <f>670.21+20+1881302.98+1054358.08+125871.72</f>
        <v>3062222.99</v>
      </c>
      <c r="P6" s="8">
        <v>33088</v>
      </c>
      <c r="Q6" s="5">
        <f t="shared" ref="Q6:Q10" si="1">+O6/P6</f>
        <v>92.547841815764031</v>
      </c>
      <c r="R6" s="1">
        <f>4168.59+2164491.94+1238671.18+128754.82</f>
        <v>3536086.53</v>
      </c>
      <c r="S6" s="7">
        <v>33139</v>
      </c>
      <c r="T6" s="1">
        <f t="shared" ref="T6:T10" si="2">+R6/S6</f>
        <v>106.7046842089381</v>
      </c>
      <c r="U6" s="5">
        <f>871.24+2685272.45+1506781.15+122733.85</f>
        <v>4315658.6900000004</v>
      </c>
      <c r="V6" s="8">
        <v>33159</v>
      </c>
      <c r="W6" s="5">
        <f t="shared" ref="W6:W10" si="3">+U6/V6</f>
        <v>130.15044754063754</v>
      </c>
      <c r="X6" s="1">
        <f>14400+3174806.48+1811124.46+153677.22</f>
        <v>5154008.1599999992</v>
      </c>
      <c r="Y6" s="7">
        <v>33249</v>
      </c>
      <c r="Z6" s="1">
        <f t="shared" ref="Z6:Z10" si="4">+X6/Y6</f>
        <v>155.01242623838309</v>
      </c>
      <c r="AA6" s="5">
        <f>1160+2742012.27+1569350.47+160550.45</f>
        <v>4473073.1900000004</v>
      </c>
      <c r="AB6" s="8">
        <v>33236</v>
      </c>
      <c r="AC6" s="5">
        <f t="shared" ref="AC6:AC10" si="5">+AA6/AB6</f>
        <v>134.58518443856062</v>
      </c>
      <c r="AD6" s="1">
        <f>1775.01+2377748.83+1336614.51+141066.43</f>
        <v>3857204.78</v>
      </c>
      <c r="AE6" s="7">
        <v>33259</v>
      </c>
      <c r="AF6" s="6">
        <f>+AD6/AE6</f>
        <v>115.97476713070145</v>
      </c>
      <c r="AG6" s="5">
        <f>34610+2309588.89+1212202.61+130236.47</f>
        <v>3686637.97</v>
      </c>
      <c r="AH6" s="3">
        <v>33210</v>
      </c>
      <c r="AI6" s="12">
        <f>+AG6/AH6</f>
        <v>111.00987563986752</v>
      </c>
      <c r="AJ6" s="1">
        <f>1034.23+40+3221043.97+1583731.69+140761.34</f>
        <v>4946611.2300000004</v>
      </c>
      <c r="AK6">
        <v>33244</v>
      </c>
      <c r="AL6" s="6">
        <f>+AJ6/AK6</f>
        <v>148.7971131632776</v>
      </c>
      <c r="AM6" s="5">
        <f>6125.15+4266160.69+2098812.32+170039.76</f>
        <v>6541137.9199999999</v>
      </c>
      <c r="AN6" s="3">
        <v>33254</v>
      </c>
      <c r="AO6" s="12">
        <f>+AM6/AN6</f>
        <v>196.70228904793407</v>
      </c>
    </row>
    <row r="7" spans="1:41" x14ac:dyDescent="0.3">
      <c r="C7" t="s">
        <v>19</v>
      </c>
      <c r="D7" s="1">
        <f t="shared" ref="D7:D9" si="6">AVERAGE(H7,K7,N7,Q7,T7,W7,Z7,AC7,AF7,AI7,AL7,AO7)</f>
        <v>489.6880287816345</v>
      </c>
      <c r="F7" s="1">
        <v>980844.62</v>
      </c>
      <c r="G7" s="7">
        <v>1957</v>
      </c>
      <c r="H7" s="1">
        <f t="shared" ref="H7:H9" si="7">+F7/G7</f>
        <v>501.19806847215125</v>
      </c>
      <c r="I7" s="5">
        <v>889569.1</v>
      </c>
      <c r="J7" s="8">
        <v>1957</v>
      </c>
      <c r="K7" s="5">
        <f t="shared" ref="K7:K10" si="8">+I7/J7</f>
        <v>454.55753704649976</v>
      </c>
      <c r="L7" s="1">
        <v>917886.42</v>
      </c>
      <c r="M7" s="7">
        <v>1951</v>
      </c>
      <c r="N7" s="1">
        <f t="shared" si="0"/>
        <v>470.46971809328551</v>
      </c>
      <c r="O7" s="5">
        <v>903273.02</v>
      </c>
      <c r="P7" s="8">
        <v>1970</v>
      </c>
      <c r="Q7" s="5">
        <f t="shared" si="1"/>
        <v>458.51422335025381</v>
      </c>
      <c r="R7" s="1">
        <v>1033082.43</v>
      </c>
      <c r="S7" s="7">
        <v>1992</v>
      </c>
      <c r="T7" s="1">
        <f t="shared" si="2"/>
        <v>518.61567771084344</v>
      </c>
      <c r="U7" s="5">
        <v>1103108.1499999999</v>
      </c>
      <c r="V7" s="8">
        <v>2012</v>
      </c>
      <c r="W7" s="5">
        <f t="shared" si="3"/>
        <v>548.26448807157055</v>
      </c>
      <c r="X7" s="1">
        <v>1195787.1599999999</v>
      </c>
      <c r="Y7" s="7">
        <v>2026</v>
      </c>
      <c r="Z7" s="1">
        <f t="shared" si="4"/>
        <v>590.22071076011844</v>
      </c>
      <c r="AA7" s="5">
        <v>1113645.08</v>
      </c>
      <c r="AB7" s="8">
        <v>2023</v>
      </c>
      <c r="AC7" s="5">
        <f t="shared" si="5"/>
        <v>550.49188334157191</v>
      </c>
      <c r="AD7" s="1">
        <v>925367.76</v>
      </c>
      <c r="AE7" s="7">
        <v>2040</v>
      </c>
      <c r="AF7" s="6">
        <f t="shared" ref="AF7:AF10" si="9">+AD7/AE7</f>
        <v>453.61164705882351</v>
      </c>
      <c r="AG7" s="5">
        <v>836142.51</v>
      </c>
      <c r="AH7" s="3">
        <v>2036</v>
      </c>
      <c r="AI7" s="12">
        <f t="shared" ref="AI7:AI10" si="10">+AG7/AH7</f>
        <v>410.67903241650293</v>
      </c>
      <c r="AJ7" s="1">
        <v>880144.85</v>
      </c>
      <c r="AK7">
        <v>2023</v>
      </c>
      <c r="AL7" s="6">
        <f t="shared" ref="AL7:AL10" si="11">+AJ7/AK7</f>
        <v>435.06913000494313</v>
      </c>
      <c r="AM7" s="5">
        <v>977366.05</v>
      </c>
      <c r="AN7" s="3">
        <v>2017</v>
      </c>
      <c r="AO7" s="12">
        <f t="shared" ref="AO7:AO10" si="12">+AM7/AN7</f>
        <v>484.56422905304913</v>
      </c>
    </row>
    <row r="8" spans="1:41" x14ac:dyDescent="0.3">
      <c r="C8" t="s">
        <v>20</v>
      </c>
      <c r="D8" s="1">
        <f t="shared" si="6"/>
        <v>400240.89208333328</v>
      </c>
      <c r="F8" s="1">
        <v>853157.38</v>
      </c>
      <c r="G8" s="7">
        <v>2</v>
      </c>
      <c r="H8" s="1">
        <f t="shared" si="7"/>
        <v>426578.69</v>
      </c>
      <c r="I8" s="5">
        <v>765461.91</v>
      </c>
      <c r="J8" s="8">
        <v>2</v>
      </c>
      <c r="K8" s="5">
        <f t="shared" si="8"/>
        <v>382730.95500000002</v>
      </c>
      <c r="L8" s="1">
        <v>782488.2</v>
      </c>
      <c r="M8" s="7">
        <v>2</v>
      </c>
      <c r="N8" s="1">
        <f t="shared" si="0"/>
        <v>391244.1</v>
      </c>
      <c r="O8" s="5">
        <v>805413.62</v>
      </c>
      <c r="P8" s="8">
        <v>2</v>
      </c>
      <c r="Q8" s="5">
        <f t="shared" si="1"/>
        <v>402706.81</v>
      </c>
      <c r="R8" s="1">
        <v>826562.81</v>
      </c>
      <c r="S8" s="7">
        <v>2</v>
      </c>
      <c r="T8" s="1">
        <f t="shared" si="2"/>
        <v>413281.40500000003</v>
      </c>
      <c r="U8" s="5">
        <v>827914.25</v>
      </c>
      <c r="V8" s="8">
        <v>2</v>
      </c>
      <c r="W8" s="5">
        <f t="shared" si="3"/>
        <v>413957.125</v>
      </c>
      <c r="X8" s="1">
        <v>815721.86</v>
      </c>
      <c r="Y8" s="7">
        <v>2</v>
      </c>
      <c r="Z8" s="1">
        <f t="shared" si="4"/>
        <v>407860.93</v>
      </c>
      <c r="AA8" s="5">
        <v>856240.14</v>
      </c>
      <c r="AB8" s="8">
        <v>2</v>
      </c>
      <c r="AC8" s="5">
        <f t="shared" si="5"/>
        <v>428120.07</v>
      </c>
      <c r="AD8" s="1">
        <v>738795.75</v>
      </c>
      <c r="AE8" s="7">
        <v>2</v>
      </c>
      <c r="AF8" s="6">
        <f t="shared" si="9"/>
        <v>369397.875</v>
      </c>
      <c r="AG8" s="5">
        <v>814581.97</v>
      </c>
      <c r="AH8" s="3">
        <v>2</v>
      </c>
      <c r="AI8" s="12">
        <f t="shared" si="10"/>
        <v>407290.98499999999</v>
      </c>
      <c r="AJ8" s="1">
        <v>777153.57</v>
      </c>
      <c r="AK8">
        <v>2</v>
      </c>
      <c r="AL8" s="6">
        <f t="shared" si="11"/>
        <v>388576.78499999997</v>
      </c>
      <c r="AM8" s="5">
        <v>742289.95</v>
      </c>
      <c r="AN8" s="3">
        <v>2</v>
      </c>
      <c r="AO8" s="12">
        <f t="shared" si="12"/>
        <v>371144.97499999998</v>
      </c>
    </row>
    <row r="9" spans="1:41" x14ac:dyDescent="0.3">
      <c r="C9" t="s">
        <v>21</v>
      </c>
      <c r="D9" s="1">
        <f t="shared" si="6"/>
        <v>967.6562721214159</v>
      </c>
      <c r="F9" s="1">
        <v>30982.86</v>
      </c>
      <c r="G9" s="7">
        <v>31</v>
      </c>
      <c r="H9" s="1">
        <f t="shared" si="7"/>
        <v>999.4470967741936</v>
      </c>
      <c r="I9" s="5">
        <v>30055.08</v>
      </c>
      <c r="J9" s="8">
        <v>31</v>
      </c>
      <c r="K9" s="5">
        <f t="shared" si="8"/>
        <v>969.51870967741945</v>
      </c>
      <c r="L9" s="1">
        <v>29861.16</v>
      </c>
      <c r="M9" s="7">
        <v>31</v>
      </c>
      <c r="N9" s="1">
        <f t="shared" si="0"/>
        <v>963.2632258064516</v>
      </c>
      <c r="O9" s="5">
        <v>30108.01</v>
      </c>
      <c r="P9" s="8">
        <v>31</v>
      </c>
      <c r="Q9" s="5">
        <f t="shared" si="1"/>
        <v>971.22612903225797</v>
      </c>
      <c r="R9" s="1">
        <v>30456.89</v>
      </c>
      <c r="S9" s="7">
        <v>33</v>
      </c>
      <c r="T9" s="1">
        <f t="shared" si="2"/>
        <v>922.93606060606055</v>
      </c>
      <c r="U9" s="5">
        <v>32252.31</v>
      </c>
      <c r="V9" s="8">
        <v>33</v>
      </c>
      <c r="W9" s="5">
        <f t="shared" si="3"/>
        <v>977.3427272727273</v>
      </c>
      <c r="X9" s="1">
        <v>32037.38</v>
      </c>
      <c r="Y9" s="7">
        <v>33</v>
      </c>
      <c r="Z9" s="1">
        <f t="shared" si="4"/>
        <v>970.82969696969701</v>
      </c>
      <c r="AA9" s="5">
        <v>31716.94</v>
      </c>
      <c r="AB9" s="8">
        <v>33</v>
      </c>
      <c r="AC9" s="5">
        <f t="shared" si="5"/>
        <v>961.11939393939394</v>
      </c>
      <c r="AD9" s="1">
        <v>31072.720000000001</v>
      </c>
      <c r="AE9" s="7">
        <v>33</v>
      </c>
      <c r="AF9" s="6">
        <f t="shared" si="9"/>
        <v>941.59757575757578</v>
      </c>
      <c r="AG9" s="5">
        <v>30950.41</v>
      </c>
      <c r="AH9" s="3">
        <v>33</v>
      </c>
      <c r="AI9" s="12">
        <f t="shared" si="10"/>
        <v>937.89121212121211</v>
      </c>
      <c r="AJ9" s="1">
        <v>32103.61</v>
      </c>
      <c r="AK9">
        <v>32</v>
      </c>
      <c r="AL9" s="6">
        <f t="shared" si="11"/>
        <v>1003.2378125</v>
      </c>
      <c r="AM9" s="5">
        <v>31790.9</v>
      </c>
      <c r="AN9" s="3">
        <v>32</v>
      </c>
      <c r="AO9" s="12">
        <f t="shared" si="12"/>
        <v>993.46562500000005</v>
      </c>
    </row>
    <row r="10" spans="1:41" x14ac:dyDescent="0.3">
      <c r="C10" t="s">
        <v>36</v>
      </c>
      <c r="D10" s="1">
        <f>AVERAGE(H10,K10,N10,Q10,T10,W10,Z10,AC10,AF10,AI10,AL10,AO10)</f>
        <v>175.17940696368603</v>
      </c>
      <c r="F10" s="1">
        <f>SUM(F6:F9)</f>
        <v>6835865.7400000002</v>
      </c>
      <c r="G10" s="7">
        <f>SUM(G6:G9)</f>
        <v>35015</v>
      </c>
      <c r="H10" s="1">
        <f>+F10/G10</f>
        <v>195.22678109381695</v>
      </c>
      <c r="I10" s="5">
        <f t="shared" ref="I10:J10" si="13">SUM(I6:I9)</f>
        <v>5752623.2000000002</v>
      </c>
      <c r="J10" s="11">
        <f t="shared" si="13"/>
        <v>35044</v>
      </c>
      <c r="K10" s="5">
        <f t="shared" si="8"/>
        <v>164.15429745462848</v>
      </c>
      <c r="L10" s="1">
        <f>SUM(L6:L9)</f>
        <v>5396069.5500000007</v>
      </c>
      <c r="M10">
        <f>SUM(M6:M9)</f>
        <v>35074</v>
      </c>
      <c r="N10" s="1">
        <f t="shared" si="0"/>
        <v>153.84813679648744</v>
      </c>
      <c r="O10" s="5">
        <f>SUM(O6:O9)</f>
        <v>4801017.6399999997</v>
      </c>
      <c r="P10" s="8">
        <f>SUM(P6:P9)</f>
        <v>35091</v>
      </c>
      <c r="Q10" s="5">
        <f t="shared" si="1"/>
        <v>136.81621042432531</v>
      </c>
      <c r="R10" s="1">
        <f>SUM(R6:R9)</f>
        <v>5426188.6599999992</v>
      </c>
      <c r="S10" s="7">
        <f>SUM(S6:S9)</f>
        <v>35166</v>
      </c>
      <c r="T10" s="1">
        <f t="shared" si="2"/>
        <v>154.30212876073477</v>
      </c>
      <c r="U10" s="5">
        <f>SUM(U6:U9)</f>
        <v>6278933.3999999994</v>
      </c>
      <c r="V10" s="8">
        <f>SUM(V6:V9)</f>
        <v>35206</v>
      </c>
      <c r="W10" s="5">
        <f t="shared" si="3"/>
        <v>178.34838947906604</v>
      </c>
      <c r="X10" s="1">
        <f>SUM(X6:X9)</f>
        <v>7197554.5599999996</v>
      </c>
      <c r="Y10" s="7">
        <f>SUM(Y6:Y9)</f>
        <v>35310</v>
      </c>
      <c r="Z10" s="1">
        <f t="shared" si="4"/>
        <v>203.83898499008779</v>
      </c>
      <c r="AA10" s="5">
        <f>SUM(AA6:AA9)</f>
        <v>6474675.3500000006</v>
      </c>
      <c r="AB10" s="8">
        <f>SUM(AB6:AB9)</f>
        <v>35294</v>
      </c>
      <c r="AC10" s="5">
        <f t="shared" si="5"/>
        <v>183.44974641582141</v>
      </c>
      <c r="AD10" s="1">
        <f>SUM(AD6:AD9)</f>
        <v>5552441.0099999998</v>
      </c>
      <c r="AE10" s="7">
        <f>SUM(AE6:AE9)</f>
        <v>35334</v>
      </c>
      <c r="AF10" s="6">
        <f t="shared" si="9"/>
        <v>157.14159195109525</v>
      </c>
      <c r="AG10" s="5">
        <f t="shared" ref="AG10:AH10" si="14">SUM(AG6:AG9)</f>
        <v>5368312.8600000003</v>
      </c>
      <c r="AH10" s="13">
        <f t="shared" si="14"/>
        <v>35281</v>
      </c>
      <c r="AI10" s="12">
        <f t="shared" si="10"/>
        <v>152.15875003542985</v>
      </c>
      <c r="AJ10" s="1">
        <f>SUM(AJ6:AJ9)</f>
        <v>6636013.2600000007</v>
      </c>
      <c r="AK10">
        <f>SUM(AK6:AK9)</f>
        <v>35301</v>
      </c>
      <c r="AL10" s="6">
        <f t="shared" si="11"/>
        <v>187.98371887481943</v>
      </c>
      <c r="AM10" s="5">
        <f>SUM(AM6:AM9)</f>
        <v>8292584.8200000003</v>
      </c>
      <c r="AN10" s="3">
        <f>SUM(AN6:AN9)</f>
        <v>35305</v>
      </c>
      <c r="AO10" s="12">
        <f t="shared" si="12"/>
        <v>234.88414728791957</v>
      </c>
    </row>
    <row r="11" spans="1:41" x14ac:dyDescent="0.3">
      <c r="F11" s="1"/>
      <c r="H11" s="1"/>
      <c r="U11" s="5"/>
      <c r="W11" s="5"/>
      <c r="AA11" s="5"/>
      <c r="AC11" s="5"/>
    </row>
    <row r="12" spans="1:41" x14ac:dyDescent="0.3">
      <c r="F12" s="1"/>
    </row>
    <row r="13" spans="1:41" x14ac:dyDescent="0.3">
      <c r="F13" s="1"/>
    </row>
    <row r="14" spans="1:41" x14ac:dyDescent="0.3">
      <c r="F14" s="23" t="s">
        <v>1</v>
      </c>
      <c r="G14" s="23"/>
      <c r="H14" s="23"/>
      <c r="I14" s="24" t="s">
        <v>2</v>
      </c>
      <c r="J14" s="24"/>
      <c r="K14" s="24"/>
      <c r="L14" s="23" t="s">
        <v>3</v>
      </c>
      <c r="M14" s="23"/>
      <c r="N14" s="23"/>
      <c r="O14" s="24" t="s">
        <v>4</v>
      </c>
      <c r="P14" s="24"/>
      <c r="Q14" s="24"/>
      <c r="R14" s="23" t="s">
        <v>5</v>
      </c>
      <c r="S14" s="23"/>
      <c r="T14" s="23"/>
      <c r="U14" s="24" t="s">
        <v>6</v>
      </c>
      <c r="V14" s="24"/>
      <c r="W14" s="24"/>
      <c r="X14" s="23" t="s">
        <v>7</v>
      </c>
      <c r="Y14" s="23"/>
      <c r="Z14" s="23"/>
      <c r="AA14" s="24" t="s">
        <v>8</v>
      </c>
      <c r="AB14" s="24"/>
      <c r="AC14" s="24"/>
      <c r="AD14" s="23" t="s">
        <v>22</v>
      </c>
      <c r="AE14" s="23"/>
      <c r="AF14" s="23"/>
      <c r="AG14" s="24" t="s">
        <v>9</v>
      </c>
      <c r="AH14" s="24"/>
      <c r="AI14" s="24"/>
      <c r="AJ14" s="23" t="s">
        <v>10</v>
      </c>
      <c r="AK14" s="23"/>
      <c r="AL14" s="23"/>
      <c r="AM14" s="24" t="s">
        <v>11</v>
      </c>
      <c r="AN14" s="24"/>
      <c r="AO14" s="24"/>
    </row>
    <row r="15" spans="1:41" x14ac:dyDescent="0.3">
      <c r="A15" t="s">
        <v>13</v>
      </c>
      <c r="B15" s="22">
        <v>2018</v>
      </c>
      <c r="C15" s="22" t="s">
        <v>17</v>
      </c>
      <c r="D15" s="22"/>
      <c r="E15" s="22"/>
      <c r="F15" s="22" t="s">
        <v>23</v>
      </c>
      <c r="G15" s="10" t="s">
        <v>12</v>
      </c>
      <c r="H15" s="22" t="s">
        <v>16</v>
      </c>
      <c r="I15" s="21" t="s">
        <v>23</v>
      </c>
      <c r="J15" s="9" t="s">
        <v>12</v>
      </c>
      <c r="K15" s="21" t="s">
        <v>16</v>
      </c>
      <c r="L15" s="22" t="s">
        <v>23</v>
      </c>
      <c r="M15" s="10" t="s">
        <v>12</v>
      </c>
      <c r="N15" s="22" t="s">
        <v>16</v>
      </c>
      <c r="O15" s="21" t="s">
        <v>23</v>
      </c>
      <c r="P15" s="9" t="s">
        <v>12</v>
      </c>
      <c r="Q15" s="21" t="s">
        <v>16</v>
      </c>
      <c r="R15" s="22" t="s">
        <v>23</v>
      </c>
      <c r="S15" s="10" t="s">
        <v>12</v>
      </c>
      <c r="T15" s="22" t="s">
        <v>16</v>
      </c>
      <c r="U15" s="21" t="s">
        <v>23</v>
      </c>
      <c r="V15" s="9" t="s">
        <v>12</v>
      </c>
      <c r="W15" s="21" t="s">
        <v>16</v>
      </c>
      <c r="X15" s="22" t="s">
        <v>23</v>
      </c>
      <c r="Y15" s="10" t="s">
        <v>12</v>
      </c>
      <c r="Z15" s="22" t="s">
        <v>16</v>
      </c>
      <c r="AA15" s="21" t="s">
        <v>23</v>
      </c>
      <c r="AB15" s="9" t="s">
        <v>12</v>
      </c>
      <c r="AC15" s="21" t="s">
        <v>16</v>
      </c>
      <c r="AD15" s="22" t="s">
        <v>23</v>
      </c>
      <c r="AE15" s="22" t="s">
        <v>12</v>
      </c>
      <c r="AF15" s="22" t="s">
        <v>16</v>
      </c>
      <c r="AG15" s="21" t="s">
        <v>23</v>
      </c>
      <c r="AH15" s="21" t="s">
        <v>12</v>
      </c>
      <c r="AI15" s="21" t="s">
        <v>16</v>
      </c>
      <c r="AJ15" s="22" t="s">
        <v>23</v>
      </c>
      <c r="AK15" s="22" t="s">
        <v>12</v>
      </c>
      <c r="AL15" s="22" t="s">
        <v>16</v>
      </c>
      <c r="AM15" s="21" t="s">
        <v>23</v>
      </c>
      <c r="AN15" s="21" t="s">
        <v>12</v>
      </c>
      <c r="AO15" s="21" t="s">
        <v>16</v>
      </c>
    </row>
    <row r="16" spans="1:41" x14ac:dyDescent="0.3">
      <c r="C16" t="s">
        <v>18</v>
      </c>
      <c r="D16" s="1">
        <f>AVERAGE(H16,K16,N16,Q16,T16,W16,Z16,AC16,AF16,AI16,AL16,AO16)</f>
        <v>146.02512502661645</v>
      </c>
      <c r="F16" s="1">
        <f>1285+50+4689472.59+2397358.5+178237.46</f>
        <v>7266403.5499999998</v>
      </c>
      <c r="G16" s="7">
        <v>33335</v>
      </c>
      <c r="H16" s="1">
        <f>+F16/G16</f>
        <v>217.98120743962801</v>
      </c>
      <c r="I16" s="5">
        <f>4792.95+3073441.96+1622451.36+134907.65</f>
        <v>4835593.9200000009</v>
      </c>
      <c r="J16" s="8">
        <v>33379</v>
      </c>
      <c r="K16" s="5">
        <f>+I16/J16</f>
        <v>144.86934659516464</v>
      </c>
      <c r="L16" s="1">
        <f>19842.08+3120366.19+1603632.09+149433.4</f>
        <v>4893273.7600000007</v>
      </c>
      <c r="M16" s="7">
        <v>33429</v>
      </c>
      <c r="N16" s="1">
        <f t="shared" ref="N16:N20" si="15">+L16/M16</f>
        <v>146.37810763109877</v>
      </c>
      <c r="O16" s="5">
        <f>5990+2478343.28+1359508.21+132633.3</f>
        <v>3976474.7899999996</v>
      </c>
      <c r="P16" s="8">
        <v>33412</v>
      </c>
      <c r="Q16" s="5">
        <f t="shared" ref="Q16:Q20" si="16">+O16/P16</f>
        <v>119.01337214174546</v>
      </c>
      <c r="R16" s="1">
        <f>10+34100+2651369.2+1517671.88+144321.59</f>
        <v>4347472.67</v>
      </c>
      <c r="S16" s="7">
        <v>33440</v>
      </c>
      <c r="T16" s="1">
        <f t="shared" ref="T16:T20" si="17">+R16/S16</f>
        <v>130.00815400717704</v>
      </c>
      <c r="U16" s="5">
        <f>2082.36+3104910.25+1769139.97+136286.91</f>
        <v>5012419.49</v>
      </c>
      <c r="V16" s="8">
        <v>33547</v>
      </c>
      <c r="W16" s="5">
        <f t="shared" ref="W16:W20" si="18">+U16/V16</f>
        <v>149.41483560377978</v>
      </c>
      <c r="X16" s="1">
        <f>3190.27+3122677.34+1805605.67+148070.61</f>
        <v>5079543.8899999997</v>
      </c>
      <c r="Y16" s="7">
        <v>33538</v>
      </c>
      <c r="Z16" s="1">
        <f t="shared" ref="Z16:Z20" si="19">+X16/Y16</f>
        <v>151.45637456020037</v>
      </c>
      <c r="AA16" s="5">
        <f>2990+2772038.99+1582316.53+153883.66</f>
        <v>4511229.1800000006</v>
      </c>
      <c r="AB16" s="8">
        <v>33532</v>
      </c>
      <c r="AC16" s="5">
        <f t="shared" ref="AC16:AC20" si="20">+AA16/AB16</f>
        <v>134.53504652272457</v>
      </c>
      <c r="AD16" s="1">
        <f>4035+2562588.53+1464259.4+140621.09</f>
        <v>4171504.0199999996</v>
      </c>
      <c r="AE16" s="7">
        <v>33538</v>
      </c>
      <c r="AF16" s="6">
        <f>+AD16/AE16</f>
        <v>124.38141868924801</v>
      </c>
      <c r="AG16" s="5">
        <f>2315+2507323.34+1316748.95+123149.2</f>
        <v>3949536.49</v>
      </c>
      <c r="AH16" s="3">
        <v>33506</v>
      </c>
      <c r="AI16" s="12">
        <f>+AG16/AH16</f>
        <v>117.87549961200979</v>
      </c>
      <c r="AJ16" s="1">
        <f>2100+3301961.18+1646435.54+139462.72</f>
        <v>5089959.4400000004</v>
      </c>
      <c r="AK16">
        <v>33502</v>
      </c>
      <c r="AL16" s="6">
        <f>+AJ16/AK16</f>
        <v>151.93001731239926</v>
      </c>
      <c r="AM16" s="5">
        <f>2240+3551701.26+1818756.4+135498.16</f>
        <v>5508195.8200000003</v>
      </c>
      <c r="AN16" s="3">
        <v>33493</v>
      </c>
      <c r="AO16" s="12">
        <f>+AM16/AN16</f>
        <v>164.45812020422179</v>
      </c>
    </row>
    <row r="17" spans="1:41" x14ac:dyDescent="0.3">
      <c r="C17" t="s">
        <v>19</v>
      </c>
      <c r="D17" s="1">
        <f t="shared" ref="D17:D20" si="21">AVERAGE(H17,K17,N17,Q17,T17,W17,Z17,AC17,AF17,AI17,AL17,AO17)</f>
        <v>488.94255278926602</v>
      </c>
      <c r="F17" s="1">
        <v>1012847.03</v>
      </c>
      <c r="G17" s="7">
        <v>2008</v>
      </c>
      <c r="H17" s="1">
        <f t="shared" ref="H17:H20" si="22">+F17/G17</f>
        <v>504.40589143426297</v>
      </c>
      <c r="I17" s="5">
        <v>829720.06</v>
      </c>
      <c r="J17" s="8">
        <v>1987</v>
      </c>
      <c r="K17" s="5">
        <f t="shared" ref="K17:K20" si="23">+I17/J17</f>
        <v>417.57426270759942</v>
      </c>
      <c r="L17" s="1">
        <v>974897.73</v>
      </c>
      <c r="M17" s="7">
        <v>1973</v>
      </c>
      <c r="N17" s="1">
        <f t="shared" si="15"/>
        <v>494.11947795235682</v>
      </c>
      <c r="O17" s="5">
        <v>898134.76</v>
      </c>
      <c r="P17" s="8">
        <v>1970</v>
      </c>
      <c r="Q17" s="5">
        <f t="shared" si="16"/>
        <v>455.90596954314719</v>
      </c>
      <c r="R17" s="1">
        <v>1031469.47</v>
      </c>
      <c r="S17" s="7">
        <v>1967</v>
      </c>
      <c r="T17" s="1">
        <f t="shared" si="17"/>
        <v>524.38712252160644</v>
      </c>
      <c r="U17" s="5">
        <v>1093588.79</v>
      </c>
      <c r="V17" s="8">
        <v>1976</v>
      </c>
      <c r="W17" s="5">
        <f t="shared" si="18"/>
        <v>553.43562246963563</v>
      </c>
      <c r="X17" s="1">
        <v>1147514.71</v>
      </c>
      <c r="Y17" s="7">
        <v>1980</v>
      </c>
      <c r="Z17" s="1">
        <f t="shared" si="19"/>
        <v>579.55288383838376</v>
      </c>
      <c r="AA17" s="5">
        <v>1004619.72</v>
      </c>
      <c r="AB17" s="8">
        <v>1991</v>
      </c>
      <c r="AC17" s="5">
        <f t="shared" si="20"/>
        <v>504.58047212456052</v>
      </c>
      <c r="AD17" s="1">
        <v>953084.23</v>
      </c>
      <c r="AE17" s="7">
        <v>1995</v>
      </c>
      <c r="AF17" s="6">
        <f t="shared" ref="AF17:AF20" si="24">+AD17/AE17</f>
        <v>477.73645614035087</v>
      </c>
      <c r="AG17" s="5">
        <v>862766.43</v>
      </c>
      <c r="AH17" s="3">
        <v>1985</v>
      </c>
      <c r="AI17" s="12">
        <f t="shared" ref="AI17:AI20" si="25">+AG17/AH17</f>
        <v>434.64303778337535</v>
      </c>
      <c r="AJ17" s="1">
        <v>892309.52</v>
      </c>
      <c r="AK17">
        <v>1988</v>
      </c>
      <c r="AL17" s="6">
        <f t="shared" ref="AL17:AL20" si="26">+AJ17/AK17</f>
        <v>448.84784708249498</v>
      </c>
      <c r="AM17" s="5">
        <v>932440.14</v>
      </c>
      <c r="AN17" s="3">
        <v>1975</v>
      </c>
      <c r="AO17" s="12">
        <f t="shared" ref="AO17:AO20" si="27">+AM17/AN17</f>
        <v>472.12158987341775</v>
      </c>
    </row>
    <row r="18" spans="1:41" x14ac:dyDescent="0.3">
      <c r="C18" t="s">
        <v>20</v>
      </c>
      <c r="D18" s="1">
        <f t="shared" si="21"/>
        <v>394334.23291666666</v>
      </c>
      <c r="F18" s="1">
        <v>818401.78</v>
      </c>
      <c r="G18" s="7">
        <v>2</v>
      </c>
      <c r="H18" s="1">
        <f t="shared" si="22"/>
        <v>409200.89</v>
      </c>
      <c r="I18" s="5">
        <v>835733.48</v>
      </c>
      <c r="J18" s="8">
        <v>2</v>
      </c>
      <c r="K18" s="5">
        <f t="shared" si="23"/>
        <v>417866.74</v>
      </c>
      <c r="L18" s="1">
        <v>834780.61</v>
      </c>
      <c r="M18" s="7">
        <v>2</v>
      </c>
      <c r="N18" s="1">
        <f t="shared" si="15"/>
        <v>417390.30499999999</v>
      </c>
      <c r="O18" s="5">
        <v>799013.95</v>
      </c>
      <c r="P18" s="8">
        <v>2</v>
      </c>
      <c r="Q18" s="5">
        <f t="shared" si="16"/>
        <v>399506.97499999998</v>
      </c>
      <c r="R18" s="1">
        <v>831504.81</v>
      </c>
      <c r="S18" s="7">
        <v>2</v>
      </c>
      <c r="T18" s="1">
        <f t="shared" si="17"/>
        <v>415752.40500000003</v>
      </c>
      <c r="U18" s="5">
        <v>793705.04</v>
      </c>
      <c r="V18" s="8">
        <v>2</v>
      </c>
      <c r="W18" s="5">
        <f t="shared" si="18"/>
        <v>396852.52</v>
      </c>
      <c r="X18" s="1">
        <v>770895.31</v>
      </c>
      <c r="Y18" s="7">
        <v>2</v>
      </c>
      <c r="Z18" s="1">
        <f t="shared" si="19"/>
        <v>385447.65500000003</v>
      </c>
      <c r="AA18" s="5">
        <v>773321.91</v>
      </c>
      <c r="AB18" s="8">
        <v>2</v>
      </c>
      <c r="AC18" s="5">
        <f t="shared" si="20"/>
        <v>386660.95500000002</v>
      </c>
      <c r="AD18" s="1">
        <v>737922.62</v>
      </c>
      <c r="AE18" s="7">
        <v>2</v>
      </c>
      <c r="AF18" s="6">
        <f t="shared" si="24"/>
        <v>368961.31</v>
      </c>
      <c r="AG18" s="5">
        <v>765791.92</v>
      </c>
      <c r="AH18" s="3">
        <v>2</v>
      </c>
      <c r="AI18" s="12">
        <f t="shared" si="25"/>
        <v>382895.96</v>
      </c>
      <c r="AJ18" s="1">
        <v>735710.62</v>
      </c>
      <c r="AK18">
        <v>2</v>
      </c>
      <c r="AL18" s="6">
        <f t="shared" si="26"/>
        <v>367855.31</v>
      </c>
      <c r="AM18" s="5">
        <v>767239.54</v>
      </c>
      <c r="AN18" s="3">
        <v>2</v>
      </c>
      <c r="AO18" s="12">
        <f t="shared" si="27"/>
        <v>383619.77</v>
      </c>
    </row>
    <row r="19" spans="1:41" x14ac:dyDescent="0.3">
      <c r="C19" t="s">
        <v>21</v>
      </c>
      <c r="D19" s="1">
        <f t="shared" si="21"/>
        <v>961.00990530303034</v>
      </c>
      <c r="F19" s="1">
        <v>31507.69</v>
      </c>
      <c r="G19" s="7">
        <v>32</v>
      </c>
      <c r="H19" s="1">
        <f t="shared" si="22"/>
        <v>984.61531249999996</v>
      </c>
      <c r="I19" s="5">
        <v>30602.16</v>
      </c>
      <c r="J19" s="8">
        <v>32</v>
      </c>
      <c r="K19" s="5">
        <f t="shared" si="23"/>
        <v>956.3175</v>
      </c>
      <c r="L19" s="1">
        <v>30688.94</v>
      </c>
      <c r="M19" s="7">
        <v>32</v>
      </c>
      <c r="N19" s="1">
        <f t="shared" si="15"/>
        <v>959.02937499999996</v>
      </c>
      <c r="O19" s="5">
        <v>31028.21</v>
      </c>
      <c r="P19" s="8">
        <v>33</v>
      </c>
      <c r="Q19" s="5">
        <f t="shared" si="16"/>
        <v>940.24878787878788</v>
      </c>
      <c r="R19" s="1">
        <v>31198.77</v>
      </c>
      <c r="S19" s="7">
        <v>33</v>
      </c>
      <c r="T19" s="1">
        <f t="shared" si="17"/>
        <v>945.41727272727269</v>
      </c>
      <c r="U19" s="5">
        <v>31363.54</v>
      </c>
      <c r="V19" s="8">
        <v>33</v>
      </c>
      <c r="W19" s="5">
        <f t="shared" si="18"/>
        <v>950.41030303030311</v>
      </c>
      <c r="X19" s="1">
        <v>31511.03</v>
      </c>
      <c r="Y19" s="7">
        <v>32</v>
      </c>
      <c r="Z19" s="1">
        <f t="shared" si="19"/>
        <v>984.71968749999996</v>
      </c>
      <c r="AA19" s="5">
        <v>30371.11</v>
      </c>
      <c r="AB19" s="8">
        <v>32</v>
      </c>
      <c r="AC19" s="5">
        <f t="shared" si="20"/>
        <v>949.09718750000002</v>
      </c>
      <c r="AD19" s="1">
        <v>30637.63</v>
      </c>
      <c r="AE19" s="7">
        <v>32</v>
      </c>
      <c r="AF19" s="6">
        <f t="shared" si="24"/>
        <v>957.42593750000003</v>
      </c>
      <c r="AG19" s="5">
        <v>30610</v>
      </c>
      <c r="AH19" s="3">
        <v>32</v>
      </c>
      <c r="AI19" s="12">
        <f t="shared" si="25"/>
        <v>956.5625</v>
      </c>
      <c r="AJ19" s="1">
        <v>31032.85</v>
      </c>
      <c r="AK19">
        <v>32</v>
      </c>
      <c r="AL19" s="6">
        <f t="shared" si="26"/>
        <v>969.77656249999995</v>
      </c>
      <c r="AM19" s="5">
        <v>31311.95</v>
      </c>
      <c r="AN19" s="3">
        <v>32</v>
      </c>
      <c r="AO19" s="12">
        <f t="shared" si="27"/>
        <v>978.49843750000002</v>
      </c>
    </row>
    <row r="20" spans="1:41" x14ac:dyDescent="0.3">
      <c r="C20" t="s">
        <v>36</v>
      </c>
      <c r="D20" s="1">
        <f t="shared" si="21"/>
        <v>188.13400878681193</v>
      </c>
      <c r="F20" s="1">
        <f>SUM(F16:F19)</f>
        <v>9129160.0499999989</v>
      </c>
      <c r="G20" s="7">
        <f>SUM(G16:G19)</f>
        <v>35377</v>
      </c>
      <c r="H20" s="1">
        <f t="shared" si="22"/>
        <v>258.05353902252875</v>
      </c>
      <c r="I20" s="5">
        <f t="shared" ref="I20:J20" si="28">SUM(I16:I19)</f>
        <v>6531649.620000001</v>
      </c>
      <c r="J20" s="11">
        <f t="shared" si="28"/>
        <v>35400</v>
      </c>
      <c r="K20" s="5">
        <f t="shared" si="23"/>
        <v>184.50987627118647</v>
      </c>
      <c r="L20" s="1">
        <f>SUM(L16:L19)</f>
        <v>6733641.040000001</v>
      </c>
      <c r="M20">
        <f>SUM(M16:M19)</f>
        <v>35436</v>
      </c>
      <c r="N20" s="1">
        <f t="shared" si="15"/>
        <v>190.02260526018742</v>
      </c>
      <c r="O20" s="5">
        <f>SUM(O16:O19)</f>
        <v>5704651.71</v>
      </c>
      <c r="P20" s="8">
        <f>SUM(P16:P19)</f>
        <v>35417</v>
      </c>
      <c r="Q20" s="5">
        <f t="shared" si="16"/>
        <v>161.07100290820793</v>
      </c>
      <c r="R20" s="1">
        <f>SUM(R16:R19)</f>
        <v>6241645.7199999988</v>
      </c>
      <c r="S20" s="7">
        <f>SUM(S16:S19)</f>
        <v>35442</v>
      </c>
      <c r="T20" s="1">
        <f t="shared" si="17"/>
        <v>176.10873314147054</v>
      </c>
      <c r="U20" s="5">
        <f>SUM(U16:U19)</f>
        <v>6931076.8600000003</v>
      </c>
      <c r="V20" s="8">
        <f>SUM(V16:V19)</f>
        <v>35558</v>
      </c>
      <c r="W20" s="5">
        <f t="shared" si="18"/>
        <v>194.92313572191912</v>
      </c>
      <c r="X20" s="1">
        <f>SUM(X16:X19)</f>
        <v>7029464.9400000004</v>
      </c>
      <c r="Y20" s="7">
        <f>SUM(Y16:Y19)</f>
        <v>35552</v>
      </c>
      <c r="Z20" s="1">
        <f t="shared" si="19"/>
        <v>197.72347378487851</v>
      </c>
      <c r="AA20" s="5">
        <f>SUM(AA16:AA19)</f>
        <v>6319541.9200000009</v>
      </c>
      <c r="AB20" s="8">
        <f>SUM(AB16:AB19)</f>
        <v>35557</v>
      </c>
      <c r="AC20" s="5">
        <f t="shared" si="20"/>
        <v>177.72989622296598</v>
      </c>
      <c r="AD20" s="1">
        <f>SUM(AD16:AD19)</f>
        <v>5893148.5</v>
      </c>
      <c r="AE20" s="7">
        <f>SUM(AE16:AE19)</f>
        <v>35567</v>
      </c>
      <c r="AF20" s="6">
        <f t="shared" si="24"/>
        <v>165.69146962071582</v>
      </c>
      <c r="AG20" s="5">
        <f t="shared" ref="AG20:AH20" si="29">SUM(AG16:AG19)</f>
        <v>5608704.8399999999</v>
      </c>
      <c r="AH20" s="13">
        <f t="shared" si="29"/>
        <v>35525</v>
      </c>
      <c r="AI20" s="12">
        <f t="shared" si="25"/>
        <v>157.88050218156226</v>
      </c>
      <c r="AJ20" s="1">
        <f>SUM(AJ16:AJ19)</f>
        <v>6749012.4300000006</v>
      </c>
      <c r="AK20">
        <f>SUM(AK16:AK19)</f>
        <v>35524</v>
      </c>
      <c r="AL20" s="6">
        <f t="shared" si="26"/>
        <v>189.98458591374848</v>
      </c>
      <c r="AM20" s="5">
        <f>SUM(AM16:AM19)</f>
        <v>7239187.4500000002</v>
      </c>
      <c r="AN20" s="3">
        <f>SUM(AN16:AN19)</f>
        <v>35502</v>
      </c>
      <c r="AO20" s="12">
        <f t="shared" si="27"/>
        <v>203.90928539237225</v>
      </c>
    </row>
    <row r="21" spans="1:41" x14ac:dyDescent="0.3">
      <c r="I21" s="5"/>
    </row>
    <row r="24" spans="1:41" x14ac:dyDescent="0.3">
      <c r="F24" s="23" t="s">
        <v>1</v>
      </c>
      <c r="G24" s="23"/>
      <c r="H24" s="23"/>
      <c r="I24" s="24" t="s">
        <v>2</v>
      </c>
      <c r="J24" s="24"/>
      <c r="K24" s="24"/>
      <c r="L24" s="23" t="s">
        <v>3</v>
      </c>
      <c r="M24" s="23"/>
      <c r="N24" s="23"/>
      <c r="O24" s="24" t="s">
        <v>4</v>
      </c>
      <c r="P24" s="24"/>
      <c r="Q24" s="24"/>
      <c r="R24" s="23" t="s">
        <v>5</v>
      </c>
      <c r="S24" s="23"/>
      <c r="T24" s="23"/>
      <c r="U24" s="24" t="s">
        <v>6</v>
      </c>
      <c r="V24" s="24"/>
      <c r="W24" s="24"/>
      <c r="X24" s="23" t="s">
        <v>7</v>
      </c>
      <c r="Y24" s="23"/>
      <c r="Z24" s="23"/>
      <c r="AA24" s="24" t="s">
        <v>8</v>
      </c>
      <c r="AB24" s="24"/>
      <c r="AC24" s="24"/>
      <c r="AD24" s="23" t="s">
        <v>22</v>
      </c>
      <c r="AE24" s="23"/>
      <c r="AF24" s="23"/>
      <c r="AG24" s="24" t="s">
        <v>9</v>
      </c>
      <c r="AH24" s="24"/>
      <c r="AI24" s="24"/>
      <c r="AJ24" s="23" t="s">
        <v>10</v>
      </c>
      <c r="AK24" s="23"/>
      <c r="AL24" s="23"/>
      <c r="AM24" s="24" t="s">
        <v>11</v>
      </c>
      <c r="AN24" s="24"/>
      <c r="AO24" s="24"/>
    </row>
    <row r="25" spans="1:41" x14ac:dyDescent="0.3">
      <c r="A25" t="s">
        <v>14</v>
      </c>
      <c r="B25" s="22">
        <v>2019</v>
      </c>
      <c r="C25" s="22" t="s">
        <v>17</v>
      </c>
      <c r="D25" s="22"/>
      <c r="E25" s="22"/>
      <c r="F25" s="22" t="s">
        <v>23</v>
      </c>
      <c r="G25" s="10" t="s">
        <v>12</v>
      </c>
      <c r="H25" s="22" t="s">
        <v>16</v>
      </c>
      <c r="I25" s="21" t="s">
        <v>23</v>
      </c>
      <c r="J25" s="9" t="s">
        <v>12</v>
      </c>
      <c r="K25" s="21" t="s">
        <v>16</v>
      </c>
      <c r="L25" s="22" t="s">
        <v>23</v>
      </c>
      <c r="M25" s="10" t="s">
        <v>12</v>
      </c>
      <c r="N25" s="22" t="s">
        <v>16</v>
      </c>
      <c r="O25" s="21" t="s">
        <v>23</v>
      </c>
      <c r="P25" s="9" t="s">
        <v>12</v>
      </c>
      <c r="Q25" s="21" t="s">
        <v>16</v>
      </c>
      <c r="R25" s="22" t="s">
        <v>23</v>
      </c>
      <c r="S25" s="10" t="s">
        <v>12</v>
      </c>
      <c r="T25" s="22" t="s">
        <v>16</v>
      </c>
      <c r="U25" s="21" t="s">
        <v>23</v>
      </c>
      <c r="V25" s="9" t="s">
        <v>12</v>
      </c>
      <c r="W25" s="21" t="s">
        <v>16</v>
      </c>
      <c r="X25" s="22" t="s">
        <v>23</v>
      </c>
      <c r="Y25" s="10" t="s">
        <v>12</v>
      </c>
      <c r="Z25" s="22" t="s">
        <v>16</v>
      </c>
      <c r="AA25" s="21" t="s">
        <v>23</v>
      </c>
      <c r="AB25" s="9" t="s">
        <v>12</v>
      </c>
      <c r="AC25" s="21" t="s">
        <v>16</v>
      </c>
      <c r="AD25" s="22" t="s">
        <v>23</v>
      </c>
      <c r="AE25" s="22" t="s">
        <v>12</v>
      </c>
      <c r="AF25" s="22" t="s">
        <v>16</v>
      </c>
      <c r="AG25" s="21" t="s">
        <v>23</v>
      </c>
      <c r="AH25" s="21" t="s">
        <v>12</v>
      </c>
      <c r="AI25" s="21" t="s">
        <v>16</v>
      </c>
      <c r="AJ25" s="22" t="s">
        <v>23</v>
      </c>
      <c r="AK25" s="22" t="s">
        <v>12</v>
      </c>
      <c r="AL25" s="22" t="s">
        <v>16</v>
      </c>
      <c r="AM25" s="21" t="s">
        <v>23</v>
      </c>
      <c r="AN25" s="21" t="s">
        <v>12</v>
      </c>
      <c r="AO25" s="21" t="s">
        <v>16</v>
      </c>
    </row>
    <row r="26" spans="1:41" x14ac:dyDescent="0.3">
      <c r="C26" t="s">
        <v>18</v>
      </c>
      <c r="D26" s="1">
        <f>AVERAGE(H26,K26,N26,Q26,T26,W26,Z26,AC26,AF26,AI26,AL26,AO26)</f>
        <v>139.6491074799988</v>
      </c>
      <c r="F26" s="1">
        <f>2215+4137262.95+2085686.24+164705.94</f>
        <v>6389870.1300000008</v>
      </c>
      <c r="G26" s="7">
        <v>33481</v>
      </c>
      <c r="H26" s="1">
        <f>+F26/G26</f>
        <v>190.8506355843613</v>
      </c>
      <c r="I26" s="5">
        <f>4626.21+3369629.77+1714291.26+141586.94</f>
        <v>5230134.1800000006</v>
      </c>
      <c r="J26" s="8">
        <v>33567</v>
      </c>
      <c r="K26" s="5">
        <f>+I26/J26</f>
        <v>155.81178478863171</v>
      </c>
      <c r="L26" s="1">
        <f>1660.96+2830111.39+1503436.13+127625.05+0</f>
        <v>4462833.53</v>
      </c>
      <c r="M26" s="7">
        <v>33637</v>
      </c>
      <c r="N26" s="1">
        <f t="shared" ref="N26:N30" si="30">+L26/M26</f>
        <v>132.67632458304843</v>
      </c>
      <c r="O26" s="5">
        <f>3760.27+2129852.16+1200712.74+119409.9</f>
        <v>3453735.07</v>
      </c>
      <c r="P26" s="8">
        <v>33604</v>
      </c>
      <c r="Q26" s="5">
        <f t="shared" ref="Q26:Q30" si="31">+O26/P26</f>
        <v>102.77749880966552</v>
      </c>
      <c r="R26" s="1">
        <f>2230.39+2429150.32+1373814.47+129276.01</f>
        <v>3934471.1899999995</v>
      </c>
      <c r="S26" s="7">
        <v>33619</v>
      </c>
      <c r="T26" s="1">
        <f t="shared" ref="T26:T30" si="32">+R26/S26</f>
        <v>117.03117850025282</v>
      </c>
      <c r="U26" s="5">
        <f>4565.45+2773082.56+1589436.19+111442.59</f>
        <v>4478526.79</v>
      </c>
      <c r="V26" s="8">
        <v>33708</v>
      </c>
      <c r="W26" s="5">
        <f t="shared" ref="W26:W30" si="33">+U26/V26</f>
        <v>132.86242998694672</v>
      </c>
      <c r="X26" s="1">
        <f>1202.51+3187885.19+1839927.67+146317.71</f>
        <v>5175333.0799999991</v>
      </c>
      <c r="Y26" s="7">
        <v>33702</v>
      </c>
      <c r="Z26" s="1">
        <f t="shared" ref="Z26:Z30" si="34">+X26/Y26</f>
        <v>153.56160109192331</v>
      </c>
      <c r="AA26" s="5">
        <f>5573.3+3011563.13+1734847.1+159238.17</f>
        <v>4911221.6999999993</v>
      </c>
      <c r="AB26" s="8">
        <v>33711</v>
      </c>
      <c r="AC26" s="5">
        <f t="shared" ref="AC26:AC30" si="35">+AA26/AB26</f>
        <v>145.68602829936813</v>
      </c>
      <c r="AD26" s="1">
        <f>26330+2684258.19+1538140.59+145748.97</f>
        <v>4394477.75</v>
      </c>
      <c r="AE26" s="7">
        <v>33745</v>
      </c>
      <c r="AF26" s="6">
        <f>+AD26/AE26</f>
        <v>130.2260408949474</v>
      </c>
      <c r="AG26" s="5">
        <f>1255+2409801.4+1263122.05+115986.72</f>
        <v>3790165.1700000004</v>
      </c>
      <c r="AH26" s="3">
        <v>33506</v>
      </c>
      <c r="AI26" s="12">
        <f>+AG26/AH26</f>
        <v>113.11899868680237</v>
      </c>
      <c r="AJ26" s="1">
        <f>1905+3158684.92+1598743.71+132931.75</f>
        <v>4892265.38</v>
      </c>
      <c r="AK26">
        <v>33502</v>
      </c>
      <c r="AL26" s="6">
        <f>+AJ26/AK26</f>
        <v>146.02905438481284</v>
      </c>
      <c r="AM26" s="5">
        <f>2225+3357054.53+1710293.18+127124.61</f>
        <v>5196697.32</v>
      </c>
      <c r="AN26" s="3">
        <v>33493</v>
      </c>
      <c r="AO26" s="12">
        <f>+AM26/AN26</f>
        <v>155.15771414922523</v>
      </c>
    </row>
    <row r="27" spans="1:41" x14ac:dyDescent="0.3">
      <c r="C27" t="s">
        <v>19</v>
      </c>
      <c r="D27" s="1">
        <f t="shared" ref="D27:D30" si="36">AVERAGE(H27,K27,N27,Q27,T27,W27,Z27,AC27,AF27,AI27,AL27,AO27)</f>
        <v>487.65633428778943</v>
      </c>
      <c r="F27" s="1">
        <v>1041796.11</v>
      </c>
      <c r="G27" s="7">
        <v>1981</v>
      </c>
      <c r="H27" s="1">
        <f t="shared" ref="H27:H30" si="37">+F27/G27</f>
        <v>525.8940484603736</v>
      </c>
      <c r="I27" s="5">
        <v>847371.7</v>
      </c>
      <c r="J27" s="8">
        <v>2073</v>
      </c>
      <c r="K27" s="5">
        <f t="shared" ref="K27:K30" si="38">+I27/J27</f>
        <v>408.76589483839842</v>
      </c>
      <c r="L27" s="1">
        <v>875647.29</v>
      </c>
      <c r="M27" s="7">
        <v>1986</v>
      </c>
      <c r="N27" s="1">
        <f t="shared" si="30"/>
        <v>440.91001510574017</v>
      </c>
      <c r="O27" s="5">
        <v>830518.08</v>
      </c>
      <c r="P27" s="8">
        <v>1978</v>
      </c>
      <c r="Q27" s="5">
        <f t="shared" si="31"/>
        <v>419.87769464105156</v>
      </c>
      <c r="R27" s="1">
        <v>1008439.89</v>
      </c>
      <c r="S27" s="7">
        <v>1963</v>
      </c>
      <c r="T27" s="1">
        <f t="shared" si="32"/>
        <v>513.72383596535917</v>
      </c>
      <c r="U27" s="5">
        <v>1014420.32</v>
      </c>
      <c r="V27" s="8">
        <v>1990</v>
      </c>
      <c r="W27" s="5">
        <f t="shared" si="33"/>
        <v>509.75895477386933</v>
      </c>
      <c r="X27" s="1">
        <v>1112579.6000000001</v>
      </c>
      <c r="Y27" s="7">
        <v>1973</v>
      </c>
      <c r="Z27" s="1">
        <f t="shared" si="34"/>
        <v>563.90248352762296</v>
      </c>
      <c r="AA27" s="5">
        <v>1083135.2</v>
      </c>
      <c r="AB27" s="8">
        <v>1976</v>
      </c>
      <c r="AC27" s="5">
        <f t="shared" si="35"/>
        <v>548.14534412955459</v>
      </c>
      <c r="AD27" s="1">
        <v>999461</v>
      </c>
      <c r="AE27" s="7">
        <v>1978</v>
      </c>
      <c r="AF27" s="6">
        <f t="shared" ref="AF27:AF30" si="39">+AD27/AE27</f>
        <v>505.28867542972699</v>
      </c>
      <c r="AG27" s="5">
        <v>859286.82</v>
      </c>
      <c r="AH27" s="3">
        <v>1985</v>
      </c>
      <c r="AI27" s="12">
        <f t="shared" ref="AI27:AI30" si="40">+AG27/AH27</f>
        <v>432.89008564231733</v>
      </c>
      <c r="AJ27" s="1">
        <v>871199.19</v>
      </c>
      <c r="AK27">
        <v>1988</v>
      </c>
      <c r="AL27" s="6">
        <f t="shared" ref="AL27:AL30" si="41">+AJ27/AK27</f>
        <v>438.22896881287721</v>
      </c>
      <c r="AM27" s="5">
        <v>1075367.77</v>
      </c>
      <c r="AN27" s="3">
        <v>1975</v>
      </c>
      <c r="AO27" s="12">
        <f t="shared" ref="AO27:AO30" si="42">+AM27/AN27</f>
        <v>544.49001012658232</v>
      </c>
    </row>
    <row r="28" spans="1:41" x14ac:dyDescent="0.3">
      <c r="C28" t="s">
        <v>20</v>
      </c>
      <c r="D28" s="1">
        <f t="shared" si="36"/>
        <v>354173.04541666666</v>
      </c>
      <c r="F28" s="1">
        <v>788368.64</v>
      </c>
      <c r="G28" s="7">
        <v>2</v>
      </c>
      <c r="H28" s="1">
        <f t="shared" si="37"/>
        <v>394184.32</v>
      </c>
      <c r="I28" s="5">
        <v>705333.01</v>
      </c>
      <c r="J28" s="8">
        <v>2</v>
      </c>
      <c r="K28" s="5">
        <f t="shared" si="38"/>
        <v>352666.505</v>
      </c>
      <c r="L28" s="1">
        <v>750768.99</v>
      </c>
      <c r="M28" s="7">
        <v>2</v>
      </c>
      <c r="N28" s="1">
        <f t="shared" si="30"/>
        <v>375384.495</v>
      </c>
      <c r="O28" s="5">
        <v>769192.7</v>
      </c>
      <c r="P28" s="8">
        <v>2</v>
      </c>
      <c r="Q28" s="5">
        <f t="shared" si="31"/>
        <v>384596.35</v>
      </c>
      <c r="R28" s="1">
        <v>775131.61</v>
      </c>
      <c r="S28" s="7">
        <v>2</v>
      </c>
      <c r="T28" s="1">
        <f t="shared" si="32"/>
        <v>387565.80499999999</v>
      </c>
      <c r="U28" s="5">
        <v>763442.63</v>
      </c>
      <c r="V28" s="8">
        <v>2</v>
      </c>
      <c r="W28" s="5">
        <f t="shared" si="33"/>
        <v>381721.315</v>
      </c>
      <c r="X28" s="1">
        <v>697677.94</v>
      </c>
      <c r="Y28" s="7">
        <v>2</v>
      </c>
      <c r="Z28" s="1">
        <f t="shared" si="34"/>
        <v>348838.97</v>
      </c>
      <c r="AA28" s="5">
        <v>718159.15</v>
      </c>
      <c r="AB28" s="8">
        <v>2</v>
      </c>
      <c r="AC28" s="5">
        <f t="shared" si="35"/>
        <v>359079.57500000001</v>
      </c>
      <c r="AD28" s="1">
        <v>635052.75</v>
      </c>
      <c r="AE28" s="7">
        <v>2</v>
      </c>
      <c r="AF28" s="6">
        <f t="shared" si="39"/>
        <v>317526.375</v>
      </c>
      <c r="AG28" s="5">
        <v>663940.99</v>
      </c>
      <c r="AH28" s="3">
        <v>2</v>
      </c>
      <c r="AI28" s="12">
        <f t="shared" si="40"/>
        <v>331970.495</v>
      </c>
      <c r="AJ28" s="1">
        <v>602033.68000000005</v>
      </c>
      <c r="AK28">
        <v>2</v>
      </c>
      <c r="AL28" s="6">
        <f t="shared" si="41"/>
        <v>301016.84000000003</v>
      </c>
      <c r="AM28" s="5">
        <v>631051</v>
      </c>
      <c r="AN28" s="3">
        <v>2</v>
      </c>
      <c r="AO28" s="12">
        <f t="shared" si="42"/>
        <v>315525.5</v>
      </c>
    </row>
    <row r="29" spans="1:41" x14ac:dyDescent="0.3">
      <c r="C29" t="s">
        <v>21</v>
      </c>
      <c r="D29" s="1">
        <f t="shared" si="36"/>
        <v>971.61866792929311</v>
      </c>
      <c r="F29" s="1">
        <v>31586.83</v>
      </c>
      <c r="G29" s="7">
        <v>32</v>
      </c>
      <c r="H29" s="1">
        <f t="shared" si="37"/>
        <v>987.08843750000005</v>
      </c>
      <c r="I29" s="5">
        <v>30336.13</v>
      </c>
      <c r="J29" s="8">
        <v>32</v>
      </c>
      <c r="K29" s="5">
        <f t="shared" si="38"/>
        <v>948.00406250000003</v>
      </c>
      <c r="L29" s="1">
        <v>30547.74</v>
      </c>
      <c r="M29" s="7">
        <v>32</v>
      </c>
      <c r="N29" s="1">
        <f t="shared" si="30"/>
        <v>954.61687500000005</v>
      </c>
      <c r="O29" s="5">
        <v>30834.63</v>
      </c>
      <c r="P29" s="8">
        <v>33</v>
      </c>
      <c r="Q29" s="5">
        <f t="shared" si="31"/>
        <v>934.38272727272727</v>
      </c>
      <c r="R29" s="1">
        <v>31849.51</v>
      </c>
      <c r="S29" s="7">
        <v>33</v>
      </c>
      <c r="T29" s="1">
        <f t="shared" si="32"/>
        <v>965.13666666666666</v>
      </c>
      <c r="U29" s="5">
        <v>31951.26</v>
      </c>
      <c r="V29" s="8">
        <v>33</v>
      </c>
      <c r="W29" s="5">
        <f t="shared" si="33"/>
        <v>968.21999999999991</v>
      </c>
      <c r="X29" s="1">
        <v>32227.47</v>
      </c>
      <c r="Y29" s="7">
        <v>33</v>
      </c>
      <c r="Z29" s="1">
        <f t="shared" si="34"/>
        <v>976.59</v>
      </c>
      <c r="AA29" s="5">
        <v>32222.080000000002</v>
      </c>
      <c r="AB29" s="8">
        <v>33</v>
      </c>
      <c r="AC29" s="5">
        <f t="shared" si="35"/>
        <v>976.42666666666673</v>
      </c>
      <c r="AD29" s="1">
        <v>31612.53</v>
      </c>
      <c r="AE29" s="7">
        <v>33</v>
      </c>
      <c r="AF29" s="6">
        <f t="shared" si="39"/>
        <v>957.95545454545447</v>
      </c>
      <c r="AG29" s="5">
        <v>31541.45</v>
      </c>
      <c r="AH29" s="3">
        <v>32</v>
      </c>
      <c r="AI29" s="12">
        <f t="shared" si="40"/>
        <v>985.67031250000002</v>
      </c>
      <c r="AJ29" s="1">
        <v>31948.27</v>
      </c>
      <c r="AK29">
        <v>32</v>
      </c>
      <c r="AL29" s="6">
        <f t="shared" si="41"/>
        <v>998.38343750000001</v>
      </c>
      <c r="AM29" s="5">
        <v>32222.38</v>
      </c>
      <c r="AN29" s="3">
        <v>32</v>
      </c>
      <c r="AO29" s="12">
        <f t="shared" si="42"/>
        <v>1006.949375</v>
      </c>
    </row>
    <row r="30" spans="1:41" x14ac:dyDescent="0.3">
      <c r="C30" t="s">
        <v>36</v>
      </c>
      <c r="D30" s="1">
        <f t="shared" si="36"/>
        <v>179.3911288057817</v>
      </c>
      <c r="F30" s="1">
        <f>SUM(F26:F29)</f>
        <v>8251621.7100000009</v>
      </c>
      <c r="G30" s="7">
        <f>SUM(G26:G29)</f>
        <v>35496</v>
      </c>
      <c r="H30" s="1">
        <f t="shared" si="37"/>
        <v>232.4662415483435</v>
      </c>
      <c r="I30" s="5">
        <f t="shared" ref="I30:J30" si="43">SUM(I26:I29)</f>
        <v>6813175.0200000005</v>
      </c>
      <c r="J30" s="11">
        <f t="shared" si="43"/>
        <v>35674</v>
      </c>
      <c r="K30" s="5">
        <f t="shared" si="38"/>
        <v>190.98433088523856</v>
      </c>
      <c r="L30" s="1">
        <f>SUM(L26:L29)</f>
        <v>6119797.5500000007</v>
      </c>
      <c r="M30">
        <f>SUM(M26:M29)</f>
        <v>35657</v>
      </c>
      <c r="N30" s="1">
        <f t="shared" si="30"/>
        <v>171.62962531901172</v>
      </c>
      <c r="O30" s="5">
        <f>SUM(O26:O29)</f>
        <v>5084280.4799999995</v>
      </c>
      <c r="P30" s="8">
        <f>SUM(P26:P29)</f>
        <v>35617</v>
      </c>
      <c r="Q30" s="5">
        <f t="shared" si="31"/>
        <v>142.74870090125501</v>
      </c>
      <c r="R30" s="1">
        <f>SUM(R26:R29)</f>
        <v>5749892.1999999993</v>
      </c>
      <c r="S30" s="7">
        <f>SUM(S26:S29)</f>
        <v>35617</v>
      </c>
      <c r="T30" s="1">
        <f t="shared" si="32"/>
        <v>161.43673526686692</v>
      </c>
      <c r="U30" s="5">
        <f>SUM(U26:U29)</f>
        <v>6288341</v>
      </c>
      <c r="V30" s="8">
        <f>SUM(V26:V29)</f>
        <v>35733</v>
      </c>
      <c r="W30" s="5">
        <f t="shared" si="33"/>
        <v>175.9813337810987</v>
      </c>
      <c r="X30" s="1">
        <f>SUM(X26:X29)</f>
        <v>7017818.0899999989</v>
      </c>
      <c r="Y30" s="7">
        <f>SUM(Y26:Y29)</f>
        <v>35710</v>
      </c>
      <c r="Z30" s="1">
        <f t="shared" si="34"/>
        <v>196.52248921870623</v>
      </c>
      <c r="AA30" s="5">
        <f>SUM(AA26:AA29)</f>
        <v>6744738.1299999999</v>
      </c>
      <c r="AB30" s="8">
        <f>SUM(AB26:AB29)</f>
        <v>35722</v>
      </c>
      <c r="AC30" s="5">
        <f t="shared" si="35"/>
        <v>188.81188427299702</v>
      </c>
      <c r="AD30" s="1">
        <f>SUM(AD26:AD29)</f>
        <v>6060604.0300000003</v>
      </c>
      <c r="AE30" s="7">
        <f>SUM(AE26:AE29)</f>
        <v>35758</v>
      </c>
      <c r="AF30" s="6">
        <f t="shared" si="39"/>
        <v>169.48945774372169</v>
      </c>
      <c r="AG30" s="5">
        <f t="shared" ref="AG30" si="44">SUM(AG26:AG29)</f>
        <v>5344934.4300000006</v>
      </c>
      <c r="AH30" s="13">
        <v>35781</v>
      </c>
      <c r="AI30" s="12">
        <f t="shared" si="40"/>
        <v>149.3791238366731</v>
      </c>
      <c r="AJ30" s="1">
        <f>SUM(AJ26:AJ29)</f>
        <v>6397446.5199999996</v>
      </c>
      <c r="AK30">
        <v>35711</v>
      </c>
      <c r="AL30" s="6">
        <f t="shared" si="41"/>
        <v>179.14498389851866</v>
      </c>
      <c r="AM30" s="5">
        <f>SUM(AM26:AM29)</f>
        <v>6935338.4699999997</v>
      </c>
      <c r="AN30" s="3">
        <v>35731</v>
      </c>
      <c r="AO30" s="12">
        <f t="shared" si="42"/>
        <v>194.09863899694943</v>
      </c>
    </row>
    <row r="34" spans="1:41" x14ac:dyDescent="0.3">
      <c r="F34" s="23" t="s">
        <v>1</v>
      </c>
      <c r="G34" s="23"/>
      <c r="H34" s="23"/>
      <c r="I34" s="24" t="s">
        <v>2</v>
      </c>
      <c r="J34" s="24"/>
      <c r="K34" s="24"/>
      <c r="L34" s="23" t="s">
        <v>3</v>
      </c>
      <c r="M34" s="23"/>
      <c r="N34" s="23"/>
      <c r="O34" s="24" t="s">
        <v>4</v>
      </c>
      <c r="P34" s="24"/>
      <c r="Q34" s="24"/>
      <c r="R34" s="23" t="s">
        <v>5</v>
      </c>
      <c r="S34" s="23"/>
      <c r="T34" s="23"/>
      <c r="U34" s="24" t="s">
        <v>6</v>
      </c>
      <c r="V34" s="24"/>
      <c r="W34" s="24"/>
      <c r="X34" s="23" t="s">
        <v>7</v>
      </c>
      <c r="Y34" s="23"/>
      <c r="Z34" s="23"/>
      <c r="AA34" s="24" t="s">
        <v>8</v>
      </c>
      <c r="AB34" s="24"/>
      <c r="AC34" s="24"/>
      <c r="AD34" s="23" t="s">
        <v>22</v>
      </c>
      <c r="AE34" s="23"/>
      <c r="AF34" s="23"/>
      <c r="AG34" s="24" t="s">
        <v>9</v>
      </c>
      <c r="AH34" s="24"/>
      <c r="AI34" s="24"/>
      <c r="AJ34" s="23" t="s">
        <v>10</v>
      </c>
      <c r="AK34" s="23"/>
      <c r="AL34" s="23"/>
      <c r="AM34" s="24" t="s">
        <v>11</v>
      </c>
      <c r="AN34" s="24"/>
      <c r="AO34" s="24"/>
    </row>
    <row r="35" spans="1:41" x14ac:dyDescent="0.3">
      <c r="A35" t="s">
        <v>15</v>
      </c>
      <c r="B35" s="22">
        <v>2020</v>
      </c>
      <c r="C35" s="22" t="s">
        <v>17</v>
      </c>
      <c r="D35" s="22"/>
      <c r="E35" s="22"/>
      <c r="F35" s="22" t="s">
        <v>23</v>
      </c>
      <c r="G35" s="10" t="s">
        <v>12</v>
      </c>
      <c r="H35" s="22" t="s">
        <v>16</v>
      </c>
      <c r="I35" s="21" t="s">
        <v>23</v>
      </c>
      <c r="J35" s="9" t="s">
        <v>12</v>
      </c>
      <c r="K35" s="21" t="s">
        <v>16</v>
      </c>
      <c r="L35" s="22" t="s">
        <v>23</v>
      </c>
      <c r="M35" s="10" t="s">
        <v>12</v>
      </c>
      <c r="N35" s="22" t="s">
        <v>16</v>
      </c>
      <c r="O35" s="21" t="s">
        <v>23</v>
      </c>
      <c r="P35" s="9" t="s">
        <v>12</v>
      </c>
      <c r="Q35" s="21" t="s">
        <v>16</v>
      </c>
      <c r="R35" s="22" t="s">
        <v>23</v>
      </c>
      <c r="S35" s="10" t="s">
        <v>12</v>
      </c>
      <c r="T35" s="22" t="s">
        <v>16</v>
      </c>
      <c r="U35" s="21" t="s">
        <v>23</v>
      </c>
      <c r="V35" s="9" t="s">
        <v>12</v>
      </c>
      <c r="W35" s="21" t="s">
        <v>16</v>
      </c>
      <c r="X35" s="22" t="s">
        <v>23</v>
      </c>
      <c r="Y35" s="10" t="s">
        <v>12</v>
      </c>
      <c r="Z35" s="22" t="s">
        <v>16</v>
      </c>
      <c r="AA35" s="21" t="s">
        <v>23</v>
      </c>
      <c r="AB35" s="9" t="s">
        <v>12</v>
      </c>
      <c r="AC35" s="21" t="s">
        <v>16</v>
      </c>
      <c r="AD35" s="22" t="s">
        <v>23</v>
      </c>
      <c r="AE35" s="22" t="s">
        <v>12</v>
      </c>
      <c r="AF35" s="22" t="s">
        <v>16</v>
      </c>
      <c r="AG35" s="21" t="s">
        <v>23</v>
      </c>
      <c r="AH35" s="21" t="s">
        <v>12</v>
      </c>
      <c r="AI35" s="21" t="s">
        <v>16</v>
      </c>
      <c r="AJ35" s="22" t="s">
        <v>23</v>
      </c>
      <c r="AK35" s="22" t="s">
        <v>12</v>
      </c>
      <c r="AL35" s="22" t="s">
        <v>16</v>
      </c>
      <c r="AM35" s="21" t="s">
        <v>23</v>
      </c>
      <c r="AN35" s="21" t="s">
        <v>12</v>
      </c>
      <c r="AO35" s="21" t="s">
        <v>16</v>
      </c>
    </row>
    <row r="36" spans="1:41" x14ac:dyDescent="0.3">
      <c r="C36" t="s">
        <v>18</v>
      </c>
      <c r="D36" s="1">
        <f>AVERAGE(H36,K36,N36,Q36,T36)</f>
        <v>129.52192950527575</v>
      </c>
      <c r="F36" s="1">
        <f>3689275.36+1862581.47+150643.1+1694.75</f>
        <v>5704194.6799999997</v>
      </c>
      <c r="G36" s="7">
        <v>33682</v>
      </c>
      <c r="H36" s="1">
        <f>+F36/G36</f>
        <v>169.35439344456978</v>
      </c>
      <c r="I36" s="5">
        <f>2143.96+3227874.17+1662569.86+131164.98</f>
        <v>5023752.9700000007</v>
      </c>
      <c r="J36" s="8">
        <v>33762</v>
      </c>
      <c r="K36" s="5">
        <f>+I36/J36</f>
        <v>148.79903352881939</v>
      </c>
      <c r="L36" s="1">
        <f>5470+2505119.17+1330265.37+90197.72</f>
        <v>3931052.2600000002</v>
      </c>
      <c r="M36" s="7">
        <v>33828</v>
      </c>
      <c r="N36" s="1">
        <f t="shared" ref="N36:N40" si="45">+L36/M36</f>
        <v>116.20705510228214</v>
      </c>
      <c r="O36" s="5">
        <f>1179.92+2244801.55+1216325.5+76179.24</f>
        <v>3538486.21</v>
      </c>
      <c r="P36" s="8">
        <v>33883</v>
      </c>
      <c r="Q36" s="5">
        <f t="shared" ref="Q36:Q40" si="46">+O36/P36</f>
        <v>104.43249446625151</v>
      </c>
      <c r="R36" s="1">
        <f>73532.81+1316481.76+2306270.11</f>
        <v>3696284.6799999997</v>
      </c>
      <c r="S36" s="7">
        <f>21286+12459+223</f>
        <v>33968</v>
      </c>
      <c r="T36" s="1">
        <f t="shared" ref="T36:T40" si="47">+R36/S36</f>
        <v>108.81667098445595</v>
      </c>
      <c r="U36" s="5"/>
      <c r="W36" s="5" t="e">
        <f t="shared" ref="W36:W39" si="48">+U36/V36</f>
        <v>#DIV/0!</v>
      </c>
      <c r="X36" s="1"/>
      <c r="Z36" s="1" t="e">
        <f t="shared" ref="Z36:Z39" si="49">+X36/Y36</f>
        <v>#DIV/0!</v>
      </c>
      <c r="AA36" s="5"/>
      <c r="AC36" s="5" t="e">
        <f t="shared" ref="AC36:AC39" si="50">+AA36/AB36</f>
        <v>#DIV/0!</v>
      </c>
      <c r="AD36" s="1"/>
      <c r="AE36" s="7"/>
      <c r="AF36" s="6" t="e">
        <f>+AD36/AE36</f>
        <v>#DIV/0!</v>
      </c>
      <c r="AI36" s="12" t="e">
        <f>+AG36/AH36</f>
        <v>#DIV/0!</v>
      </c>
      <c r="AL36" s="6" t="e">
        <f>+AJ36/AK36</f>
        <v>#DIV/0!</v>
      </c>
      <c r="AO36" s="12" t="e">
        <f>+AM36/AN36</f>
        <v>#DIV/0!</v>
      </c>
    </row>
    <row r="37" spans="1:41" x14ac:dyDescent="0.3">
      <c r="C37" t="s">
        <v>19</v>
      </c>
      <c r="D37" s="1">
        <f t="shared" ref="D37:D40" si="51">AVERAGE(H37,K37,N37,Q37,T37)</f>
        <v>401.06339823634886</v>
      </c>
      <c r="F37" s="1">
        <v>961726.79</v>
      </c>
      <c r="G37" s="7">
        <v>1992</v>
      </c>
      <c r="H37" s="1">
        <f t="shared" ref="H37:H40" si="52">+F37/G37</f>
        <v>482.79457329317273</v>
      </c>
      <c r="I37" s="5">
        <v>828183.19</v>
      </c>
      <c r="J37" s="8">
        <v>1994</v>
      </c>
      <c r="K37" s="5">
        <f t="shared" ref="K37:K40" si="53">+I37/J37</f>
        <v>415.33760782347036</v>
      </c>
      <c r="L37" s="1">
        <v>759983.54</v>
      </c>
      <c r="M37" s="7">
        <v>1989</v>
      </c>
      <c r="N37" s="1">
        <f t="shared" si="45"/>
        <v>382.09328305681248</v>
      </c>
      <c r="O37" s="5">
        <v>666308.64</v>
      </c>
      <c r="P37" s="8">
        <v>1992</v>
      </c>
      <c r="Q37" s="5">
        <f t="shared" si="46"/>
        <v>334.4922891566265</v>
      </c>
      <c r="R37" s="1">
        <v>763621.51</v>
      </c>
      <c r="S37" s="7">
        <v>1955</v>
      </c>
      <c r="T37" s="1">
        <f t="shared" si="47"/>
        <v>390.59923785166239</v>
      </c>
      <c r="U37" s="5"/>
      <c r="W37" s="5" t="e">
        <f t="shared" si="48"/>
        <v>#DIV/0!</v>
      </c>
      <c r="X37" s="1"/>
      <c r="Z37" s="1" t="e">
        <f t="shared" si="49"/>
        <v>#DIV/0!</v>
      </c>
      <c r="AA37" s="5"/>
      <c r="AC37" s="5" t="e">
        <f t="shared" si="50"/>
        <v>#DIV/0!</v>
      </c>
      <c r="AD37" s="1"/>
      <c r="AE37" s="7"/>
      <c r="AF37" s="6" t="e">
        <f t="shared" ref="AF37:AF39" si="54">+AD37/AE37</f>
        <v>#DIV/0!</v>
      </c>
      <c r="AI37" s="12" t="e">
        <f t="shared" ref="AI37:AI39" si="55">+AG37/AH37</f>
        <v>#DIV/0!</v>
      </c>
      <c r="AL37" s="6" t="e">
        <f t="shared" ref="AL37:AL39" si="56">+AJ37/AK37</f>
        <v>#DIV/0!</v>
      </c>
      <c r="AO37" s="12" t="e">
        <f t="shared" ref="AO37:AO39" si="57">+AM37/AN37</f>
        <v>#DIV/0!</v>
      </c>
    </row>
    <row r="38" spans="1:41" x14ac:dyDescent="0.3">
      <c r="C38" t="s">
        <v>20</v>
      </c>
      <c r="D38" s="1">
        <f t="shared" si="51"/>
        <v>226858.38600000003</v>
      </c>
      <c r="F38" s="1">
        <v>606143.05000000005</v>
      </c>
      <c r="G38" s="7">
        <v>2</v>
      </c>
      <c r="H38" s="1">
        <f t="shared" si="52"/>
        <v>303071.52500000002</v>
      </c>
      <c r="I38" s="5">
        <v>548941.72</v>
      </c>
      <c r="J38" s="8">
        <v>2</v>
      </c>
      <c r="K38" s="5">
        <f t="shared" si="53"/>
        <v>274470.86</v>
      </c>
      <c r="L38" s="1">
        <v>470518.51</v>
      </c>
      <c r="M38" s="7">
        <v>2</v>
      </c>
      <c r="N38" s="1">
        <f t="shared" si="45"/>
        <v>235259.255</v>
      </c>
      <c r="O38" s="5">
        <v>295207.3</v>
      </c>
      <c r="P38" s="8">
        <v>2</v>
      </c>
      <c r="Q38" s="5">
        <f t="shared" si="46"/>
        <v>147603.65</v>
      </c>
      <c r="R38" s="1">
        <v>347773.28</v>
      </c>
      <c r="S38" s="7">
        <v>2</v>
      </c>
      <c r="T38" s="1">
        <f t="shared" si="47"/>
        <v>173886.64</v>
      </c>
      <c r="U38" s="5"/>
      <c r="W38" s="5" t="e">
        <f t="shared" si="48"/>
        <v>#DIV/0!</v>
      </c>
      <c r="X38" s="1"/>
      <c r="Z38" s="1" t="e">
        <f t="shared" si="49"/>
        <v>#DIV/0!</v>
      </c>
      <c r="AA38" s="5"/>
      <c r="AC38" s="5" t="e">
        <f t="shared" si="50"/>
        <v>#DIV/0!</v>
      </c>
      <c r="AD38" s="1"/>
      <c r="AE38" s="7"/>
      <c r="AF38" s="6" t="e">
        <f t="shared" si="54"/>
        <v>#DIV/0!</v>
      </c>
      <c r="AI38" s="12" t="e">
        <f t="shared" si="55"/>
        <v>#DIV/0!</v>
      </c>
      <c r="AL38" s="6" t="e">
        <f t="shared" si="56"/>
        <v>#DIV/0!</v>
      </c>
      <c r="AO38" s="12" t="e">
        <f t="shared" si="57"/>
        <v>#DIV/0!</v>
      </c>
    </row>
    <row r="39" spans="1:41" x14ac:dyDescent="0.3">
      <c r="C39" t="s">
        <v>21</v>
      </c>
      <c r="D39" s="1">
        <f t="shared" si="51"/>
        <v>987.2874374999999</v>
      </c>
      <c r="F39" s="1">
        <v>32341.52</v>
      </c>
      <c r="G39" s="7">
        <v>32</v>
      </c>
      <c r="H39" s="1">
        <f t="shared" si="52"/>
        <v>1010.6725</v>
      </c>
      <c r="I39" s="5">
        <v>31168.35</v>
      </c>
      <c r="J39" s="8">
        <v>32</v>
      </c>
      <c r="K39" s="5">
        <f t="shared" si="53"/>
        <v>974.01093749999995</v>
      </c>
      <c r="L39" s="1">
        <v>31276.9</v>
      </c>
      <c r="M39" s="7">
        <v>32</v>
      </c>
      <c r="N39" s="1">
        <f t="shared" si="45"/>
        <v>977.40312500000005</v>
      </c>
      <c r="O39" s="5">
        <v>31452.69</v>
      </c>
      <c r="P39" s="8">
        <v>32</v>
      </c>
      <c r="Q39" s="5">
        <f t="shared" si="46"/>
        <v>982.89656249999996</v>
      </c>
      <c r="R39" s="1">
        <v>31726.53</v>
      </c>
      <c r="S39" s="7">
        <v>32</v>
      </c>
      <c r="T39" s="1">
        <f t="shared" si="47"/>
        <v>991.45406249999996</v>
      </c>
      <c r="U39" s="5"/>
      <c r="W39" s="5" t="e">
        <f t="shared" si="48"/>
        <v>#DIV/0!</v>
      </c>
      <c r="X39" s="1"/>
      <c r="Z39" s="1" t="e">
        <f t="shared" si="49"/>
        <v>#DIV/0!</v>
      </c>
      <c r="AA39" s="5"/>
      <c r="AC39" s="5" t="e">
        <f t="shared" si="50"/>
        <v>#DIV/0!</v>
      </c>
      <c r="AD39" s="1"/>
      <c r="AE39" s="7"/>
      <c r="AF39" s="6" t="e">
        <f t="shared" si="54"/>
        <v>#DIV/0!</v>
      </c>
      <c r="AI39" s="12" t="e">
        <f t="shared" si="55"/>
        <v>#DIV/0!</v>
      </c>
      <c r="AL39" s="6" t="e">
        <f t="shared" si="56"/>
        <v>#DIV/0!</v>
      </c>
      <c r="AO39" s="12" t="e">
        <f t="shared" si="57"/>
        <v>#DIV/0!</v>
      </c>
    </row>
    <row r="40" spans="1:41" x14ac:dyDescent="0.3">
      <c r="C40" t="s">
        <v>36</v>
      </c>
      <c r="D40" s="1">
        <f t="shared" si="51"/>
        <v>157.98038226631633</v>
      </c>
      <c r="F40" s="1">
        <f>SUM(F36:F39)</f>
        <v>7304406.0399999991</v>
      </c>
      <c r="G40" s="7">
        <f>SUM(G36:G39)</f>
        <v>35708</v>
      </c>
      <c r="H40" s="1">
        <f t="shared" si="52"/>
        <v>204.55937156939618</v>
      </c>
      <c r="I40" s="5">
        <f t="shared" ref="I40:J40" si="58">SUM(I36:I39)</f>
        <v>6432046.2299999995</v>
      </c>
      <c r="J40" s="11">
        <f t="shared" si="58"/>
        <v>35790</v>
      </c>
      <c r="K40" s="5">
        <f t="shared" si="53"/>
        <v>179.71629589270745</v>
      </c>
      <c r="L40" s="1">
        <f>SUM(L36:L39)</f>
        <v>5192831.2100000009</v>
      </c>
      <c r="M40">
        <f>SUM(M36:M39)</f>
        <v>35851</v>
      </c>
      <c r="N40" s="1">
        <f t="shared" si="45"/>
        <v>144.84480795514773</v>
      </c>
      <c r="O40" s="5">
        <f>SUM(O36:O39)</f>
        <v>4531454.84</v>
      </c>
      <c r="P40" s="8">
        <f>SUM(P36:P39)</f>
        <v>35909</v>
      </c>
      <c r="Q40" s="5">
        <f t="shared" si="46"/>
        <v>126.19273274109554</v>
      </c>
      <c r="R40" s="1">
        <f>SUM(R36:R39)</f>
        <v>4839406</v>
      </c>
      <c r="S40" s="7">
        <f>SUM(S36:S39)</f>
        <v>35957</v>
      </c>
      <c r="T40" s="1">
        <f t="shared" si="47"/>
        <v>134.58870317323471</v>
      </c>
      <c r="U40" s="5">
        <f>SUM(U36:U39)</f>
        <v>0</v>
      </c>
      <c r="V40" s="8">
        <f>SUM(V36:V39)</f>
        <v>0</v>
      </c>
      <c r="W40" s="5"/>
      <c r="X40" s="1">
        <f>SUM(X36:X39)</f>
        <v>0</v>
      </c>
      <c r="Y40" s="7">
        <f>SUM(Y36:Y39)</f>
        <v>0</v>
      </c>
      <c r="Z40" s="1"/>
      <c r="AA40" s="5">
        <f>SUM(AA36:AA39)</f>
        <v>0</v>
      </c>
      <c r="AB40" s="8">
        <f>SUM(AB36:AB39)</f>
        <v>0</v>
      </c>
      <c r="AC40" s="5"/>
      <c r="AD40" s="1">
        <f>SUM(AD36:AD39)</f>
        <v>0</v>
      </c>
      <c r="AE40" s="7">
        <f>SUM(AE36:AE39)</f>
        <v>0</v>
      </c>
      <c r="AG40" s="5">
        <f t="shared" ref="AG40:AH40" si="59">SUM(AG36:AG39)</f>
        <v>0</v>
      </c>
      <c r="AH40" s="13">
        <f t="shared" si="59"/>
        <v>0</v>
      </c>
      <c r="AJ40" s="1">
        <f>SUM(AJ36:AJ39)</f>
        <v>0</v>
      </c>
      <c r="AK40">
        <f>SUM(AK36:AK39)</f>
        <v>0</v>
      </c>
      <c r="AM40" s="5">
        <f>SUM(AM36:AM39)</f>
        <v>0</v>
      </c>
      <c r="AN40" s="3">
        <f>SUM(AN36:AN39)</f>
        <v>0</v>
      </c>
    </row>
    <row r="41" spans="1:41" x14ac:dyDescent="0.3">
      <c r="F41">
        <f>6914130.41+324382.89+3345.84+10352.96+2553.83+3409.18+46230.93</f>
        <v>7304406.0399999991</v>
      </c>
    </row>
    <row r="42" spans="1:41" x14ac:dyDescent="0.3">
      <c r="F42" s="1">
        <f>+F41-F40</f>
        <v>0</v>
      </c>
    </row>
  </sheetData>
  <mergeCells count="48">
    <mergeCell ref="X34:Z34"/>
    <mergeCell ref="AA34:AC34"/>
    <mergeCell ref="AD34:AF34"/>
    <mergeCell ref="AG34:AI34"/>
    <mergeCell ref="AJ34:AL34"/>
    <mergeCell ref="AM34:AO34"/>
    <mergeCell ref="F34:H34"/>
    <mergeCell ref="I34:K34"/>
    <mergeCell ref="L34:N34"/>
    <mergeCell ref="O34:Q34"/>
    <mergeCell ref="R34:T34"/>
    <mergeCell ref="U34:W34"/>
    <mergeCell ref="X24:Z24"/>
    <mergeCell ref="AA24:AC24"/>
    <mergeCell ref="AD24:AF24"/>
    <mergeCell ref="AG24:AI24"/>
    <mergeCell ref="AJ24:AL24"/>
    <mergeCell ref="AM24:AO24"/>
    <mergeCell ref="F24:H24"/>
    <mergeCell ref="I24:K24"/>
    <mergeCell ref="L24:N24"/>
    <mergeCell ref="O24:Q24"/>
    <mergeCell ref="R24:T24"/>
    <mergeCell ref="U24:W24"/>
    <mergeCell ref="X14:Z14"/>
    <mergeCell ref="AA14:AC14"/>
    <mergeCell ref="AD14:AF14"/>
    <mergeCell ref="AG14:AI14"/>
    <mergeCell ref="AJ14:AL14"/>
    <mergeCell ref="AM14:AO14"/>
    <mergeCell ref="F14:H14"/>
    <mergeCell ref="I14:K14"/>
    <mergeCell ref="L14:N14"/>
    <mergeCell ref="O14:Q14"/>
    <mergeCell ref="R14:T14"/>
    <mergeCell ref="U14:W14"/>
    <mergeCell ref="X4:Z4"/>
    <mergeCell ref="AA4:AC4"/>
    <mergeCell ref="AD4:AF4"/>
    <mergeCell ref="AG4:AI4"/>
    <mergeCell ref="AJ4:AL4"/>
    <mergeCell ref="AM4:AO4"/>
    <mergeCell ref="F4:H4"/>
    <mergeCell ref="I4:K4"/>
    <mergeCell ref="L4:N4"/>
    <mergeCell ref="O4:Q4"/>
    <mergeCell ref="R4:T4"/>
    <mergeCell ref="U4:W4"/>
  </mergeCells>
  <printOptions horizontalCentered="1" verticalCentered="1"/>
  <pageMargins left="0.7" right="0.7" top="0.75" bottom="0.75" header="0.3" footer="0.3"/>
  <pageSetup scale="10" fitToWidth="0" orientation="landscape" r:id="rId1"/>
  <headerFooter>
    <oddHeader>&amp;RExhibit 6
Page &amp;P of &amp;N
Witness:  Gregory R. Lee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F76CA-34B5-4EB2-BF40-1AE54504F14D}">
  <dimension ref="A3:F65"/>
  <sheetViews>
    <sheetView view="pageLayout" topLeftCell="A37" zoomScaleNormal="100" workbookViewId="0">
      <selection activeCell="A44" sqref="A44:XFD44"/>
    </sheetView>
  </sheetViews>
  <sheetFormatPr defaultRowHeight="15.6" x14ac:dyDescent="0.3"/>
  <cols>
    <col min="1" max="1" width="9" style="27" bestFit="1" customWidth="1"/>
    <col min="2" max="2" width="8.88671875" style="27"/>
    <col min="3" max="3" width="12.5546875" style="27" bestFit="1" customWidth="1"/>
    <col min="4" max="4" width="17.33203125" style="27" bestFit="1" customWidth="1"/>
    <col min="5" max="16384" width="8.88671875" style="27"/>
  </cols>
  <sheetData>
    <row r="3" spans="1:6" x14ac:dyDescent="0.3">
      <c r="A3" s="26" t="s">
        <v>37</v>
      </c>
      <c r="B3" s="26"/>
      <c r="C3" s="26"/>
      <c r="D3" s="26"/>
      <c r="E3" s="26"/>
      <c r="F3" s="26"/>
    </row>
    <row r="4" spans="1:6" x14ac:dyDescent="0.3">
      <c r="A4" s="26" t="s">
        <v>38</v>
      </c>
      <c r="B4" s="26"/>
      <c r="C4" s="26"/>
      <c r="D4" s="26"/>
      <c r="E4" s="26"/>
      <c r="F4" s="26"/>
    </row>
    <row r="5" spans="1:6" x14ac:dyDescent="0.3">
      <c r="A5" s="26" t="s">
        <v>39</v>
      </c>
      <c r="B5" s="26"/>
      <c r="C5" s="26"/>
      <c r="D5" s="26"/>
      <c r="E5" s="26"/>
      <c r="F5" s="26"/>
    </row>
    <row r="6" spans="1:6" x14ac:dyDescent="0.3">
      <c r="A6" s="28"/>
      <c r="B6" s="28"/>
      <c r="C6" s="28"/>
      <c r="D6" s="28"/>
      <c r="E6" s="28"/>
      <c r="F6" s="28"/>
    </row>
    <row r="7" spans="1:6" x14ac:dyDescent="0.3">
      <c r="A7" s="28"/>
      <c r="B7" s="28"/>
      <c r="C7" s="28"/>
      <c r="D7" s="28"/>
      <c r="E7" s="28"/>
      <c r="F7" s="28"/>
    </row>
    <row r="8" spans="1:6" ht="40.200000000000003" customHeight="1" x14ac:dyDescent="0.3">
      <c r="A8" s="29" t="s">
        <v>40</v>
      </c>
      <c r="B8" s="29"/>
      <c r="C8" s="29"/>
      <c r="D8" s="29"/>
      <c r="E8" s="29"/>
      <c r="F8" s="29"/>
    </row>
    <row r="11" spans="1:6" x14ac:dyDescent="0.3">
      <c r="B11" s="30" t="s">
        <v>34</v>
      </c>
    </row>
    <row r="13" spans="1:6" x14ac:dyDescent="0.3">
      <c r="B13" s="31">
        <v>2018</v>
      </c>
    </row>
    <row r="14" spans="1:6" x14ac:dyDescent="0.3">
      <c r="B14" s="31"/>
      <c r="C14" s="27" t="s">
        <v>1</v>
      </c>
      <c r="D14" s="32">
        <v>7480.3</v>
      </c>
    </row>
    <row r="15" spans="1:6" x14ac:dyDescent="0.3">
      <c r="B15" s="31"/>
      <c r="C15" s="27" t="s">
        <v>2</v>
      </c>
      <c r="D15" s="32">
        <v>5090.3999999999996</v>
      </c>
    </row>
    <row r="16" spans="1:6" x14ac:dyDescent="0.3">
      <c r="B16" s="31"/>
      <c r="C16" s="27" t="s">
        <v>3</v>
      </c>
      <c r="D16" s="32">
        <v>5663.9</v>
      </c>
    </row>
    <row r="17" spans="2:4" x14ac:dyDescent="0.3">
      <c r="B17" s="31"/>
      <c r="C17" s="27" t="s">
        <v>4</v>
      </c>
      <c r="D17" s="32">
        <v>3221.14</v>
      </c>
    </row>
    <row r="18" spans="2:4" x14ac:dyDescent="0.3">
      <c r="B18" s="31"/>
      <c r="C18" s="27" t="s">
        <v>5</v>
      </c>
      <c r="D18" s="32">
        <v>4327.22</v>
      </c>
    </row>
    <row r="19" spans="2:4" x14ac:dyDescent="0.3">
      <c r="B19" s="31"/>
      <c r="C19" s="27" t="s">
        <v>41</v>
      </c>
      <c r="D19" s="32">
        <v>11735.72</v>
      </c>
    </row>
    <row r="20" spans="2:4" x14ac:dyDescent="0.3">
      <c r="B20" s="31"/>
      <c r="C20" s="27" t="s">
        <v>7</v>
      </c>
      <c r="D20" s="32">
        <v>11290.62</v>
      </c>
    </row>
    <row r="21" spans="2:4" x14ac:dyDescent="0.3">
      <c r="B21" s="31"/>
      <c r="C21" s="27" t="s">
        <v>8</v>
      </c>
      <c r="D21" s="32">
        <v>12590.96</v>
      </c>
    </row>
    <row r="22" spans="2:4" x14ac:dyDescent="0.3">
      <c r="B22" s="31"/>
      <c r="C22" s="27" t="s">
        <v>42</v>
      </c>
      <c r="D22" s="32">
        <v>5131.1099999999997</v>
      </c>
    </row>
    <row r="23" spans="2:4" x14ac:dyDescent="0.3">
      <c r="B23" s="31"/>
      <c r="C23" s="27" t="s">
        <v>9</v>
      </c>
      <c r="D23" s="32">
        <v>4547.74</v>
      </c>
    </row>
    <row r="24" spans="2:4" x14ac:dyDescent="0.3">
      <c r="B24" s="31"/>
      <c r="C24" s="27" t="s">
        <v>10</v>
      </c>
      <c r="D24" s="32">
        <v>5547.92</v>
      </c>
    </row>
    <row r="25" spans="2:4" x14ac:dyDescent="0.3">
      <c r="B25" s="31"/>
      <c r="C25" s="27" t="s">
        <v>11</v>
      </c>
      <c r="D25" s="32">
        <v>9209.73</v>
      </c>
    </row>
    <row r="26" spans="2:4" x14ac:dyDescent="0.3">
      <c r="B26" s="31"/>
      <c r="D26" s="32"/>
    </row>
    <row r="27" spans="2:4" x14ac:dyDescent="0.3">
      <c r="B27" s="31">
        <v>2019</v>
      </c>
      <c r="D27" s="32"/>
    </row>
    <row r="28" spans="2:4" x14ac:dyDescent="0.3">
      <c r="B28" s="31"/>
      <c r="C28" s="27" t="s">
        <v>1</v>
      </c>
      <c r="D28" s="32">
        <v>7093.03</v>
      </c>
    </row>
    <row r="29" spans="2:4" x14ac:dyDescent="0.3">
      <c r="B29" s="31"/>
      <c r="C29" s="27" t="s">
        <v>2</v>
      </c>
      <c r="D29" s="32">
        <v>5582.21</v>
      </c>
    </row>
    <row r="30" spans="2:4" x14ac:dyDescent="0.3">
      <c r="B30" s="31"/>
      <c r="C30" s="27" t="s">
        <v>3</v>
      </c>
      <c r="D30" s="32">
        <v>2386.5700000000002</v>
      </c>
    </row>
    <row r="31" spans="2:4" x14ac:dyDescent="0.3">
      <c r="B31" s="31"/>
      <c r="C31" s="27" t="s">
        <v>4</v>
      </c>
      <c r="D31" s="32">
        <v>5778.69</v>
      </c>
    </row>
    <row r="32" spans="2:4" x14ac:dyDescent="0.3">
      <c r="B32" s="31"/>
      <c r="C32" s="27" t="s">
        <v>5</v>
      </c>
      <c r="D32" s="32">
        <v>5544.68</v>
      </c>
    </row>
    <row r="33" spans="2:4" x14ac:dyDescent="0.3">
      <c r="B33" s="31"/>
      <c r="C33" s="27" t="s">
        <v>41</v>
      </c>
      <c r="D33" s="32">
        <v>5977.33</v>
      </c>
    </row>
    <row r="34" spans="2:4" x14ac:dyDescent="0.3">
      <c r="B34" s="31"/>
      <c r="C34" s="27" t="s">
        <v>7</v>
      </c>
      <c r="D34" s="32">
        <v>5469.79</v>
      </c>
    </row>
    <row r="35" spans="2:4" x14ac:dyDescent="0.3">
      <c r="B35" s="31"/>
      <c r="C35" s="27" t="s">
        <v>8</v>
      </c>
      <c r="D35" s="32">
        <v>6167.14</v>
      </c>
    </row>
    <row r="36" spans="2:4" x14ac:dyDescent="0.3">
      <c r="B36" s="31"/>
      <c r="C36" s="27" t="s">
        <v>42</v>
      </c>
      <c r="D36" s="32">
        <v>2900.54</v>
      </c>
    </row>
    <row r="37" spans="2:4" x14ac:dyDescent="0.3">
      <c r="B37" s="31"/>
      <c r="C37" s="27" t="s">
        <v>9</v>
      </c>
      <c r="D37" s="32">
        <v>3565.61</v>
      </c>
    </row>
    <row r="38" spans="2:4" x14ac:dyDescent="0.3">
      <c r="B38" s="31"/>
      <c r="C38" s="27" t="s">
        <v>10</v>
      </c>
      <c r="D38" s="32">
        <v>4945.3599999999997</v>
      </c>
    </row>
    <row r="39" spans="2:4" x14ac:dyDescent="0.3">
      <c r="B39" s="31"/>
      <c r="C39" s="27" t="s">
        <v>11</v>
      </c>
      <c r="D39" s="32">
        <v>3952.89</v>
      </c>
    </row>
    <row r="40" spans="2:4" x14ac:dyDescent="0.3">
      <c r="B40" s="31"/>
      <c r="D40" s="32"/>
    </row>
    <row r="41" spans="2:4" x14ac:dyDescent="0.3">
      <c r="B41" s="31"/>
      <c r="D41" s="32"/>
    </row>
    <row r="42" spans="2:4" x14ac:dyDescent="0.3">
      <c r="B42" s="31"/>
      <c r="D42" s="32"/>
    </row>
    <row r="43" spans="2:4" x14ac:dyDescent="0.3">
      <c r="B43" s="31"/>
      <c r="D43" s="32"/>
    </row>
    <row r="44" spans="2:4" x14ac:dyDescent="0.3">
      <c r="B44" s="31">
        <v>2020</v>
      </c>
      <c r="D44" s="32"/>
    </row>
    <row r="45" spans="2:4" x14ac:dyDescent="0.3">
      <c r="B45" s="31"/>
      <c r="C45" s="27" t="s">
        <v>1</v>
      </c>
      <c r="D45" s="32">
        <v>3952.89</v>
      </c>
    </row>
    <row r="46" spans="2:4" x14ac:dyDescent="0.3">
      <c r="B46" s="31"/>
      <c r="C46" s="27" t="s">
        <v>2</v>
      </c>
      <c r="D46" s="32">
        <v>4765.3999999999996</v>
      </c>
    </row>
    <row r="47" spans="2:4" x14ac:dyDescent="0.3">
      <c r="B47" s="31"/>
      <c r="C47" s="27" t="s">
        <v>3</v>
      </c>
      <c r="D47" s="32">
        <f>2846.12+10</f>
        <v>2856.12</v>
      </c>
    </row>
    <row r="48" spans="2:4" x14ac:dyDescent="0.3">
      <c r="C48" s="27" t="s">
        <v>4</v>
      </c>
      <c r="D48" s="32">
        <v>2328.09</v>
      </c>
    </row>
    <row r="49" spans="3:4" x14ac:dyDescent="0.3">
      <c r="C49" s="27" t="s">
        <v>5</v>
      </c>
      <c r="D49" s="32">
        <v>3974.39</v>
      </c>
    </row>
    <row r="50" spans="3:4" x14ac:dyDescent="0.3">
      <c r="C50" s="27" t="s">
        <v>41</v>
      </c>
      <c r="D50" s="32" t="s">
        <v>43</v>
      </c>
    </row>
    <row r="51" spans="3:4" x14ac:dyDescent="0.3">
      <c r="C51" s="32"/>
    </row>
    <row r="52" spans="3:4" x14ac:dyDescent="0.3">
      <c r="C52" s="32"/>
    </row>
    <row r="53" spans="3:4" x14ac:dyDescent="0.3">
      <c r="C53" s="32"/>
    </row>
    <row r="54" spans="3:4" x14ac:dyDescent="0.3">
      <c r="C54" s="32"/>
    </row>
    <row r="55" spans="3:4" x14ac:dyDescent="0.3">
      <c r="C55" s="32"/>
    </row>
    <row r="56" spans="3:4" x14ac:dyDescent="0.3">
      <c r="C56" s="32"/>
    </row>
    <row r="57" spans="3:4" x14ac:dyDescent="0.3">
      <c r="C57" s="32"/>
    </row>
    <row r="58" spans="3:4" x14ac:dyDescent="0.3">
      <c r="C58" s="32"/>
    </row>
    <row r="59" spans="3:4" x14ac:dyDescent="0.3">
      <c r="C59" s="32"/>
    </row>
    <row r="60" spans="3:4" x14ac:dyDescent="0.3">
      <c r="C60" s="32"/>
    </row>
    <row r="61" spans="3:4" x14ac:dyDescent="0.3">
      <c r="C61" s="32"/>
    </row>
    <row r="62" spans="3:4" x14ac:dyDescent="0.3">
      <c r="C62" s="32"/>
    </row>
    <row r="63" spans="3:4" x14ac:dyDescent="0.3">
      <c r="C63" s="32"/>
    </row>
    <row r="64" spans="3:4" x14ac:dyDescent="0.3">
      <c r="C64" s="32"/>
    </row>
    <row r="65" spans="3:3" x14ac:dyDescent="0.3">
      <c r="C65" s="32"/>
    </row>
  </sheetData>
  <mergeCells count="4">
    <mergeCell ref="A3:F3"/>
    <mergeCell ref="A4:F4"/>
    <mergeCell ref="A5:F5"/>
    <mergeCell ref="A8:F8"/>
  </mergeCells>
  <printOptions horizontalCentered="1"/>
  <pageMargins left="0.7" right="0.7" top="0.75" bottom="0.75" header="0.3" footer="0.3"/>
  <pageSetup orientation="portrait" verticalDpi="0" r:id="rId1"/>
  <headerFooter>
    <oddHeader>&amp;RExhibit 7b
Page &amp;P of &amp;N
Witness:  Gregory R. Lee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4E329-CDB6-4869-8DCD-1281F438E15C}">
  <sheetPr>
    <pageSetUpPr fitToPage="1"/>
  </sheetPr>
  <dimension ref="A1:AC1002"/>
  <sheetViews>
    <sheetView view="pageLayout" zoomScaleNormal="100" workbookViewId="0">
      <selection activeCell="I60" sqref="I60"/>
    </sheetView>
  </sheetViews>
  <sheetFormatPr defaultColWidth="14" defaultRowHeight="15" customHeight="1" x14ac:dyDescent="0.25"/>
  <cols>
    <col min="1" max="1" width="8.44140625" style="34" customWidth="1"/>
    <col min="2" max="2" width="8.88671875" style="34" customWidth="1"/>
    <col min="3" max="3" width="10.5546875" style="34" customWidth="1"/>
    <col min="4" max="7" width="10.21875" style="34" bestFit="1" customWidth="1"/>
    <col min="8" max="8" width="10.5546875" style="34" customWidth="1"/>
    <col min="9" max="11" width="8.88671875" style="34" customWidth="1"/>
    <col min="12" max="12" width="8.44140625" style="34" customWidth="1"/>
    <col min="13" max="13" width="10.5546875" style="34" customWidth="1"/>
    <col min="14" max="17" width="8.44140625" style="34" customWidth="1"/>
    <col min="18" max="20" width="10.5546875" style="34" customWidth="1"/>
    <col min="21" max="22" width="8.44140625" style="34" customWidth="1"/>
    <col min="23" max="25" width="10.5546875" style="34" customWidth="1"/>
    <col min="26" max="29" width="8.44140625" style="34" customWidth="1"/>
    <col min="30" max="16384" width="14" style="34"/>
  </cols>
  <sheetData>
    <row r="1" spans="1:29" ht="15" customHeight="1" x14ac:dyDescent="0.25">
      <c r="A1" s="33" t="s">
        <v>34</v>
      </c>
    </row>
    <row r="2" spans="1:29" thickBot="1" x14ac:dyDescent="0.35">
      <c r="B2" s="35"/>
      <c r="C2" s="35"/>
      <c r="D2" s="35"/>
      <c r="E2" s="35"/>
      <c r="F2" s="35"/>
      <c r="G2" s="35"/>
      <c r="H2" s="35"/>
      <c r="I2" s="35"/>
      <c r="J2" s="35"/>
      <c r="K2" s="35"/>
      <c r="S2" s="36"/>
    </row>
    <row r="3" spans="1:29" thickBot="1" x14ac:dyDescent="0.35">
      <c r="A3" s="37" t="s">
        <v>44</v>
      </c>
      <c r="B3" s="38" t="s">
        <v>45</v>
      </c>
      <c r="C3" s="39"/>
      <c r="D3" s="40"/>
      <c r="E3" s="41"/>
      <c r="F3" s="41"/>
      <c r="G3" s="38" t="s">
        <v>45</v>
      </c>
      <c r="H3" s="39"/>
      <c r="I3" s="40"/>
      <c r="J3" s="41"/>
      <c r="K3" s="41"/>
      <c r="L3" s="38" t="s">
        <v>45</v>
      </c>
      <c r="M3" s="39"/>
      <c r="N3" s="40"/>
      <c r="O3" s="42"/>
      <c r="P3" s="43"/>
      <c r="Q3" s="38" t="s">
        <v>45</v>
      </c>
      <c r="R3" s="39"/>
      <c r="S3" s="40"/>
      <c r="V3" s="38" t="s">
        <v>45</v>
      </c>
      <c r="W3" s="39"/>
      <c r="X3" s="40"/>
      <c r="AA3" s="38" t="s">
        <v>45</v>
      </c>
      <c r="AB3" s="39"/>
      <c r="AC3" s="40"/>
    </row>
    <row r="4" spans="1:29" ht="14.4" x14ac:dyDescent="0.3">
      <c r="B4" s="35">
        <v>2015</v>
      </c>
      <c r="C4" s="35" t="s">
        <v>46</v>
      </c>
      <c r="D4" s="35">
        <v>6359</v>
      </c>
      <c r="E4" s="35"/>
      <c r="F4" s="35"/>
      <c r="G4" s="35">
        <v>2016</v>
      </c>
      <c r="H4" s="35" t="s">
        <v>46</v>
      </c>
      <c r="I4" s="35">
        <v>6453</v>
      </c>
      <c r="J4" s="35"/>
      <c r="K4" s="35"/>
      <c r="L4" s="35">
        <v>2017</v>
      </c>
      <c r="M4" s="35" t="s">
        <v>46</v>
      </c>
      <c r="N4" s="35">
        <v>6069</v>
      </c>
      <c r="Q4" s="35">
        <v>2018</v>
      </c>
      <c r="R4" s="35" t="s">
        <v>46</v>
      </c>
      <c r="S4" s="36">
        <v>5619</v>
      </c>
      <c r="V4" s="35">
        <v>2019</v>
      </c>
      <c r="W4" s="35" t="s">
        <v>46</v>
      </c>
      <c r="X4" s="36">
        <v>5127</v>
      </c>
      <c r="AA4" s="35">
        <v>2020</v>
      </c>
      <c r="AB4" s="35" t="s">
        <v>46</v>
      </c>
      <c r="AC4" s="35">
        <v>5184</v>
      </c>
    </row>
    <row r="5" spans="1:29" ht="14.4" x14ac:dyDescent="0.3">
      <c r="B5" s="35"/>
      <c r="C5" s="35" t="s">
        <v>47</v>
      </c>
      <c r="D5" s="35">
        <v>6232</v>
      </c>
      <c r="E5" s="35"/>
      <c r="F5" s="35"/>
      <c r="G5" s="35"/>
      <c r="H5" s="35" t="s">
        <v>47</v>
      </c>
      <c r="I5" s="35">
        <v>5749</v>
      </c>
      <c r="J5" s="35"/>
      <c r="K5" s="35"/>
      <c r="M5" s="35" t="s">
        <v>47</v>
      </c>
      <c r="N5" s="35">
        <v>5574</v>
      </c>
      <c r="R5" s="35" t="s">
        <v>47</v>
      </c>
      <c r="S5" s="36">
        <v>5571</v>
      </c>
      <c r="W5" s="35" t="s">
        <v>47</v>
      </c>
      <c r="X5" s="36">
        <v>5323</v>
      </c>
      <c r="AB5" s="35" t="s">
        <v>47</v>
      </c>
      <c r="AC5" s="35">
        <v>5236</v>
      </c>
    </row>
    <row r="6" spans="1:29" ht="14.4" x14ac:dyDescent="0.3">
      <c r="B6" s="35"/>
      <c r="C6" s="35" t="s">
        <v>48</v>
      </c>
      <c r="D6" s="35">
        <v>6804</v>
      </c>
      <c r="E6" s="35"/>
      <c r="F6" s="35"/>
      <c r="G6" s="35"/>
      <c r="H6" s="35" t="s">
        <v>48</v>
      </c>
      <c r="I6" s="35">
        <v>5690</v>
      </c>
      <c r="J6" s="35"/>
      <c r="K6" s="35"/>
      <c r="M6" s="35" t="s">
        <v>48</v>
      </c>
      <c r="N6" s="35">
        <v>5213</v>
      </c>
      <c r="R6" s="35" t="s">
        <v>48</v>
      </c>
      <c r="S6" s="36">
        <v>5105</v>
      </c>
      <c r="W6" s="35" t="s">
        <v>48</v>
      </c>
      <c r="X6" s="36">
        <v>5191</v>
      </c>
      <c r="AB6" s="35" t="s">
        <v>48</v>
      </c>
      <c r="AC6" s="35">
        <v>4939</v>
      </c>
    </row>
    <row r="7" spans="1:29" ht="14.4" x14ac:dyDescent="0.3">
      <c r="B7" s="35"/>
      <c r="C7" s="35" t="s">
        <v>49</v>
      </c>
      <c r="D7" s="35">
        <v>5828</v>
      </c>
      <c r="E7" s="35"/>
      <c r="F7" s="35"/>
      <c r="G7" s="35"/>
      <c r="H7" s="35" t="s">
        <v>49</v>
      </c>
      <c r="I7" s="35">
        <v>5678</v>
      </c>
      <c r="J7" s="35"/>
      <c r="K7" s="35"/>
      <c r="M7" s="35" t="s">
        <v>49</v>
      </c>
      <c r="N7" s="35">
        <v>5568</v>
      </c>
      <c r="R7" s="35" t="s">
        <v>49</v>
      </c>
      <c r="S7" s="36">
        <v>5256</v>
      </c>
      <c r="W7" s="35" t="s">
        <v>49</v>
      </c>
      <c r="X7" s="36">
        <v>5127</v>
      </c>
      <c r="AB7" s="35" t="s">
        <v>49</v>
      </c>
      <c r="AC7" s="35">
        <v>4571</v>
      </c>
    </row>
    <row r="8" spans="1:29" ht="14.4" x14ac:dyDescent="0.3">
      <c r="B8" s="35"/>
      <c r="C8" s="35" t="s">
        <v>50</v>
      </c>
      <c r="D8" s="35">
        <v>6059</v>
      </c>
      <c r="E8" s="35"/>
      <c r="F8" s="35"/>
      <c r="G8" s="35"/>
      <c r="H8" s="35" t="s">
        <v>50</v>
      </c>
      <c r="I8" s="35">
        <v>5770</v>
      </c>
      <c r="J8" s="35"/>
      <c r="K8" s="35"/>
      <c r="M8" s="35" t="s">
        <v>50</v>
      </c>
      <c r="N8" s="35">
        <v>5386</v>
      </c>
      <c r="R8" s="35" t="s">
        <v>50</v>
      </c>
      <c r="S8" s="36">
        <v>5256</v>
      </c>
      <c r="W8" s="35" t="s">
        <v>50</v>
      </c>
      <c r="X8" s="36">
        <v>4888</v>
      </c>
      <c r="AB8" s="35" t="s">
        <v>50</v>
      </c>
      <c r="AC8" s="35">
        <v>4423</v>
      </c>
    </row>
    <row r="9" spans="1:29" ht="14.4" x14ac:dyDescent="0.3">
      <c r="B9" s="35"/>
      <c r="C9" s="35" t="s">
        <v>51</v>
      </c>
      <c r="D9" s="35">
        <v>5639</v>
      </c>
      <c r="E9" s="35"/>
      <c r="F9" s="35"/>
      <c r="G9" s="35"/>
      <c r="H9" s="35" t="s">
        <v>51</v>
      </c>
      <c r="I9" s="35">
        <v>5511</v>
      </c>
      <c r="J9" s="35"/>
      <c r="K9" s="35"/>
      <c r="M9" s="35" t="s">
        <v>51</v>
      </c>
      <c r="N9" s="35">
        <v>5390</v>
      </c>
      <c r="R9" s="35" t="s">
        <v>51</v>
      </c>
      <c r="S9" s="36">
        <v>5478</v>
      </c>
      <c r="W9" s="35" t="s">
        <v>51</v>
      </c>
      <c r="X9" s="36">
        <v>5046</v>
      </c>
      <c r="AB9" s="35" t="s">
        <v>51</v>
      </c>
    </row>
    <row r="10" spans="1:29" ht="14.4" x14ac:dyDescent="0.3">
      <c r="B10" s="35"/>
      <c r="C10" s="35" t="s">
        <v>52</v>
      </c>
      <c r="D10" s="35">
        <v>6007</v>
      </c>
      <c r="E10" s="35"/>
      <c r="F10" s="35"/>
      <c r="G10" s="35"/>
      <c r="H10" s="35" t="s">
        <v>52</v>
      </c>
      <c r="I10" s="35">
        <v>5882</v>
      </c>
      <c r="J10" s="35"/>
      <c r="K10" s="35"/>
      <c r="M10" s="35" t="s">
        <v>52</v>
      </c>
      <c r="N10" s="35">
        <v>5869</v>
      </c>
      <c r="R10" s="35" t="s">
        <v>52</v>
      </c>
      <c r="S10" s="36">
        <v>5553</v>
      </c>
      <c r="W10" s="35" t="s">
        <v>52</v>
      </c>
      <c r="X10" s="36">
        <v>4952</v>
      </c>
    </row>
    <row r="11" spans="1:29" ht="14.4" x14ac:dyDescent="0.3">
      <c r="B11" s="35"/>
      <c r="C11" s="35" t="s">
        <v>53</v>
      </c>
      <c r="D11" s="35">
        <v>6035</v>
      </c>
      <c r="E11" s="35"/>
      <c r="F11" s="35"/>
      <c r="G11" s="35"/>
      <c r="H11" s="35" t="s">
        <v>53</v>
      </c>
      <c r="I11" s="35">
        <v>5519</v>
      </c>
      <c r="J11" s="35"/>
      <c r="K11" s="35"/>
      <c r="M11" s="35" t="s">
        <v>53</v>
      </c>
      <c r="N11" s="35">
        <v>5458</v>
      </c>
      <c r="R11" s="35" t="s">
        <v>53</v>
      </c>
      <c r="S11" s="36">
        <v>5254</v>
      </c>
      <c r="W11" s="35" t="s">
        <v>53</v>
      </c>
      <c r="X11" s="36">
        <v>4852</v>
      </c>
    </row>
    <row r="12" spans="1:29" ht="14.4" x14ac:dyDescent="0.3">
      <c r="B12" s="35"/>
      <c r="C12" s="35" t="s">
        <v>54</v>
      </c>
      <c r="D12" s="35">
        <v>5806</v>
      </c>
      <c r="E12" s="35"/>
      <c r="F12" s="35"/>
      <c r="G12" s="35"/>
      <c r="H12" s="35" t="s">
        <v>54</v>
      </c>
      <c r="I12" s="35">
        <v>5666</v>
      </c>
      <c r="J12" s="35"/>
      <c r="K12" s="35"/>
      <c r="M12" s="35" t="s">
        <v>54</v>
      </c>
      <c r="N12" s="35">
        <v>5817</v>
      </c>
      <c r="R12" s="35" t="s">
        <v>54</v>
      </c>
      <c r="S12" s="36">
        <v>5650</v>
      </c>
      <c r="W12" s="35" t="s">
        <v>54</v>
      </c>
      <c r="X12" s="36">
        <v>4989</v>
      </c>
    </row>
    <row r="13" spans="1:29" ht="14.4" x14ac:dyDescent="0.3">
      <c r="B13" s="35"/>
      <c r="C13" s="35" t="s">
        <v>55</v>
      </c>
      <c r="D13" s="35">
        <v>5986</v>
      </c>
      <c r="E13" s="35"/>
      <c r="F13" s="35"/>
      <c r="G13" s="35"/>
      <c r="H13" s="35" t="s">
        <v>55</v>
      </c>
      <c r="I13" s="35">
        <v>6116</v>
      </c>
      <c r="J13" s="35"/>
      <c r="K13" s="35"/>
      <c r="M13" s="35" t="s">
        <v>55</v>
      </c>
      <c r="N13" s="35">
        <v>5646</v>
      </c>
      <c r="R13" s="35" t="s">
        <v>55</v>
      </c>
      <c r="S13" s="36">
        <v>5216</v>
      </c>
      <c r="W13" s="35" t="s">
        <v>55</v>
      </c>
      <c r="X13" s="36">
        <v>4821</v>
      </c>
    </row>
    <row r="14" spans="1:29" ht="14.4" x14ac:dyDescent="0.3">
      <c r="B14" s="35"/>
      <c r="C14" s="35" t="s">
        <v>56</v>
      </c>
      <c r="D14" s="35">
        <v>5727</v>
      </c>
      <c r="E14" s="35"/>
      <c r="F14" s="35"/>
      <c r="G14" s="35"/>
      <c r="H14" s="35" t="s">
        <v>56</v>
      </c>
      <c r="I14" s="35">
        <v>5168</v>
      </c>
      <c r="J14" s="35"/>
      <c r="K14" s="35"/>
      <c r="M14" s="35" t="s">
        <v>56</v>
      </c>
      <c r="N14" s="35">
        <v>4881</v>
      </c>
      <c r="R14" s="35" t="s">
        <v>56</v>
      </c>
      <c r="S14" s="36">
        <v>5096</v>
      </c>
      <c r="W14" s="35" t="s">
        <v>56</v>
      </c>
      <c r="X14" s="36">
        <v>4886</v>
      </c>
    </row>
    <row r="15" spans="1:29" ht="14.4" x14ac:dyDescent="0.3">
      <c r="B15" s="35"/>
      <c r="C15" s="35" t="s">
        <v>57</v>
      </c>
      <c r="D15" s="35">
        <v>5507</v>
      </c>
      <c r="E15" s="35"/>
      <c r="F15" s="35"/>
      <c r="G15" s="35"/>
      <c r="H15" s="35" t="s">
        <v>57</v>
      </c>
      <c r="I15" s="35">
        <v>5438</v>
      </c>
      <c r="J15" s="35"/>
      <c r="K15" s="35"/>
      <c r="M15" s="35" t="s">
        <v>57</v>
      </c>
      <c r="N15" s="35">
        <v>5500</v>
      </c>
      <c r="R15" s="35" t="s">
        <v>57</v>
      </c>
      <c r="S15" s="36">
        <v>5502</v>
      </c>
      <c r="W15" s="35" t="s">
        <v>57</v>
      </c>
      <c r="X15" s="36">
        <v>5094</v>
      </c>
    </row>
    <row r="16" spans="1:29" ht="14.4" x14ac:dyDescent="0.3">
      <c r="B16" s="35"/>
      <c r="C16" s="35"/>
      <c r="D16" s="35"/>
      <c r="E16" s="35"/>
      <c r="F16" s="35"/>
      <c r="G16" s="35"/>
      <c r="H16" s="35"/>
      <c r="I16" s="35"/>
      <c r="J16" s="35"/>
      <c r="K16" s="35"/>
      <c r="S16" s="36"/>
      <c r="X16" s="36"/>
    </row>
    <row r="17" spans="1:29" ht="14.4" x14ac:dyDescent="0.3">
      <c r="A17" s="44" t="s">
        <v>58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S17" s="36"/>
      <c r="X17" s="36"/>
    </row>
    <row r="18" spans="1:29" thickBot="1" x14ac:dyDescent="0.35">
      <c r="B18" s="35"/>
      <c r="C18" s="35"/>
      <c r="D18" s="35"/>
      <c r="E18" s="35"/>
      <c r="F18" s="35"/>
      <c r="G18" s="35"/>
      <c r="H18" s="35"/>
      <c r="I18" s="35"/>
      <c r="J18" s="35"/>
      <c r="K18" s="35"/>
      <c r="S18" s="36"/>
      <c r="X18" s="36"/>
    </row>
    <row r="19" spans="1:29" thickBot="1" x14ac:dyDescent="0.35">
      <c r="A19" s="45" t="s">
        <v>59</v>
      </c>
      <c r="B19" s="38" t="s">
        <v>45</v>
      </c>
      <c r="C19" s="39"/>
      <c r="D19" s="40"/>
      <c r="E19" s="35"/>
      <c r="F19" s="35"/>
      <c r="G19" s="38" t="s">
        <v>45</v>
      </c>
      <c r="H19" s="39"/>
      <c r="I19" s="40"/>
      <c r="J19" s="35"/>
      <c r="K19" s="35"/>
      <c r="L19" s="38" t="s">
        <v>45</v>
      </c>
      <c r="M19" s="39"/>
      <c r="N19" s="40"/>
      <c r="O19" s="35"/>
      <c r="P19" s="35"/>
      <c r="Q19" s="38" t="s">
        <v>45</v>
      </c>
      <c r="R19" s="39"/>
      <c r="S19" s="40"/>
      <c r="V19" s="38" t="s">
        <v>45</v>
      </c>
      <c r="W19" s="39"/>
      <c r="X19" s="40"/>
      <c r="AA19" s="38" t="s">
        <v>45</v>
      </c>
      <c r="AB19" s="39"/>
      <c r="AC19" s="40"/>
    </row>
    <row r="20" spans="1:29" ht="14.4" x14ac:dyDescent="0.3">
      <c r="B20" s="35">
        <v>2015</v>
      </c>
      <c r="C20" s="35" t="s">
        <v>46</v>
      </c>
      <c r="D20" s="35">
        <v>136</v>
      </c>
      <c r="E20" s="35"/>
      <c r="F20" s="35"/>
      <c r="G20" s="35">
        <v>2016</v>
      </c>
      <c r="H20" s="35" t="s">
        <v>46</v>
      </c>
      <c r="I20" s="35">
        <v>159</v>
      </c>
      <c r="J20" s="35"/>
      <c r="K20" s="35"/>
      <c r="L20" s="35">
        <v>2017</v>
      </c>
      <c r="M20" s="35" t="s">
        <v>46</v>
      </c>
      <c r="N20" s="35">
        <v>220</v>
      </c>
      <c r="O20" s="35"/>
      <c r="P20" s="35"/>
      <c r="Q20" s="35">
        <v>2018</v>
      </c>
      <c r="R20" s="35" t="s">
        <v>46</v>
      </c>
      <c r="S20" s="36">
        <v>208</v>
      </c>
      <c r="V20" s="35">
        <v>2019</v>
      </c>
      <c r="W20" s="35" t="s">
        <v>46</v>
      </c>
      <c r="X20" s="36">
        <v>155</v>
      </c>
      <c r="AA20" s="35">
        <v>2020</v>
      </c>
      <c r="AB20" s="35" t="s">
        <v>46</v>
      </c>
      <c r="AC20" s="35">
        <v>184</v>
      </c>
    </row>
    <row r="21" spans="1:29" ht="14.4" x14ac:dyDescent="0.3">
      <c r="B21" s="35"/>
      <c r="C21" s="35" t="s">
        <v>47</v>
      </c>
      <c r="D21" s="35">
        <v>108</v>
      </c>
      <c r="E21" s="35"/>
      <c r="F21" s="35"/>
      <c r="G21" s="35"/>
      <c r="H21" s="35" t="s">
        <v>47</v>
      </c>
      <c r="I21" s="35">
        <v>211</v>
      </c>
      <c r="J21" s="35"/>
      <c r="K21" s="35"/>
      <c r="M21" s="35" t="s">
        <v>47</v>
      </c>
      <c r="N21" s="35">
        <v>246</v>
      </c>
      <c r="R21" s="35" t="s">
        <v>47</v>
      </c>
      <c r="S21" s="36">
        <v>211</v>
      </c>
      <c r="W21" s="35" t="s">
        <v>47</v>
      </c>
      <c r="X21" s="36">
        <v>229</v>
      </c>
      <c r="AB21" s="35" t="s">
        <v>47</v>
      </c>
      <c r="AC21" s="35">
        <v>199</v>
      </c>
    </row>
    <row r="22" spans="1:29" ht="14.4" x14ac:dyDescent="0.3">
      <c r="B22" s="35"/>
      <c r="C22" s="35" t="s">
        <v>48</v>
      </c>
      <c r="D22" s="35">
        <v>229</v>
      </c>
      <c r="E22" s="35"/>
      <c r="F22" s="35"/>
      <c r="G22" s="35"/>
      <c r="H22" s="35" t="s">
        <v>48</v>
      </c>
      <c r="I22" s="35">
        <v>231</v>
      </c>
      <c r="J22" s="35"/>
      <c r="K22" s="35"/>
      <c r="M22" s="35" t="s">
        <v>48</v>
      </c>
      <c r="N22" s="35">
        <v>208</v>
      </c>
      <c r="R22" s="35" t="s">
        <v>48</v>
      </c>
      <c r="S22" s="36">
        <v>248</v>
      </c>
      <c r="W22" s="35" t="s">
        <v>48</v>
      </c>
      <c r="X22" s="36">
        <v>182</v>
      </c>
      <c r="AB22" s="35" t="s">
        <v>48</v>
      </c>
      <c r="AC22" s="35">
        <v>134</v>
      </c>
    </row>
    <row r="23" spans="1:29" ht="15.75" customHeight="1" x14ac:dyDescent="0.3">
      <c r="B23" s="35"/>
      <c r="C23" s="35" t="s">
        <v>49</v>
      </c>
      <c r="D23" s="35">
        <v>222</v>
      </c>
      <c r="E23" s="35"/>
      <c r="F23" s="35"/>
      <c r="G23" s="35"/>
      <c r="H23" s="35" t="s">
        <v>49</v>
      </c>
      <c r="I23" s="35">
        <v>286</v>
      </c>
      <c r="J23" s="35"/>
      <c r="K23" s="35"/>
      <c r="M23" s="35" t="s">
        <v>49</v>
      </c>
      <c r="N23" s="35">
        <v>272</v>
      </c>
      <c r="R23" s="35" t="s">
        <v>49</v>
      </c>
      <c r="S23" s="36">
        <v>236</v>
      </c>
      <c r="W23" s="35" t="s">
        <v>49</v>
      </c>
      <c r="X23" s="36">
        <v>179</v>
      </c>
      <c r="AB23" s="35" t="s">
        <v>49</v>
      </c>
      <c r="AC23" s="35">
        <v>0</v>
      </c>
    </row>
    <row r="24" spans="1:29" ht="15.75" customHeight="1" x14ac:dyDescent="0.3">
      <c r="B24" s="35"/>
      <c r="C24" s="35" t="s">
        <v>50</v>
      </c>
      <c r="D24" s="35">
        <v>234</v>
      </c>
      <c r="E24" s="35"/>
      <c r="F24" s="35"/>
      <c r="G24" s="35"/>
      <c r="H24" s="35" t="s">
        <v>50</v>
      </c>
      <c r="I24" s="35">
        <v>258</v>
      </c>
      <c r="J24" s="35"/>
      <c r="K24" s="35"/>
      <c r="M24" s="35" t="s">
        <v>50</v>
      </c>
      <c r="N24" s="35">
        <v>247</v>
      </c>
      <c r="R24" s="35" t="s">
        <v>50</v>
      </c>
      <c r="S24" s="36">
        <v>272</v>
      </c>
      <c r="W24" s="35" t="s">
        <v>50</v>
      </c>
      <c r="X24" s="36">
        <v>254</v>
      </c>
      <c r="AB24" s="35" t="s">
        <v>50</v>
      </c>
      <c r="AC24" s="35">
        <v>0</v>
      </c>
    </row>
    <row r="25" spans="1:29" ht="15.75" customHeight="1" x14ac:dyDescent="0.3">
      <c r="B25" s="35"/>
      <c r="C25" s="35" t="s">
        <v>51</v>
      </c>
      <c r="D25" s="35">
        <v>209</v>
      </c>
      <c r="E25" s="35"/>
      <c r="F25" s="35"/>
      <c r="G25" s="35"/>
      <c r="H25" s="35" t="s">
        <v>51</v>
      </c>
      <c r="I25" s="35">
        <v>253</v>
      </c>
      <c r="J25" s="35"/>
      <c r="K25" s="35"/>
      <c r="M25" s="35" t="s">
        <v>51</v>
      </c>
      <c r="N25" s="35">
        <v>257</v>
      </c>
      <c r="R25" s="35" t="s">
        <v>51</v>
      </c>
      <c r="S25" s="36">
        <v>273</v>
      </c>
      <c r="W25" s="35" t="s">
        <v>51</v>
      </c>
      <c r="X25" s="36">
        <v>252</v>
      </c>
      <c r="AB25" s="35" t="s">
        <v>51</v>
      </c>
      <c r="AC25" s="35" t="s">
        <v>60</v>
      </c>
    </row>
    <row r="26" spans="1:29" ht="15.75" customHeight="1" x14ac:dyDescent="0.3">
      <c r="B26" s="35"/>
      <c r="C26" s="35" t="s">
        <v>52</v>
      </c>
      <c r="D26" s="35">
        <v>194</v>
      </c>
      <c r="E26" s="35"/>
      <c r="F26" s="35"/>
      <c r="G26" s="35"/>
      <c r="H26" s="35" t="s">
        <v>52</v>
      </c>
      <c r="I26" s="35">
        <v>244</v>
      </c>
      <c r="J26" s="35"/>
      <c r="K26" s="35"/>
      <c r="M26" s="35" t="s">
        <v>52</v>
      </c>
      <c r="N26" s="35">
        <v>284</v>
      </c>
      <c r="R26" s="35" t="s">
        <v>52</v>
      </c>
      <c r="S26" s="36">
        <v>270</v>
      </c>
      <c r="W26" s="35" t="s">
        <v>52</v>
      </c>
      <c r="X26" s="36">
        <v>251</v>
      </c>
    </row>
    <row r="27" spans="1:29" ht="15.75" customHeight="1" x14ac:dyDescent="0.3">
      <c r="B27" s="35"/>
      <c r="C27" s="35" t="s">
        <v>53</v>
      </c>
      <c r="D27" s="35">
        <v>275</v>
      </c>
      <c r="E27" s="35"/>
      <c r="F27" s="35"/>
      <c r="G27" s="35"/>
      <c r="H27" s="35" t="s">
        <v>53</v>
      </c>
      <c r="I27" s="35">
        <v>274</v>
      </c>
      <c r="J27" s="35"/>
      <c r="K27" s="35"/>
      <c r="M27" s="35" t="s">
        <v>53</v>
      </c>
      <c r="N27" s="35">
        <v>255</v>
      </c>
      <c r="R27" s="35" t="s">
        <v>53</v>
      </c>
      <c r="S27" s="36">
        <v>246</v>
      </c>
      <c r="W27" s="35" t="s">
        <v>53</v>
      </c>
      <c r="X27" s="36">
        <v>209</v>
      </c>
    </row>
    <row r="28" spans="1:29" ht="15.75" customHeight="1" x14ac:dyDescent="0.3">
      <c r="B28" s="35"/>
      <c r="C28" s="35" t="s">
        <v>54</v>
      </c>
      <c r="D28" s="35">
        <v>239</v>
      </c>
      <c r="E28" s="35"/>
      <c r="F28" s="35"/>
      <c r="G28" s="35"/>
      <c r="H28" s="35" t="s">
        <v>54</v>
      </c>
      <c r="I28" s="35">
        <v>206</v>
      </c>
      <c r="J28" s="35"/>
      <c r="K28" s="35"/>
      <c r="M28" s="35" t="s">
        <v>54</v>
      </c>
      <c r="N28" s="35">
        <v>259</v>
      </c>
      <c r="R28" s="35" t="s">
        <v>54</v>
      </c>
      <c r="S28" s="36">
        <v>242</v>
      </c>
      <c r="W28" s="35" t="s">
        <v>54</v>
      </c>
      <c r="X28" s="36">
        <v>219</v>
      </c>
    </row>
    <row r="29" spans="1:29" ht="15.75" customHeight="1" x14ac:dyDescent="0.3">
      <c r="B29" s="35"/>
      <c r="C29" s="35" t="s">
        <v>55</v>
      </c>
      <c r="D29" s="35">
        <v>285</v>
      </c>
      <c r="E29" s="35"/>
      <c r="F29" s="35"/>
      <c r="G29" s="35"/>
      <c r="H29" s="35" t="s">
        <v>55</v>
      </c>
      <c r="I29" s="35">
        <v>289</v>
      </c>
      <c r="J29" s="35"/>
      <c r="K29" s="35"/>
      <c r="M29" s="35" t="s">
        <v>55</v>
      </c>
      <c r="N29" s="35">
        <v>279</v>
      </c>
      <c r="R29" s="35" t="s">
        <v>55</v>
      </c>
      <c r="S29" s="36">
        <v>266</v>
      </c>
      <c r="W29" s="35" t="s">
        <v>55</v>
      </c>
      <c r="X29" s="36">
        <v>261</v>
      </c>
    </row>
    <row r="30" spans="1:29" ht="15.75" customHeight="1" x14ac:dyDescent="0.3">
      <c r="B30" s="35"/>
      <c r="C30" s="35" t="s">
        <v>56</v>
      </c>
      <c r="D30" s="35">
        <v>216</v>
      </c>
      <c r="E30" s="35"/>
      <c r="F30" s="35"/>
      <c r="G30" s="35"/>
      <c r="H30" s="35" t="s">
        <v>56</v>
      </c>
      <c r="I30" s="35">
        <v>212</v>
      </c>
      <c r="J30" s="35"/>
      <c r="K30" s="35"/>
      <c r="M30" s="35" t="s">
        <v>56</v>
      </c>
      <c r="N30" s="35">
        <v>219</v>
      </c>
      <c r="R30" s="35" t="s">
        <v>56</v>
      </c>
      <c r="S30" s="36">
        <v>195</v>
      </c>
      <c r="W30" s="35" t="s">
        <v>56</v>
      </c>
      <c r="X30" s="36">
        <v>179</v>
      </c>
    </row>
    <row r="31" spans="1:29" ht="15.75" customHeight="1" x14ac:dyDescent="0.3">
      <c r="B31" s="35"/>
      <c r="C31" s="35" t="s">
        <v>57</v>
      </c>
      <c r="D31" s="35">
        <v>182</v>
      </c>
      <c r="E31" s="35"/>
      <c r="F31" s="35"/>
      <c r="G31" s="35"/>
      <c r="H31" s="35" t="s">
        <v>57</v>
      </c>
      <c r="I31" s="35">
        <v>210</v>
      </c>
      <c r="J31" s="35"/>
      <c r="K31" s="35"/>
      <c r="M31" s="35" t="s">
        <v>57</v>
      </c>
      <c r="N31" s="35">
        <v>165</v>
      </c>
      <c r="R31" s="35" t="s">
        <v>57</v>
      </c>
      <c r="S31" s="36">
        <v>210</v>
      </c>
      <c r="W31" s="35" t="s">
        <v>57</v>
      </c>
      <c r="X31" s="36">
        <v>173</v>
      </c>
      <c r="AB31" s="35"/>
    </row>
    <row r="32" spans="1:29" ht="15.75" customHeight="1" thickBot="1" x14ac:dyDescent="0.35">
      <c r="B32" s="35"/>
      <c r="C32" s="35"/>
      <c r="D32" s="35"/>
      <c r="E32" s="35"/>
      <c r="F32" s="35"/>
      <c r="G32" s="35"/>
      <c r="H32" s="35"/>
      <c r="I32" s="35"/>
      <c r="J32" s="35"/>
      <c r="K32" s="35"/>
      <c r="S32" s="36"/>
      <c r="X32" s="36"/>
    </row>
    <row r="33" spans="1:29" ht="15.75" customHeight="1" thickBot="1" x14ac:dyDescent="0.35">
      <c r="B33" s="38" t="s">
        <v>61</v>
      </c>
      <c r="C33" s="39"/>
      <c r="D33" s="40"/>
      <c r="E33" s="35"/>
      <c r="F33" s="35"/>
      <c r="G33" s="38" t="s">
        <v>61</v>
      </c>
      <c r="H33" s="39"/>
      <c r="I33" s="40"/>
      <c r="J33" s="35"/>
      <c r="K33" s="35"/>
      <c r="L33" s="38" t="s">
        <v>61</v>
      </c>
      <c r="M33" s="39"/>
      <c r="N33" s="40"/>
      <c r="Q33" s="38" t="s">
        <v>61</v>
      </c>
      <c r="R33" s="39"/>
      <c r="S33" s="40"/>
      <c r="V33" s="38" t="s">
        <v>61</v>
      </c>
      <c r="W33" s="39"/>
      <c r="X33" s="40"/>
      <c r="AA33" s="38" t="s">
        <v>61</v>
      </c>
      <c r="AB33" s="39"/>
      <c r="AC33" s="40"/>
    </row>
    <row r="34" spans="1:29" ht="15.75" customHeight="1" x14ac:dyDescent="0.3">
      <c r="B34" s="35">
        <v>2015</v>
      </c>
      <c r="C34" s="35" t="s">
        <v>46</v>
      </c>
      <c r="D34" s="35">
        <v>922</v>
      </c>
      <c r="E34" s="35"/>
      <c r="F34" s="35"/>
      <c r="G34" s="35">
        <v>2016</v>
      </c>
      <c r="H34" s="35" t="s">
        <v>46</v>
      </c>
      <c r="I34" s="35">
        <v>1749</v>
      </c>
      <c r="J34" s="35"/>
      <c r="K34" s="35"/>
      <c r="L34" s="35">
        <v>2017</v>
      </c>
      <c r="M34" s="35" t="s">
        <v>46</v>
      </c>
      <c r="N34" s="35">
        <v>1816</v>
      </c>
      <c r="Q34" s="35">
        <v>2018</v>
      </c>
      <c r="R34" s="35" t="s">
        <v>46</v>
      </c>
      <c r="S34" s="36">
        <v>2987</v>
      </c>
      <c r="V34" s="35">
        <v>2019</v>
      </c>
      <c r="W34" s="36" t="s">
        <v>46</v>
      </c>
      <c r="X34" s="36">
        <v>3192</v>
      </c>
      <c r="AA34" s="35">
        <v>2020</v>
      </c>
      <c r="AB34" s="35" t="s">
        <v>46</v>
      </c>
      <c r="AC34" s="35">
        <v>3226</v>
      </c>
    </row>
    <row r="35" spans="1:29" ht="15.75" customHeight="1" x14ac:dyDescent="0.3">
      <c r="C35" s="35" t="s">
        <v>47</v>
      </c>
      <c r="D35" s="35">
        <v>710</v>
      </c>
      <c r="E35" s="35"/>
      <c r="F35" s="35"/>
      <c r="H35" s="35" t="s">
        <v>47</v>
      </c>
      <c r="I35" s="35">
        <v>1207</v>
      </c>
      <c r="J35" s="35"/>
      <c r="K35" s="35"/>
      <c r="M35" s="35" t="s">
        <v>47</v>
      </c>
      <c r="N35" s="35">
        <v>1316</v>
      </c>
      <c r="R35" s="35" t="s">
        <v>47</v>
      </c>
      <c r="S35" s="36">
        <v>1943</v>
      </c>
      <c r="W35" s="36" t="s">
        <v>47</v>
      </c>
      <c r="X35" s="36">
        <v>2399</v>
      </c>
      <c r="AB35" s="35" t="s">
        <v>47</v>
      </c>
      <c r="AC35" s="35">
        <v>2645</v>
      </c>
    </row>
    <row r="36" spans="1:29" ht="15.75" customHeight="1" x14ac:dyDescent="0.3">
      <c r="C36" s="35" t="s">
        <v>48</v>
      </c>
      <c r="D36" s="35">
        <v>638</v>
      </c>
      <c r="E36" s="35"/>
      <c r="F36" s="35"/>
      <c r="H36" s="35" t="s">
        <v>48</v>
      </c>
      <c r="I36" s="35">
        <v>959</v>
      </c>
      <c r="J36" s="35"/>
      <c r="K36" s="35"/>
      <c r="M36" s="35" t="s">
        <v>48</v>
      </c>
      <c r="N36" s="35">
        <v>1269</v>
      </c>
      <c r="R36" s="35" t="s">
        <v>48</v>
      </c>
      <c r="S36" s="36">
        <v>1888</v>
      </c>
      <c r="W36" s="36" t="s">
        <v>48</v>
      </c>
      <c r="X36" s="36">
        <v>2055</v>
      </c>
      <c r="AB36" s="35" t="s">
        <v>48</v>
      </c>
      <c r="AC36" s="35">
        <v>898</v>
      </c>
    </row>
    <row r="37" spans="1:29" ht="15.75" customHeight="1" x14ac:dyDescent="0.3">
      <c r="C37" s="35" t="s">
        <v>49</v>
      </c>
      <c r="D37" s="35">
        <v>461</v>
      </c>
      <c r="E37" s="35"/>
      <c r="F37" s="35"/>
      <c r="H37" s="35" t="s">
        <v>49</v>
      </c>
      <c r="I37" s="35">
        <v>929</v>
      </c>
      <c r="J37" s="35"/>
      <c r="K37" s="35"/>
      <c r="M37" s="35" t="s">
        <v>49</v>
      </c>
      <c r="N37" s="35">
        <v>941</v>
      </c>
      <c r="R37" s="35" t="s">
        <v>49</v>
      </c>
      <c r="S37" s="36">
        <v>1802</v>
      </c>
      <c r="W37" s="36" t="s">
        <v>49</v>
      </c>
      <c r="X37" s="36">
        <v>1795</v>
      </c>
      <c r="AB37" s="35" t="s">
        <v>49</v>
      </c>
      <c r="AC37" s="35">
        <v>0</v>
      </c>
    </row>
    <row r="38" spans="1:29" ht="15.75" customHeight="1" x14ac:dyDescent="0.3">
      <c r="C38" s="35" t="s">
        <v>50</v>
      </c>
      <c r="D38" s="35">
        <v>530</v>
      </c>
      <c r="E38" s="35"/>
      <c r="F38" s="35"/>
      <c r="H38" s="35" t="s">
        <v>50</v>
      </c>
      <c r="I38" s="35">
        <v>1002</v>
      </c>
      <c r="J38" s="35"/>
      <c r="K38" s="35"/>
      <c r="M38" s="35" t="s">
        <v>50</v>
      </c>
      <c r="N38" s="35">
        <v>1385</v>
      </c>
      <c r="R38" s="35" t="s">
        <v>50</v>
      </c>
      <c r="S38" s="36">
        <v>2035</v>
      </c>
      <c r="W38" s="36" t="s">
        <v>50</v>
      </c>
      <c r="X38" s="36">
        <v>1971</v>
      </c>
      <c r="AB38" s="35" t="s">
        <v>50</v>
      </c>
      <c r="AC38" s="35">
        <v>0</v>
      </c>
    </row>
    <row r="39" spans="1:29" ht="15.75" customHeight="1" x14ac:dyDescent="0.3">
      <c r="C39" s="35" t="s">
        <v>51</v>
      </c>
      <c r="D39" s="35">
        <v>946</v>
      </c>
      <c r="E39" s="35"/>
      <c r="F39" s="35"/>
      <c r="H39" s="35" t="s">
        <v>51</v>
      </c>
      <c r="I39" s="35">
        <v>1395</v>
      </c>
      <c r="J39" s="35"/>
      <c r="K39" s="35"/>
      <c r="M39" s="35" t="s">
        <v>51</v>
      </c>
      <c r="N39" s="35">
        <v>1773</v>
      </c>
      <c r="R39" s="35" t="s">
        <v>51</v>
      </c>
      <c r="S39" s="36">
        <v>2269</v>
      </c>
      <c r="W39" s="36" t="s">
        <v>51</v>
      </c>
      <c r="X39" s="36">
        <v>2175</v>
      </c>
      <c r="AB39" s="35" t="s">
        <v>51</v>
      </c>
    </row>
    <row r="40" spans="1:29" ht="15.75" customHeight="1" x14ac:dyDescent="0.3">
      <c r="C40" s="35" t="s">
        <v>52</v>
      </c>
      <c r="D40" s="35">
        <v>983</v>
      </c>
      <c r="E40" s="35"/>
      <c r="F40" s="35"/>
      <c r="H40" s="35" t="s">
        <v>52</v>
      </c>
      <c r="I40" s="35">
        <v>1329</v>
      </c>
      <c r="J40" s="35"/>
      <c r="K40" s="35"/>
      <c r="M40" s="35" t="s">
        <v>52</v>
      </c>
      <c r="N40" s="35">
        <v>2240</v>
      </c>
      <c r="R40" s="35" t="s">
        <v>52</v>
      </c>
      <c r="S40" s="36">
        <v>2499</v>
      </c>
      <c r="W40" s="36" t="s">
        <v>52</v>
      </c>
      <c r="X40" s="36">
        <v>2965</v>
      </c>
    </row>
    <row r="41" spans="1:29" ht="15.75" customHeight="1" x14ac:dyDescent="0.3">
      <c r="C41" s="35" t="s">
        <v>53</v>
      </c>
      <c r="D41" s="35">
        <v>913</v>
      </c>
      <c r="E41" s="35"/>
      <c r="F41" s="35"/>
      <c r="H41" s="35" t="s">
        <v>53</v>
      </c>
      <c r="I41" s="35">
        <v>1753</v>
      </c>
      <c r="J41" s="35"/>
      <c r="K41" s="35"/>
      <c r="M41" s="35" t="s">
        <v>53</v>
      </c>
      <c r="N41" s="35">
        <v>2013</v>
      </c>
      <c r="R41" s="35" t="s">
        <v>53</v>
      </c>
      <c r="S41" s="36">
        <v>2343</v>
      </c>
      <c r="W41" s="36" t="s">
        <v>53</v>
      </c>
      <c r="X41" s="36">
        <v>2532</v>
      </c>
    </row>
    <row r="42" spans="1:29" ht="15.75" customHeight="1" x14ac:dyDescent="0.3">
      <c r="C42" s="35" t="s">
        <v>54</v>
      </c>
      <c r="D42" s="35">
        <v>867</v>
      </c>
      <c r="E42" s="35"/>
      <c r="F42" s="35"/>
      <c r="H42" s="35" t="s">
        <v>54</v>
      </c>
      <c r="I42" s="35">
        <v>1292</v>
      </c>
      <c r="J42" s="35"/>
      <c r="K42" s="35"/>
      <c r="M42" s="35" t="s">
        <v>54</v>
      </c>
      <c r="N42" s="35">
        <v>1686</v>
      </c>
      <c r="R42" s="35" t="s">
        <v>54</v>
      </c>
      <c r="S42" s="36">
        <v>1650</v>
      </c>
      <c r="W42" s="36" t="s">
        <v>54</v>
      </c>
      <c r="X42" s="36">
        <v>2507</v>
      </c>
    </row>
    <row r="43" spans="1:29" ht="15.75" customHeight="1" x14ac:dyDescent="0.3">
      <c r="C43" s="35" t="s">
        <v>55</v>
      </c>
      <c r="D43" s="35">
        <v>735</v>
      </c>
      <c r="E43" s="35"/>
      <c r="F43" s="35"/>
      <c r="H43" s="35" t="s">
        <v>55</v>
      </c>
      <c r="I43" s="35">
        <v>1033</v>
      </c>
      <c r="J43" s="35"/>
      <c r="K43" s="35"/>
      <c r="M43" s="35" t="s">
        <v>55</v>
      </c>
      <c r="N43" s="35">
        <v>1862</v>
      </c>
      <c r="R43" s="35" t="s">
        <v>55</v>
      </c>
      <c r="S43" s="36">
        <v>2223</v>
      </c>
      <c r="W43" s="36" t="s">
        <v>55</v>
      </c>
      <c r="X43" s="36">
        <v>1860</v>
      </c>
    </row>
    <row r="44" spans="1:29" ht="15.75" customHeight="1" x14ac:dyDescent="0.3">
      <c r="C44" s="35" t="s">
        <v>56</v>
      </c>
      <c r="D44" s="35">
        <v>1073</v>
      </c>
      <c r="E44" s="35"/>
      <c r="F44" s="35"/>
      <c r="H44" s="35" t="s">
        <v>56</v>
      </c>
      <c r="I44" s="35">
        <v>1395</v>
      </c>
      <c r="J44" s="35"/>
      <c r="K44" s="35"/>
      <c r="M44" s="35" t="s">
        <v>56</v>
      </c>
      <c r="N44" s="35">
        <v>1936</v>
      </c>
      <c r="R44" s="35" t="s">
        <v>56</v>
      </c>
      <c r="S44" s="36">
        <v>2307</v>
      </c>
      <c r="W44" s="36" t="s">
        <v>56</v>
      </c>
      <c r="X44" s="36">
        <v>2426</v>
      </c>
    </row>
    <row r="45" spans="1:29" ht="15.75" customHeight="1" x14ac:dyDescent="0.3">
      <c r="C45" s="35" t="s">
        <v>57</v>
      </c>
      <c r="D45" s="35">
        <v>1090</v>
      </c>
      <c r="E45" s="35"/>
      <c r="F45" s="35"/>
      <c r="H45" s="35" t="s">
        <v>57</v>
      </c>
      <c r="I45" s="35">
        <v>1943</v>
      </c>
      <c r="J45" s="35"/>
      <c r="K45" s="35"/>
      <c r="M45" s="35" t="s">
        <v>57</v>
      </c>
      <c r="N45" s="35">
        <v>2598</v>
      </c>
      <c r="R45" s="35" t="s">
        <v>57</v>
      </c>
      <c r="S45" s="36">
        <v>2642</v>
      </c>
      <c r="W45" s="36" t="s">
        <v>57</v>
      </c>
      <c r="X45" s="36">
        <v>3048</v>
      </c>
    </row>
    <row r="46" spans="1:29" ht="15.75" customHeight="1" x14ac:dyDescent="0.3">
      <c r="B46" s="35"/>
      <c r="C46" s="35"/>
      <c r="D46" s="35"/>
      <c r="E46" s="35"/>
      <c r="F46" s="35"/>
      <c r="G46" s="35"/>
      <c r="H46" s="35"/>
      <c r="I46" s="35"/>
      <c r="J46" s="35"/>
      <c r="K46" s="35"/>
      <c r="S46" s="36"/>
      <c r="T46" s="36"/>
    </row>
    <row r="47" spans="1:29" ht="14.4" x14ac:dyDescent="0.3">
      <c r="A47" s="44" t="s">
        <v>62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S47" s="46"/>
      <c r="X47" s="36"/>
    </row>
    <row r="48" spans="1:29" ht="15.75" customHeight="1" x14ac:dyDescent="0.3">
      <c r="B48" s="35"/>
      <c r="C48" s="35"/>
      <c r="D48" s="35"/>
      <c r="E48" s="35"/>
      <c r="F48" s="35"/>
      <c r="G48" s="35"/>
      <c r="H48" s="35"/>
      <c r="I48" s="35"/>
      <c r="J48" s="35"/>
      <c r="K48" s="35"/>
      <c r="S48" s="36"/>
    </row>
    <row r="49" spans="1:19" ht="15.75" customHeight="1" x14ac:dyDescent="0.3">
      <c r="B49" s="35"/>
      <c r="C49" s="35"/>
      <c r="D49" s="35"/>
      <c r="E49" s="35"/>
      <c r="F49" s="35"/>
      <c r="G49" s="35"/>
      <c r="H49" s="35"/>
      <c r="I49" s="35"/>
      <c r="J49" s="35"/>
      <c r="K49" s="35"/>
      <c r="S49" s="36"/>
    </row>
    <row r="50" spans="1:19" ht="15.75" customHeight="1" x14ac:dyDescent="0.3">
      <c r="A50" s="34" t="s">
        <v>63</v>
      </c>
      <c r="H50" s="35"/>
      <c r="I50" s="35"/>
      <c r="J50" s="35"/>
      <c r="K50" s="35"/>
      <c r="S50" s="36"/>
    </row>
    <row r="51" spans="1:19" ht="15.75" customHeight="1" x14ac:dyDescent="0.3">
      <c r="H51" s="35"/>
      <c r="I51" s="35"/>
      <c r="J51" s="35"/>
      <c r="K51" s="35"/>
      <c r="S51" s="36"/>
    </row>
    <row r="52" spans="1:19" ht="15.75" customHeight="1" x14ac:dyDescent="0.3">
      <c r="C52" s="47">
        <v>2015</v>
      </c>
      <c r="D52" s="47">
        <v>2016</v>
      </c>
      <c r="E52" s="47">
        <v>2017</v>
      </c>
      <c r="F52" s="47">
        <v>2018</v>
      </c>
      <c r="G52" s="47">
        <v>2019</v>
      </c>
      <c r="H52" s="35"/>
      <c r="I52" s="35"/>
      <c r="J52" s="35"/>
      <c r="K52" s="35"/>
      <c r="S52" s="36"/>
    </row>
    <row r="53" spans="1:19" ht="15.75" customHeight="1" x14ac:dyDescent="0.3">
      <c r="B53" s="48"/>
      <c r="C53" s="48" t="s">
        <v>12</v>
      </c>
      <c r="D53" s="48" t="s">
        <v>12</v>
      </c>
      <c r="E53" s="48" t="s">
        <v>12</v>
      </c>
      <c r="F53" s="48" t="s">
        <v>12</v>
      </c>
      <c r="G53" s="48" t="s">
        <v>12</v>
      </c>
      <c r="H53" s="35"/>
      <c r="I53" s="35"/>
      <c r="J53" s="35"/>
      <c r="K53" s="35"/>
      <c r="S53" s="36"/>
    </row>
    <row r="54" spans="1:19" ht="15.75" customHeight="1" x14ac:dyDescent="0.3">
      <c r="B54" s="34" t="s">
        <v>1</v>
      </c>
      <c r="C54" s="49">
        <v>34537</v>
      </c>
      <c r="D54" s="49">
        <v>34846</v>
      </c>
      <c r="E54" s="49">
        <v>35015</v>
      </c>
      <c r="F54" s="49">
        <v>35377</v>
      </c>
      <c r="G54" s="49">
        <v>35496</v>
      </c>
      <c r="H54" s="35"/>
      <c r="I54" s="35"/>
      <c r="J54" s="35"/>
      <c r="K54" s="35"/>
      <c r="S54" s="36"/>
    </row>
    <row r="55" spans="1:19" ht="15.75" customHeight="1" x14ac:dyDescent="0.3">
      <c r="B55" s="34" t="s">
        <v>2</v>
      </c>
      <c r="C55" s="49">
        <v>34531</v>
      </c>
      <c r="D55" s="49">
        <v>34955</v>
      </c>
      <c r="E55" s="49">
        <v>35044</v>
      </c>
      <c r="F55" s="49">
        <v>35400</v>
      </c>
      <c r="G55" s="49">
        <v>35674</v>
      </c>
      <c r="H55" s="35"/>
      <c r="I55" s="35"/>
      <c r="J55" s="35"/>
      <c r="K55" s="35"/>
      <c r="S55" s="36"/>
    </row>
    <row r="56" spans="1:19" ht="15.75" customHeight="1" x14ac:dyDescent="0.3">
      <c r="B56" s="34" t="s">
        <v>3</v>
      </c>
      <c r="C56" s="49">
        <v>34581</v>
      </c>
      <c r="D56" s="49">
        <v>34816</v>
      </c>
      <c r="E56" s="49">
        <v>35074</v>
      </c>
      <c r="F56" s="49">
        <v>35436</v>
      </c>
      <c r="G56" s="49">
        <v>35657</v>
      </c>
      <c r="H56" s="35"/>
      <c r="I56" s="35"/>
      <c r="J56" s="35"/>
      <c r="K56" s="35"/>
      <c r="S56" s="36"/>
    </row>
    <row r="57" spans="1:19" ht="15.75" customHeight="1" x14ac:dyDescent="0.3">
      <c r="B57" s="34" t="s">
        <v>4</v>
      </c>
      <c r="C57" s="49">
        <v>34514</v>
      </c>
      <c r="D57" s="49">
        <v>34863</v>
      </c>
      <c r="E57" s="49">
        <v>35091</v>
      </c>
      <c r="F57" s="49">
        <v>35417</v>
      </c>
      <c r="G57" s="49">
        <v>35617</v>
      </c>
      <c r="H57" s="35"/>
      <c r="I57" s="35"/>
      <c r="J57" s="35"/>
      <c r="K57" s="35"/>
      <c r="S57" s="36"/>
    </row>
    <row r="58" spans="1:19" ht="15.75" customHeight="1" x14ac:dyDescent="0.3">
      <c r="B58" s="34" t="s">
        <v>5</v>
      </c>
      <c r="C58" s="49">
        <v>34609</v>
      </c>
      <c r="D58" s="49">
        <v>34940</v>
      </c>
      <c r="E58" s="49">
        <v>35166</v>
      </c>
      <c r="F58" s="49">
        <v>35442</v>
      </c>
      <c r="G58" s="49">
        <v>35617</v>
      </c>
      <c r="H58" s="35"/>
      <c r="I58" s="35"/>
      <c r="J58" s="35"/>
      <c r="K58" s="35"/>
      <c r="S58" s="36"/>
    </row>
    <row r="59" spans="1:19" ht="15.75" customHeight="1" x14ac:dyDescent="0.3">
      <c r="B59" s="34" t="s">
        <v>6</v>
      </c>
      <c r="C59" s="49">
        <v>34694</v>
      </c>
      <c r="D59" s="49">
        <v>34874</v>
      </c>
      <c r="E59" s="49">
        <v>35206</v>
      </c>
      <c r="F59" s="49">
        <v>35558</v>
      </c>
      <c r="G59" s="49">
        <v>35733</v>
      </c>
      <c r="H59" s="35"/>
      <c r="I59" s="35"/>
      <c r="J59" s="35"/>
      <c r="K59" s="35"/>
      <c r="S59" s="36"/>
    </row>
    <row r="60" spans="1:19" ht="15.75" customHeight="1" x14ac:dyDescent="0.3">
      <c r="B60" s="34" t="s">
        <v>7</v>
      </c>
      <c r="C60" s="49">
        <v>34734</v>
      </c>
      <c r="D60" s="49">
        <v>34944</v>
      </c>
      <c r="E60" s="49">
        <v>35310</v>
      </c>
      <c r="F60" s="49">
        <v>35552</v>
      </c>
      <c r="G60" s="49">
        <v>35710</v>
      </c>
      <c r="H60" s="35"/>
      <c r="I60" s="35"/>
      <c r="J60" s="35"/>
      <c r="K60" s="35"/>
      <c r="S60" s="36"/>
    </row>
    <row r="61" spans="1:19" ht="15.75" customHeight="1" x14ac:dyDescent="0.3">
      <c r="B61" s="34" t="s">
        <v>8</v>
      </c>
      <c r="C61" s="49">
        <v>34728</v>
      </c>
      <c r="D61" s="49">
        <v>34901</v>
      </c>
      <c r="E61" s="49">
        <v>35294</v>
      </c>
      <c r="F61" s="49">
        <v>35557</v>
      </c>
      <c r="G61" s="49">
        <v>35722</v>
      </c>
      <c r="H61" s="35"/>
      <c r="I61" s="35"/>
      <c r="J61" s="35"/>
      <c r="K61" s="35"/>
      <c r="S61" s="36"/>
    </row>
    <row r="62" spans="1:19" ht="15.75" customHeight="1" x14ac:dyDescent="0.3">
      <c r="B62" s="34" t="s">
        <v>42</v>
      </c>
      <c r="C62" s="49">
        <v>34701</v>
      </c>
      <c r="D62" s="49">
        <v>34923</v>
      </c>
      <c r="E62" s="49">
        <v>35334</v>
      </c>
      <c r="F62" s="49">
        <v>35567</v>
      </c>
      <c r="G62" s="49">
        <v>35758</v>
      </c>
      <c r="H62" s="35"/>
      <c r="I62" s="35"/>
      <c r="J62" s="35"/>
      <c r="K62" s="35"/>
      <c r="S62" s="36"/>
    </row>
    <row r="63" spans="1:19" ht="15.75" customHeight="1" x14ac:dyDescent="0.3">
      <c r="B63" s="34" t="s">
        <v>9</v>
      </c>
      <c r="C63" s="49">
        <v>34814</v>
      </c>
      <c r="D63" s="49">
        <v>34947</v>
      </c>
      <c r="E63" s="49">
        <v>35281</v>
      </c>
      <c r="F63" s="49">
        <v>35525</v>
      </c>
      <c r="G63" s="49">
        <v>35781</v>
      </c>
      <c r="H63" s="35"/>
      <c r="I63" s="35"/>
      <c r="J63" s="35"/>
      <c r="K63" s="35"/>
      <c r="S63" s="36"/>
    </row>
    <row r="64" spans="1:19" ht="15.75" customHeight="1" x14ac:dyDescent="0.3">
      <c r="B64" s="34" t="s">
        <v>10</v>
      </c>
      <c r="C64" s="49">
        <v>34754</v>
      </c>
      <c r="D64" s="49">
        <v>34918</v>
      </c>
      <c r="E64" s="49">
        <v>35301</v>
      </c>
      <c r="F64" s="49">
        <v>35524</v>
      </c>
      <c r="G64" s="49">
        <v>35711</v>
      </c>
      <c r="H64" s="35"/>
      <c r="I64" s="35"/>
      <c r="J64" s="35"/>
      <c r="K64" s="35"/>
      <c r="S64" s="36"/>
    </row>
    <row r="65" spans="2:19" ht="15.75" customHeight="1" x14ac:dyDescent="0.3">
      <c r="B65" s="34" t="s">
        <v>11</v>
      </c>
      <c r="C65" s="49">
        <v>34703</v>
      </c>
      <c r="D65" s="49">
        <v>34935</v>
      </c>
      <c r="E65" s="49">
        <v>35305</v>
      </c>
      <c r="F65" s="49">
        <v>35502</v>
      </c>
      <c r="G65" s="49">
        <v>35731</v>
      </c>
      <c r="H65" s="35"/>
      <c r="I65" s="35"/>
      <c r="J65" s="35"/>
      <c r="K65" s="35"/>
      <c r="S65" s="36"/>
    </row>
    <row r="66" spans="2:19" ht="15.75" customHeight="1" x14ac:dyDescent="0.3">
      <c r="B66" s="35"/>
      <c r="C66" s="35"/>
      <c r="D66" s="35"/>
      <c r="E66" s="35"/>
      <c r="F66" s="35"/>
      <c r="G66" s="35"/>
      <c r="H66" s="35"/>
      <c r="I66" s="35"/>
      <c r="J66" s="35"/>
      <c r="K66" s="35"/>
      <c r="S66" s="36"/>
    </row>
    <row r="67" spans="2:19" ht="15.75" customHeight="1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  <c r="S67" s="36"/>
    </row>
    <row r="68" spans="2:19" ht="15.75" customHeight="1" x14ac:dyDescent="0.3">
      <c r="B68" s="35"/>
      <c r="C68" s="35"/>
      <c r="D68" s="35"/>
      <c r="E68" s="35"/>
      <c r="F68" s="35"/>
      <c r="G68" s="35"/>
      <c r="H68" s="35"/>
      <c r="I68" s="35"/>
      <c r="J68" s="35"/>
      <c r="K68" s="35"/>
      <c r="S68" s="36"/>
    </row>
    <row r="69" spans="2:19" ht="15.75" customHeight="1" x14ac:dyDescent="0.3">
      <c r="B69" s="35"/>
      <c r="C69" s="35"/>
      <c r="D69" s="35"/>
      <c r="E69" s="35"/>
      <c r="F69" s="35"/>
      <c r="G69" s="35"/>
      <c r="H69" s="35"/>
      <c r="I69" s="35"/>
      <c r="J69" s="35"/>
      <c r="K69" s="35"/>
      <c r="S69" s="36"/>
    </row>
    <row r="70" spans="2:19" ht="15.75" customHeight="1" x14ac:dyDescent="0.3">
      <c r="B70" s="35"/>
      <c r="C70" s="35"/>
      <c r="D70" s="35"/>
      <c r="E70" s="35"/>
      <c r="F70" s="35"/>
      <c r="G70" s="35"/>
      <c r="H70" s="35"/>
      <c r="I70" s="35"/>
      <c r="J70" s="35"/>
      <c r="K70" s="35"/>
      <c r="S70" s="36"/>
    </row>
    <row r="71" spans="2:19" ht="15.75" customHeight="1" x14ac:dyDescent="0.3">
      <c r="B71" s="35"/>
      <c r="C71" s="35"/>
      <c r="D71" s="35"/>
      <c r="E71" s="35"/>
      <c r="F71" s="35"/>
      <c r="G71" s="35"/>
      <c r="H71" s="35"/>
      <c r="I71" s="35"/>
      <c r="J71" s="35"/>
      <c r="K71" s="35"/>
      <c r="S71" s="36"/>
    </row>
    <row r="72" spans="2:19" ht="15.75" customHeight="1" x14ac:dyDescent="0.3">
      <c r="B72" s="35"/>
      <c r="C72" s="35"/>
      <c r="D72" s="35"/>
      <c r="E72" s="35"/>
      <c r="F72" s="35"/>
      <c r="G72" s="35"/>
      <c r="H72" s="35"/>
      <c r="I72" s="35"/>
      <c r="J72" s="35"/>
      <c r="K72" s="35"/>
      <c r="S72" s="36"/>
    </row>
    <row r="73" spans="2:19" ht="15.75" customHeight="1" x14ac:dyDescent="0.3">
      <c r="B73" s="35"/>
      <c r="C73" s="35"/>
      <c r="D73" s="35"/>
      <c r="E73" s="35"/>
      <c r="F73" s="35"/>
      <c r="G73" s="35"/>
      <c r="H73" s="35"/>
      <c r="I73" s="35"/>
      <c r="J73" s="35"/>
      <c r="K73" s="35"/>
      <c r="S73" s="36"/>
    </row>
    <row r="74" spans="2:19" ht="15.75" customHeight="1" x14ac:dyDescent="0.3">
      <c r="B74" s="35"/>
      <c r="C74" s="35"/>
      <c r="D74" s="35"/>
      <c r="E74" s="35"/>
      <c r="F74" s="35"/>
      <c r="G74" s="35"/>
      <c r="H74" s="35"/>
      <c r="I74" s="35"/>
      <c r="J74" s="35"/>
      <c r="K74" s="35"/>
      <c r="S74" s="36"/>
    </row>
    <row r="75" spans="2:19" ht="15.75" customHeight="1" x14ac:dyDescent="0.3">
      <c r="B75" s="35"/>
      <c r="C75" s="35"/>
      <c r="D75" s="35"/>
      <c r="E75" s="35"/>
      <c r="F75" s="35"/>
      <c r="G75" s="35"/>
      <c r="H75" s="35"/>
      <c r="I75" s="35"/>
      <c r="J75" s="35"/>
      <c r="K75" s="35"/>
      <c r="S75" s="36"/>
    </row>
    <row r="76" spans="2:19" ht="15.75" customHeight="1" x14ac:dyDescent="0.3">
      <c r="B76" s="35"/>
      <c r="C76" s="35"/>
      <c r="D76" s="35"/>
      <c r="E76" s="35"/>
      <c r="F76" s="35"/>
      <c r="G76" s="35"/>
      <c r="H76" s="35"/>
      <c r="I76" s="35"/>
      <c r="J76" s="35"/>
      <c r="K76" s="35"/>
      <c r="S76" s="36"/>
    </row>
    <row r="77" spans="2:19" ht="15.75" customHeight="1" x14ac:dyDescent="0.3">
      <c r="B77" s="35"/>
      <c r="C77" s="35"/>
      <c r="D77" s="35"/>
      <c r="E77" s="35"/>
      <c r="F77" s="35"/>
      <c r="G77" s="35"/>
      <c r="H77" s="35"/>
      <c r="I77" s="35"/>
      <c r="J77" s="35"/>
      <c r="K77" s="35"/>
      <c r="S77" s="36"/>
    </row>
    <row r="78" spans="2:19" ht="15.75" customHeight="1" x14ac:dyDescent="0.3">
      <c r="B78" s="35"/>
      <c r="C78" s="35"/>
      <c r="D78" s="35"/>
      <c r="E78" s="35"/>
      <c r="F78" s="35"/>
      <c r="G78" s="35"/>
      <c r="H78" s="35"/>
      <c r="I78" s="35"/>
      <c r="J78" s="35"/>
      <c r="K78" s="35"/>
      <c r="S78" s="36"/>
    </row>
    <row r="79" spans="2:19" ht="15.75" customHeight="1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S79" s="36"/>
    </row>
    <row r="80" spans="2:19" ht="15.75" customHeight="1" x14ac:dyDescent="0.3">
      <c r="B80" s="35"/>
      <c r="C80" s="35"/>
      <c r="D80" s="35"/>
      <c r="E80" s="35"/>
      <c r="F80" s="35"/>
      <c r="G80" s="35"/>
      <c r="H80" s="35"/>
      <c r="I80" s="35"/>
      <c r="J80" s="35"/>
      <c r="K80" s="35"/>
      <c r="S80" s="36"/>
    </row>
    <row r="81" spans="2:19" ht="15.75" customHeight="1" x14ac:dyDescent="0.3">
      <c r="B81" s="35"/>
      <c r="C81" s="35"/>
      <c r="D81" s="35"/>
      <c r="E81" s="35"/>
      <c r="F81" s="35"/>
      <c r="G81" s="35"/>
      <c r="H81" s="35"/>
      <c r="I81" s="35"/>
      <c r="J81" s="35"/>
      <c r="K81" s="35"/>
      <c r="S81" s="36"/>
    </row>
    <row r="82" spans="2:19" ht="15.75" customHeight="1" x14ac:dyDescent="0.3">
      <c r="B82" s="35"/>
      <c r="C82" s="35"/>
      <c r="D82" s="35"/>
      <c r="E82" s="35"/>
      <c r="F82" s="35"/>
      <c r="G82" s="35"/>
      <c r="H82" s="35"/>
      <c r="I82" s="35"/>
      <c r="J82" s="35"/>
      <c r="K82" s="35"/>
      <c r="S82" s="36"/>
    </row>
    <row r="83" spans="2:19" ht="15.75" customHeight="1" x14ac:dyDescent="0.3">
      <c r="B83" s="35"/>
      <c r="C83" s="35"/>
      <c r="D83" s="35"/>
      <c r="E83" s="35"/>
      <c r="F83" s="35"/>
      <c r="G83" s="35"/>
      <c r="H83" s="35"/>
      <c r="I83" s="35"/>
      <c r="J83" s="35"/>
      <c r="K83" s="35"/>
      <c r="S83" s="36"/>
    </row>
    <row r="84" spans="2:19" ht="15.75" customHeight="1" x14ac:dyDescent="0.3">
      <c r="B84" s="35"/>
      <c r="C84" s="35"/>
      <c r="D84" s="35"/>
      <c r="E84" s="35"/>
      <c r="F84" s="35"/>
      <c r="G84" s="35"/>
      <c r="H84" s="35"/>
      <c r="I84" s="35"/>
      <c r="J84" s="35"/>
      <c r="K84" s="35"/>
      <c r="S84" s="36"/>
    </row>
    <row r="85" spans="2:19" ht="15.75" customHeight="1" x14ac:dyDescent="0.3">
      <c r="B85" s="35"/>
      <c r="C85" s="35"/>
      <c r="D85" s="35"/>
      <c r="E85" s="35"/>
      <c r="F85" s="35"/>
      <c r="G85" s="35"/>
      <c r="H85" s="35"/>
      <c r="I85" s="35"/>
      <c r="J85" s="35"/>
      <c r="K85" s="35"/>
      <c r="S85" s="36"/>
    </row>
    <row r="86" spans="2:19" ht="15.75" customHeight="1" x14ac:dyDescent="0.3">
      <c r="B86" s="35"/>
      <c r="C86" s="35"/>
      <c r="D86" s="35"/>
      <c r="E86" s="35"/>
      <c r="F86" s="35"/>
      <c r="G86" s="35"/>
      <c r="H86" s="35"/>
      <c r="I86" s="35"/>
      <c r="J86" s="35"/>
      <c r="K86" s="35"/>
      <c r="S86" s="36"/>
    </row>
    <row r="87" spans="2:19" ht="15.75" customHeight="1" x14ac:dyDescent="0.3">
      <c r="B87" s="35"/>
      <c r="C87" s="35"/>
      <c r="D87" s="35"/>
      <c r="E87" s="35"/>
      <c r="F87" s="35"/>
      <c r="G87" s="35"/>
      <c r="H87" s="35"/>
      <c r="I87" s="35"/>
      <c r="J87" s="35"/>
      <c r="K87" s="35"/>
      <c r="S87" s="36"/>
    </row>
    <row r="88" spans="2:19" ht="15.75" customHeight="1" x14ac:dyDescent="0.3">
      <c r="B88" s="35"/>
      <c r="C88" s="35"/>
      <c r="D88" s="35"/>
      <c r="E88" s="35"/>
      <c r="F88" s="35"/>
      <c r="G88" s="35"/>
      <c r="H88" s="35"/>
      <c r="I88" s="35"/>
      <c r="J88" s="35"/>
      <c r="K88" s="35"/>
      <c r="S88" s="36"/>
    </row>
    <row r="89" spans="2:19" ht="15.75" customHeight="1" x14ac:dyDescent="0.3">
      <c r="B89" s="35"/>
      <c r="C89" s="35"/>
      <c r="D89" s="35"/>
      <c r="E89" s="35"/>
      <c r="F89" s="35"/>
      <c r="G89" s="35"/>
      <c r="H89" s="35"/>
      <c r="I89" s="35"/>
      <c r="J89" s="35"/>
      <c r="K89" s="35"/>
      <c r="S89" s="36"/>
    </row>
    <row r="90" spans="2:19" ht="15.75" customHeight="1" x14ac:dyDescent="0.3">
      <c r="B90" s="35"/>
      <c r="C90" s="35"/>
      <c r="D90" s="35"/>
      <c r="E90" s="35"/>
      <c r="F90" s="35"/>
      <c r="G90" s="35"/>
      <c r="H90" s="35"/>
      <c r="I90" s="35"/>
      <c r="J90" s="35"/>
      <c r="K90" s="35"/>
      <c r="S90" s="36"/>
    </row>
    <row r="91" spans="2:19" ht="15.75" customHeight="1" x14ac:dyDescent="0.3">
      <c r="B91" s="35"/>
      <c r="C91" s="35"/>
      <c r="D91" s="35"/>
      <c r="E91" s="35"/>
      <c r="F91" s="35"/>
      <c r="G91" s="35"/>
      <c r="H91" s="35"/>
      <c r="I91" s="35"/>
      <c r="J91" s="35"/>
      <c r="K91" s="35"/>
      <c r="S91" s="36"/>
    </row>
    <row r="92" spans="2:19" ht="15.75" customHeight="1" x14ac:dyDescent="0.3">
      <c r="B92" s="35"/>
      <c r="C92" s="35"/>
      <c r="D92" s="35"/>
      <c r="E92" s="35"/>
      <c r="F92" s="35"/>
      <c r="G92" s="35"/>
      <c r="H92" s="35"/>
      <c r="I92" s="35"/>
      <c r="J92" s="35"/>
      <c r="K92" s="35"/>
      <c r="S92" s="36"/>
    </row>
    <row r="93" spans="2:19" ht="15.75" customHeight="1" x14ac:dyDescent="0.3">
      <c r="B93" s="35"/>
      <c r="C93" s="35"/>
      <c r="D93" s="35"/>
      <c r="E93" s="35"/>
      <c r="F93" s="35"/>
      <c r="G93" s="35"/>
      <c r="H93" s="35"/>
      <c r="I93" s="35"/>
      <c r="J93" s="35"/>
      <c r="K93" s="35"/>
      <c r="S93" s="36"/>
    </row>
    <row r="94" spans="2:19" ht="15.75" customHeight="1" x14ac:dyDescent="0.3">
      <c r="B94" s="35"/>
      <c r="C94" s="35"/>
      <c r="D94" s="35"/>
      <c r="E94" s="35"/>
      <c r="F94" s="35"/>
      <c r="G94" s="35"/>
      <c r="H94" s="35"/>
      <c r="I94" s="35"/>
      <c r="J94" s="35"/>
      <c r="K94" s="35"/>
      <c r="S94" s="36"/>
    </row>
    <row r="95" spans="2:19" ht="15.75" customHeight="1" x14ac:dyDescent="0.3">
      <c r="B95" s="35"/>
      <c r="C95" s="35"/>
      <c r="D95" s="35"/>
      <c r="E95" s="35"/>
      <c r="F95" s="35"/>
      <c r="G95" s="35"/>
      <c r="H95" s="35"/>
      <c r="I95" s="35"/>
      <c r="J95" s="35"/>
      <c r="K95" s="35"/>
      <c r="S95" s="36"/>
    </row>
    <row r="96" spans="2:19" ht="15.75" customHeight="1" x14ac:dyDescent="0.3">
      <c r="B96" s="35"/>
      <c r="C96" s="35"/>
      <c r="D96" s="35"/>
      <c r="E96" s="35"/>
      <c r="F96" s="35"/>
      <c r="G96" s="35"/>
      <c r="H96" s="35"/>
      <c r="I96" s="35"/>
      <c r="J96" s="35"/>
      <c r="K96" s="35"/>
      <c r="S96" s="36"/>
    </row>
    <row r="97" spans="2:19" ht="15.75" customHeight="1" x14ac:dyDescent="0.3">
      <c r="B97" s="35"/>
      <c r="C97" s="35"/>
      <c r="D97" s="35"/>
      <c r="E97" s="35"/>
      <c r="F97" s="35"/>
      <c r="G97" s="35"/>
      <c r="H97" s="35"/>
      <c r="I97" s="35"/>
      <c r="J97" s="35"/>
      <c r="K97" s="35"/>
      <c r="S97" s="36"/>
    </row>
    <row r="98" spans="2:19" ht="15.75" customHeight="1" x14ac:dyDescent="0.3">
      <c r="B98" s="35"/>
      <c r="C98" s="35"/>
      <c r="D98" s="35"/>
      <c r="E98" s="35"/>
      <c r="F98" s="35"/>
      <c r="G98" s="35"/>
      <c r="H98" s="35"/>
      <c r="I98" s="35"/>
      <c r="J98" s="35"/>
      <c r="K98" s="35"/>
      <c r="S98" s="36"/>
    </row>
    <row r="99" spans="2:19" ht="15.75" customHeight="1" x14ac:dyDescent="0.3">
      <c r="B99" s="35"/>
      <c r="C99" s="35"/>
      <c r="D99" s="35"/>
      <c r="E99" s="35"/>
      <c r="F99" s="35"/>
      <c r="G99" s="35"/>
      <c r="H99" s="35"/>
      <c r="I99" s="35"/>
      <c r="J99" s="35"/>
      <c r="K99" s="35"/>
      <c r="S99" s="36"/>
    </row>
    <row r="100" spans="2:19" ht="15.75" customHeight="1" x14ac:dyDescent="0.3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S100" s="36"/>
    </row>
    <row r="101" spans="2:19" ht="15.75" customHeight="1" x14ac:dyDescent="0.3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S101" s="36"/>
    </row>
    <row r="102" spans="2:19" ht="15.75" customHeight="1" x14ac:dyDescent="0.3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S102" s="36"/>
    </row>
    <row r="103" spans="2:19" ht="15.75" customHeight="1" x14ac:dyDescent="0.3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S103" s="36"/>
    </row>
    <row r="104" spans="2:19" ht="15.75" customHeight="1" x14ac:dyDescent="0.3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S104" s="36"/>
    </row>
    <row r="105" spans="2:19" ht="15.75" customHeight="1" x14ac:dyDescent="0.3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S105" s="36"/>
    </row>
    <row r="106" spans="2:19" ht="15.75" customHeight="1" x14ac:dyDescent="0.3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S106" s="36"/>
    </row>
    <row r="107" spans="2:19" ht="15.75" customHeight="1" x14ac:dyDescent="0.3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S107" s="36"/>
    </row>
    <row r="108" spans="2:19" ht="15.75" customHeight="1" x14ac:dyDescent="0.3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S108" s="36"/>
    </row>
    <row r="109" spans="2:19" ht="15.75" customHeight="1" x14ac:dyDescent="0.3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S109" s="36"/>
    </row>
    <row r="110" spans="2:19" ht="15.75" customHeight="1" x14ac:dyDescent="0.3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S110" s="36"/>
    </row>
    <row r="111" spans="2:19" ht="15.75" customHeight="1" x14ac:dyDescent="0.3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S111" s="36"/>
    </row>
    <row r="112" spans="2:19" ht="15.75" customHeight="1" x14ac:dyDescent="0.3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S112" s="36"/>
    </row>
    <row r="113" spans="2:19" ht="15.75" customHeight="1" x14ac:dyDescent="0.3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S113" s="36"/>
    </row>
    <row r="114" spans="2:19" ht="15.75" customHeight="1" x14ac:dyDescent="0.3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S114" s="36"/>
    </row>
    <row r="115" spans="2:19" ht="15.75" customHeight="1" x14ac:dyDescent="0.3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S115" s="36"/>
    </row>
    <row r="116" spans="2:19" ht="15.75" customHeight="1" x14ac:dyDescent="0.3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S116" s="36"/>
    </row>
    <row r="117" spans="2:19" ht="15.75" customHeight="1" x14ac:dyDescent="0.3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S117" s="36"/>
    </row>
    <row r="118" spans="2:19" ht="15.75" customHeight="1" x14ac:dyDescent="0.3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S118" s="36"/>
    </row>
    <row r="119" spans="2:19" ht="15.75" customHeight="1" x14ac:dyDescent="0.3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S119" s="36"/>
    </row>
    <row r="120" spans="2:19" ht="15.75" customHeight="1" x14ac:dyDescent="0.3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S120" s="36"/>
    </row>
    <row r="121" spans="2:19" ht="15.75" customHeight="1" x14ac:dyDescent="0.3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S121" s="36"/>
    </row>
    <row r="122" spans="2:19" ht="15.75" customHeight="1" x14ac:dyDescent="0.3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S122" s="36"/>
    </row>
    <row r="123" spans="2:19" ht="15.75" customHeight="1" x14ac:dyDescent="0.3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S123" s="36"/>
    </row>
    <row r="124" spans="2:19" ht="15.75" customHeight="1" x14ac:dyDescent="0.3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S124" s="36"/>
    </row>
    <row r="125" spans="2:19" ht="15.75" customHeight="1" x14ac:dyDescent="0.3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S125" s="36"/>
    </row>
    <row r="126" spans="2:19" ht="15.75" customHeight="1" x14ac:dyDescent="0.3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S126" s="36"/>
    </row>
    <row r="127" spans="2:19" ht="15.75" customHeight="1" x14ac:dyDescent="0.3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S127" s="36"/>
    </row>
    <row r="128" spans="2:19" ht="15.75" customHeight="1" x14ac:dyDescent="0.3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S128" s="36"/>
    </row>
    <row r="129" spans="2:19" ht="15.75" customHeight="1" x14ac:dyDescent="0.3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S129" s="36"/>
    </row>
    <row r="130" spans="2:19" ht="15.75" customHeight="1" x14ac:dyDescent="0.3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S130" s="36"/>
    </row>
    <row r="131" spans="2:19" ht="15.75" customHeight="1" x14ac:dyDescent="0.3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S131" s="36"/>
    </row>
    <row r="132" spans="2:19" ht="15.75" customHeight="1" x14ac:dyDescent="0.3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S132" s="36"/>
    </row>
    <row r="133" spans="2:19" ht="15.75" customHeight="1" x14ac:dyDescent="0.3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S133" s="36"/>
    </row>
    <row r="134" spans="2:19" ht="15.75" customHeight="1" x14ac:dyDescent="0.3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S134" s="36"/>
    </row>
    <row r="135" spans="2:19" ht="15.75" customHeight="1" x14ac:dyDescent="0.3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S135" s="36"/>
    </row>
    <row r="136" spans="2:19" ht="15.75" customHeight="1" x14ac:dyDescent="0.3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S136" s="36"/>
    </row>
    <row r="137" spans="2:19" ht="15.75" customHeight="1" x14ac:dyDescent="0.3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S137" s="36"/>
    </row>
    <row r="138" spans="2:19" ht="15.75" customHeight="1" x14ac:dyDescent="0.3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S138" s="36"/>
    </row>
    <row r="139" spans="2:19" ht="15.75" customHeight="1" x14ac:dyDescent="0.3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S139" s="36"/>
    </row>
    <row r="140" spans="2:19" ht="15.75" customHeight="1" x14ac:dyDescent="0.3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S140" s="36"/>
    </row>
    <row r="141" spans="2:19" ht="15.75" customHeight="1" x14ac:dyDescent="0.3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S141" s="36"/>
    </row>
    <row r="142" spans="2:19" ht="15.75" customHeight="1" x14ac:dyDescent="0.3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S142" s="36"/>
    </row>
    <row r="143" spans="2:19" ht="15.75" customHeight="1" x14ac:dyDescent="0.3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S143" s="36"/>
    </row>
    <row r="144" spans="2:19" ht="15.75" customHeight="1" x14ac:dyDescent="0.3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S144" s="36"/>
    </row>
    <row r="145" spans="2:19" ht="15.75" customHeight="1" x14ac:dyDescent="0.3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S145" s="36"/>
    </row>
    <row r="146" spans="2:19" ht="15.75" customHeight="1" x14ac:dyDescent="0.3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S146" s="36"/>
    </row>
    <row r="147" spans="2:19" ht="15.75" customHeight="1" x14ac:dyDescent="0.3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S147" s="36"/>
    </row>
    <row r="148" spans="2:19" ht="15.75" customHeight="1" x14ac:dyDescent="0.3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S148" s="36"/>
    </row>
    <row r="149" spans="2:19" ht="15.75" customHeight="1" x14ac:dyDescent="0.3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S149" s="36"/>
    </row>
    <row r="150" spans="2:19" ht="15.75" customHeight="1" x14ac:dyDescent="0.3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S150" s="36"/>
    </row>
    <row r="151" spans="2:19" ht="15.75" customHeight="1" x14ac:dyDescent="0.3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S151" s="36"/>
    </row>
    <row r="152" spans="2:19" ht="15.75" customHeight="1" x14ac:dyDescent="0.3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S152" s="36"/>
    </row>
    <row r="153" spans="2:19" ht="15.75" customHeight="1" x14ac:dyDescent="0.3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S153" s="36"/>
    </row>
    <row r="154" spans="2:19" ht="15.75" customHeight="1" x14ac:dyDescent="0.3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S154" s="36"/>
    </row>
    <row r="155" spans="2:19" ht="15.75" customHeight="1" x14ac:dyDescent="0.3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S155" s="36"/>
    </row>
    <row r="156" spans="2:19" ht="15.75" customHeight="1" x14ac:dyDescent="0.3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S156" s="36"/>
    </row>
    <row r="157" spans="2:19" ht="15.75" customHeight="1" x14ac:dyDescent="0.3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S157" s="36"/>
    </row>
    <row r="158" spans="2:19" ht="15.75" customHeight="1" x14ac:dyDescent="0.3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S158" s="36"/>
    </row>
    <row r="159" spans="2:19" ht="15.75" customHeight="1" x14ac:dyDescent="0.3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S159" s="36"/>
    </row>
    <row r="160" spans="2:19" ht="15.75" customHeight="1" x14ac:dyDescent="0.3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S160" s="36"/>
    </row>
    <row r="161" spans="2:19" ht="15.75" customHeight="1" x14ac:dyDescent="0.3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S161" s="36"/>
    </row>
    <row r="162" spans="2:19" ht="15.75" customHeight="1" x14ac:dyDescent="0.3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S162" s="36"/>
    </row>
    <row r="163" spans="2:19" ht="15.75" customHeight="1" x14ac:dyDescent="0.3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S163" s="36"/>
    </row>
    <row r="164" spans="2:19" ht="15.75" customHeight="1" x14ac:dyDescent="0.3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S164" s="36"/>
    </row>
    <row r="165" spans="2:19" ht="15.75" customHeight="1" x14ac:dyDescent="0.3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S165" s="36"/>
    </row>
    <row r="166" spans="2:19" ht="15.75" customHeight="1" x14ac:dyDescent="0.3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S166" s="36"/>
    </row>
    <row r="167" spans="2:19" ht="15.75" customHeight="1" x14ac:dyDescent="0.3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S167" s="36"/>
    </row>
    <row r="168" spans="2:19" ht="15.75" customHeight="1" x14ac:dyDescent="0.3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S168" s="36"/>
    </row>
    <row r="169" spans="2:19" ht="15.75" customHeight="1" x14ac:dyDescent="0.3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S169" s="36"/>
    </row>
    <row r="170" spans="2:19" ht="15.75" customHeight="1" x14ac:dyDescent="0.3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S170" s="36"/>
    </row>
    <row r="171" spans="2:19" ht="15.75" customHeight="1" x14ac:dyDescent="0.3"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S171" s="36"/>
    </row>
    <row r="172" spans="2:19" ht="15.75" customHeight="1" x14ac:dyDescent="0.3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S172" s="36"/>
    </row>
    <row r="173" spans="2:19" ht="15.75" customHeight="1" x14ac:dyDescent="0.3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S173" s="36"/>
    </row>
    <row r="174" spans="2:19" ht="15.75" customHeight="1" x14ac:dyDescent="0.3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S174" s="36"/>
    </row>
    <row r="175" spans="2:19" ht="15.75" customHeight="1" x14ac:dyDescent="0.3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S175" s="36"/>
    </row>
    <row r="176" spans="2:19" ht="15.75" customHeight="1" x14ac:dyDescent="0.3"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S176" s="36"/>
    </row>
    <row r="177" spans="2:19" ht="15.75" customHeight="1" x14ac:dyDescent="0.3"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S177" s="36"/>
    </row>
    <row r="178" spans="2:19" ht="15.75" customHeight="1" x14ac:dyDescent="0.3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S178" s="36"/>
    </row>
    <row r="179" spans="2:19" ht="15.75" customHeight="1" x14ac:dyDescent="0.3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S179" s="36"/>
    </row>
    <row r="180" spans="2:19" ht="15.75" customHeight="1" x14ac:dyDescent="0.3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S180" s="36"/>
    </row>
    <row r="181" spans="2:19" ht="15.75" customHeight="1" x14ac:dyDescent="0.3"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S181" s="36"/>
    </row>
    <row r="182" spans="2:19" ht="15.75" customHeight="1" x14ac:dyDescent="0.3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S182" s="36"/>
    </row>
    <row r="183" spans="2:19" ht="15.75" customHeight="1" x14ac:dyDescent="0.3"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S183" s="36"/>
    </row>
    <row r="184" spans="2:19" ht="15.75" customHeight="1" x14ac:dyDescent="0.3"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S184" s="36"/>
    </row>
    <row r="185" spans="2:19" ht="15.75" customHeight="1" x14ac:dyDescent="0.3"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S185" s="36"/>
    </row>
    <row r="186" spans="2:19" ht="15.75" customHeight="1" x14ac:dyDescent="0.3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S186" s="36"/>
    </row>
    <row r="187" spans="2:19" ht="15.75" customHeight="1" x14ac:dyDescent="0.3"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S187" s="36"/>
    </row>
    <row r="188" spans="2:19" ht="15.75" customHeight="1" x14ac:dyDescent="0.3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S188" s="36"/>
    </row>
    <row r="189" spans="2:19" ht="15.75" customHeight="1" x14ac:dyDescent="0.3"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S189" s="36"/>
    </row>
    <row r="190" spans="2:19" ht="15.75" customHeight="1" x14ac:dyDescent="0.3"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S190" s="36"/>
    </row>
    <row r="191" spans="2:19" ht="15.75" customHeight="1" x14ac:dyDescent="0.3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S191" s="36"/>
    </row>
    <row r="192" spans="2:19" ht="15.75" customHeight="1" x14ac:dyDescent="0.3"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S192" s="36"/>
    </row>
    <row r="193" spans="2:19" ht="15.75" customHeight="1" x14ac:dyDescent="0.3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S193" s="36"/>
    </row>
    <row r="194" spans="2:19" ht="15.75" customHeight="1" x14ac:dyDescent="0.3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S194" s="36"/>
    </row>
    <row r="195" spans="2:19" ht="15.75" customHeight="1" x14ac:dyDescent="0.3"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S195" s="36"/>
    </row>
    <row r="196" spans="2:19" ht="15.75" customHeight="1" x14ac:dyDescent="0.3"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S196" s="36"/>
    </row>
    <row r="197" spans="2:19" ht="15.75" customHeight="1" x14ac:dyDescent="0.3"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S197" s="36"/>
    </row>
    <row r="198" spans="2:19" ht="15.75" customHeight="1" x14ac:dyDescent="0.3"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S198" s="36"/>
    </row>
    <row r="199" spans="2:19" ht="15.75" customHeight="1" x14ac:dyDescent="0.3"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S199" s="36"/>
    </row>
    <row r="200" spans="2:19" ht="15.75" customHeight="1" x14ac:dyDescent="0.3"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S200" s="36"/>
    </row>
    <row r="201" spans="2:19" ht="15.75" customHeight="1" x14ac:dyDescent="0.3"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S201" s="36"/>
    </row>
    <row r="202" spans="2:19" ht="15.75" customHeight="1" x14ac:dyDescent="0.3"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S202" s="36"/>
    </row>
    <row r="203" spans="2:19" ht="15.75" customHeight="1" x14ac:dyDescent="0.3"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S203" s="36"/>
    </row>
    <row r="204" spans="2:19" ht="15.75" customHeight="1" x14ac:dyDescent="0.3"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S204" s="36"/>
    </row>
    <row r="205" spans="2:19" ht="15.75" customHeight="1" x14ac:dyDescent="0.3"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S205" s="36"/>
    </row>
    <row r="206" spans="2:19" ht="15.75" customHeight="1" x14ac:dyDescent="0.3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S206" s="36"/>
    </row>
    <row r="207" spans="2:19" ht="15.75" customHeight="1" x14ac:dyDescent="0.3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S207" s="36"/>
    </row>
    <row r="208" spans="2:19" ht="15.75" customHeight="1" x14ac:dyDescent="0.3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S208" s="36"/>
    </row>
    <row r="209" spans="2:19" ht="15.75" customHeight="1" x14ac:dyDescent="0.3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S209" s="36"/>
    </row>
    <row r="210" spans="2:19" ht="15.75" customHeight="1" x14ac:dyDescent="0.3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S210" s="36"/>
    </row>
    <row r="211" spans="2:19" ht="15.75" customHeight="1" x14ac:dyDescent="0.3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S211" s="36"/>
    </row>
    <row r="212" spans="2:19" ht="15.75" customHeight="1" x14ac:dyDescent="0.3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S212" s="36"/>
    </row>
    <row r="213" spans="2:19" ht="15.75" customHeight="1" x14ac:dyDescent="0.3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S213" s="36"/>
    </row>
    <row r="214" spans="2:19" ht="15.75" customHeight="1" x14ac:dyDescent="0.3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S214" s="36"/>
    </row>
    <row r="215" spans="2:19" ht="15.75" customHeight="1" x14ac:dyDescent="0.3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S215" s="36"/>
    </row>
    <row r="216" spans="2:19" ht="15.75" customHeight="1" x14ac:dyDescent="0.3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S216" s="36"/>
    </row>
    <row r="217" spans="2:19" ht="15.75" customHeight="1" x14ac:dyDescent="0.3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S217" s="36"/>
    </row>
    <row r="218" spans="2:19" ht="15.75" customHeight="1" x14ac:dyDescent="0.3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S218" s="36"/>
    </row>
    <row r="219" spans="2:19" ht="15.75" customHeight="1" x14ac:dyDescent="0.3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S219" s="36"/>
    </row>
    <row r="220" spans="2:19" ht="15.75" customHeight="1" x14ac:dyDescent="0.3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S220" s="36"/>
    </row>
    <row r="221" spans="2:19" ht="15.75" customHeight="1" x14ac:dyDescent="0.3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S221" s="36"/>
    </row>
    <row r="222" spans="2:19" ht="15.75" customHeight="1" x14ac:dyDescent="0.3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S222" s="36"/>
    </row>
    <row r="223" spans="2:19" ht="15.75" customHeight="1" x14ac:dyDescent="0.3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S223" s="36"/>
    </row>
    <row r="224" spans="2:19" ht="15.75" customHeight="1" x14ac:dyDescent="0.3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S224" s="36"/>
    </row>
    <row r="225" spans="2:19" ht="15.75" customHeight="1" x14ac:dyDescent="0.3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S225" s="36"/>
    </row>
    <row r="226" spans="2:19" ht="15.75" customHeight="1" x14ac:dyDescent="0.3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S226" s="36"/>
    </row>
    <row r="227" spans="2:19" ht="15.75" customHeight="1" x14ac:dyDescent="0.3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S227" s="36"/>
    </row>
    <row r="228" spans="2:19" ht="15.75" customHeight="1" x14ac:dyDescent="0.3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S228" s="36"/>
    </row>
    <row r="229" spans="2:19" ht="15.75" customHeight="1" x14ac:dyDescent="0.3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S229" s="36"/>
    </row>
    <row r="230" spans="2:19" ht="15.75" customHeight="1" x14ac:dyDescent="0.3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S230" s="36"/>
    </row>
    <row r="231" spans="2:19" ht="15.75" customHeight="1" x14ac:dyDescent="0.3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S231" s="36"/>
    </row>
    <row r="232" spans="2:19" ht="15.75" customHeight="1" x14ac:dyDescent="0.3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S232" s="36"/>
    </row>
    <row r="233" spans="2:19" ht="15.75" customHeight="1" x14ac:dyDescent="0.3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S233" s="36"/>
    </row>
    <row r="234" spans="2:19" ht="15.75" customHeight="1" x14ac:dyDescent="0.3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S234" s="36"/>
    </row>
    <row r="235" spans="2:19" ht="15.75" customHeight="1" x14ac:dyDescent="0.3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S235" s="36"/>
    </row>
    <row r="236" spans="2:19" ht="15.75" customHeight="1" x14ac:dyDescent="0.3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S236" s="36"/>
    </row>
    <row r="237" spans="2:19" ht="15.75" customHeight="1" x14ac:dyDescent="0.3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S237" s="36"/>
    </row>
    <row r="238" spans="2:19" ht="15.75" customHeight="1" x14ac:dyDescent="0.3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S238" s="36"/>
    </row>
    <row r="239" spans="2:19" ht="15.75" customHeight="1" x14ac:dyDescent="0.3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S239" s="36"/>
    </row>
    <row r="240" spans="2:19" ht="15.75" customHeight="1" x14ac:dyDescent="0.3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S240" s="36"/>
    </row>
    <row r="241" spans="2:19" ht="15.75" customHeight="1" x14ac:dyDescent="0.3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S241" s="36"/>
    </row>
    <row r="242" spans="2:19" ht="15.75" customHeight="1" x14ac:dyDescent="0.3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S242" s="36"/>
    </row>
    <row r="243" spans="2:19" ht="15.75" customHeight="1" x14ac:dyDescent="0.3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S243" s="36"/>
    </row>
    <row r="244" spans="2:19" ht="15.75" customHeight="1" x14ac:dyDescent="0.3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S244" s="36"/>
    </row>
    <row r="245" spans="2:19" ht="15.75" customHeight="1" x14ac:dyDescent="0.3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S245" s="36"/>
    </row>
    <row r="246" spans="2:19" ht="15.75" customHeight="1" x14ac:dyDescent="0.3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S246" s="36"/>
    </row>
    <row r="247" spans="2:19" ht="15.75" customHeight="1" x14ac:dyDescent="0.3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S247" s="36"/>
    </row>
    <row r="248" spans="2:19" ht="15.75" customHeight="1" x14ac:dyDescent="0.3"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S248" s="36"/>
    </row>
    <row r="249" spans="2:19" ht="15.75" customHeight="1" x14ac:dyDescent="0.3"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S249" s="36"/>
    </row>
    <row r="250" spans="2:19" ht="15.75" customHeight="1" x14ac:dyDescent="0.3"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S250" s="36"/>
    </row>
    <row r="251" spans="2:19" ht="15.75" customHeight="1" x14ac:dyDescent="0.3"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S251" s="36"/>
    </row>
    <row r="252" spans="2:19" ht="15.75" customHeight="1" x14ac:dyDescent="0.3"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S252" s="36"/>
    </row>
    <row r="253" spans="2:19" ht="15.75" customHeight="1" x14ac:dyDescent="0.3"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S253" s="36"/>
    </row>
    <row r="254" spans="2:19" ht="15.75" customHeight="1" x14ac:dyDescent="0.3"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S254" s="36"/>
    </row>
    <row r="255" spans="2:19" ht="15.75" customHeight="1" x14ac:dyDescent="0.3"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S255" s="36"/>
    </row>
    <row r="256" spans="2:19" ht="15.75" customHeight="1" x14ac:dyDescent="0.3"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S256" s="36"/>
    </row>
    <row r="257" spans="2:19" ht="15.75" customHeight="1" x14ac:dyDescent="0.3"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S257" s="36"/>
    </row>
    <row r="258" spans="2:19" ht="15.75" customHeight="1" x14ac:dyDescent="0.3"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S258" s="36"/>
    </row>
    <row r="259" spans="2:19" ht="15.75" customHeight="1" x14ac:dyDescent="0.3"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S259" s="36"/>
    </row>
    <row r="260" spans="2:19" ht="15.75" customHeight="1" x14ac:dyDescent="0.3"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S260" s="36"/>
    </row>
    <row r="261" spans="2:19" ht="15.75" customHeight="1" x14ac:dyDescent="0.3"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S261" s="36"/>
    </row>
    <row r="262" spans="2:19" ht="15.75" customHeight="1" x14ac:dyDescent="0.3"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S262" s="36"/>
    </row>
    <row r="263" spans="2:19" ht="15.75" customHeight="1" x14ac:dyDescent="0.3"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S263" s="36"/>
    </row>
    <row r="264" spans="2:19" ht="15.75" customHeight="1" x14ac:dyDescent="0.3"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S264" s="36"/>
    </row>
    <row r="265" spans="2:19" ht="15.75" customHeight="1" x14ac:dyDescent="0.3"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S265" s="36"/>
    </row>
    <row r="266" spans="2:19" ht="15.75" customHeight="1" x14ac:dyDescent="0.3"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S266" s="36"/>
    </row>
    <row r="267" spans="2:19" ht="15.75" customHeight="1" x14ac:dyDescent="0.3"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S267" s="36"/>
    </row>
    <row r="268" spans="2:19" ht="15.75" customHeight="1" x14ac:dyDescent="0.3"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S268" s="36"/>
    </row>
    <row r="269" spans="2:19" ht="15.75" customHeight="1" x14ac:dyDescent="0.3"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S269" s="36"/>
    </row>
    <row r="270" spans="2:19" ht="15.75" customHeight="1" x14ac:dyDescent="0.3"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S270" s="36"/>
    </row>
    <row r="271" spans="2:19" ht="15.75" customHeight="1" x14ac:dyDescent="0.3"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S271" s="36"/>
    </row>
    <row r="272" spans="2:19" ht="15.75" customHeight="1" x14ac:dyDescent="0.3"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S272" s="36"/>
    </row>
    <row r="273" spans="2:19" ht="15.75" customHeight="1" x14ac:dyDescent="0.3"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S273" s="36"/>
    </row>
    <row r="274" spans="2:19" ht="15.75" customHeight="1" x14ac:dyDescent="0.3"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S274" s="36"/>
    </row>
    <row r="275" spans="2:19" ht="15.75" customHeight="1" x14ac:dyDescent="0.3"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S275" s="36"/>
    </row>
    <row r="276" spans="2:19" ht="15.75" customHeight="1" x14ac:dyDescent="0.3"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S276" s="36"/>
    </row>
    <row r="277" spans="2:19" ht="15.75" customHeight="1" x14ac:dyDescent="0.3"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S277" s="36"/>
    </row>
    <row r="278" spans="2:19" ht="15.75" customHeight="1" x14ac:dyDescent="0.3"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S278" s="36"/>
    </row>
    <row r="279" spans="2:19" ht="15.75" customHeight="1" x14ac:dyDescent="0.3"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S279" s="36"/>
    </row>
    <row r="280" spans="2:19" ht="15.75" customHeight="1" x14ac:dyDescent="0.3"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S280" s="36"/>
    </row>
    <row r="281" spans="2:19" ht="15.75" customHeight="1" x14ac:dyDescent="0.3"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S281" s="36"/>
    </row>
    <row r="282" spans="2:19" ht="15.75" customHeight="1" x14ac:dyDescent="0.3"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S282" s="36"/>
    </row>
    <row r="283" spans="2:19" ht="15.75" customHeight="1" x14ac:dyDescent="0.3"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S283" s="36"/>
    </row>
    <row r="284" spans="2:19" ht="15.75" customHeight="1" x14ac:dyDescent="0.3"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S284" s="36"/>
    </row>
    <row r="285" spans="2:19" ht="15.75" customHeight="1" x14ac:dyDescent="0.3"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S285" s="36"/>
    </row>
    <row r="286" spans="2:19" ht="15.75" customHeight="1" x14ac:dyDescent="0.3"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S286" s="36"/>
    </row>
    <row r="287" spans="2:19" ht="15.75" customHeight="1" x14ac:dyDescent="0.3"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S287" s="36"/>
    </row>
    <row r="288" spans="2:19" ht="15.75" customHeight="1" x14ac:dyDescent="0.3"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S288" s="36"/>
    </row>
    <row r="289" spans="2:19" ht="15.75" customHeight="1" x14ac:dyDescent="0.3"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S289" s="36"/>
    </row>
    <row r="290" spans="2:19" ht="15.75" customHeight="1" x14ac:dyDescent="0.3"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S290" s="36"/>
    </row>
    <row r="291" spans="2:19" ht="15.75" customHeight="1" x14ac:dyDescent="0.3"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S291" s="36"/>
    </row>
    <row r="292" spans="2:19" ht="15.75" customHeight="1" x14ac:dyDescent="0.3"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S292" s="36"/>
    </row>
    <row r="293" spans="2:19" ht="15.75" customHeight="1" x14ac:dyDescent="0.3"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S293" s="36"/>
    </row>
    <row r="294" spans="2:19" ht="15.75" customHeight="1" x14ac:dyDescent="0.3"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S294" s="36"/>
    </row>
    <row r="295" spans="2:19" ht="15.75" customHeight="1" x14ac:dyDescent="0.3"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S295" s="36"/>
    </row>
    <row r="296" spans="2:19" ht="15.75" customHeight="1" x14ac:dyDescent="0.3"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S296" s="36"/>
    </row>
    <row r="297" spans="2:19" ht="15.75" customHeight="1" x14ac:dyDescent="0.3"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S297" s="36"/>
    </row>
    <row r="298" spans="2:19" ht="15.75" customHeight="1" x14ac:dyDescent="0.3"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S298" s="36"/>
    </row>
    <row r="299" spans="2:19" ht="15.75" customHeight="1" x14ac:dyDescent="0.3"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S299" s="36"/>
    </row>
    <row r="300" spans="2:19" ht="15.75" customHeight="1" x14ac:dyDescent="0.3"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S300" s="36"/>
    </row>
    <row r="301" spans="2:19" ht="15.75" customHeight="1" x14ac:dyDescent="0.3"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S301" s="36"/>
    </row>
    <row r="302" spans="2:19" ht="15.75" customHeight="1" x14ac:dyDescent="0.3"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S302" s="36"/>
    </row>
    <row r="303" spans="2:19" ht="15.75" customHeight="1" x14ac:dyDescent="0.3"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S303" s="36"/>
    </row>
    <row r="304" spans="2:19" ht="15.75" customHeight="1" x14ac:dyDescent="0.3"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S304" s="36"/>
    </row>
    <row r="305" spans="2:19" ht="15.75" customHeight="1" x14ac:dyDescent="0.3"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S305" s="36"/>
    </row>
    <row r="306" spans="2:19" ht="15.75" customHeight="1" x14ac:dyDescent="0.3"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S306" s="36"/>
    </row>
    <row r="307" spans="2:19" ht="15.75" customHeight="1" x14ac:dyDescent="0.3"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S307" s="36"/>
    </row>
    <row r="308" spans="2:19" ht="15.75" customHeight="1" x14ac:dyDescent="0.3"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S308" s="36"/>
    </row>
    <row r="309" spans="2:19" ht="15.75" customHeight="1" x14ac:dyDescent="0.3"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S309" s="36"/>
    </row>
    <row r="310" spans="2:19" ht="15.75" customHeight="1" x14ac:dyDescent="0.3"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S310" s="36"/>
    </row>
    <row r="311" spans="2:19" ht="15.75" customHeight="1" x14ac:dyDescent="0.3"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S311" s="36"/>
    </row>
    <row r="312" spans="2:19" ht="15.75" customHeight="1" x14ac:dyDescent="0.3"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S312" s="36"/>
    </row>
    <row r="313" spans="2:19" ht="15.75" customHeight="1" x14ac:dyDescent="0.3"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S313" s="36"/>
    </row>
    <row r="314" spans="2:19" ht="15.75" customHeight="1" x14ac:dyDescent="0.3"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S314" s="36"/>
    </row>
    <row r="315" spans="2:19" ht="15.75" customHeight="1" x14ac:dyDescent="0.3"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S315" s="36"/>
    </row>
    <row r="316" spans="2:19" ht="15.75" customHeight="1" x14ac:dyDescent="0.3"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S316" s="36"/>
    </row>
    <row r="317" spans="2:19" ht="15.75" customHeight="1" x14ac:dyDescent="0.3"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S317" s="36"/>
    </row>
    <row r="318" spans="2:19" ht="15.75" customHeight="1" x14ac:dyDescent="0.3"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S318" s="36"/>
    </row>
    <row r="319" spans="2:19" ht="15.75" customHeight="1" x14ac:dyDescent="0.3"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S319" s="36"/>
    </row>
    <row r="320" spans="2:19" ht="15.75" customHeight="1" x14ac:dyDescent="0.3"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S320" s="36"/>
    </row>
    <row r="321" spans="2:19" ht="15.75" customHeight="1" x14ac:dyDescent="0.3"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S321" s="36"/>
    </row>
    <row r="322" spans="2:19" ht="15.75" customHeight="1" x14ac:dyDescent="0.3"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S322" s="36"/>
    </row>
    <row r="323" spans="2:19" ht="15.75" customHeight="1" x14ac:dyDescent="0.3"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S323" s="36"/>
    </row>
    <row r="324" spans="2:19" ht="15.75" customHeight="1" x14ac:dyDescent="0.3"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S324" s="36"/>
    </row>
    <row r="325" spans="2:19" ht="15.75" customHeight="1" x14ac:dyDescent="0.3"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S325" s="36"/>
    </row>
    <row r="326" spans="2:19" ht="15.75" customHeight="1" x14ac:dyDescent="0.3"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S326" s="36"/>
    </row>
    <row r="327" spans="2:19" ht="15.75" customHeight="1" x14ac:dyDescent="0.3"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S327" s="36"/>
    </row>
    <row r="328" spans="2:19" ht="15.75" customHeight="1" x14ac:dyDescent="0.3"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S328" s="36"/>
    </row>
    <row r="329" spans="2:19" ht="15.75" customHeight="1" x14ac:dyDescent="0.3"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S329" s="36"/>
    </row>
    <row r="330" spans="2:19" ht="15.75" customHeight="1" x14ac:dyDescent="0.3"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S330" s="36"/>
    </row>
    <row r="331" spans="2:19" ht="15.75" customHeight="1" x14ac:dyDescent="0.3"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S331" s="36"/>
    </row>
    <row r="332" spans="2:19" ht="15.75" customHeight="1" x14ac:dyDescent="0.3"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S332" s="36"/>
    </row>
    <row r="333" spans="2:19" ht="15.75" customHeight="1" x14ac:dyDescent="0.3"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S333" s="36"/>
    </row>
    <row r="334" spans="2:19" ht="15.75" customHeight="1" x14ac:dyDescent="0.3"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S334" s="36"/>
    </row>
    <row r="335" spans="2:19" ht="15.75" customHeight="1" x14ac:dyDescent="0.3"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S335" s="36"/>
    </row>
    <row r="336" spans="2:19" ht="15.75" customHeight="1" x14ac:dyDescent="0.3"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S336" s="36"/>
    </row>
    <row r="337" spans="2:19" ht="15.75" customHeight="1" x14ac:dyDescent="0.3"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S337" s="36"/>
    </row>
    <row r="338" spans="2:19" ht="15.75" customHeight="1" x14ac:dyDescent="0.3"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S338" s="36"/>
    </row>
    <row r="339" spans="2:19" ht="15.75" customHeight="1" x14ac:dyDescent="0.3"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S339" s="36"/>
    </row>
    <row r="340" spans="2:19" ht="15.75" customHeight="1" x14ac:dyDescent="0.3"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S340" s="36"/>
    </row>
    <row r="341" spans="2:19" ht="15.75" customHeight="1" x14ac:dyDescent="0.3"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S341" s="36"/>
    </row>
    <row r="342" spans="2:19" ht="15.75" customHeight="1" x14ac:dyDescent="0.3"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S342" s="36"/>
    </row>
    <row r="343" spans="2:19" ht="15.75" customHeight="1" x14ac:dyDescent="0.3"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S343" s="36"/>
    </row>
    <row r="344" spans="2:19" ht="15.75" customHeight="1" x14ac:dyDescent="0.3"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S344" s="36"/>
    </row>
    <row r="345" spans="2:19" ht="15.75" customHeight="1" x14ac:dyDescent="0.3"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S345" s="36"/>
    </row>
    <row r="346" spans="2:19" ht="15.75" customHeight="1" x14ac:dyDescent="0.3"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S346" s="36"/>
    </row>
    <row r="347" spans="2:19" ht="15.75" customHeight="1" x14ac:dyDescent="0.3"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S347" s="36"/>
    </row>
    <row r="348" spans="2:19" ht="15.75" customHeight="1" x14ac:dyDescent="0.3"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S348" s="36"/>
    </row>
    <row r="349" spans="2:19" ht="15.75" customHeight="1" x14ac:dyDescent="0.3"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S349" s="36"/>
    </row>
    <row r="350" spans="2:19" ht="15.75" customHeight="1" x14ac:dyDescent="0.3"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S350" s="36"/>
    </row>
    <row r="351" spans="2:19" ht="15.75" customHeight="1" x14ac:dyDescent="0.3"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S351" s="36"/>
    </row>
    <row r="352" spans="2:19" ht="15.75" customHeight="1" x14ac:dyDescent="0.3"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S352" s="36"/>
    </row>
    <row r="353" spans="2:19" ht="15.75" customHeight="1" x14ac:dyDescent="0.3"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S353" s="36"/>
    </row>
    <row r="354" spans="2:19" ht="15.75" customHeight="1" x14ac:dyDescent="0.3"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S354" s="36"/>
    </row>
    <row r="355" spans="2:19" ht="15.75" customHeight="1" x14ac:dyDescent="0.3"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S355" s="36"/>
    </row>
    <row r="356" spans="2:19" ht="15.75" customHeight="1" x14ac:dyDescent="0.3"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S356" s="36"/>
    </row>
    <row r="357" spans="2:19" ht="15.75" customHeight="1" x14ac:dyDescent="0.3"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S357" s="36"/>
    </row>
    <row r="358" spans="2:19" ht="15.75" customHeight="1" x14ac:dyDescent="0.3"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S358" s="36"/>
    </row>
    <row r="359" spans="2:19" ht="15.75" customHeight="1" x14ac:dyDescent="0.3"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S359" s="36"/>
    </row>
    <row r="360" spans="2:19" ht="15.75" customHeight="1" x14ac:dyDescent="0.3"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S360" s="36"/>
    </row>
    <row r="361" spans="2:19" ht="15.75" customHeight="1" x14ac:dyDescent="0.3"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S361" s="36"/>
    </row>
    <row r="362" spans="2:19" ht="15.75" customHeight="1" x14ac:dyDescent="0.3"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S362" s="36"/>
    </row>
    <row r="363" spans="2:19" ht="15.75" customHeight="1" x14ac:dyDescent="0.3"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S363" s="36"/>
    </row>
    <row r="364" spans="2:19" ht="15.75" customHeight="1" x14ac:dyDescent="0.3"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S364" s="36"/>
    </row>
    <row r="365" spans="2:19" ht="15.75" customHeight="1" x14ac:dyDescent="0.3"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S365" s="36"/>
    </row>
    <row r="366" spans="2:19" ht="15.75" customHeight="1" x14ac:dyDescent="0.3"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S366" s="36"/>
    </row>
    <row r="367" spans="2:19" ht="15.75" customHeight="1" x14ac:dyDescent="0.3"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S367" s="36"/>
    </row>
    <row r="368" spans="2:19" ht="15.75" customHeight="1" x14ac:dyDescent="0.3"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S368" s="36"/>
    </row>
    <row r="369" spans="2:19" ht="15.75" customHeight="1" x14ac:dyDescent="0.3"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S369" s="36"/>
    </row>
    <row r="370" spans="2:19" ht="15.75" customHeight="1" x14ac:dyDescent="0.3"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S370" s="36"/>
    </row>
    <row r="371" spans="2:19" ht="15.75" customHeight="1" x14ac:dyDescent="0.3"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S371" s="36"/>
    </row>
    <row r="372" spans="2:19" ht="15.75" customHeight="1" x14ac:dyDescent="0.3"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S372" s="36"/>
    </row>
    <row r="373" spans="2:19" ht="15.75" customHeight="1" x14ac:dyDescent="0.3"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S373" s="36"/>
    </row>
    <row r="374" spans="2:19" ht="15.75" customHeight="1" x14ac:dyDescent="0.3"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S374" s="36"/>
    </row>
    <row r="375" spans="2:19" ht="15.75" customHeight="1" x14ac:dyDescent="0.3"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S375" s="36"/>
    </row>
    <row r="376" spans="2:19" ht="15.75" customHeight="1" x14ac:dyDescent="0.3"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S376" s="36"/>
    </row>
    <row r="377" spans="2:19" ht="15.75" customHeight="1" x14ac:dyDescent="0.3"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S377" s="36"/>
    </row>
    <row r="378" spans="2:19" ht="15.75" customHeight="1" x14ac:dyDescent="0.3"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S378" s="36"/>
    </row>
    <row r="379" spans="2:19" ht="15.75" customHeight="1" x14ac:dyDescent="0.3"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S379" s="36"/>
    </row>
    <row r="380" spans="2:19" ht="15.75" customHeight="1" x14ac:dyDescent="0.3"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S380" s="36"/>
    </row>
    <row r="381" spans="2:19" ht="15.75" customHeight="1" x14ac:dyDescent="0.3"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S381" s="36"/>
    </row>
    <row r="382" spans="2:19" ht="15.75" customHeight="1" x14ac:dyDescent="0.3"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S382" s="36"/>
    </row>
    <row r="383" spans="2:19" ht="15.75" customHeight="1" x14ac:dyDescent="0.3"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S383" s="36"/>
    </row>
    <row r="384" spans="2:19" ht="15.75" customHeight="1" x14ac:dyDescent="0.3"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S384" s="36"/>
    </row>
    <row r="385" spans="2:19" ht="15.75" customHeight="1" x14ac:dyDescent="0.3"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S385" s="36"/>
    </row>
    <row r="386" spans="2:19" ht="15.75" customHeight="1" x14ac:dyDescent="0.3"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S386" s="36"/>
    </row>
    <row r="387" spans="2:19" ht="15.75" customHeight="1" x14ac:dyDescent="0.3"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S387" s="36"/>
    </row>
    <row r="388" spans="2:19" ht="15.75" customHeight="1" x14ac:dyDescent="0.3"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S388" s="36"/>
    </row>
    <row r="389" spans="2:19" ht="15.75" customHeight="1" x14ac:dyDescent="0.3"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S389" s="36"/>
    </row>
    <row r="390" spans="2:19" ht="15.75" customHeight="1" x14ac:dyDescent="0.3"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S390" s="36"/>
    </row>
    <row r="391" spans="2:19" ht="15.75" customHeight="1" x14ac:dyDescent="0.3"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S391" s="36"/>
    </row>
    <row r="392" spans="2:19" ht="15.75" customHeight="1" x14ac:dyDescent="0.3"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S392" s="36"/>
    </row>
    <row r="393" spans="2:19" ht="15.75" customHeight="1" x14ac:dyDescent="0.3"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S393" s="36"/>
    </row>
    <row r="394" spans="2:19" ht="15.75" customHeight="1" x14ac:dyDescent="0.3"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S394" s="36"/>
    </row>
    <row r="395" spans="2:19" ht="15.75" customHeight="1" x14ac:dyDescent="0.3"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S395" s="36"/>
    </row>
    <row r="396" spans="2:19" ht="15.75" customHeight="1" x14ac:dyDescent="0.3"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S396" s="36"/>
    </row>
    <row r="397" spans="2:19" ht="15.75" customHeight="1" x14ac:dyDescent="0.3"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S397" s="36"/>
    </row>
    <row r="398" spans="2:19" ht="15.75" customHeight="1" x14ac:dyDescent="0.3"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S398" s="36"/>
    </row>
    <row r="399" spans="2:19" ht="15.75" customHeight="1" x14ac:dyDescent="0.3"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S399" s="36"/>
    </row>
    <row r="400" spans="2:19" ht="15.75" customHeight="1" x14ac:dyDescent="0.3"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S400" s="36"/>
    </row>
    <row r="401" spans="2:19" ht="15.75" customHeight="1" x14ac:dyDescent="0.3"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S401" s="36"/>
    </row>
    <row r="402" spans="2:19" ht="15.75" customHeight="1" x14ac:dyDescent="0.3"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S402" s="36"/>
    </row>
    <row r="403" spans="2:19" ht="15.75" customHeight="1" x14ac:dyDescent="0.3"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S403" s="36"/>
    </row>
    <row r="404" spans="2:19" ht="15.75" customHeight="1" x14ac:dyDescent="0.3"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S404" s="36"/>
    </row>
    <row r="405" spans="2:19" ht="15.75" customHeight="1" x14ac:dyDescent="0.3"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S405" s="36"/>
    </row>
    <row r="406" spans="2:19" ht="15.75" customHeight="1" x14ac:dyDescent="0.3"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S406" s="36"/>
    </row>
    <row r="407" spans="2:19" ht="15.75" customHeight="1" x14ac:dyDescent="0.3"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S407" s="36"/>
    </row>
    <row r="408" spans="2:19" ht="15.75" customHeight="1" x14ac:dyDescent="0.3"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S408" s="36"/>
    </row>
    <row r="409" spans="2:19" ht="15.75" customHeight="1" x14ac:dyDescent="0.3"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S409" s="36"/>
    </row>
    <row r="410" spans="2:19" ht="15.75" customHeight="1" x14ac:dyDescent="0.3"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S410" s="36"/>
    </row>
    <row r="411" spans="2:19" ht="15.75" customHeight="1" x14ac:dyDescent="0.3"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S411" s="36"/>
    </row>
    <row r="412" spans="2:19" ht="15.75" customHeight="1" x14ac:dyDescent="0.3"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S412" s="36"/>
    </row>
    <row r="413" spans="2:19" ht="15.75" customHeight="1" x14ac:dyDescent="0.3"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S413" s="36"/>
    </row>
    <row r="414" spans="2:19" ht="15.75" customHeight="1" x14ac:dyDescent="0.3"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S414" s="36"/>
    </row>
    <row r="415" spans="2:19" ht="15.75" customHeight="1" x14ac:dyDescent="0.3"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S415" s="36"/>
    </row>
    <row r="416" spans="2:19" ht="15.75" customHeight="1" x14ac:dyDescent="0.3"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S416" s="36"/>
    </row>
    <row r="417" spans="2:19" ht="15.75" customHeight="1" x14ac:dyDescent="0.3"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S417" s="36"/>
    </row>
    <row r="418" spans="2:19" ht="15.75" customHeight="1" x14ac:dyDescent="0.3"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S418" s="36"/>
    </row>
    <row r="419" spans="2:19" ht="15.75" customHeight="1" x14ac:dyDescent="0.3"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S419" s="36"/>
    </row>
    <row r="420" spans="2:19" ht="15.75" customHeight="1" x14ac:dyDescent="0.3"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S420" s="36"/>
    </row>
    <row r="421" spans="2:19" ht="15.75" customHeight="1" x14ac:dyDescent="0.3"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S421" s="36"/>
    </row>
    <row r="422" spans="2:19" ht="15.75" customHeight="1" x14ac:dyDescent="0.3"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S422" s="36"/>
    </row>
    <row r="423" spans="2:19" ht="15.75" customHeight="1" x14ac:dyDescent="0.3"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S423" s="36"/>
    </row>
    <row r="424" spans="2:19" ht="15.75" customHeight="1" x14ac:dyDescent="0.3"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S424" s="36"/>
    </row>
    <row r="425" spans="2:19" ht="15.75" customHeight="1" x14ac:dyDescent="0.3"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S425" s="36"/>
    </row>
    <row r="426" spans="2:19" ht="15.75" customHeight="1" x14ac:dyDescent="0.3"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S426" s="36"/>
    </row>
    <row r="427" spans="2:19" ht="15.75" customHeight="1" x14ac:dyDescent="0.3"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S427" s="36"/>
    </row>
    <row r="428" spans="2:19" ht="15.75" customHeight="1" x14ac:dyDescent="0.3"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S428" s="36"/>
    </row>
    <row r="429" spans="2:19" ht="15.75" customHeight="1" x14ac:dyDescent="0.3"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S429" s="36"/>
    </row>
    <row r="430" spans="2:19" ht="15.75" customHeight="1" x14ac:dyDescent="0.3"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S430" s="36"/>
    </row>
    <row r="431" spans="2:19" ht="15.75" customHeight="1" x14ac:dyDescent="0.3"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S431" s="36"/>
    </row>
    <row r="432" spans="2:19" ht="15.75" customHeight="1" x14ac:dyDescent="0.3"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S432" s="36"/>
    </row>
    <row r="433" spans="2:19" ht="15.75" customHeight="1" x14ac:dyDescent="0.3"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S433" s="36"/>
    </row>
    <row r="434" spans="2:19" ht="15.75" customHeight="1" x14ac:dyDescent="0.3"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S434" s="36"/>
    </row>
    <row r="435" spans="2:19" ht="15.75" customHeight="1" x14ac:dyDescent="0.3"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S435" s="36"/>
    </row>
    <row r="436" spans="2:19" ht="15.75" customHeight="1" x14ac:dyDescent="0.3"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S436" s="36"/>
    </row>
    <row r="437" spans="2:19" ht="15.75" customHeight="1" x14ac:dyDescent="0.3"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S437" s="36"/>
    </row>
    <row r="438" spans="2:19" ht="15.75" customHeight="1" x14ac:dyDescent="0.3"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S438" s="36"/>
    </row>
    <row r="439" spans="2:19" ht="15.75" customHeight="1" x14ac:dyDescent="0.3"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S439" s="36"/>
    </row>
    <row r="440" spans="2:19" ht="15.75" customHeight="1" x14ac:dyDescent="0.3"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S440" s="36"/>
    </row>
    <row r="441" spans="2:19" ht="15.75" customHeight="1" x14ac:dyDescent="0.3"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S441" s="36"/>
    </row>
    <row r="442" spans="2:19" ht="15.75" customHeight="1" x14ac:dyDescent="0.3"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S442" s="36"/>
    </row>
    <row r="443" spans="2:19" ht="15.75" customHeight="1" x14ac:dyDescent="0.3"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S443" s="36"/>
    </row>
    <row r="444" spans="2:19" ht="15.75" customHeight="1" x14ac:dyDescent="0.3"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S444" s="36"/>
    </row>
    <row r="445" spans="2:19" ht="15.75" customHeight="1" x14ac:dyDescent="0.3"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S445" s="36"/>
    </row>
    <row r="446" spans="2:19" ht="15.75" customHeight="1" x14ac:dyDescent="0.3"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S446" s="36"/>
    </row>
    <row r="447" spans="2:19" ht="15.75" customHeight="1" x14ac:dyDescent="0.3"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S447" s="36"/>
    </row>
    <row r="448" spans="2:19" ht="15.75" customHeight="1" x14ac:dyDescent="0.3"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S448" s="36"/>
    </row>
    <row r="449" spans="2:19" ht="15.75" customHeight="1" x14ac:dyDescent="0.3"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S449" s="36"/>
    </row>
    <row r="450" spans="2:19" ht="15.75" customHeight="1" x14ac:dyDescent="0.3"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S450" s="36"/>
    </row>
    <row r="451" spans="2:19" ht="15.75" customHeight="1" x14ac:dyDescent="0.3"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S451" s="36"/>
    </row>
    <row r="452" spans="2:19" ht="15.75" customHeight="1" x14ac:dyDescent="0.3"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S452" s="36"/>
    </row>
    <row r="453" spans="2:19" ht="15.75" customHeight="1" x14ac:dyDescent="0.3"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S453" s="36"/>
    </row>
    <row r="454" spans="2:19" ht="15.75" customHeight="1" x14ac:dyDescent="0.3"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S454" s="36"/>
    </row>
    <row r="455" spans="2:19" ht="15.75" customHeight="1" x14ac:dyDescent="0.3"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S455" s="36"/>
    </row>
    <row r="456" spans="2:19" ht="15.75" customHeight="1" x14ac:dyDescent="0.3"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S456" s="36"/>
    </row>
    <row r="457" spans="2:19" ht="15.75" customHeight="1" x14ac:dyDescent="0.3"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S457" s="36"/>
    </row>
    <row r="458" spans="2:19" ht="15.75" customHeight="1" x14ac:dyDescent="0.3"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S458" s="36"/>
    </row>
    <row r="459" spans="2:19" ht="15.75" customHeight="1" x14ac:dyDescent="0.3"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S459" s="36"/>
    </row>
    <row r="460" spans="2:19" ht="15.75" customHeight="1" x14ac:dyDescent="0.3"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S460" s="36"/>
    </row>
    <row r="461" spans="2:19" ht="15.75" customHeight="1" x14ac:dyDescent="0.3"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S461" s="36"/>
    </row>
    <row r="462" spans="2:19" ht="15.75" customHeight="1" x14ac:dyDescent="0.3"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S462" s="36"/>
    </row>
    <row r="463" spans="2:19" ht="15.75" customHeight="1" x14ac:dyDescent="0.3"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S463" s="36"/>
    </row>
    <row r="464" spans="2:19" ht="15.75" customHeight="1" x14ac:dyDescent="0.3"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S464" s="36"/>
    </row>
    <row r="465" spans="2:19" ht="15.75" customHeight="1" x14ac:dyDescent="0.3"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S465" s="36"/>
    </row>
    <row r="466" spans="2:19" ht="15.75" customHeight="1" x14ac:dyDescent="0.3"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S466" s="36"/>
    </row>
    <row r="467" spans="2:19" ht="15.75" customHeight="1" x14ac:dyDescent="0.3"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S467" s="36"/>
    </row>
    <row r="468" spans="2:19" ht="15.75" customHeight="1" x14ac:dyDescent="0.3"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S468" s="36"/>
    </row>
    <row r="469" spans="2:19" ht="15.75" customHeight="1" x14ac:dyDescent="0.3"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S469" s="36"/>
    </row>
    <row r="470" spans="2:19" ht="15.75" customHeight="1" x14ac:dyDescent="0.3"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S470" s="36"/>
    </row>
    <row r="471" spans="2:19" ht="15.75" customHeight="1" x14ac:dyDescent="0.3"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S471" s="36"/>
    </row>
    <row r="472" spans="2:19" ht="15.75" customHeight="1" x14ac:dyDescent="0.3"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S472" s="36"/>
    </row>
    <row r="473" spans="2:19" ht="15.75" customHeight="1" x14ac:dyDescent="0.3"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S473" s="36"/>
    </row>
    <row r="474" spans="2:19" ht="15.75" customHeight="1" x14ac:dyDescent="0.3"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S474" s="36"/>
    </row>
    <row r="475" spans="2:19" ht="15.75" customHeight="1" x14ac:dyDescent="0.3"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S475" s="36"/>
    </row>
    <row r="476" spans="2:19" ht="15.75" customHeight="1" x14ac:dyDescent="0.3"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S476" s="36"/>
    </row>
    <row r="477" spans="2:19" ht="15.75" customHeight="1" x14ac:dyDescent="0.3"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S477" s="36"/>
    </row>
    <row r="478" spans="2:19" ht="15.75" customHeight="1" x14ac:dyDescent="0.3"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S478" s="36"/>
    </row>
    <row r="479" spans="2:19" ht="15.75" customHeight="1" x14ac:dyDescent="0.3"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S479" s="36"/>
    </row>
    <row r="480" spans="2:19" ht="15.75" customHeight="1" x14ac:dyDescent="0.3"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S480" s="36"/>
    </row>
    <row r="481" spans="2:19" ht="15.75" customHeight="1" x14ac:dyDescent="0.3"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S481" s="36"/>
    </row>
    <row r="482" spans="2:19" ht="15.75" customHeight="1" x14ac:dyDescent="0.3"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S482" s="36"/>
    </row>
    <row r="483" spans="2:19" ht="15.75" customHeight="1" x14ac:dyDescent="0.3"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S483" s="36"/>
    </row>
    <row r="484" spans="2:19" ht="15.75" customHeight="1" x14ac:dyDescent="0.3"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S484" s="36"/>
    </row>
    <row r="485" spans="2:19" ht="15.75" customHeight="1" x14ac:dyDescent="0.3"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S485" s="36"/>
    </row>
    <row r="486" spans="2:19" ht="15.75" customHeight="1" x14ac:dyDescent="0.3"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S486" s="36"/>
    </row>
    <row r="487" spans="2:19" ht="15.75" customHeight="1" x14ac:dyDescent="0.3"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S487" s="36"/>
    </row>
    <row r="488" spans="2:19" ht="15.75" customHeight="1" x14ac:dyDescent="0.3"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S488" s="36"/>
    </row>
    <row r="489" spans="2:19" ht="15.75" customHeight="1" x14ac:dyDescent="0.3"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S489" s="36"/>
    </row>
    <row r="490" spans="2:19" ht="15.75" customHeight="1" x14ac:dyDescent="0.3"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S490" s="36"/>
    </row>
    <row r="491" spans="2:19" ht="15.75" customHeight="1" x14ac:dyDescent="0.3"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S491" s="36"/>
    </row>
    <row r="492" spans="2:19" ht="15.75" customHeight="1" x14ac:dyDescent="0.3"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S492" s="36"/>
    </row>
    <row r="493" spans="2:19" ht="15.75" customHeight="1" x14ac:dyDescent="0.3"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S493" s="36"/>
    </row>
    <row r="494" spans="2:19" ht="15.75" customHeight="1" x14ac:dyDescent="0.3"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S494" s="36"/>
    </row>
    <row r="495" spans="2:19" ht="15.75" customHeight="1" x14ac:dyDescent="0.3"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S495" s="36"/>
    </row>
    <row r="496" spans="2:19" ht="15.75" customHeight="1" x14ac:dyDescent="0.3"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S496" s="36"/>
    </row>
    <row r="497" spans="2:19" ht="15.75" customHeight="1" x14ac:dyDescent="0.3"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S497" s="36"/>
    </row>
    <row r="498" spans="2:19" ht="15.75" customHeight="1" x14ac:dyDescent="0.3"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S498" s="36"/>
    </row>
    <row r="499" spans="2:19" ht="15.75" customHeight="1" x14ac:dyDescent="0.3"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S499" s="36"/>
    </row>
    <row r="500" spans="2:19" ht="15.75" customHeight="1" x14ac:dyDescent="0.3"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S500" s="36"/>
    </row>
    <row r="501" spans="2:19" ht="15.75" customHeight="1" x14ac:dyDescent="0.3"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S501" s="36"/>
    </row>
    <row r="502" spans="2:19" ht="15.75" customHeight="1" x14ac:dyDescent="0.3"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S502" s="36"/>
    </row>
    <row r="503" spans="2:19" ht="15.75" customHeight="1" x14ac:dyDescent="0.3"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S503" s="36"/>
    </row>
    <row r="504" spans="2:19" ht="15.75" customHeight="1" x14ac:dyDescent="0.3"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S504" s="36"/>
    </row>
    <row r="505" spans="2:19" ht="15.75" customHeight="1" x14ac:dyDescent="0.3"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S505" s="36"/>
    </row>
    <row r="506" spans="2:19" ht="15.75" customHeight="1" x14ac:dyDescent="0.3"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S506" s="36"/>
    </row>
    <row r="507" spans="2:19" ht="15.75" customHeight="1" x14ac:dyDescent="0.3"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S507" s="36"/>
    </row>
    <row r="508" spans="2:19" ht="15.75" customHeight="1" x14ac:dyDescent="0.3"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S508" s="36"/>
    </row>
    <row r="509" spans="2:19" ht="15.75" customHeight="1" x14ac:dyDescent="0.3"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S509" s="36"/>
    </row>
    <row r="510" spans="2:19" ht="15.75" customHeight="1" x14ac:dyDescent="0.3"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S510" s="36"/>
    </row>
    <row r="511" spans="2:19" ht="15.75" customHeight="1" x14ac:dyDescent="0.3"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S511" s="36"/>
    </row>
    <row r="512" spans="2:19" ht="15.75" customHeight="1" x14ac:dyDescent="0.3"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S512" s="36"/>
    </row>
    <row r="513" spans="2:19" ht="15.75" customHeight="1" x14ac:dyDescent="0.3"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S513" s="36"/>
    </row>
    <row r="514" spans="2:19" ht="15.75" customHeight="1" x14ac:dyDescent="0.3"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S514" s="36"/>
    </row>
    <row r="515" spans="2:19" ht="15.75" customHeight="1" x14ac:dyDescent="0.3"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S515" s="36"/>
    </row>
    <row r="516" spans="2:19" ht="15.75" customHeight="1" x14ac:dyDescent="0.3"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S516" s="36"/>
    </row>
    <row r="517" spans="2:19" ht="15.75" customHeight="1" x14ac:dyDescent="0.3"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S517" s="36"/>
    </row>
    <row r="518" spans="2:19" ht="15.75" customHeight="1" x14ac:dyDescent="0.3"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S518" s="36"/>
    </row>
    <row r="519" spans="2:19" ht="15.75" customHeight="1" x14ac:dyDescent="0.3"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S519" s="36"/>
    </row>
    <row r="520" spans="2:19" ht="15.75" customHeight="1" x14ac:dyDescent="0.3"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S520" s="36"/>
    </row>
    <row r="521" spans="2:19" ht="15.75" customHeight="1" x14ac:dyDescent="0.3"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S521" s="36"/>
    </row>
    <row r="522" spans="2:19" ht="15.75" customHeight="1" x14ac:dyDescent="0.3"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S522" s="36"/>
    </row>
    <row r="523" spans="2:19" ht="15.75" customHeight="1" x14ac:dyDescent="0.3"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S523" s="36"/>
    </row>
    <row r="524" spans="2:19" ht="15.75" customHeight="1" x14ac:dyDescent="0.3"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S524" s="36"/>
    </row>
    <row r="525" spans="2:19" ht="15.75" customHeight="1" x14ac:dyDescent="0.3"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S525" s="36"/>
    </row>
    <row r="526" spans="2:19" ht="15.75" customHeight="1" x14ac:dyDescent="0.3"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S526" s="36"/>
    </row>
    <row r="527" spans="2:19" ht="15.75" customHeight="1" x14ac:dyDescent="0.3"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S527" s="36"/>
    </row>
    <row r="528" spans="2:19" ht="15.75" customHeight="1" x14ac:dyDescent="0.3"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S528" s="36"/>
    </row>
    <row r="529" spans="2:19" ht="15.75" customHeight="1" x14ac:dyDescent="0.3"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S529" s="36"/>
    </row>
    <row r="530" spans="2:19" ht="15.75" customHeight="1" x14ac:dyDescent="0.3"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S530" s="36"/>
    </row>
    <row r="531" spans="2:19" ht="15.75" customHeight="1" x14ac:dyDescent="0.3"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S531" s="36"/>
    </row>
    <row r="532" spans="2:19" ht="15.75" customHeight="1" x14ac:dyDescent="0.3"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S532" s="36"/>
    </row>
    <row r="533" spans="2:19" ht="15.75" customHeight="1" x14ac:dyDescent="0.3"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S533" s="36"/>
    </row>
    <row r="534" spans="2:19" ht="15.75" customHeight="1" x14ac:dyDescent="0.3"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S534" s="36"/>
    </row>
    <row r="535" spans="2:19" ht="15.75" customHeight="1" x14ac:dyDescent="0.3"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S535" s="36"/>
    </row>
    <row r="536" spans="2:19" ht="15.75" customHeight="1" x14ac:dyDescent="0.3"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S536" s="36"/>
    </row>
    <row r="537" spans="2:19" ht="15.75" customHeight="1" x14ac:dyDescent="0.3"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S537" s="36"/>
    </row>
    <row r="538" spans="2:19" ht="15.75" customHeight="1" x14ac:dyDescent="0.3"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S538" s="36"/>
    </row>
    <row r="539" spans="2:19" ht="15.75" customHeight="1" x14ac:dyDescent="0.3"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S539" s="36"/>
    </row>
    <row r="540" spans="2:19" ht="15.75" customHeight="1" x14ac:dyDescent="0.3"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S540" s="36"/>
    </row>
    <row r="541" spans="2:19" ht="15.75" customHeight="1" x14ac:dyDescent="0.3"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S541" s="36"/>
    </row>
    <row r="542" spans="2:19" ht="15.75" customHeight="1" x14ac:dyDescent="0.3"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S542" s="36"/>
    </row>
    <row r="543" spans="2:19" ht="15.75" customHeight="1" x14ac:dyDescent="0.3"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S543" s="36"/>
    </row>
    <row r="544" spans="2:19" ht="15.75" customHeight="1" x14ac:dyDescent="0.3"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S544" s="36"/>
    </row>
    <row r="545" spans="2:19" ht="15.75" customHeight="1" x14ac:dyDescent="0.3"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S545" s="36"/>
    </row>
    <row r="546" spans="2:19" ht="15.75" customHeight="1" x14ac:dyDescent="0.3"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S546" s="36"/>
    </row>
    <row r="547" spans="2:19" ht="15.75" customHeight="1" x14ac:dyDescent="0.3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S547" s="36"/>
    </row>
    <row r="548" spans="2:19" ht="15.75" customHeight="1" x14ac:dyDescent="0.3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S548" s="36"/>
    </row>
    <row r="549" spans="2:19" ht="15.75" customHeight="1" x14ac:dyDescent="0.3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S549" s="36"/>
    </row>
    <row r="550" spans="2:19" ht="15.75" customHeight="1" x14ac:dyDescent="0.3"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S550" s="36"/>
    </row>
    <row r="551" spans="2:19" ht="15.75" customHeight="1" x14ac:dyDescent="0.3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S551" s="36"/>
    </row>
    <row r="552" spans="2:19" ht="15.75" customHeight="1" x14ac:dyDescent="0.3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S552" s="36"/>
    </row>
    <row r="553" spans="2:19" ht="15.75" customHeight="1" x14ac:dyDescent="0.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S553" s="36"/>
    </row>
    <row r="554" spans="2:19" ht="15.75" customHeight="1" x14ac:dyDescent="0.3"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S554" s="36"/>
    </row>
    <row r="555" spans="2:19" ht="15.75" customHeight="1" x14ac:dyDescent="0.3"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S555" s="36"/>
    </row>
    <row r="556" spans="2:19" ht="15.75" customHeight="1" x14ac:dyDescent="0.3"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S556" s="36"/>
    </row>
    <row r="557" spans="2:19" ht="15.75" customHeight="1" x14ac:dyDescent="0.3"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S557" s="36"/>
    </row>
    <row r="558" spans="2:19" ht="15.75" customHeight="1" x14ac:dyDescent="0.3"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S558" s="36"/>
    </row>
    <row r="559" spans="2:19" ht="15.75" customHeight="1" x14ac:dyDescent="0.3"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S559" s="36"/>
    </row>
    <row r="560" spans="2:19" ht="15.75" customHeight="1" x14ac:dyDescent="0.3"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S560" s="36"/>
    </row>
    <row r="561" spans="2:19" ht="15.75" customHeight="1" x14ac:dyDescent="0.3"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S561" s="36"/>
    </row>
    <row r="562" spans="2:19" ht="15.75" customHeight="1" x14ac:dyDescent="0.3"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S562" s="36"/>
    </row>
    <row r="563" spans="2:19" ht="15.75" customHeight="1" x14ac:dyDescent="0.3"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S563" s="36"/>
    </row>
    <row r="564" spans="2:19" ht="15.75" customHeight="1" x14ac:dyDescent="0.3"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S564" s="36"/>
    </row>
    <row r="565" spans="2:19" ht="15.75" customHeight="1" x14ac:dyDescent="0.3"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S565" s="36"/>
    </row>
    <row r="566" spans="2:19" ht="15.75" customHeight="1" x14ac:dyDescent="0.3"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S566" s="36"/>
    </row>
    <row r="567" spans="2:19" ht="15.75" customHeight="1" x14ac:dyDescent="0.3"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S567" s="36"/>
    </row>
    <row r="568" spans="2:19" ht="15.75" customHeight="1" x14ac:dyDescent="0.3"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S568" s="36"/>
    </row>
    <row r="569" spans="2:19" ht="15.75" customHeight="1" x14ac:dyDescent="0.3"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S569" s="36"/>
    </row>
    <row r="570" spans="2:19" ht="15.75" customHeight="1" x14ac:dyDescent="0.3"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S570" s="36"/>
    </row>
    <row r="571" spans="2:19" ht="15.75" customHeight="1" x14ac:dyDescent="0.3"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S571" s="36"/>
    </row>
    <row r="572" spans="2:19" ht="15.75" customHeight="1" x14ac:dyDescent="0.3"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S572" s="36"/>
    </row>
    <row r="573" spans="2:19" ht="15.75" customHeight="1" x14ac:dyDescent="0.3"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S573" s="36"/>
    </row>
    <row r="574" spans="2:19" ht="15.75" customHeight="1" x14ac:dyDescent="0.3"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S574" s="36"/>
    </row>
    <row r="575" spans="2:19" ht="15.75" customHeight="1" x14ac:dyDescent="0.3"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S575" s="36"/>
    </row>
    <row r="576" spans="2:19" ht="15.75" customHeight="1" x14ac:dyDescent="0.3"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S576" s="36"/>
    </row>
    <row r="577" spans="2:19" ht="15.75" customHeight="1" x14ac:dyDescent="0.3"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S577" s="36"/>
    </row>
    <row r="578" spans="2:19" ht="15.75" customHeight="1" x14ac:dyDescent="0.3"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S578" s="36"/>
    </row>
    <row r="579" spans="2:19" ht="15.75" customHeight="1" x14ac:dyDescent="0.3"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S579" s="36"/>
    </row>
    <row r="580" spans="2:19" ht="15.75" customHeight="1" x14ac:dyDescent="0.3"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S580" s="36"/>
    </row>
    <row r="581" spans="2:19" ht="15.75" customHeight="1" x14ac:dyDescent="0.3"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S581" s="36"/>
    </row>
    <row r="582" spans="2:19" ht="15.75" customHeight="1" x14ac:dyDescent="0.3"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S582" s="36"/>
    </row>
    <row r="583" spans="2:19" ht="15.75" customHeight="1" x14ac:dyDescent="0.3"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S583" s="36"/>
    </row>
    <row r="584" spans="2:19" ht="15.75" customHeight="1" x14ac:dyDescent="0.3"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S584" s="36"/>
    </row>
    <row r="585" spans="2:19" ht="15.75" customHeight="1" x14ac:dyDescent="0.3"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S585" s="36"/>
    </row>
    <row r="586" spans="2:19" ht="15.75" customHeight="1" x14ac:dyDescent="0.3"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S586" s="36"/>
    </row>
    <row r="587" spans="2:19" ht="15.75" customHeight="1" x14ac:dyDescent="0.3"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S587" s="36"/>
    </row>
    <row r="588" spans="2:19" ht="15.75" customHeight="1" x14ac:dyDescent="0.3"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S588" s="36"/>
    </row>
    <row r="589" spans="2:19" ht="15.75" customHeight="1" x14ac:dyDescent="0.3"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S589" s="36"/>
    </row>
    <row r="590" spans="2:19" ht="15.75" customHeight="1" x14ac:dyDescent="0.3"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S590" s="36"/>
    </row>
    <row r="591" spans="2:19" ht="15.75" customHeight="1" x14ac:dyDescent="0.3"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S591" s="36"/>
    </row>
    <row r="592" spans="2:19" ht="15.75" customHeight="1" x14ac:dyDescent="0.3"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S592" s="36"/>
    </row>
    <row r="593" spans="2:19" ht="15.75" customHeight="1" x14ac:dyDescent="0.3"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S593" s="36"/>
    </row>
    <row r="594" spans="2:19" ht="15.75" customHeight="1" x14ac:dyDescent="0.3"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S594" s="36"/>
    </row>
    <row r="595" spans="2:19" ht="15.75" customHeight="1" x14ac:dyDescent="0.3"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S595" s="36"/>
    </row>
    <row r="596" spans="2:19" ht="15.75" customHeight="1" x14ac:dyDescent="0.3"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S596" s="36"/>
    </row>
    <row r="597" spans="2:19" ht="15.75" customHeight="1" x14ac:dyDescent="0.3"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S597" s="36"/>
    </row>
    <row r="598" spans="2:19" ht="15.75" customHeight="1" x14ac:dyDescent="0.3"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S598" s="36"/>
    </row>
    <row r="599" spans="2:19" ht="15.75" customHeight="1" x14ac:dyDescent="0.3"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S599" s="36"/>
    </row>
    <row r="600" spans="2:19" ht="15.75" customHeight="1" x14ac:dyDescent="0.3"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S600" s="36"/>
    </row>
    <row r="601" spans="2:19" ht="15.75" customHeight="1" x14ac:dyDescent="0.3"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S601" s="36"/>
    </row>
    <row r="602" spans="2:19" ht="15.75" customHeight="1" x14ac:dyDescent="0.3"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S602" s="36"/>
    </row>
    <row r="603" spans="2:19" ht="15.75" customHeight="1" x14ac:dyDescent="0.3"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S603" s="36"/>
    </row>
    <row r="604" spans="2:19" ht="15.75" customHeight="1" x14ac:dyDescent="0.3"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S604" s="36"/>
    </row>
    <row r="605" spans="2:19" ht="15.75" customHeight="1" x14ac:dyDescent="0.3"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S605" s="36"/>
    </row>
    <row r="606" spans="2:19" ht="15.75" customHeight="1" x14ac:dyDescent="0.3"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S606" s="36"/>
    </row>
    <row r="607" spans="2:19" ht="15.75" customHeight="1" x14ac:dyDescent="0.3"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S607" s="36"/>
    </row>
    <row r="608" spans="2:19" ht="15.75" customHeight="1" x14ac:dyDescent="0.3"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S608" s="36"/>
    </row>
    <row r="609" spans="2:19" ht="15.75" customHeight="1" x14ac:dyDescent="0.3"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S609" s="36"/>
    </row>
    <row r="610" spans="2:19" ht="15.75" customHeight="1" x14ac:dyDescent="0.3"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S610" s="36"/>
    </row>
    <row r="611" spans="2:19" ht="15.75" customHeight="1" x14ac:dyDescent="0.3"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S611" s="36"/>
    </row>
    <row r="612" spans="2:19" ht="15.75" customHeight="1" x14ac:dyDescent="0.3"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S612" s="36"/>
    </row>
    <row r="613" spans="2:19" ht="15.75" customHeight="1" x14ac:dyDescent="0.3"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S613" s="36"/>
    </row>
    <row r="614" spans="2:19" ht="15.75" customHeight="1" x14ac:dyDescent="0.3"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S614" s="36"/>
    </row>
    <row r="615" spans="2:19" ht="15.75" customHeight="1" x14ac:dyDescent="0.3"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S615" s="36"/>
    </row>
    <row r="616" spans="2:19" ht="15.75" customHeight="1" x14ac:dyDescent="0.3"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S616" s="36"/>
    </row>
    <row r="617" spans="2:19" ht="15.75" customHeight="1" x14ac:dyDescent="0.3"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S617" s="36"/>
    </row>
    <row r="618" spans="2:19" ht="15.75" customHeight="1" x14ac:dyDescent="0.3"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S618" s="36"/>
    </row>
    <row r="619" spans="2:19" ht="15.75" customHeight="1" x14ac:dyDescent="0.3"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S619" s="36"/>
    </row>
    <row r="620" spans="2:19" ht="15.75" customHeight="1" x14ac:dyDescent="0.3"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S620" s="36"/>
    </row>
    <row r="621" spans="2:19" ht="15.75" customHeight="1" x14ac:dyDescent="0.3"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S621" s="36"/>
    </row>
    <row r="622" spans="2:19" ht="15.75" customHeight="1" x14ac:dyDescent="0.3"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S622" s="36"/>
    </row>
    <row r="623" spans="2:19" ht="15.75" customHeight="1" x14ac:dyDescent="0.3"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S623" s="36"/>
    </row>
    <row r="624" spans="2:19" ht="15.75" customHeight="1" x14ac:dyDescent="0.3"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S624" s="36"/>
    </row>
    <row r="625" spans="2:19" ht="15.75" customHeight="1" x14ac:dyDescent="0.3"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S625" s="36"/>
    </row>
    <row r="626" spans="2:19" ht="15.75" customHeight="1" x14ac:dyDescent="0.3"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S626" s="36"/>
    </row>
    <row r="627" spans="2:19" ht="15.75" customHeight="1" x14ac:dyDescent="0.3"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S627" s="36"/>
    </row>
    <row r="628" spans="2:19" ht="15.75" customHeight="1" x14ac:dyDescent="0.3"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S628" s="36"/>
    </row>
    <row r="629" spans="2:19" ht="15.75" customHeight="1" x14ac:dyDescent="0.3"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S629" s="36"/>
    </row>
    <row r="630" spans="2:19" ht="15.75" customHeight="1" x14ac:dyDescent="0.3"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S630" s="36"/>
    </row>
    <row r="631" spans="2:19" ht="15.75" customHeight="1" x14ac:dyDescent="0.3"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S631" s="36"/>
    </row>
    <row r="632" spans="2:19" ht="15.75" customHeight="1" x14ac:dyDescent="0.3"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S632" s="36"/>
    </row>
    <row r="633" spans="2:19" ht="15.75" customHeight="1" x14ac:dyDescent="0.3"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S633" s="36"/>
    </row>
    <row r="634" spans="2:19" ht="15.75" customHeight="1" x14ac:dyDescent="0.3"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S634" s="36"/>
    </row>
    <row r="635" spans="2:19" ht="15.75" customHeight="1" x14ac:dyDescent="0.3"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S635" s="36"/>
    </row>
    <row r="636" spans="2:19" ht="15.75" customHeight="1" x14ac:dyDescent="0.3"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S636" s="36"/>
    </row>
    <row r="637" spans="2:19" ht="15.75" customHeight="1" x14ac:dyDescent="0.3"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S637" s="36"/>
    </row>
    <row r="638" spans="2:19" ht="15.75" customHeight="1" x14ac:dyDescent="0.3"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S638" s="36"/>
    </row>
    <row r="639" spans="2:19" ht="15.75" customHeight="1" x14ac:dyDescent="0.3"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S639" s="36"/>
    </row>
    <row r="640" spans="2:19" ht="15.75" customHeight="1" x14ac:dyDescent="0.3"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S640" s="36"/>
    </row>
    <row r="641" spans="2:19" ht="15.75" customHeight="1" x14ac:dyDescent="0.3"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S641" s="36"/>
    </row>
    <row r="642" spans="2:19" ht="15.75" customHeight="1" x14ac:dyDescent="0.3"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S642" s="36"/>
    </row>
    <row r="643" spans="2:19" ht="15.75" customHeight="1" x14ac:dyDescent="0.3"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S643" s="36"/>
    </row>
    <row r="644" spans="2:19" ht="15.75" customHeight="1" x14ac:dyDescent="0.3"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S644" s="36"/>
    </row>
    <row r="645" spans="2:19" ht="15.75" customHeight="1" x14ac:dyDescent="0.3"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S645" s="36"/>
    </row>
    <row r="646" spans="2:19" ht="15.75" customHeight="1" x14ac:dyDescent="0.3"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S646" s="36"/>
    </row>
    <row r="647" spans="2:19" ht="15.75" customHeight="1" x14ac:dyDescent="0.3"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S647" s="36"/>
    </row>
    <row r="648" spans="2:19" ht="15.75" customHeight="1" x14ac:dyDescent="0.3"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S648" s="36"/>
    </row>
    <row r="649" spans="2:19" ht="15.75" customHeight="1" x14ac:dyDescent="0.3"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S649" s="36"/>
    </row>
    <row r="650" spans="2:19" ht="15.75" customHeight="1" x14ac:dyDescent="0.3"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S650" s="36"/>
    </row>
    <row r="651" spans="2:19" ht="15.75" customHeight="1" x14ac:dyDescent="0.3"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S651" s="36"/>
    </row>
    <row r="652" spans="2:19" ht="15.75" customHeight="1" x14ac:dyDescent="0.3"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S652" s="36"/>
    </row>
    <row r="653" spans="2:19" ht="15.75" customHeight="1" x14ac:dyDescent="0.3"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S653" s="36"/>
    </row>
    <row r="654" spans="2:19" ht="15.75" customHeight="1" x14ac:dyDescent="0.3"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S654" s="36"/>
    </row>
    <row r="655" spans="2:19" ht="15.75" customHeight="1" x14ac:dyDescent="0.3"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S655" s="36"/>
    </row>
    <row r="656" spans="2:19" ht="15.75" customHeight="1" x14ac:dyDescent="0.3"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S656" s="36"/>
    </row>
    <row r="657" spans="2:19" ht="15.75" customHeight="1" x14ac:dyDescent="0.3"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S657" s="36"/>
    </row>
    <row r="658" spans="2:19" ht="15.75" customHeight="1" x14ac:dyDescent="0.3"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S658" s="36"/>
    </row>
    <row r="659" spans="2:19" ht="15.75" customHeight="1" x14ac:dyDescent="0.3"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S659" s="36"/>
    </row>
    <row r="660" spans="2:19" ht="15.75" customHeight="1" x14ac:dyDescent="0.3"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S660" s="36"/>
    </row>
    <row r="661" spans="2:19" ht="15.75" customHeight="1" x14ac:dyDescent="0.3"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S661" s="36"/>
    </row>
    <row r="662" spans="2:19" ht="15.75" customHeight="1" x14ac:dyDescent="0.3"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S662" s="36"/>
    </row>
    <row r="663" spans="2:19" ht="15.75" customHeight="1" x14ac:dyDescent="0.3"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S663" s="36"/>
    </row>
    <row r="664" spans="2:19" ht="15.75" customHeight="1" x14ac:dyDescent="0.3"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S664" s="36"/>
    </row>
    <row r="665" spans="2:19" ht="15.75" customHeight="1" x14ac:dyDescent="0.3"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S665" s="36"/>
    </row>
    <row r="666" spans="2:19" ht="15.75" customHeight="1" x14ac:dyDescent="0.3"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S666" s="36"/>
    </row>
    <row r="667" spans="2:19" ht="15.75" customHeight="1" x14ac:dyDescent="0.3"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S667" s="36"/>
    </row>
    <row r="668" spans="2:19" ht="15.75" customHeight="1" x14ac:dyDescent="0.3"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S668" s="36"/>
    </row>
    <row r="669" spans="2:19" ht="15.75" customHeight="1" x14ac:dyDescent="0.3"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S669" s="36"/>
    </row>
    <row r="670" spans="2:19" ht="15.75" customHeight="1" x14ac:dyDescent="0.3"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S670" s="36"/>
    </row>
    <row r="671" spans="2:19" ht="15.75" customHeight="1" x14ac:dyDescent="0.3"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S671" s="36"/>
    </row>
    <row r="672" spans="2:19" ht="15.75" customHeight="1" x14ac:dyDescent="0.3"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S672" s="36"/>
    </row>
    <row r="673" spans="2:19" ht="15.75" customHeight="1" x14ac:dyDescent="0.3"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S673" s="36"/>
    </row>
    <row r="674" spans="2:19" ht="15.75" customHeight="1" x14ac:dyDescent="0.3"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S674" s="36"/>
    </row>
    <row r="675" spans="2:19" ht="15.75" customHeight="1" x14ac:dyDescent="0.3"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S675" s="36"/>
    </row>
    <row r="676" spans="2:19" ht="15.75" customHeight="1" x14ac:dyDescent="0.3"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S676" s="36"/>
    </row>
    <row r="677" spans="2:19" ht="15.75" customHeight="1" x14ac:dyDescent="0.3"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S677" s="36"/>
    </row>
    <row r="678" spans="2:19" ht="15.75" customHeight="1" x14ac:dyDescent="0.3"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S678" s="36"/>
    </row>
    <row r="679" spans="2:19" ht="15.75" customHeight="1" x14ac:dyDescent="0.3"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S679" s="36"/>
    </row>
    <row r="680" spans="2:19" ht="15.75" customHeight="1" x14ac:dyDescent="0.3"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S680" s="36"/>
    </row>
    <row r="681" spans="2:19" ht="15.75" customHeight="1" x14ac:dyDescent="0.3"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S681" s="36"/>
    </row>
    <row r="682" spans="2:19" ht="15.75" customHeight="1" x14ac:dyDescent="0.3"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S682" s="36"/>
    </row>
    <row r="683" spans="2:19" ht="15.75" customHeight="1" x14ac:dyDescent="0.3"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S683" s="36"/>
    </row>
    <row r="684" spans="2:19" ht="15.75" customHeight="1" x14ac:dyDescent="0.3"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S684" s="36"/>
    </row>
    <row r="685" spans="2:19" ht="15.75" customHeight="1" x14ac:dyDescent="0.3"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S685" s="36"/>
    </row>
    <row r="686" spans="2:19" ht="15.75" customHeight="1" x14ac:dyDescent="0.3"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S686" s="36"/>
    </row>
    <row r="687" spans="2:19" ht="15.75" customHeight="1" x14ac:dyDescent="0.3"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S687" s="36"/>
    </row>
    <row r="688" spans="2:19" ht="15.75" customHeight="1" x14ac:dyDescent="0.3"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S688" s="36"/>
    </row>
    <row r="689" spans="2:19" ht="15.75" customHeight="1" x14ac:dyDescent="0.3"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S689" s="36"/>
    </row>
    <row r="690" spans="2:19" ht="15.75" customHeight="1" x14ac:dyDescent="0.3"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S690" s="36"/>
    </row>
    <row r="691" spans="2:19" ht="15.75" customHeight="1" x14ac:dyDescent="0.3"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S691" s="36"/>
    </row>
    <row r="692" spans="2:19" ht="15.75" customHeight="1" x14ac:dyDescent="0.3"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S692" s="36"/>
    </row>
    <row r="693" spans="2:19" ht="15.75" customHeight="1" x14ac:dyDescent="0.3"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S693" s="36"/>
    </row>
    <row r="694" spans="2:19" ht="15.75" customHeight="1" x14ac:dyDescent="0.3"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S694" s="36"/>
    </row>
    <row r="695" spans="2:19" ht="15.75" customHeight="1" x14ac:dyDescent="0.3"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S695" s="36"/>
    </row>
    <row r="696" spans="2:19" ht="15.75" customHeight="1" x14ac:dyDescent="0.3"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S696" s="36"/>
    </row>
    <row r="697" spans="2:19" ht="15.75" customHeight="1" x14ac:dyDescent="0.3"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S697" s="36"/>
    </row>
    <row r="698" spans="2:19" ht="15.75" customHeight="1" x14ac:dyDescent="0.3"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S698" s="36"/>
    </row>
    <row r="699" spans="2:19" ht="15.75" customHeight="1" x14ac:dyDescent="0.3"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S699" s="36"/>
    </row>
    <row r="700" spans="2:19" ht="15.75" customHeight="1" x14ac:dyDescent="0.3"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S700" s="36"/>
    </row>
    <row r="701" spans="2:19" ht="15.75" customHeight="1" x14ac:dyDescent="0.3"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S701" s="36"/>
    </row>
    <row r="702" spans="2:19" ht="15.75" customHeight="1" x14ac:dyDescent="0.3"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S702" s="36"/>
    </row>
    <row r="703" spans="2:19" ht="15.75" customHeight="1" x14ac:dyDescent="0.3"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S703" s="36"/>
    </row>
    <row r="704" spans="2:19" ht="15.75" customHeight="1" x14ac:dyDescent="0.3"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S704" s="36"/>
    </row>
    <row r="705" spans="2:19" ht="15.75" customHeight="1" x14ac:dyDescent="0.3"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S705" s="36"/>
    </row>
    <row r="706" spans="2:19" ht="15.75" customHeight="1" x14ac:dyDescent="0.3"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S706" s="36"/>
    </row>
    <row r="707" spans="2:19" ht="15.75" customHeight="1" x14ac:dyDescent="0.3"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S707" s="36"/>
    </row>
    <row r="708" spans="2:19" ht="15.75" customHeight="1" x14ac:dyDescent="0.3"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S708" s="36"/>
    </row>
    <row r="709" spans="2:19" ht="15.75" customHeight="1" x14ac:dyDescent="0.3"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S709" s="36"/>
    </row>
    <row r="710" spans="2:19" ht="15.75" customHeight="1" x14ac:dyDescent="0.3"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S710" s="36"/>
    </row>
    <row r="711" spans="2:19" ht="15.75" customHeight="1" x14ac:dyDescent="0.3"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S711" s="36"/>
    </row>
    <row r="712" spans="2:19" ht="15.75" customHeight="1" x14ac:dyDescent="0.3"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S712" s="36"/>
    </row>
    <row r="713" spans="2:19" ht="15.75" customHeight="1" x14ac:dyDescent="0.3"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S713" s="36"/>
    </row>
    <row r="714" spans="2:19" ht="15.75" customHeight="1" x14ac:dyDescent="0.3"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S714" s="36"/>
    </row>
    <row r="715" spans="2:19" ht="15.75" customHeight="1" x14ac:dyDescent="0.3"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S715" s="36"/>
    </row>
    <row r="716" spans="2:19" ht="15.75" customHeight="1" x14ac:dyDescent="0.3"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S716" s="36"/>
    </row>
    <row r="717" spans="2:19" ht="15.75" customHeight="1" x14ac:dyDescent="0.3"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S717" s="36"/>
    </row>
    <row r="718" spans="2:19" ht="15.75" customHeight="1" x14ac:dyDescent="0.3"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S718" s="36"/>
    </row>
    <row r="719" spans="2:19" ht="15.75" customHeight="1" x14ac:dyDescent="0.3"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S719" s="36"/>
    </row>
    <row r="720" spans="2:19" ht="15.75" customHeight="1" x14ac:dyDescent="0.3"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S720" s="36"/>
    </row>
    <row r="721" spans="2:19" ht="15.75" customHeight="1" x14ac:dyDescent="0.3"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S721" s="36"/>
    </row>
    <row r="722" spans="2:19" ht="15.75" customHeight="1" x14ac:dyDescent="0.3"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S722" s="36"/>
    </row>
    <row r="723" spans="2:19" ht="15.75" customHeight="1" x14ac:dyDescent="0.3"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S723" s="36"/>
    </row>
    <row r="724" spans="2:19" ht="15.75" customHeight="1" x14ac:dyDescent="0.3"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S724" s="36"/>
    </row>
    <row r="725" spans="2:19" ht="15.75" customHeight="1" x14ac:dyDescent="0.3"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S725" s="36"/>
    </row>
    <row r="726" spans="2:19" ht="15.75" customHeight="1" x14ac:dyDescent="0.3"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S726" s="36"/>
    </row>
    <row r="727" spans="2:19" ht="15.75" customHeight="1" x14ac:dyDescent="0.3"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S727" s="36"/>
    </row>
    <row r="728" spans="2:19" ht="15.75" customHeight="1" x14ac:dyDescent="0.3"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S728" s="36"/>
    </row>
    <row r="729" spans="2:19" ht="15.75" customHeight="1" x14ac:dyDescent="0.3"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S729" s="36"/>
    </row>
    <row r="730" spans="2:19" ht="15.75" customHeight="1" x14ac:dyDescent="0.3"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S730" s="36"/>
    </row>
    <row r="731" spans="2:19" ht="15.75" customHeight="1" x14ac:dyDescent="0.3"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S731" s="36"/>
    </row>
    <row r="732" spans="2:19" ht="15.75" customHeight="1" x14ac:dyDescent="0.3"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S732" s="36"/>
    </row>
    <row r="733" spans="2:19" ht="15.75" customHeight="1" x14ac:dyDescent="0.3"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S733" s="36"/>
    </row>
    <row r="734" spans="2:19" ht="15.75" customHeight="1" x14ac:dyDescent="0.3"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S734" s="36"/>
    </row>
    <row r="735" spans="2:19" ht="15.75" customHeight="1" x14ac:dyDescent="0.3"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S735" s="36"/>
    </row>
    <row r="736" spans="2:19" ht="15.75" customHeight="1" x14ac:dyDescent="0.3"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S736" s="36"/>
    </row>
    <row r="737" spans="2:19" ht="15.75" customHeight="1" x14ac:dyDescent="0.3"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S737" s="36"/>
    </row>
    <row r="738" spans="2:19" ht="15.75" customHeight="1" x14ac:dyDescent="0.3"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S738" s="36"/>
    </row>
    <row r="739" spans="2:19" ht="15.75" customHeight="1" x14ac:dyDescent="0.3"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S739" s="36"/>
    </row>
    <row r="740" spans="2:19" ht="15.75" customHeight="1" x14ac:dyDescent="0.3"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S740" s="36"/>
    </row>
    <row r="741" spans="2:19" ht="15.75" customHeight="1" x14ac:dyDescent="0.3"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S741" s="36"/>
    </row>
    <row r="742" spans="2:19" ht="15.75" customHeight="1" x14ac:dyDescent="0.3"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S742" s="36"/>
    </row>
    <row r="743" spans="2:19" ht="15.75" customHeight="1" x14ac:dyDescent="0.3"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S743" s="36"/>
    </row>
    <row r="744" spans="2:19" ht="15.75" customHeight="1" x14ac:dyDescent="0.3"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S744" s="36"/>
    </row>
    <row r="745" spans="2:19" ht="15.75" customHeight="1" x14ac:dyDescent="0.3"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S745" s="36"/>
    </row>
    <row r="746" spans="2:19" ht="15.75" customHeight="1" x14ac:dyDescent="0.3"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S746" s="36"/>
    </row>
    <row r="747" spans="2:19" ht="15.75" customHeight="1" x14ac:dyDescent="0.3"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S747" s="36"/>
    </row>
    <row r="748" spans="2:19" ht="15.75" customHeight="1" x14ac:dyDescent="0.3"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S748" s="36"/>
    </row>
    <row r="749" spans="2:19" ht="15.75" customHeight="1" x14ac:dyDescent="0.3"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S749" s="36"/>
    </row>
    <row r="750" spans="2:19" ht="15.75" customHeight="1" x14ac:dyDescent="0.3"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S750" s="36"/>
    </row>
    <row r="751" spans="2:19" ht="15.75" customHeight="1" x14ac:dyDescent="0.3"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S751" s="36"/>
    </row>
    <row r="752" spans="2:19" ht="15.75" customHeight="1" x14ac:dyDescent="0.3"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S752" s="36"/>
    </row>
    <row r="753" spans="2:19" ht="15.75" customHeight="1" x14ac:dyDescent="0.3"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S753" s="36"/>
    </row>
    <row r="754" spans="2:19" ht="15.75" customHeight="1" x14ac:dyDescent="0.3"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S754" s="36"/>
    </row>
    <row r="755" spans="2:19" ht="15.75" customHeight="1" x14ac:dyDescent="0.3"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S755" s="36"/>
    </row>
    <row r="756" spans="2:19" ht="15.75" customHeight="1" x14ac:dyDescent="0.3"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S756" s="36"/>
    </row>
    <row r="757" spans="2:19" ht="15.75" customHeight="1" x14ac:dyDescent="0.3"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S757" s="36"/>
    </row>
    <row r="758" spans="2:19" ht="15.75" customHeight="1" x14ac:dyDescent="0.3"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S758" s="36"/>
    </row>
    <row r="759" spans="2:19" ht="15.75" customHeight="1" x14ac:dyDescent="0.3"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S759" s="36"/>
    </row>
    <row r="760" spans="2:19" ht="15.75" customHeight="1" x14ac:dyDescent="0.3"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S760" s="36"/>
    </row>
    <row r="761" spans="2:19" ht="15.75" customHeight="1" x14ac:dyDescent="0.3"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S761" s="36"/>
    </row>
    <row r="762" spans="2:19" ht="15.75" customHeight="1" x14ac:dyDescent="0.3"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S762" s="36"/>
    </row>
    <row r="763" spans="2:19" ht="15.75" customHeight="1" x14ac:dyDescent="0.3"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S763" s="36"/>
    </row>
    <row r="764" spans="2:19" ht="15.75" customHeight="1" x14ac:dyDescent="0.3"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S764" s="36"/>
    </row>
    <row r="765" spans="2:19" ht="15.75" customHeight="1" x14ac:dyDescent="0.3"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S765" s="36"/>
    </row>
    <row r="766" spans="2:19" ht="15.75" customHeight="1" x14ac:dyDescent="0.3"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S766" s="36"/>
    </row>
    <row r="767" spans="2:19" ht="15.75" customHeight="1" x14ac:dyDescent="0.3"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S767" s="36"/>
    </row>
    <row r="768" spans="2:19" ht="15.75" customHeight="1" x14ac:dyDescent="0.3"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S768" s="36"/>
    </row>
    <row r="769" spans="2:19" ht="15.75" customHeight="1" x14ac:dyDescent="0.3"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S769" s="36"/>
    </row>
    <row r="770" spans="2:19" ht="15.75" customHeight="1" x14ac:dyDescent="0.3"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S770" s="36"/>
    </row>
    <row r="771" spans="2:19" ht="15.75" customHeight="1" x14ac:dyDescent="0.3"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S771" s="36"/>
    </row>
    <row r="772" spans="2:19" ht="15.75" customHeight="1" x14ac:dyDescent="0.3"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S772" s="36"/>
    </row>
    <row r="773" spans="2:19" ht="15.75" customHeight="1" x14ac:dyDescent="0.3"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S773" s="36"/>
    </row>
    <row r="774" spans="2:19" ht="15.75" customHeight="1" x14ac:dyDescent="0.3"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S774" s="36"/>
    </row>
    <row r="775" spans="2:19" ht="15.75" customHeight="1" x14ac:dyDescent="0.3"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S775" s="36"/>
    </row>
    <row r="776" spans="2:19" ht="15.75" customHeight="1" x14ac:dyDescent="0.3"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S776" s="36"/>
    </row>
    <row r="777" spans="2:19" ht="15.75" customHeight="1" x14ac:dyDescent="0.3"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S777" s="36"/>
    </row>
    <row r="778" spans="2:19" ht="15.75" customHeight="1" x14ac:dyDescent="0.3"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S778" s="36"/>
    </row>
    <row r="779" spans="2:19" ht="15.75" customHeight="1" x14ac:dyDescent="0.3"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S779" s="36"/>
    </row>
    <row r="780" spans="2:19" ht="15.75" customHeight="1" x14ac:dyDescent="0.3"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S780" s="36"/>
    </row>
    <row r="781" spans="2:19" ht="15.75" customHeight="1" x14ac:dyDescent="0.3"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S781" s="36"/>
    </row>
    <row r="782" spans="2:19" ht="15.75" customHeight="1" x14ac:dyDescent="0.3"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S782" s="36"/>
    </row>
    <row r="783" spans="2:19" ht="15.75" customHeight="1" x14ac:dyDescent="0.3"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S783" s="36"/>
    </row>
    <row r="784" spans="2:19" ht="15.75" customHeight="1" x14ac:dyDescent="0.3"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S784" s="36"/>
    </row>
    <row r="785" spans="2:19" ht="15.75" customHeight="1" x14ac:dyDescent="0.3"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S785" s="36"/>
    </row>
    <row r="786" spans="2:19" ht="15.75" customHeight="1" x14ac:dyDescent="0.3"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S786" s="36"/>
    </row>
    <row r="787" spans="2:19" ht="15.75" customHeight="1" x14ac:dyDescent="0.3"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S787" s="36"/>
    </row>
    <row r="788" spans="2:19" ht="15.75" customHeight="1" x14ac:dyDescent="0.3"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S788" s="36"/>
    </row>
    <row r="789" spans="2:19" ht="15.75" customHeight="1" x14ac:dyDescent="0.3"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S789" s="36"/>
    </row>
    <row r="790" spans="2:19" ht="15.75" customHeight="1" x14ac:dyDescent="0.3"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S790" s="36"/>
    </row>
    <row r="791" spans="2:19" ht="15.75" customHeight="1" x14ac:dyDescent="0.3"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S791" s="36"/>
    </row>
    <row r="792" spans="2:19" ht="15.75" customHeight="1" x14ac:dyDescent="0.3"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S792" s="36"/>
    </row>
    <row r="793" spans="2:19" ht="15.75" customHeight="1" x14ac:dyDescent="0.3"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S793" s="36"/>
    </row>
    <row r="794" spans="2:19" ht="15.75" customHeight="1" x14ac:dyDescent="0.3"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S794" s="36"/>
    </row>
    <row r="795" spans="2:19" ht="15.75" customHeight="1" x14ac:dyDescent="0.3"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S795" s="36"/>
    </row>
    <row r="796" spans="2:19" ht="15.75" customHeight="1" x14ac:dyDescent="0.3"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S796" s="36"/>
    </row>
    <row r="797" spans="2:19" ht="15.75" customHeight="1" x14ac:dyDescent="0.3"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S797" s="36"/>
    </row>
    <row r="798" spans="2:19" ht="15.75" customHeight="1" x14ac:dyDescent="0.3"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S798" s="36"/>
    </row>
    <row r="799" spans="2:19" ht="15.75" customHeight="1" x14ac:dyDescent="0.3"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S799" s="36"/>
    </row>
    <row r="800" spans="2:19" ht="15.75" customHeight="1" x14ac:dyDescent="0.3"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S800" s="36"/>
    </row>
    <row r="801" spans="2:19" ht="15.75" customHeight="1" x14ac:dyDescent="0.3"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S801" s="36"/>
    </row>
    <row r="802" spans="2:19" ht="15.75" customHeight="1" x14ac:dyDescent="0.3"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S802" s="36"/>
    </row>
    <row r="803" spans="2:19" ht="15.75" customHeight="1" x14ac:dyDescent="0.3"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S803" s="36"/>
    </row>
    <row r="804" spans="2:19" ht="15.75" customHeight="1" x14ac:dyDescent="0.3"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S804" s="36"/>
    </row>
    <row r="805" spans="2:19" ht="15.75" customHeight="1" x14ac:dyDescent="0.3"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S805" s="36"/>
    </row>
    <row r="806" spans="2:19" ht="15.75" customHeight="1" x14ac:dyDescent="0.3"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S806" s="36"/>
    </row>
    <row r="807" spans="2:19" ht="15.75" customHeight="1" x14ac:dyDescent="0.3"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S807" s="36"/>
    </row>
    <row r="808" spans="2:19" ht="15.75" customHeight="1" x14ac:dyDescent="0.3"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S808" s="36"/>
    </row>
    <row r="809" spans="2:19" ht="15.75" customHeight="1" x14ac:dyDescent="0.3"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S809" s="36"/>
    </row>
    <row r="810" spans="2:19" ht="15.75" customHeight="1" x14ac:dyDescent="0.3"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S810" s="36"/>
    </row>
    <row r="811" spans="2:19" ht="15.75" customHeight="1" x14ac:dyDescent="0.3"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S811" s="36"/>
    </row>
    <row r="812" spans="2:19" ht="15.75" customHeight="1" x14ac:dyDescent="0.3"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S812" s="36"/>
    </row>
    <row r="813" spans="2:19" ht="15.75" customHeight="1" x14ac:dyDescent="0.3"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S813" s="36"/>
    </row>
    <row r="814" spans="2:19" ht="15.75" customHeight="1" x14ac:dyDescent="0.3"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S814" s="36"/>
    </row>
    <row r="815" spans="2:19" ht="15.75" customHeight="1" x14ac:dyDescent="0.3"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S815" s="36"/>
    </row>
    <row r="816" spans="2:19" ht="15.75" customHeight="1" x14ac:dyDescent="0.3"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S816" s="36"/>
    </row>
    <row r="817" spans="2:19" ht="15.75" customHeight="1" x14ac:dyDescent="0.3"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S817" s="36"/>
    </row>
    <row r="818" spans="2:19" ht="15.75" customHeight="1" x14ac:dyDescent="0.3"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S818" s="36"/>
    </row>
    <row r="819" spans="2:19" ht="15.75" customHeight="1" x14ac:dyDescent="0.3"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S819" s="36"/>
    </row>
    <row r="820" spans="2:19" ht="15.75" customHeight="1" x14ac:dyDescent="0.3"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S820" s="36"/>
    </row>
    <row r="821" spans="2:19" ht="15.75" customHeight="1" x14ac:dyDescent="0.3"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S821" s="36"/>
    </row>
    <row r="822" spans="2:19" ht="15.75" customHeight="1" x14ac:dyDescent="0.3"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S822" s="36"/>
    </row>
    <row r="823" spans="2:19" ht="15.75" customHeight="1" x14ac:dyDescent="0.3"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S823" s="36"/>
    </row>
    <row r="824" spans="2:19" ht="15.75" customHeight="1" x14ac:dyDescent="0.3"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S824" s="36"/>
    </row>
    <row r="825" spans="2:19" ht="15.75" customHeight="1" x14ac:dyDescent="0.3"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S825" s="36"/>
    </row>
    <row r="826" spans="2:19" ht="15.75" customHeight="1" x14ac:dyDescent="0.3"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S826" s="36"/>
    </row>
    <row r="827" spans="2:19" ht="15.75" customHeight="1" x14ac:dyDescent="0.3"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S827" s="36"/>
    </row>
    <row r="828" spans="2:19" ht="15.75" customHeight="1" x14ac:dyDescent="0.3"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S828" s="36"/>
    </row>
    <row r="829" spans="2:19" ht="15.75" customHeight="1" x14ac:dyDescent="0.3"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S829" s="36"/>
    </row>
    <row r="830" spans="2:19" ht="15.75" customHeight="1" x14ac:dyDescent="0.3"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S830" s="36"/>
    </row>
    <row r="831" spans="2:19" ht="15.75" customHeight="1" x14ac:dyDescent="0.3"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S831" s="36"/>
    </row>
    <row r="832" spans="2:19" ht="15.75" customHeight="1" x14ac:dyDescent="0.3"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S832" s="36"/>
    </row>
    <row r="833" spans="2:19" ht="15.75" customHeight="1" x14ac:dyDescent="0.3"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S833" s="36"/>
    </row>
    <row r="834" spans="2:19" ht="15.75" customHeight="1" x14ac:dyDescent="0.3"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S834" s="36"/>
    </row>
    <row r="835" spans="2:19" ht="15.75" customHeight="1" x14ac:dyDescent="0.3"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S835" s="36"/>
    </row>
    <row r="836" spans="2:19" ht="15.75" customHeight="1" x14ac:dyDescent="0.3"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S836" s="36"/>
    </row>
    <row r="837" spans="2:19" ht="15.75" customHeight="1" x14ac:dyDescent="0.3"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S837" s="36"/>
    </row>
    <row r="838" spans="2:19" ht="15.75" customHeight="1" x14ac:dyDescent="0.3"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S838" s="36"/>
    </row>
    <row r="839" spans="2:19" ht="15.75" customHeight="1" x14ac:dyDescent="0.3"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S839" s="36"/>
    </row>
    <row r="840" spans="2:19" ht="15.75" customHeight="1" x14ac:dyDescent="0.3"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S840" s="36"/>
    </row>
    <row r="841" spans="2:19" ht="15.75" customHeight="1" x14ac:dyDescent="0.3"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S841" s="36"/>
    </row>
    <row r="842" spans="2:19" ht="15.75" customHeight="1" x14ac:dyDescent="0.3"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S842" s="36"/>
    </row>
    <row r="843" spans="2:19" ht="15.75" customHeight="1" x14ac:dyDescent="0.3"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S843" s="36"/>
    </row>
    <row r="844" spans="2:19" ht="15.75" customHeight="1" x14ac:dyDescent="0.3"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S844" s="36"/>
    </row>
    <row r="845" spans="2:19" ht="15.75" customHeight="1" x14ac:dyDescent="0.3"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S845" s="36"/>
    </row>
    <row r="846" spans="2:19" ht="15.75" customHeight="1" x14ac:dyDescent="0.3"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S846" s="36"/>
    </row>
    <row r="847" spans="2:19" ht="15.75" customHeight="1" x14ac:dyDescent="0.3"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S847" s="36"/>
    </row>
    <row r="848" spans="2:19" ht="15.75" customHeight="1" x14ac:dyDescent="0.3"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S848" s="36"/>
    </row>
    <row r="849" spans="2:19" ht="15.75" customHeight="1" x14ac:dyDescent="0.3"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S849" s="36"/>
    </row>
    <row r="850" spans="2:19" ht="15.75" customHeight="1" x14ac:dyDescent="0.3"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S850" s="36"/>
    </row>
    <row r="851" spans="2:19" ht="15.75" customHeight="1" x14ac:dyDescent="0.3"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S851" s="36"/>
    </row>
    <row r="852" spans="2:19" ht="15.75" customHeight="1" x14ac:dyDescent="0.3"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S852" s="36"/>
    </row>
    <row r="853" spans="2:19" ht="15.75" customHeight="1" x14ac:dyDescent="0.3"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S853" s="36"/>
    </row>
    <row r="854" spans="2:19" ht="15.75" customHeight="1" x14ac:dyDescent="0.3"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S854" s="36"/>
    </row>
    <row r="855" spans="2:19" ht="15.75" customHeight="1" x14ac:dyDescent="0.3"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S855" s="36"/>
    </row>
    <row r="856" spans="2:19" ht="15.75" customHeight="1" x14ac:dyDescent="0.3"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S856" s="36"/>
    </row>
    <row r="857" spans="2:19" ht="15.75" customHeight="1" x14ac:dyDescent="0.3"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S857" s="36"/>
    </row>
    <row r="858" spans="2:19" ht="15.75" customHeight="1" x14ac:dyDescent="0.3"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S858" s="36"/>
    </row>
    <row r="859" spans="2:19" ht="15.75" customHeight="1" x14ac:dyDescent="0.3"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S859" s="36"/>
    </row>
    <row r="860" spans="2:19" ht="15.75" customHeight="1" x14ac:dyDescent="0.3"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S860" s="36"/>
    </row>
    <row r="861" spans="2:19" ht="15.75" customHeight="1" x14ac:dyDescent="0.3"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S861" s="36"/>
    </row>
    <row r="862" spans="2:19" ht="15.75" customHeight="1" x14ac:dyDescent="0.3"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S862" s="36"/>
    </row>
    <row r="863" spans="2:19" ht="15.75" customHeight="1" x14ac:dyDescent="0.3"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S863" s="36"/>
    </row>
    <row r="864" spans="2:19" ht="15.75" customHeight="1" x14ac:dyDescent="0.3"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S864" s="36"/>
    </row>
    <row r="865" spans="2:19" ht="15.75" customHeight="1" x14ac:dyDescent="0.3"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S865" s="36"/>
    </row>
    <row r="866" spans="2:19" ht="15.75" customHeight="1" x14ac:dyDescent="0.3"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S866" s="36"/>
    </row>
    <row r="867" spans="2:19" ht="15.75" customHeight="1" x14ac:dyDescent="0.3"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S867" s="36"/>
    </row>
    <row r="868" spans="2:19" ht="15.75" customHeight="1" x14ac:dyDescent="0.3"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S868" s="36"/>
    </row>
    <row r="869" spans="2:19" ht="15.75" customHeight="1" x14ac:dyDescent="0.3"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S869" s="36"/>
    </row>
    <row r="870" spans="2:19" ht="15.75" customHeight="1" x14ac:dyDescent="0.3"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S870" s="36"/>
    </row>
    <row r="871" spans="2:19" ht="15.75" customHeight="1" x14ac:dyDescent="0.3"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S871" s="36"/>
    </row>
    <row r="872" spans="2:19" ht="15.75" customHeight="1" x14ac:dyDescent="0.3"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S872" s="36"/>
    </row>
    <row r="873" spans="2:19" ht="15.75" customHeight="1" x14ac:dyDescent="0.3"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S873" s="36"/>
    </row>
    <row r="874" spans="2:19" ht="15.75" customHeight="1" x14ac:dyDescent="0.3"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S874" s="36"/>
    </row>
    <row r="875" spans="2:19" ht="15.75" customHeight="1" x14ac:dyDescent="0.3"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S875" s="36"/>
    </row>
    <row r="876" spans="2:19" ht="15.75" customHeight="1" x14ac:dyDescent="0.3"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S876" s="36"/>
    </row>
    <row r="877" spans="2:19" ht="15.75" customHeight="1" x14ac:dyDescent="0.3"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S877" s="36"/>
    </row>
    <row r="878" spans="2:19" ht="15.75" customHeight="1" x14ac:dyDescent="0.3"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S878" s="36"/>
    </row>
    <row r="879" spans="2:19" ht="15.75" customHeight="1" x14ac:dyDescent="0.3"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S879" s="36"/>
    </row>
    <row r="880" spans="2:19" ht="15.75" customHeight="1" x14ac:dyDescent="0.3"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S880" s="36"/>
    </row>
    <row r="881" spans="2:19" ht="15.75" customHeight="1" x14ac:dyDescent="0.3"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S881" s="36"/>
    </row>
    <row r="882" spans="2:19" ht="15.75" customHeight="1" x14ac:dyDescent="0.3"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S882" s="36"/>
    </row>
    <row r="883" spans="2:19" ht="15.75" customHeight="1" x14ac:dyDescent="0.3"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S883" s="36"/>
    </row>
    <row r="884" spans="2:19" ht="15.75" customHeight="1" x14ac:dyDescent="0.3"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S884" s="36"/>
    </row>
    <row r="885" spans="2:19" ht="15.75" customHeight="1" x14ac:dyDescent="0.3"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S885" s="36"/>
    </row>
    <row r="886" spans="2:19" ht="15.75" customHeight="1" x14ac:dyDescent="0.3"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S886" s="36"/>
    </row>
    <row r="887" spans="2:19" ht="15.75" customHeight="1" x14ac:dyDescent="0.3"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S887" s="36"/>
    </row>
    <row r="888" spans="2:19" ht="15.75" customHeight="1" x14ac:dyDescent="0.3"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S888" s="36"/>
    </row>
    <row r="889" spans="2:19" ht="15.75" customHeight="1" x14ac:dyDescent="0.3"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S889" s="36"/>
    </row>
    <row r="890" spans="2:19" ht="15.75" customHeight="1" x14ac:dyDescent="0.3"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S890" s="36"/>
    </row>
    <row r="891" spans="2:19" ht="15.75" customHeight="1" x14ac:dyDescent="0.3"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S891" s="36"/>
    </row>
    <row r="892" spans="2:19" ht="15.75" customHeight="1" x14ac:dyDescent="0.3"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S892" s="36"/>
    </row>
    <row r="893" spans="2:19" ht="15.75" customHeight="1" x14ac:dyDescent="0.3"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S893" s="36"/>
    </row>
    <row r="894" spans="2:19" ht="15.75" customHeight="1" x14ac:dyDescent="0.3"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S894" s="36"/>
    </row>
    <row r="895" spans="2:19" ht="15.75" customHeight="1" x14ac:dyDescent="0.3"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S895" s="36"/>
    </row>
    <row r="896" spans="2:19" ht="15.75" customHeight="1" x14ac:dyDescent="0.3"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S896" s="36"/>
    </row>
    <row r="897" spans="2:19" ht="15.75" customHeight="1" x14ac:dyDescent="0.3"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S897" s="36"/>
    </row>
    <row r="898" spans="2:19" ht="15.75" customHeight="1" x14ac:dyDescent="0.3"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S898" s="36"/>
    </row>
    <row r="899" spans="2:19" ht="15.75" customHeight="1" x14ac:dyDescent="0.3"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S899" s="36"/>
    </row>
    <row r="900" spans="2:19" ht="15.75" customHeight="1" x14ac:dyDescent="0.3"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S900" s="36"/>
    </row>
    <row r="901" spans="2:19" ht="15.75" customHeight="1" x14ac:dyDescent="0.3"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S901" s="36"/>
    </row>
    <row r="902" spans="2:19" ht="15.75" customHeight="1" x14ac:dyDescent="0.3"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S902" s="36"/>
    </row>
    <row r="903" spans="2:19" ht="15.75" customHeight="1" x14ac:dyDescent="0.3"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S903" s="36"/>
    </row>
    <row r="904" spans="2:19" ht="15.75" customHeight="1" x14ac:dyDescent="0.3"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S904" s="36"/>
    </row>
    <row r="905" spans="2:19" ht="15.75" customHeight="1" x14ac:dyDescent="0.3"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S905" s="36"/>
    </row>
    <row r="906" spans="2:19" ht="15.75" customHeight="1" x14ac:dyDescent="0.3"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S906" s="36"/>
    </row>
    <row r="907" spans="2:19" ht="15.75" customHeight="1" x14ac:dyDescent="0.3"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S907" s="36"/>
    </row>
    <row r="908" spans="2:19" ht="15.75" customHeight="1" x14ac:dyDescent="0.3"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S908" s="36"/>
    </row>
    <row r="909" spans="2:19" ht="15.75" customHeight="1" x14ac:dyDescent="0.3"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S909" s="36"/>
    </row>
    <row r="910" spans="2:19" ht="15.75" customHeight="1" x14ac:dyDescent="0.3"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S910" s="36"/>
    </row>
    <row r="911" spans="2:19" ht="15.75" customHeight="1" x14ac:dyDescent="0.3"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S911" s="36"/>
    </row>
    <row r="912" spans="2:19" ht="15.75" customHeight="1" x14ac:dyDescent="0.3"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S912" s="36"/>
    </row>
    <row r="913" spans="2:19" ht="15.75" customHeight="1" x14ac:dyDescent="0.3"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S913" s="36"/>
    </row>
    <row r="914" spans="2:19" ht="15.75" customHeight="1" x14ac:dyDescent="0.3"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S914" s="36"/>
    </row>
    <row r="915" spans="2:19" ht="15.75" customHeight="1" x14ac:dyDescent="0.3"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S915" s="36"/>
    </row>
    <row r="916" spans="2:19" ht="15.75" customHeight="1" x14ac:dyDescent="0.3"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S916" s="36"/>
    </row>
    <row r="917" spans="2:19" ht="15.75" customHeight="1" x14ac:dyDescent="0.3"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S917" s="36"/>
    </row>
    <row r="918" spans="2:19" ht="15.75" customHeight="1" x14ac:dyDescent="0.3"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S918" s="36"/>
    </row>
    <row r="919" spans="2:19" ht="15.75" customHeight="1" x14ac:dyDescent="0.3"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S919" s="36"/>
    </row>
    <row r="920" spans="2:19" ht="15.75" customHeight="1" x14ac:dyDescent="0.3"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S920" s="36"/>
    </row>
    <row r="921" spans="2:19" ht="15.75" customHeight="1" x14ac:dyDescent="0.3"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S921" s="36"/>
    </row>
    <row r="922" spans="2:19" ht="15.75" customHeight="1" x14ac:dyDescent="0.3"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S922" s="36"/>
    </row>
    <row r="923" spans="2:19" ht="15.75" customHeight="1" x14ac:dyDescent="0.3"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S923" s="36"/>
    </row>
    <row r="924" spans="2:19" ht="15.75" customHeight="1" x14ac:dyDescent="0.3"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S924" s="36"/>
    </row>
    <row r="925" spans="2:19" ht="15.75" customHeight="1" x14ac:dyDescent="0.3"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S925" s="36"/>
    </row>
    <row r="926" spans="2:19" ht="15.75" customHeight="1" x14ac:dyDescent="0.3"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S926" s="36"/>
    </row>
    <row r="927" spans="2:19" ht="15.75" customHeight="1" x14ac:dyDescent="0.3"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S927" s="36"/>
    </row>
    <row r="928" spans="2:19" ht="15.75" customHeight="1" x14ac:dyDescent="0.3"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S928" s="36"/>
    </row>
    <row r="929" spans="2:19" ht="15.75" customHeight="1" x14ac:dyDescent="0.3"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S929" s="36"/>
    </row>
    <row r="930" spans="2:19" ht="15.75" customHeight="1" x14ac:dyDescent="0.3"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S930" s="36"/>
    </row>
    <row r="931" spans="2:19" ht="15.75" customHeight="1" x14ac:dyDescent="0.3"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S931" s="36"/>
    </row>
    <row r="932" spans="2:19" ht="15.75" customHeight="1" x14ac:dyDescent="0.3"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S932" s="36"/>
    </row>
    <row r="933" spans="2:19" ht="15.75" customHeight="1" x14ac:dyDescent="0.3"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S933" s="36"/>
    </row>
    <row r="934" spans="2:19" ht="15.75" customHeight="1" x14ac:dyDescent="0.3"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S934" s="36"/>
    </row>
    <row r="935" spans="2:19" ht="15.75" customHeight="1" x14ac:dyDescent="0.3"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S935" s="36"/>
    </row>
    <row r="936" spans="2:19" ht="15.75" customHeight="1" x14ac:dyDescent="0.3"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S936" s="36"/>
    </row>
    <row r="937" spans="2:19" ht="15.75" customHeight="1" x14ac:dyDescent="0.3"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S937" s="36"/>
    </row>
    <row r="938" spans="2:19" ht="15.75" customHeight="1" x14ac:dyDescent="0.3"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S938" s="36"/>
    </row>
    <row r="939" spans="2:19" ht="15.75" customHeight="1" x14ac:dyDescent="0.3"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S939" s="36"/>
    </row>
    <row r="940" spans="2:19" ht="15.75" customHeight="1" x14ac:dyDescent="0.3"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S940" s="36"/>
    </row>
    <row r="941" spans="2:19" ht="15.75" customHeight="1" x14ac:dyDescent="0.3"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S941" s="36"/>
    </row>
    <row r="942" spans="2:19" ht="15.75" customHeight="1" x14ac:dyDescent="0.3"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S942" s="36"/>
    </row>
    <row r="943" spans="2:19" ht="15.75" customHeight="1" x14ac:dyDescent="0.3"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S943" s="36"/>
    </row>
    <row r="944" spans="2:19" ht="15.75" customHeight="1" x14ac:dyDescent="0.3"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S944" s="36"/>
    </row>
    <row r="945" spans="2:19" ht="15.75" customHeight="1" x14ac:dyDescent="0.3"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S945" s="36"/>
    </row>
    <row r="946" spans="2:19" ht="15.75" customHeight="1" x14ac:dyDescent="0.3"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S946" s="36"/>
    </row>
    <row r="947" spans="2:19" ht="15.75" customHeight="1" x14ac:dyDescent="0.3"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S947" s="36"/>
    </row>
    <row r="948" spans="2:19" ht="15.75" customHeight="1" x14ac:dyDescent="0.3"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S948" s="36"/>
    </row>
    <row r="949" spans="2:19" ht="15.75" customHeight="1" x14ac:dyDescent="0.3"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S949" s="36"/>
    </row>
    <row r="950" spans="2:19" ht="15.75" customHeight="1" x14ac:dyDescent="0.3"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S950" s="36"/>
    </row>
    <row r="951" spans="2:19" ht="15.75" customHeight="1" x14ac:dyDescent="0.3"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S951" s="36"/>
    </row>
    <row r="952" spans="2:19" ht="15.75" customHeight="1" x14ac:dyDescent="0.3"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S952" s="36"/>
    </row>
    <row r="953" spans="2:19" ht="15.75" customHeight="1" x14ac:dyDescent="0.3"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S953" s="36"/>
    </row>
    <row r="954" spans="2:19" ht="15.75" customHeight="1" x14ac:dyDescent="0.3"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S954" s="36"/>
    </row>
    <row r="955" spans="2:19" ht="15.75" customHeight="1" x14ac:dyDescent="0.3"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S955" s="36"/>
    </row>
    <row r="956" spans="2:19" ht="15.75" customHeight="1" x14ac:dyDescent="0.3"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S956" s="36"/>
    </row>
    <row r="957" spans="2:19" ht="15.75" customHeight="1" x14ac:dyDescent="0.3"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S957" s="36"/>
    </row>
    <row r="958" spans="2:19" ht="15.75" customHeight="1" x14ac:dyDescent="0.3"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S958" s="36"/>
    </row>
    <row r="959" spans="2:19" ht="15.75" customHeight="1" x14ac:dyDescent="0.3"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S959" s="36"/>
    </row>
    <row r="960" spans="2:19" ht="15.75" customHeight="1" x14ac:dyDescent="0.3"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S960" s="36"/>
    </row>
    <row r="961" spans="2:19" ht="15.75" customHeight="1" x14ac:dyDescent="0.3"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S961" s="36"/>
    </row>
    <row r="962" spans="2:19" ht="15.75" customHeight="1" x14ac:dyDescent="0.3"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S962" s="36"/>
    </row>
    <row r="963" spans="2:19" ht="15.75" customHeight="1" x14ac:dyDescent="0.3"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S963" s="36"/>
    </row>
    <row r="964" spans="2:19" ht="15.75" customHeight="1" x14ac:dyDescent="0.3"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S964" s="36"/>
    </row>
    <row r="965" spans="2:19" ht="15.75" customHeight="1" x14ac:dyDescent="0.3"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S965" s="36"/>
    </row>
    <row r="966" spans="2:19" ht="15.75" customHeight="1" x14ac:dyDescent="0.3"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S966" s="36"/>
    </row>
    <row r="967" spans="2:19" ht="15.75" customHeight="1" x14ac:dyDescent="0.3"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S967" s="36"/>
    </row>
    <row r="968" spans="2:19" ht="15.75" customHeight="1" x14ac:dyDescent="0.3"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S968" s="36"/>
    </row>
    <row r="969" spans="2:19" ht="15.75" customHeight="1" x14ac:dyDescent="0.3"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S969" s="36"/>
    </row>
    <row r="970" spans="2:19" ht="15.75" customHeight="1" x14ac:dyDescent="0.3"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S970" s="36"/>
    </row>
    <row r="971" spans="2:19" ht="15.75" customHeight="1" x14ac:dyDescent="0.3"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S971" s="36"/>
    </row>
    <row r="972" spans="2:19" ht="15.75" customHeight="1" x14ac:dyDescent="0.3"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S972" s="36"/>
    </row>
    <row r="973" spans="2:19" ht="15.75" customHeight="1" x14ac:dyDescent="0.3"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S973" s="36"/>
    </row>
    <row r="974" spans="2:19" ht="15.75" customHeight="1" x14ac:dyDescent="0.3"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S974" s="36"/>
    </row>
    <row r="975" spans="2:19" ht="15.75" customHeight="1" x14ac:dyDescent="0.3"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S975" s="36"/>
    </row>
    <row r="976" spans="2:19" ht="15.75" customHeight="1" x14ac:dyDescent="0.3"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S976" s="36"/>
    </row>
    <row r="977" spans="2:19" ht="15.75" customHeight="1" x14ac:dyDescent="0.3"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S977" s="36"/>
    </row>
    <row r="978" spans="2:19" ht="15.75" customHeight="1" x14ac:dyDescent="0.3"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S978" s="36"/>
    </row>
    <row r="979" spans="2:19" ht="15.75" customHeight="1" x14ac:dyDescent="0.3"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S979" s="36"/>
    </row>
    <row r="980" spans="2:19" ht="15.75" customHeight="1" x14ac:dyDescent="0.3"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S980" s="36"/>
    </row>
    <row r="981" spans="2:19" ht="15.75" customHeight="1" x14ac:dyDescent="0.3"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S981" s="36"/>
    </row>
    <row r="982" spans="2:19" ht="15.75" customHeight="1" x14ac:dyDescent="0.3"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S982" s="36"/>
    </row>
    <row r="983" spans="2:19" ht="15.75" customHeight="1" x14ac:dyDescent="0.3"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S983" s="36"/>
    </row>
    <row r="984" spans="2:19" ht="15.75" customHeight="1" x14ac:dyDescent="0.3"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S984" s="36"/>
    </row>
    <row r="985" spans="2:19" ht="15.75" customHeight="1" x14ac:dyDescent="0.3"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S985" s="36"/>
    </row>
    <row r="986" spans="2:19" ht="15.75" customHeight="1" x14ac:dyDescent="0.3"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S986" s="36"/>
    </row>
    <row r="987" spans="2:19" ht="15.75" customHeight="1" x14ac:dyDescent="0.3"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S987" s="36"/>
    </row>
    <row r="988" spans="2:19" ht="15.75" customHeight="1" x14ac:dyDescent="0.3"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S988" s="36"/>
    </row>
    <row r="989" spans="2:19" ht="15.75" customHeight="1" x14ac:dyDescent="0.3"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S989" s="36"/>
    </row>
    <row r="990" spans="2:19" ht="15.75" customHeight="1" x14ac:dyDescent="0.3"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S990" s="36"/>
    </row>
    <row r="991" spans="2:19" ht="15.75" customHeight="1" x14ac:dyDescent="0.3"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S991" s="36"/>
    </row>
    <row r="992" spans="2:19" ht="15.75" customHeight="1" x14ac:dyDescent="0.3"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S992" s="36"/>
    </row>
    <row r="993" spans="2:19" ht="15.75" customHeight="1" x14ac:dyDescent="0.3"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S993" s="36"/>
    </row>
    <row r="994" spans="2:19" ht="15.75" customHeight="1" x14ac:dyDescent="0.3"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S994" s="36"/>
    </row>
    <row r="995" spans="2:19" ht="15.75" customHeight="1" x14ac:dyDescent="0.3"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S995" s="36"/>
    </row>
    <row r="996" spans="2:19" ht="15.75" customHeight="1" x14ac:dyDescent="0.3"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S996" s="36"/>
    </row>
    <row r="997" spans="2:19" ht="15.75" customHeight="1" x14ac:dyDescent="0.3"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S997" s="36"/>
    </row>
    <row r="998" spans="2:19" ht="15.75" customHeight="1" x14ac:dyDescent="0.3"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S998" s="36"/>
    </row>
    <row r="999" spans="2:19" ht="15.75" customHeight="1" x14ac:dyDescent="0.3"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S999" s="36"/>
    </row>
    <row r="1000" spans="2:19" ht="15.75" customHeight="1" x14ac:dyDescent="0.3"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S1000" s="36"/>
    </row>
    <row r="1001" spans="2:19" ht="15.75" customHeight="1" x14ac:dyDescent="0.3"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S1001" s="36"/>
    </row>
    <row r="1002" spans="2:19" ht="15.75" customHeight="1" x14ac:dyDescent="0.3"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S1002" s="36"/>
    </row>
  </sheetData>
  <mergeCells count="21">
    <mergeCell ref="A47:O47"/>
    <mergeCell ref="B33:D33"/>
    <mergeCell ref="G33:I33"/>
    <mergeCell ref="L33:N33"/>
    <mergeCell ref="Q33:S33"/>
    <mergeCell ref="V33:X33"/>
    <mergeCell ref="AA33:AC33"/>
    <mergeCell ref="AA3:AC3"/>
    <mergeCell ref="A17:O17"/>
    <mergeCell ref="B19:D19"/>
    <mergeCell ref="G19:I19"/>
    <mergeCell ref="L19:N19"/>
    <mergeCell ref="Q19:S19"/>
    <mergeCell ref="V19:X19"/>
    <mergeCell ref="AA19:AC19"/>
    <mergeCell ref="B3:D3"/>
    <mergeCell ref="G3:I3"/>
    <mergeCell ref="L3:N3"/>
    <mergeCell ref="O3:P3"/>
    <mergeCell ref="Q3:S3"/>
    <mergeCell ref="V3:X3"/>
  </mergeCells>
  <pageMargins left="0.7" right="0.7" top="0.75" bottom="0.75" header="0" footer="0"/>
  <pageSetup scale="45" fitToHeight="0" orientation="landscape" r:id="rId1"/>
  <headerFooter>
    <oddHeader>&amp;RExhibit 10
Page &amp;P of &amp;N
Witness:  Gregory R. Lee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4B95-B18E-46B7-94A6-DA5B7FE4757A}">
  <dimension ref="A3:F77"/>
  <sheetViews>
    <sheetView view="pageLayout" topLeftCell="A23" zoomScaleNormal="100" workbookViewId="0">
      <selection activeCell="A55" sqref="A55"/>
    </sheetView>
  </sheetViews>
  <sheetFormatPr defaultRowHeight="13.8" x14ac:dyDescent="0.25"/>
  <cols>
    <col min="1" max="2" width="8.88671875" style="50"/>
    <col min="3" max="3" width="11.5546875" style="50" bestFit="1" customWidth="1"/>
    <col min="4" max="5" width="12.44140625" style="50" bestFit="1" customWidth="1"/>
    <col min="6" max="16384" width="8.88671875" style="50"/>
  </cols>
  <sheetData>
    <row r="3" spans="1:6" ht="15.6" x14ac:dyDescent="0.25">
      <c r="A3" s="26" t="s">
        <v>37</v>
      </c>
      <c r="B3" s="26"/>
      <c r="C3" s="26"/>
      <c r="D3" s="26"/>
      <c r="E3" s="26"/>
      <c r="F3" s="26"/>
    </row>
    <row r="4" spans="1:6" ht="15.6" x14ac:dyDescent="0.25">
      <c r="A4" s="26" t="s">
        <v>38</v>
      </c>
      <c r="B4" s="26"/>
      <c r="C4" s="26"/>
      <c r="D4" s="26"/>
      <c r="E4" s="26"/>
      <c r="F4" s="26"/>
    </row>
    <row r="5" spans="1:6" ht="15.6" x14ac:dyDescent="0.25">
      <c r="A5" s="26" t="s">
        <v>39</v>
      </c>
      <c r="B5" s="26"/>
      <c r="C5" s="26"/>
      <c r="D5" s="26"/>
      <c r="E5" s="26"/>
      <c r="F5" s="26"/>
    </row>
    <row r="6" spans="1:6" ht="15.6" x14ac:dyDescent="0.25">
      <c r="A6" s="28"/>
      <c r="B6" s="28"/>
      <c r="C6" s="28"/>
      <c r="D6" s="28"/>
      <c r="E6" s="28"/>
      <c r="F6" s="28"/>
    </row>
    <row r="7" spans="1:6" ht="15.6" x14ac:dyDescent="0.25">
      <c r="A7" s="28"/>
      <c r="B7" s="28"/>
      <c r="C7" s="28"/>
      <c r="D7" s="28"/>
      <c r="E7" s="28"/>
      <c r="F7" s="28"/>
    </row>
    <row r="8" spans="1:6" x14ac:dyDescent="0.25">
      <c r="A8" s="50" t="s">
        <v>68</v>
      </c>
    </row>
    <row r="10" spans="1:6" ht="15.6" x14ac:dyDescent="0.25">
      <c r="B10" s="52" t="s">
        <v>67</v>
      </c>
      <c r="C10" s="52"/>
      <c r="D10" s="52"/>
      <c r="E10" s="52"/>
      <c r="F10" s="52"/>
    </row>
    <row r="11" spans="1:6" ht="2.4" customHeight="1" x14ac:dyDescent="0.25">
      <c r="B11" s="55"/>
      <c r="C11" s="55"/>
      <c r="D11" s="55"/>
      <c r="E11" s="55"/>
      <c r="F11" s="55"/>
    </row>
    <row r="12" spans="1:6" ht="15.6" x14ac:dyDescent="0.25">
      <c r="B12" s="52" t="s">
        <v>66</v>
      </c>
      <c r="C12" s="52"/>
      <c r="D12" s="52"/>
      <c r="E12" s="52"/>
      <c r="F12" s="52"/>
    </row>
    <row r="13" spans="1:6" ht="4.2" customHeight="1" x14ac:dyDescent="0.25">
      <c r="B13" s="55"/>
      <c r="C13" s="55"/>
      <c r="D13" s="55"/>
      <c r="E13" s="55"/>
      <c r="F13" s="55"/>
    </row>
    <row r="14" spans="1:6" ht="15.6" x14ac:dyDescent="0.3">
      <c r="B14" s="53" t="s">
        <v>65</v>
      </c>
    </row>
    <row r="15" spans="1:6" ht="3.6" customHeight="1" x14ac:dyDescent="0.3">
      <c r="B15" s="53"/>
    </row>
    <row r="16" spans="1:6" ht="15.6" x14ac:dyDescent="0.25">
      <c r="B16" s="52" t="s">
        <v>64</v>
      </c>
      <c r="C16" s="52"/>
      <c r="D16" s="52"/>
      <c r="E16" s="52"/>
      <c r="F16" s="52"/>
    </row>
    <row r="17" spans="1:5" ht="15.6" x14ac:dyDescent="0.3">
      <c r="B17" s="53"/>
    </row>
    <row r="18" spans="1:5" ht="15.6" x14ac:dyDescent="0.3">
      <c r="B18" s="53"/>
    </row>
    <row r="19" spans="1:5" x14ac:dyDescent="0.25">
      <c r="A19" s="54" t="s">
        <v>34</v>
      </c>
    </row>
    <row r="21" spans="1:5" ht="15.6" x14ac:dyDescent="0.25">
      <c r="A21" s="52" t="s">
        <v>67</v>
      </c>
      <c r="B21" s="52"/>
      <c r="C21" s="52"/>
      <c r="D21" s="52"/>
      <c r="E21" s="52"/>
    </row>
    <row r="23" spans="1:5" x14ac:dyDescent="0.25">
      <c r="C23" s="50" t="s">
        <v>1</v>
      </c>
      <c r="D23" s="51">
        <v>47442.12</v>
      </c>
    </row>
    <row r="24" spans="1:5" x14ac:dyDescent="0.25">
      <c r="C24" s="50" t="s">
        <v>2</v>
      </c>
      <c r="D24" s="51">
        <v>37487.269999999997</v>
      </c>
    </row>
    <row r="25" spans="1:5" x14ac:dyDescent="0.25">
      <c r="C25" s="50" t="s">
        <v>3</v>
      </c>
      <c r="D25" s="51">
        <v>34834.94</v>
      </c>
    </row>
    <row r="26" spans="1:5" x14ac:dyDescent="0.25">
      <c r="C26" s="50" t="s">
        <v>4</v>
      </c>
      <c r="D26" s="51">
        <v>29246.21</v>
      </c>
    </row>
    <row r="27" spans="1:5" x14ac:dyDescent="0.25">
      <c r="C27" s="50" t="s">
        <v>5</v>
      </c>
      <c r="D27" s="51">
        <v>28843.26</v>
      </c>
    </row>
    <row r="28" spans="1:5" x14ac:dyDescent="0.25">
      <c r="C28" s="50" t="s">
        <v>41</v>
      </c>
      <c r="D28" s="51">
        <v>37147.199999999997</v>
      </c>
    </row>
    <row r="29" spans="1:5" x14ac:dyDescent="0.25">
      <c r="C29" s="50" t="s">
        <v>7</v>
      </c>
      <c r="D29" s="51">
        <v>43008.97</v>
      </c>
    </row>
    <row r="30" spans="1:5" x14ac:dyDescent="0.25">
      <c r="C30" s="50" t="s">
        <v>8</v>
      </c>
      <c r="D30" s="51">
        <v>45678.76</v>
      </c>
    </row>
    <row r="31" spans="1:5" x14ac:dyDescent="0.25">
      <c r="C31" s="50" t="s">
        <v>42</v>
      </c>
      <c r="D31" s="51">
        <v>37609.06</v>
      </c>
    </row>
    <row r="32" spans="1:5" x14ac:dyDescent="0.25">
      <c r="C32" s="50" t="s">
        <v>9</v>
      </c>
      <c r="D32" s="51">
        <v>29345.919999999998</v>
      </c>
    </row>
    <row r="33" spans="1:5" x14ac:dyDescent="0.25">
      <c r="C33" s="50" t="s">
        <v>10</v>
      </c>
      <c r="D33" s="51">
        <v>38938.120000000003</v>
      </c>
    </row>
    <row r="34" spans="1:5" x14ac:dyDescent="0.25">
      <c r="C34" s="50" t="s">
        <v>11</v>
      </c>
      <c r="D34" s="51">
        <v>48672.17</v>
      </c>
    </row>
    <row r="35" spans="1:5" x14ac:dyDescent="0.25">
      <c r="D35" s="51">
        <f>SUM(D23:D34)</f>
        <v>458253.99999999994</v>
      </c>
    </row>
    <row r="36" spans="1:5" ht="15.6" x14ac:dyDescent="0.25">
      <c r="A36" s="52" t="s">
        <v>66</v>
      </c>
      <c r="B36" s="52"/>
      <c r="C36" s="52"/>
      <c r="D36" s="52"/>
      <c r="E36" s="52"/>
    </row>
    <row r="37" spans="1:5" x14ac:dyDescent="0.25">
      <c r="D37" s="51"/>
    </row>
    <row r="38" spans="1:5" x14ac:dyDescent="0.25">
      <c r="C38" s="50" t="s">
        <v>1</v>
      </c>
      <c r="D38" s="51">
        <v>65152.74</v>
      </c>
    </row>
    <row r="39" spans="1:5" x14ac:dyDescent="0.25">
      <c r="C39" s="50" t="s">
        <v>2</v>
      </c>
      <c r="D39" s="51">
        <v>49492.6</v>
      </c>
    </row>
    <row r="40" spans="1:5" x14ac:dyDescent="0.25">
      <c r="C40" s="50" t="s">
        <v>3</v>
      </c>
      <c r="D40" s="51">
        <v>39331.620000000003</v>
      </c>
    </row>
    <row r="41" spans="1:5" x14ac:dyDescent="0.25">
      <c r="C41" s="50" t="s">
        <v>4</v>
      </c>
      <c r="D41" s="51">
        <v>38494.14</v>
      </c>
    </row>
    <row r="42" spans="1:5" x14ac:dyDescent="0.25">
      <c r="C42" s="50" t="s">
        <v>5</v>
      </c>
      <c r="D42" s="51">
        <v>35638.42</v>
      </c>
    </row>
    <row r="43" spans="1:5" x14ac:dyDescent="0.25">
      <c r="C43" s="50" t="s">
        <v>41</v>
      </c>
      <c r="D43" s="51">
        <v>42120.639999999999</v>
      </c>
    </row>
    <row r="44" spans="1:5" x14ac:dyDescent="0.25">
      <c r="C44" s="50" t="s">
        <v>7</v>
      </c>
      <c r="D44" s="51">
        <v>43687.3</v>
      </c>
    </row>
    <row r="45" spans="1:5" x14ac:dyDescent="0.25">
      <c r="C45" s="50" t="s">
        <v>8</v>
      </c>
      <c r="D45" s="51">
        <v>43773.82</v>
      </c>
    </row>
    <row r="46" spans="1:5" x14ac:dyDescent="0.25">
      <c r="C46" s="50" t="s">
        <v>42</v>
      </c>
      <c r="D46" s="51">
        <v>37105.51</v>
      </c>
    </row>
    <row r="47" spans="1:5" x14ac:dyDescent="0.25">
      <c r="C47" s="50" t="s">
        <v>9</v>
      </c>
      <c r="D47" s="51">
        <v>32093.26</v>
      </c>
    </row>
    <row r="48" spans="1:5" x14ac:dyDescent="0.25">
      <c r="C48" s="50" t="s">
        <v>10</v>
      </c>
      <c r="D48" s="51">
        <v>39096.089999999997</v>
      </c>
    </row>
    <row r="49" spans="1:5" x14ac:dyDescent="0.25">
      <c r="C49" s="50" t="s">
        <v>11</v>
      </c>
      <c r="D49" s="51">
        <v>46482.91</v>
      </c>
      <c r="E49" s="51">
        <f>SUM(D38:D49)</f>
        <v>512469.05000000005</v>
      </c>
    </row>
    <row r="50" spans="1:5" x14ac:dyDescent="0.25">
      <c r="D50" s="51"/>
    </row>
    <row r="51" spans="1:5" x14ac:dyDescent="0.25">
      <c r="D51" s="51"/>
    </row>
    <row r="52" spans="1:5" x14ac:dyDescent="0.25">
      <c r="D52" s="51"/>
    </row>
    <row r="53" spans="1:5" x14ac:dyDescent="0.25">
      <c r="D53" s="51"/>
    </row>
    <row r="54" spans="1:5" x14ac:dyDescent="0.25">
      <c r="D54" s="51"/>
    </row>
    <row r="55" spans="1:5" ht="15.6" x14ac:dyDescent="0.3">
      <c r="A55" s="53" t="s">
        <v>65</v>
      </c>
      <c r="D55" s="51"/>
    </row>
    <row r="56" spans="1:5" x14ac:dyDescent="0.25">
      <c r="D56" s="51"/>
    </row>
    <row r="57" spans="1:5" x14ac:dyDescent="0.25">
      <c r="C57" s="50" t="s">
        <v>1</v>
      </c>
      <c r="D57" s="51">
        <v>49934</v>
      </c>
    </row>
    <row r="58" spans="1:5" x14ac:dyDescent="0.25">
      <c r="C58" s="50" t="s">
        <v>2</v>
      </c>
      <c r="D58" s="51">
        <v>50828.45</v>
      </c>
    </row>
    <row r="59" spans="1:5" x14ac:dyDescent="0.25">
      <c r="C59" s="50" t="s">
        <v>3</v>
      </c>
      <c r="D59" s="51">
        <v>40874.67</v>
      </c>
    </row>
    <row r="60" spans="1:5" x14ac:dyDescent="0.25">
      <c r="C60" s="50" t="s">
        <v>4</v>
      </c>
      <c r="D60" s="51">
        <v>31223.94</v>
      </c>
    </row>
    <row r="61" spans="1:5" x14ac:dyDescent="0.25">
      <c r="C61" s="50" t="s">
        <v>5</v>
      </c>
      <c r="D61" s="51">
        <v>29832.81</v>
      </c>
    </row>
    <row r="62" spans="1:5" x14ac:dyDescent="0.25">
      <c r="C62" s="50" t="s">
        <v>41</v>
      </c>
      <c r="D62" s="51">
        <v>33999.32</v>
      </c>
    </row>
    <row r="63" spans="1:5" x14ac:dyDescent="0.25">
      <c r="C63" s="50" t="s">
        <v>7</v>
      </c>
      <c r="D63" s="51">
        <v>40515.65</v>
      </c>
    </row>
    <row r="64" spans="1:5" x14ac:dyDescent="0.25">
      <c r="C64" s="50" t="s">
        <v>8</v>
      </c>
      <c r="D64" s="51">
        <v>42318.05</v>
      </c>
    </row>
    <row r="65" spans="1:5" x14ac:dyDescent="0.25">
      <c r="C65" s="50" t="s">
        <v>42</v>
      </c>
      <c r="D65" s="51">
        <v>36237.160000000003</v>
      </c>
    </row>
    <row r="66" spans="1:5" x14ac:dyDescent="0.25">
      <c r="C66" s="50" t="s">
        <v>9</v>
      </c>
      <c r="D66" s="51">
        <v>30139.98</v>
      </c>
    </row>
    <row r="67" spans="1:5" x14ac:dyDescent="0.25">
      <c r="C67" s="50" t="s">
        <v>10</v>
      </c>
      <c r="D67" s="51">
        <v>36001.040000000001</v>
      </c>
    </row>
    <row r="68" spans="1:5" x14ac:dyDescent="0.25">
      <c r="C68" s="50" t="s">
        <v>11</v>
      </c>
      <c r="D68" s="51">
        <v>41528.28</v>
      </c>
    </row>
    <row r="69" spans="1:5" x14ac:dyDescent="0.25">
      <c r="D69" s="51"/>
    </row>
    <row r="70" spans="1:5" ht="15.6" x14ac:dyDescent="0.25">
      <c r="A70" s="52" t="s">
        <v>64</v>
      </c>
      <c r="B70" s="52"/>
      <c r="C70" s="52"/>
      <c r="D70" s="52"/>
      <c r="E70" s="52"/>
    </row>
    <row r="71" spans="1:5" x14ac:dyDescent="0.25">
      <c r="D71" s="51"/>
    </row>
    <row r="72" spans="1:5" x14ac:dyDescent="0.25">
      <c r="C72" s="50" t="s">
        <v>1</v>
      </c>
      <c r="D72" s="51">
        <v>43155.38</v>
      </c>
    </row>
    <row r="73" spans="1:5" x14ac:dyDescent="0.25">
      <c r="C73" s="50" t="s">
        <v>2</v>
      </c>
      <c r="D73" s="51">
        <v>22766.28</v>
      </c>
    </row>
    <row r="74" spans="1:5" x14ac:dyDescent="0.25">
      <c r="C74" s="50" t="s">
        <v>3</v>
      </c>
      <c r="D74" s="51">
        <v>0</v>
      </c>
    </row>
    <row r="75" spans="1:5" x14ac:dyDescent="0.25">
      <c r="C75" s="50" t="s">
        <v>4</v>
      </c>
      <c r="D75" s="51">
        <v>0</v>
      </c>
    </row>
    <row r="76" spans="1:5" x14ac:dyDescent="0.25">
      <c r="C76" s="50" t="s">
        <v>5</v>
      </c>
      <c r="D76" s="51">
        <v>0</v>
      </c>
    </row>
    <row r="77" spans="1:5" x14ac:dyDescent="0.25">
      <c r="C77" s="50" t="s">
        <v>6</v>
      </c>
      <c r="D77" s="51">
        <v>0</v>
      </c>
    </row>
  </sheetData>
  <mergeCells count="9">
    <mergeCell ref="A21:E21"/>
    <mergeCell ref="A36:E36"/>
    <mergeCell ref="A70:E70"/>
    <mergeCell ref="A3:F3"/>
    <mergeCell ref="A4:F4"/>
    <mergeCell ref="A5:F5"/>
    <mergeCell ref="B10:F10"/>
    <mergeCell ref="B12:F12"/>
    <mergeCell ref="B16:F16"/>
  </mergeCells>
  <printOptions horizontalCentered="1"/>
  <pageMargins left="0.7" right="0.7" top="0.75" bottom="0.75" header="0.3" footer="0.3"/>
  <pageSetup orientation="portrait" verticalDpi="0" r:id="rId1"/>
  <headerFooter>
    <oddHeader>&amp;RExhibit 11
Page &amp;P of &amp;N
Witness:  Gregory R. Lee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E0A4-1644-41A2-AFE2-74167AAD5C0E}">
  <dimension ref="B3:G1009"/>
  <sheetViews>
    <sheetView tabSelected="1" view="pageLayout" zoomScaleNormal="100" workbookViewId="0">
      <selection activeCell="C13" sqref="C13"/>
    </sheetView>
  </sheetViews>
  <sheetFormatPr defaultColWidth="14" defaultRowHeight="15" customHeight="1" x14ac:dyDescent="0.25"/>
  <cols>
    <col min="1" max="1" width="0.5546875" style="34" customWidth="1"/>
    <col min="2" max="2" width="6.21875" style="34" customWidth="1"/>
    <col min="3" max="3" width="6" style="56" customWidth="1"/>
    <col min="4" max="4" width="15" style="34" customWidth="1"/>
    <col min="5" max="5" width="14.21875" style="34" customWidth="1"/>
    <col min="6" max="27" width="8.44140625" style="34" customWidth="1"/>
    <col min="28" max="16384" width="14" style="34"/>
  </cols>
  <sheetData>
    <row r="3" spans="2:7" ht="14.4" x14ac:dyDescent="0.3">
      <c r="B3" s="35"/>
    </row>
    <row r="4" spans="2:7" ht="15" customHeight="1" x14ac:dyDescent="0.25">
      <c r="B4" s="57" t="s">
        <v>37</v>
      </c>
      <c r="C4" s="57"/>
      <c r="D4" s="57"/>
      <c r="E4" s="57"/>
      <c r="F4" s="57"/>
      <c r="G4" s="57"/>
    </row>
    <row r="5" spans="2:7" ht="15.6" x14ac:dyDescent="0.25">
      <c r="B5" s="57" t="s">
        <v>38</v>
      </c>
      <c r="C5" s="57"/>
      <c r="D5" s="57"/>
      <c r="E5" s="57"/>
      <c r="F5" s="57"/>
      <c r="G5" s="57"/>
    </row>
    <row r="6" spans="2:7" ht="15.6" x14ac:dyDescent="0.25">
      <c r="B6" s="57" t="s">
        <v>39</v>
      </c>
      <c r="C6" s="57"/>
      <c r="D6" s="57"/>
      <c r="E6" s="57"/>
      <c r="F6" s="57"/>
      <c r="G6" s="57"/>
    </row>
    <row r="7" spans="2:7" ht="15.6" x14ac:dyDescent="0.25">
      <c r="B7" s="58"/>
      <c r="C7" s="58"/>
      <c r="D7" s="58"/>
      <c r="E7" s="58"/>
      <c r="F7" s="59"/>
      <c r="G7" s="59"/>
    </row>
    <row r="8" spans="2:7" ht="15.6" x14ac:dyDescent="0.25">
      <c r="B8" s="58"/>
      <c r="C8" s="58"/>
      <c r="D8" s="58"/>
      <c r="E8" s="58"/>
      <c r="F8" s="59"/>
      <c r="G8" s="59"/>
    </row>
    <row r="9" spans="2:7" ht="70.2" customHeight="1" x14ac:dyDescent="0.25">
      <c r="B9" s="60" t="s">
        <v>69</v>
      </c>
      <c r="C9" s="60"/>
      <c r="D9" s="60"/>
      <c r="E9" s="60"/>
      <c r="F9" s="60"/>
      <c r="G9" s="60"/>
    </row>
    <row r="10" spans="2:7" ht="15.6" customHeight="1" x14ac:dyDescent="0.25">
      <c r="B10" s="61"/>
      <c r="C10" s="61"/>
      <c r="D10" s="61"/>
      <c r="E10" s="61"/>
      <c r="F10" s="61"/>
      <c r="G10" s="61"/>
    </row>
    <row r="11" spans="2:7" ht="11.4" customHeight="1" x14ac:dyDescent="0.25">
      <c r="B11" s="61"/>
      <c r="C11" s="61"/>
      <c r="D11" s="61"/>
      <c r="E11" s="61"/>
      <c r="F11" s="61"/>
      <c r="G11" s="61"/>
    </row>
    <row r="12" spans="2:7" ht="15.6" x14ac:dyDescent="0.25">
      <c r="B12" s="62" t="s">
        <v>34</v>
      </c>
      <c r="C12" s="58"/>
      <c r="D12" s="58"/>
      <c r="E12" s="58"/>
      <c r="F12" s="59"/>
      <c r="G12" s="59"/>
    </row>
    <row r="13" spans="2:7" ht="15.6" x14ac:dyDescent="0.25">
      <c r="B13" s="62"/>
      <c r="C13" s="63" t="s">
        <v>70</v>
      </c>
      <c r="D13" s="58"/>
      <c r="E13" s="58"/>
      <c r="F13" s="59"/>
      <c r="G13" s="59"/>
    </row>
    <row r="14" spans="2:7" ht="15" customHeight="1" x14ac:dyDescent="0.3">
      <c r="C14" s="64" t="s">
        <v>71</v>
      </c>
    </row>
    <row r="15" spans="2:7" ht="15" customHeight="1" x14ac:dyDescent="0.25">
      <c r="C15" s="65"/>
    </row>
    <row r="16" spans="2:7" ht="14.4" x14ac:dyDescent="0.3">
      <c r="C16" s="66" t="s">
        <v>72</v>
      </c>
      <c r="D16" s="67" t="s">
        <v>73</v>
      </c>
      <c r="E16" s="68" t="s">
        <v>74</v>
      </c>
    </row>
    <row r="17" spans="3:5" ht="14.4" x14ac:dyDescent="0.3">
      <c r="C17" s="69">
        <v>1</v>
      </c>
      <c r="D17" s="70">
        <v>43910</v>
      </c>
      <c r="E17" s="71">
        <v>12339.54</v>
      </c>
    </row>
    <row r="18" spans="3:5" ht="14.4" x14ac:dyDescent="0.3">
      <c r="C18" s="69">
        <v>2</v>
      </c>
      <c r="D18" s="70">
        <v>43915</v>
      </c>
      <c r="E18" s="71">
        <v>9283.32</v>
      </c>
    </row>
    <row r="19" spans="3:5" ht="14.4" x14ac:dyDescent="0.3">
      <c r="C19" s="69">
        <v>3</v>
      </c>
      <c r="D19" s="70">
        <v>43927</v>
      </c>
      <c r="E19" s="71">
        <v>11259.4</v>
      </c>
    </row>
    <row r="20" spans="3:5" ht="14.4" x14ac:dyDescent="0.3">
      <c r="C20" s="69">
        <v>4</v>
      </c>
      <c r="D20" s="70">
        <v>43931</v>
      </c>
      <c r="E20" s="71">
        <v>8575.76</v>
      </c>
    </row>
    <row r="21" spans="3:5" ht="14.4" x14ac:dyDescent="0.3">
      <c r="C21" s="69">
        <v>1</v>
      </c>
      <c r="D21" s="70">
        <v>43941</v>
      </c>
      <c r="E21" s="71">
        <v>8397.9699999999993</v>
      </c>
    </row>
    <row r="22" spans="3:5" ht="14.4" x14ac:dyDescent="0.3">
      <c r="C22" s="69">
        <v>2</v>
      </c>
      <c r="D22" s="70">
        <v>43946</v>
      </c>
      <c r="E22" s="71">
        <v>5885.78</v>
      </c>
    </row>
    <row r="23" spans="3:5" ht="14.4" x14ac:dyDescent="0.3">
      <c r="C23" s="69">
        <v>3</v>
      </c>
      <c r="D23" s="70">
        <v>43956</v>
      </c>
      <c r="E23" s="71">
        <v>9281.27</v>
      </c>
    </row>
    <row r="24" spans="3:5" ht="14.4" x14ac:dyDescent="0.3">
      <c r="C24" s="69">
        <v>4</v>
      </c>
      <c r="D24" s="70">
        <v>43962</v>
      </c>
      <c r="E24" s="71">
        <v>6931.76</v>
      </c>
    </row>
    <row r="25" spans="3:5" ht="14.4" x14ac:dyDescent="0.3">
      <c r="C25" s="69">
        <v>1</v>
      </c>
      <c r="D25" s="70">
        <v>43971</v>
      </c>
      <c r="E25" s="71">
        <v>6665.71</v>
      </c>
    </row>
    <row r="26" spans="3:5" ht="14.4" x14ac:dyDescent="0.3">
      <c r="C26" s="69">
        <v>2</v>
      </c>
      <c r="D26" s="70">
        <v>43977</v>
      </c>
      <c r="E26" s="71">
        <v>5666.08</v>
      </c>
    </row>
    <row r="27" spans="3:5" ht="14.4" x14ac:dyDescent="0.3">
      <c r="C27" s="69">
        <v>3</v>
      </c>
      <c r="D27" s="70">
        <v>43987</v>
      </c>
      <c r="E27" s="71">
        <v>7298.23</v>
      </c>
    </row>
    <row r="28" spans="3:5" ht="14.4" x14ac:dyDescent="0.3">
      <c r="C28" s="69">
        <v>4</v>
      </c>
      <c r="D28" s="70">
        <v>43992</v>
      </c>
      <c r="E28" s="71">
        <v>5830.06</v>
      </c>
    </row>
    <row r="29" spans="3:5" ht="14.4" x14ac:dyDescent="0.3">
      <c r="C29" s="69">
        <v>1</v>
      </c>
      <c r="D29" s="70">
        <v>44004</v>
      </c>
      <c r="E29" s="71">
        <v>6074.79</v>
      </c>
    </row>
    <row r="30" spans="3:5" ht="14.4" x14ac:dyDescent="0.3">
      <c r="C30" s="69">
        <v>2</v>
      </c>
      <c r="D30" s="70">
        <v>44007</v>
      </c>
      <c r="E30" s="71">
        <v>6884.66</v>
      </c>
    </row>
    <row r="31" spans="3:5" ht="15.75" customHeight="1" x14ac:dyDescent="0.3">
      <c r="C31" s="34"/>
      <c r="D31" s="70"/>
    </row>
    <row r="32" spans="3:5" ht="15.75" customHeight="1" x14ac:dyDescent="0.3">
      <c r="C32" s="34"/>
      <c r="D32" s="70" t="s">
        <v>75</v>
      </c>
      <c r="E32" s="71">
        <f>SUM(E17:E31)</f>
        <v>110374.33</v>
      </c>
    </row>
    <row r="33" spans="3:3" ht="15.75" customHeight="1" x14ac:dyDescent="0.3">
      <c r="C33" s="70"/>
    </row>
    <row r="34" spans="3:3" ht="15.75" customHeight="1" x14ac:dyDescent="0.3">
      <c r="C34" s="70"/>
    </row>
    <row r="35" spans="3:3" ht="15.75" customHeight="1" x14ac:dyDescent="0.3">
      <c r="C35" s="70"/>
    </row>
    <row r="36" spans="3:3" ht="15.75" customHeight="1" x14ac:dyDescent="0.25"/>
    <row r="37" spans="3:3" ht="15.75" customHeight="1" x14ac:dyDescent="0.25"/>
    <row r="38" spans="3:3" ht="15.75" customHeight="1" x14ac:dyDescent="0.25"/>
    <row r="39" spans="3:3" ht="15.75" customHeight="1" x14ac:dyDescent="0.25"/>
    <row r="40" spans="3:3" ht="15.75" customHeight="1" x14ac:dyDescent="0.25"/>
    <row r="41" spans="3:3" ht="15.75" customHeight="1" x14ac:dyDescent="0.25"/>
    <row r="42" spans="3:3" ht="15.75" customHeight="1" x14ac:dyDescent="0.25"/>
    <row r="43" spans="3:3" ht="15.75" customHeight="1" x14ac:dyDescent="0.25"/>
    <row r="44" spans="3:3" ht="15.75" customHeight="1" x14ac:dyDescent="0.25"/>
    <row r="45" spans="3:3" ht="15.75" customHeight="1" x14ac:dyDescent="0.25"/>
    <row r="46" spans="3:3" ht="15.75" customHeight="1" x14ac:dyDescent="0.25"/>
    <row r="47" spans="3:3" ht="15.75" customHeight="1" x14ac:dyDescent="0.25"/>
    <row r="48" spans="3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</sheetData>
  <mergeCells count="4">
    <mergeCell ref="B4:G4"/>
    <mergeCell ref="B5:G5"/>
    <mergeCell ref="B6:G6"/>
    <mergeCell ref="B9:G9"/>
  </mergeCells>
  <printOptions horizontalCentered="1"/>
  <pageMargins left="0.7" right="0.7" top="0.75" bottom="0.75" header="0" footer="0"/>
  <pageSetup orientation="portrait" r:id="rId1"/>
  <headerFooter>
    <oddHeader>&amp;R&amp;"Times New Roman,Regular"Exhibit 12
Page &amp;P of &amp;N
Witness:  Gregory R. Lee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Exhibit 4</vt:lpstr>
      <vt:lpstr>Exhibit 6</vt:lpstr>
      <vt:lpstr>Exhibit 7b</vt:lpstr>
      <vt:lpstr>Exhibit 10</vt:lpstr>
      <vt:lpstr>Exhibit 11</vt:lpstr>
      <vt:lpstr>Exhibit 12</vt:lpstr>
      <vt:lpstr>'Exhibit 10'!Print_Area</vt:lpstr>
      <vt:lpstr>'Exhibit 4'!Print_Area</vt:lpstr>
      <vt:lpstr>'Exhibit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Roberson</dc:creator>
  <cp:lastModifiedBy>Allison Coffey</cp:lastModifiedBy>
  <cp:lastPrinted>2020-07-21T21:15:01Z</cp:lastPrinted>
  <dcterms:created xsi:type="dcterms:W3CDTF">2020-06-24T13:30:04Z</dcterms:created>
  <dcterms:modified xsi:type="dcterms:W3CDTF">2020-07-21T21:17:16Z</dcterms:modified>
</cp:coreProperties>
</file>