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fileSharing readOnlyRecommended="1"/>
  <workbookPr filterPrivacy="1" defaultThemeVersion="124226"/>
  <xr:revisionPtr revIDLastSave="0" documentId="13_ncr:1_{4744E0AB-322C-4A99-B1EE-FFE691DB11A9}" xr6:coauthVersionLast="44" xr6:coauthVersionMax="44" xr10:uidLastSave="{00000000-0000-0000-0000-000000000000}"/>
  <bookViews>
    <workbookView xWindow="588" yWindow="768" windowWidth="20652" windowHeight="10932" tabRatio="908" activeTab="10" xr2:uid="{761F7FA9-199B-4B28-B7C5-F402DA466311}"/>
  </bookViews>
  <sheets>
    <sheet name="Cover - Exhibit 1" sheetId="144" r:id="rId1"/>
    <sheet name="Cover - Exhibit 2" sheetId="143" r:id="rId2"/>
    <sheet name="Class Allocation" sheetId="135" r:id="rId3"/>
    <sheet name="True-up &gt;&gt;" sheetId="136" r:id="rId4"/>
    <sheet name="Cover - Exhibit 3" sheetId="134" r:id="rId5"/>
    <sheet name="OU Collection" sheetId="137" r:id="rId6"/>
    <sheet name="RevReq" sheetId="138" r:id="rId7"/>
    <sheet name="Net Assets" sheetId="139" r:id="rId8"/>
    <sheet name="OpEx" sheetId="140" r:id="rId9"/>
    <sheet name="Forecast &gt;&gt;" sheetId="141" r:id="rId10"/>
    <sheet name="Cover - Exhibit 4" sheetId="142" r:id="rId11"/>
    <sheet name="2020 Filing &gt;&gt;" sheetId="186" r:id="rId12"/>
    <sheet name="Rev Req 2020-Distr" sheetId="167" r:id="rId13"/>
    <sheet name="Rev Req 2020-Trans" sheetId="168" r:id="rId14"/>
    <sheet name="ROR" sheetId="8" r:id="rId15"/>
    <sheet name="Cap&amp;OpEx 2020" sheetId="170" r:id="rId16"/>
    <sheet name="202001 Bk Depr" sheetId="171" r:id="rId17"/>
    <sheet name="202002 Bk Depr" sheetId="172" r:id="rId18"/>
    <sheet name="202003 Bk Depr" sheetId="173" r:id="rId19"/>
    <sheet name="202004 Bk Depr" sheetId="174" r:id="rId20"/>
    <sheet name="202005 Bk Depr" sheetId="175" r:id="rId21"/>
    <sheet name="202006 Bk Depr" sheetId="176" r:id="rId22"/>
    <sheet name="202007 Bk Depr" sheetId="177" r:id="rId23"/>
    <sheet name="202008 Bk Depr" sheetId="178" r:id="rId24"/>
    <sheet name="202009 Bk Depr" sheetId="179" r:id="rId25"/>
    <sheet name="202010 Bk Depr" sheetId="180" r:id="rId26"/>
    <sheet name="202011 Bk Depr" sheetId="181" r:id="rId27"/>
    <sheet name="202012 Bk Depr" sheetId="182" r:id="rId28"/>
    <sheet name="Tax Depr 2020-Dist" sheetId="183" r:id="rId29"/>
    <sheet name="Tax Depr 2020-Trans" sheetId="187" r:id="rId30"/>
    <sheet name="2020 Capital Budget" sheetId="184" r:id="rId31"/>
    <sheet name="COS Budget 2020" sheetId="185" r:id="rId32"/>
    <sheet name="Summary" sheetId="188" r:id="rId33"/>
    <sheet name="2019 Support &gt;&gt;" sheetId="145" r:id="rId34"/>
    <sheet name="Rev Req 2019-Distr" sheetId="146" r:id="rId35"/>
    <sheet name="Rev Req 2019-Trans" sheetId="147" r:id="rId36"/>
    <sheet name="Cap&amp;OpEx 2019" sheetId="149" r:id="rId37"/>
    <sheet name="201901 Bk Depr" sheetId="150" r:id="rId38"/>
    <sheet name="201902 Bk Depr" sheetId="151" r:id="rId39"/>
    <sheet name="201903 Bk Depr" sheetId="152" r:id="rId40"/>
    <sheet name="201904 Bk Depr" sheetId="153" r:id="rId41"/>
    <sheet name="201905 Bk Depr" sheetId="154" r:id="rId42"/>
    <sheet name="201906 Bk Depr" sheetId="155" r:id="rId43"/>
    <sheet name="201907 Bk Depr" sheetId="156" r:id="rId44"/>
    <sheet name="201908 Bk Depr" sheetId="157" r:id="rId45"/>
    <sheet name="201909 Bk Depr" sheetId="158" r:id="rId46"/>
    <sheet name="201910 Bk Depr" sheetId="159" r:id="rId47"/>
    <sheet name="201911 Bk Depr" sheetId="160" r:id="rId48"/>
    <sheet name="201912 Bk Depr" sheetId="161" r:id="rId49"/>
    <sheet name="Tax Depr 2019" sheetId="162" r:id="rId50"/>
    <sheet name="2019 Capital Budget" sheetId="165" r:id="rId51"/>
    <sheet name="2018 Support &gt;&gt;" sheetId="127" r:id="rId52"/>
    <sheet name="Rev Req 2018-Distr" sheetId="131" r:id="rId53"/>
    <sheet name="Rev Req 2018-Trans" sheetId="132" r:id="rId54"/>
    <sheet name="Cap&amp;OpEx 2018" sheetId="114" r:id="rId55"/>
    <sheet name="201801 Bk Depr" sheetId="113" r:id="rId56"/>
    <sheet name="201802 Bk Depr" sheetId="116" r:id="rId57"/>
    <sheet name="201803 Bk Depr" sheetId="117" r:id="rId58"/>
    <sheet name="201804 Bk Depr" sheetId="118" r:id="rId59"/>
    <sheet name="201805 Bk Depr" sheetId="119" r:id="rId60"/>
    <sheet name="201806 Bk Depr" sheetId="120" r:id="rId61"/>
    <sheet name="201807 Bk Depr" sheetId="121" r:id="rId62"/>
    <sheet name="201808 Bk Depr" sheetId="122" r:id="rId63"/>
    <sheet name="201809 Bk Depr" sheetId="123" r:id="rId64"/>
    <sheet name="201810 Bk Depr" sheetId="124" r:id="rId65"/>
    <sheet name="201811 Bk Depr" sheetId="125" r:id="rId66"/>
    <sheet name="201812 Bk Depr" sheetId="126" r:id="rId67"/>
    <sheet name="Tax Depr 2018" sheetId="130" r:id="rId68"/>
    <sheet name="2018 Capital Budget" sheetId="128" r:id="rId69"/>
    <sheet name="2017 Support &gt;&gt;" sheetId="115" r:id="rId70"/>
    <sheet name="Rev Req 2017-Distr" sheetId="91" r:id="rId71"/>
    <sheet name="Rev Req 2017-Trans" sheetId="111" r:id="rId72"/>
    <sheet name="Cap&amp;OpEx 2017" sheetId="92" r:id="rId73"/>
    <sheet name="201707 Bk Depr" sheetId="99" r:id="rId74"/>
    <sheet name="201708 Bk Depr" sheetId="100" r:id="rId75"/>
    <sheet name="201709 Bk Depr" sheetId="101" r:id="rId76"/>
    <sheet name="201710 Bk Depr" sheetId="102" r:id="rId77"/>
    <sheet name="201711 Bk Depr" sheetId="103" r:id="rId78"/>
    <sheet name="201712 Bk Depr" sheetId="104" r:id="rId79"/>
    <sheet name="Tax Depr 2017" sheetId="108" r:id="rId80"/>
    <sheet name="Capital Budget 2017" sheetId="110" r:id="rId81"/>
  </sheets>
  <externalReferences>
    <externalReference r:id="rId82"/>
    <externalReference r:id="rId83"/>
    <externalReference r:id="rId84"/>
    <externalReference r:id="rId85"/>
  </externalReferences>
  <definedNames>
    <definedName name="_xlnm._FilterDatabase" localSheetId="50" hidden="1">'2019 Capital Budget'!$F$54:$L$55</definedName>
    <definedName name="_Order1" hidden="1">0</definedName>
    <definedName name="_Order2" hidden="1">0</definedName>
    <definedName name="CheckDataCol_49" localSheetId="2">[1]Data!$BK$74</definedName>
    <definedName name="CheckDataCol_49" localSheetId="31">#REF!</definedName>
    <definedName name="CheckDataCol_49" localSheetId="0">#REF!</definedName>
    <definedName name="CheckDataCol_49" localSheetId="1">#REF!</definedName>
    <definedName name="CheckDataCol_49" localSheetId="10">#REF!</definedName>
    <definedName name="CheckDataCol_49" localSheetId="9">#REF!</definedName>
    <definedName name="CheckDataCol_49">#REF!</definedName>
    <definedName name="ClrInptfrEst" localSheetId="2">[2]Input!$K$60,[2]Input!$K$61,[2]Input!$K$63,[2]Input!$K$67,[2]Input!#REF!,[2]Input!#REF!,[2]Input!#REF!,[2]Input!$K$64,[2]Input!$K$38,[2]Input!$K$39,[2]Input!$K$40</definedName>
    <definedName name="ClrInptfrEst" localSheetId="31">[2]Input!$K$60,[2]Input!$K$61,[2]Input!$K$63,[2]Input!$K$67,[2]Input!#REF!,[2]Input!#REF!,[2]Input!#REF!,[2]Input!$K$64,[2]Input!$K$38,[2]Input!$K$39,[2]Input!$K$40</definedName>
    <definedName name="ClrInptfrEst" localSheetId="0">[2]Input!$K$60,[2]Input!$K$61,[2]Input!$K$63,[2]Input!$K$67,[2]Input!#REF!,[2]Input!#REF!,[2]Input!#REF!,[2]Input!$K$64,[2]Input!$K$38,[2]Input!$K$39,[2]Input!$K$40</definedName>
    <definedName name="ClrInptfrEst" localSheetId="1">[2]Input!$K$60,[2]Input!$K$61,[2]Input!$K$63,[2]Input!$K$67,[2]Input!#REF!,[2]Input!#REF!,[2]Input!#REF!,[2]Input!$K$64,[2]Input!$K$38,[2]Input!$K$39,[2]Input!$K$40</definedName>
    <definedName name="ClrInptfrEst" localSheetId="10">[2]Input!$K$60,[2]Input!$K$61,[2]Input!$K$63,[2]Input!$K$67,[2]Input!#REF!,[2]Input!#REF!,[2]Input!#REF!,[2]Input!$K$64,[2]Input!$K$38,[2]Input!$K$39,[2]Input!$K$40</definedName>
    <definedName name="ClrInptfrEst" localSheetId="9">[2]Input!$K$60,[2]Input!$K$61,[2]Input!$K$63,[2]Input!$K$67,[2]Input!#REF!,[2]Input!#REF!,[2]Input!#REF!,[2]Input!$K$64,[2]Input!$K$38,[2]Input!$K$39,[2]Input!$K$40</definedName>
    <definedName name="ClrInptfrEst" localSheetId="7">[2]Input!$K$60,[2]Input!$K$61,[2]Input!$K$63,[2]Input!$K$67,[2]Input!#REF!,[2]Input!#REF!,[2]Input!#REF!,[2]Input!$K$64,[2]Input!$K$38,[2]Input!$K$39,[2]Input!$K$40</definedName>
    <definedName name="ClrInptfrEst" localSheetId="8">[2]Input!$K$60,[2]Input!$K$61,[2]Input!$K$63,[2]Input!$K$67,[2]Input!#REF!,[2]Input!#REF!,[2]Input!#REF!,[2]Input!$K$64,[2]Input!$K$38,[2]Input!$K$39,[2]Input!$K$40</definedName>
    <definedName name="ClrInptfrEst">[2]Input!$K$60,[2]Input!$K$61,[2]Input!$K$63,[2]Input!$K$67,[2]Input!#REF!,[2]Input!#REF!,[2]Input!#REF!,[2]Input!$K$64,[2]Input!$K$38,[2]Input!$K$39,[2]Input!$K$40</definedName>
    <definedName name="CurBillMonth" localSheetId="2">[1]Input!$K$4</definedName>
    <definedName name="CurBillMonth" localSheetId="31">#REF!</definedName>
    <definedName name="CurBillMonth" localSheetId="0">#REF!</definedName>
    <definedName name="CurBillMonth" localSheetId="1">#REF!</definedName>
    <definedName name="CurBillMonth" localSheetId="10">#REF!</definedName>
    <definedName name="CurBillMonth" localSheetId="9">#REF!</definedName>
    <definedName name="CurBillMonth">#REF!</definedName>
    <definedName name="DataCol_01" localSheetId="31">#REF!</definedName>
    <definedName name="DataCol_01" localSheetId="0">#REF!</definedName>
    <definedName name="DataCol_01" localSheetId="1">#REF!</definedName>
    <definedName name="DataCol_01" localSheetId="10">#REF!</definedName>
    <definedName name="DataCol_01" localSheetId="9">#REF!</definedName>
    <definedName name="DataCol_01">#REF!</definedName>
    <definedName name="DataCol_01_02" localSheetId="31">#REF!</definedName>
    <definedName name="DataCol_01_02" localSheetId="0">#REF!</definedName>
    <definedName name="DataCol_01_02" localSheetId="1">#REF!</definedName>
    <definedName name="DataCol_01_02" localSheetId="10">#REF!</definedName>
    <definedName name="DataCol_01_02" localSheetId="9">#REF!</definedName>
    <definedName name="DataCol_01_02">#REF!</definedName>
    <definedName name="DataCol_02" localSheetId="31">#REF!</definedName>
    <definedName name="DataCol_02" localSheetId="0">#REF!</definedName>
    <definedName name="DataCol_02" localSheetId="1">#REF!</definedName>
    <definedName name="DataCol_02" localSheetId="10">#REF!</definedName>
    <definedName name="DataCol_02" localSheetId="9">#REF!</definedName>
    <definedName name="DataCol_02">#REF!</definedName>
    <definedName name="DataCol_02_02" localSheetId="31">#REF!</definedName>
    <definedName name="DataCol_02_02" localSheetId="0">#REF!</definedName>
    <definedName name="DataCol_02_02" localSheetId="1">#REF!</definedName>
    <definedName name="DataCol_02_02" localSheetId="10">#REF!</definedName>
    <definedName name="DataCol_02_02" localSheetId="9">#REF!</definedName>
    <definedName name="DataCol_02_02">#REF!</definedName>
    <definedName name="DataCol_03" localSheetId="31">#REF!</definedName>
    <definedName name="DataCol_03" localSheetId="0">#REF!</definedName>
    <definedName name="DataCol_03" localSheetId="1">#REF!</definedName>
    <definedName name="DataCol_03" localSheetId="10">#REF!</definedName>
    <definedName name="DataCol_03" localSheetId="9">#REF!</definedName>
    <definedName name="DataCol_03">#REF!</definedName>
    <definedName name="DataCol_03_02" localSheetId="31">#REF!</definedName>
    <definedName name="DataCol_03_02" localSheetId="0">#REF!</definedName>
    <definedName name="DataCol_03_02" localSheetId="1">#REF!</definedName>
    <definedName name="DataCol_03_02" localSheetId="10">#REF!</definedName>
    <definedName name="DataCol_03_02" localSheetId="9">#REF!</definedName>
    <definedName name="DataCol_03_02">#REF!</definedName>
    <definedName name="DataCol_04" localSheetId="31">#REF!</definedName>
    <definedName name="DataCol_04" localSheetId="0">#REF!</definedName>
    <definedName name="DataCol_04" localSheetId="1">#REF!</definedName>
    <definedName name="DataCol_04" localSheetId="10">#REF!</definedName>
    <definedName name="DataCol_04" localSheetId="9">#REF!</definedName>
    <definedName name="DataCol_04">#REF!</definedName>
    <definedName name="DataCol_05" localSheetId="31">#REF!</definedName>
    <definedName name="DataCol_05" localSheetId="0">#REF!</definedName>
    <definedName name="DataCol_05" localSheetId="1">#REF!</definedName>
    <definedName name="DataCol_05" localSheetId="10">#REF!</definedName>
    <definedName name="DataCol_05" localSheetId="9">#REF!</definedName>
    <definedName name="DataCol_05">#REF!</definedName>
    <definedName name="DataCol_06" localSheetId="31">#REF!</definedName>
    <definedName name="DataCol_06" localSheetId="0">#REF!</definedName>
    <definedName name="DataCol_06" localSheetId="1">#REF!</definedName>
    <definedName name="DataCol_06" localSheetId="10">#REF!</definedName>
    <definedName name="DataCol_06" localSheetId="9">#REF!</definedName>
    <definedName name="DataCol_06">#REF!</definedName>
    <definedName name="DataCol_07" localSheetId="31">#REF!</definedName>
    <definedName name="DataCol_07" localSheetId="0">#REF!</definedName>
    <definedName name="DataCol_07" localSheetId="1">#REF!</definedName>
    <definedName name="DataCol_07" localSheetId="10">#REF!</definedName>
    <definedName name="DataCol_07" localSheetId="9">#REF!</definedName>
    <definedName name="DataCol_07">#REF!</definedName>
    <definedName name="DataCol_08" localSheetId="31">#REF!</definedName>
    <definedName name="DataCol_08" localSheetId="0">#REF!</definedName>
    <definedName name="DataCol_08" localSheetId="1">#REF!</definedName>
    <definedName name="DataCol_08" localSheetId="10">#REF!</definedName>
    <definedName name="DataCol_08" localSheetId="9">#REF!</definedName>
    <definedName name="DataCol_08">#REF!</definedName>
    <definedName name="DataCol_09" localSheetId="31">#REF!</definedName>
    <definedName name="DataCol_09" localSheetId="0">#REF!</definedName>
    <definedName name="DataCol_09" localSheetId="1">#REF!</definedName>
    <definedName name="DataCol_09" localSheetId="10">#REF!</definedName>
    <definedName name="DataCol_09" localSheetId="9">#REF!</definedName>
    <definedName name="DataCol_09">#REF!</definedName>
    <definedName name="DataCol_10" localSheetId="31">#REF!</definedName>
    <definedName name="DataCol_10" localSheetId="0">#REF!</definedName>
    <definedName name="DataCol_10" localSheetId="1">#REF!</definedName>
    <definedName name="DataCol_10" localSheetId="10">#REF!</definedName>
    <definedName name="DataCol_10" localSheetId="9">#REF!</definedName>
    <definedName name="DataCol_10">#REF!</definedName>
    <definedName name="DataCol_11" localSheetId="31">#REF!</definedName>
    <definedName name="DataCol_11" localSheetId="0">#REF!</definedName>
    <definedName name="DataCol_11" localSheetId="1">#REF!</definedName>
    <definedName name="DataCol_11" localSheetId="10">#REF!</definedName>
    <definedName name="DataCol_11" localSheetId="9">#REF!</definedName>
    <definedName name="DataCol_11">#REF!</definedName>
    <definedName name="DataCol_12" localSheetId="31">#REF!</definedName>
    <definedName name="DataCol_12" localSheetId="0">#REF!</definedName>
    <definedName name="DataCol_12" localSheetId="1">#REF!</definedName>
    <definedName name="DataCol_12" localSheetId="10">#REF!</definedName>
    <definedName name="DataCol_12" localSheetId="9">#REF!</definedName>
    <definedName name="DataCol_12">#REF!</definedName>
    <definedName name="DataCol_13" localSheetId="31">#REF!</definedName>
    <definedName name="DataCol_13" localSheetId="0">#REF!</definedName>
    <definedName name="DataCol_13" localSheetId="1">#REF!</definedName>
    <definedName name="DataCol_13" localSheetId="10">#REF!</definedName>
    <definedName name="DataCol_13" localSheetId="9">#REF!</definedName>
    <definedName name="DataCol_13">#REF!</definedName>
    <definedName name="DataCol_14" localSheetId="31">#REF!</definedName>
    <definedName name="DataCol_14" localSheetId="0">#REF!</definedName>
    <definedName name="DataCol_14" localSheetId="1">#REF!</definedName>
    <definedName name="DataCol_14" localSheetId="10">#REF!</definedName>
    <definedName name="DataCol_14" localSheetId="9">#REF!</definedName>
    <definedName name="DataCol_14">#REF!</definedName>
    <definedName name="DataCol_15" localSheetId="31">#REF!</definedName>
    <definedName name="DataCol_15" localSheetId="0">#REF!</definedName>
    <definedName name="DataCol_15" localSheetId="1">#REF!</definedName>
    <definedName name="DataCol_15" localSheetId="10">#REF!</definedName>
    <definedName name="DataCol_15" localSheetId="9">#REF!</definedName>
    <definedName name="DataCol_15">#REF!</definedName>
    <definedName name="DataCol_16" localSheetId="31">#REF!</definedName>
    <definedName name="DataCol_16" localSheetId="0">#REF!</definedName>
    <definedName name="DataCol_16" localSheetId="1">#REF!</definedName>
    <definedName name="DataCol_16" localSheetId="10">#REF!</definedName>
    <definedName name="DataCol_16" localSheetId="9">#REF!</definedName>
    <definedName name="DataCol_16">#REF!</definedName>
    <definedName name="DataCol_17" localSheetId="31">#REF!</definedName>
    <definedName name="DataCol_17" localSheetId="0">#REF!</definedName>
    <definedName name="DataCol_17" localSheetId="1">#REF!</definedName>
    <definedName name="DataCol_17" localSheetId="10">#REF!</definedName>
    <definedName name="DataCol_17" localSheetId="9">#REF!</definedName>
    <definedName name="DataCol_17">#REF!</definedName>
    <definedName name="DataCol_18" localSheetId="31">#REF!</definedName>
    <definedName name="DataCol_18" localSheetId="0">#REF!</definedName>
    <definedName name="DataCol_18" localSheetId="1">#REF!</definedName>
    <definedName name="DataCol_18" localSheetId="10">#REF!</definedName>
    <definedName name="DataCol_18" localSheetId="9">#REF!</definedName>
    <definedName name="DataCol_18">#REF!</definedName>
    <definedName name="DataCol_19" localSheetId="31">#REF!</definedName>
    <definedName name="DataCol_19" localSheetId="0">#REF!</definedName>
    <definedName name="DataCol_19" localSheetId="1">#REF!</definedName>
    <definedName name="DataCol_19" localSheetId="10">#REF!</definedName>
    <definedName name="DataCol_19" localSheetId="9">#REF!</definedName>
    <definedName name="DataCol_19">#REF!</definedName>
    <definedName name="DataCol_20" localSheetId="31">#REF!</definedName>
    <definedName name="DataCol_20" localSheetId="0">#REF!</definedName>
    <definedName name="DataCol_20" localSheetId="1">#REF!</definedName>
    <definedName name="DataCol_20" localSheetId="10">#REF!</definedName>
    <definedName name="DataCol_20" localSheetId="9">#REF!</definedName>
    <definedName name="DataCol_20">#REF!</definedName>
    <definedName name="DataCol_21" localSheetId="31">#REF!</definedName>
    <definedName name="DataCol_21" localSheetId="0">#REF!</definedName>
    <definedName name="DataCol_21" localSheetId="1">#REF!</definedName>
    <definedName name="DataCol_21" localSheetId="10">#REF!</definedName>
    <definedName name="DataCol_21" localSheetId="9">#REF!</definedName>
    <definedName name="DataCol_21">#REF!</definedName>
    <definedName name="DataCol_22" localSheetId="31">#REF!</definedName>
    <definedName name="DataCol_22" localSheetId="0">#REF!</definedName>
    <definedName name="DataCol_22" localSheetId="1">#REF!</definedName>
    <definedName name="DataCol_22" localSheetId="10">#REF!</definedName>
    <definedName name="DataCol_22" localSheetId="9">#REF!</definedName>
    <definedName name="DataCol_22">#REF!</definedName>
    <definedName name="DataCol_23" localSheetId="31">#REF!</definedName>
    <definedName name="DataCol_23" localSheetId="0">#REF!</definedName>
    <definedName name="DataCol_23" localSheetId="1">#REF!</definedName>
    <definedName name="DataCol_23" localSheetId="10">#REF!</definedName>
    <definedName name="DataCol_23" localSheetId="9">#REF!</definedName>
    <definedName name="DataCol_23">#REF!</definedName>
    <definedName name="DataCol_24" localSheetId="31">#REF!</definedName>
    <definedName name="DataCol_24" localSheetId="0">#REF!</definedName>
    <definedName name="DataCol_24" localSheetId="1">#REF!</definedName>
    <definedName name="DataCol_24" localSheetId="10">#REF!</definedName>
    <definedName name="DataCol_24" localSheetId="9">#REF!</definedName>
    <definedName name="DataCol_24">#REF!</definedName>
    <definedName name="DataCol_25" localSheetId="31">#REF!</definedName>
    <definedName name="DataCol_25" localSheetId="0">#REF!</definedName>
    <definedName name="DataCol_25" localSheetId="1">#REF!</definedName>
    <definedName name="DataCol_25" localSheetId="10">#REF!</definedName>
    <definedName name="DataCol_25" localSheetId="9">#REF!</definedName>
    <definedName name="DataCol_25">#REF!</definedName>
    <definedName name="DataCol_26" localSheetId="31">#REF!</definedName>
    <definedName name="DataCol_26" localSheetId="0">#REF!</definedName>
    <definedName name="DataCol_26" localSheetId="1">#REF!</definedName>
    <definedName name="DataCol_26" localSheetId="10">#REF!</definedName>
    <definedName name="DataCol_26" localSheetId="9">#REF!</definedName>
    <definedName name="DataCol_26">#REF!</definedName>
    <definedName name="DataCol_27" localSheetId="31">#REF!</definedName>
    <definedName name="DataCol_27" localSheetId="0">#REF!</definedName>
    <definedName name="DataCol_27" localSheetId="1">#REF!</definedName>
    <definedName name="DataCol_27" localSheetId="10">#REF!</definedName>
    <definedName name="DataCol_27" localSheetId="9">#REF!</definedName>
    <definedName name="DataCol_27">#REF!</definedName>
    <definedName name="DataCol_28" localSheetId="31">#REF!</definedName>
    <definedName name="DataCol_28" localSheetId="0">#REF!</definedName>
    <definedName name="DataCol_28" localSheetId="1">#REF!</definedName>
    <definedName name="DataCol_28" localSheetId="10">#REF!</definedName>
    <definedName name="DataCol_28" localSheetId="9">#REF!</definedName>
    <definedName name="DataCol_28">#REF!</definedName>
    <definedName name="DataCol_29" localSheetId="31">#REF!</definedName>
    <definedName name="DataCol_29" localSheetId="0">#REF!</definedName>
    <definedName name="DataCol_29" localSheetId="1">#REF!</definedName>
    <definedName name="DataCol_29" localSheetId="10">#REF!</definedName>
    <definedName name="DataCol_29" localSheetId="9">#REF!</definedName>
    <definedName name="DataCol_29">#REF!</definedName>
    <definedName name="DataCol_30" localSheetId="31">#REF!</definedName>
    <definedName name="DataCol_30" localSheetId="0">#REF!</definedName>
    <definedName name="DataCol_30" localSheetId="1">#REF!</definedName>
    <definedName name="DataCol_30" localSheetId="10">#REF!</definedName>
    <definedName name="DataCol_30" localSheetId="9">#REF!</definedName>
    <definedName name="DataCol_30">#REF!</definedName>
    <definedName name="DataCol_31" localSheetId="31">#REF!</definedName>
    <definedName name="DataCol_31" localSheetId="0">#REF!</definedName>
    <definedName name="DataCol_31" localSheetId="1">#REF!</definedName>
    <definedName name="DataCol_31" localSheetId="10">#REF!</definedName>
    <definedName name="DataCol_31" localSheetId="9">#REF!</definedName>
    <definedName name="DataCol_31">#REF!</definedName>
    <definedName name="DataCol_32" localSheetId="31">#REF!</definedName>
    <definedName name="DataCol_32" localSheetId="0">#REF!</definedName>
    <definedName name="DataCol_32" localSheetId="1">#REF!</definedName>
    <definedName name="DataCol_32" localSheetId="10">#REF!</definedName>
    <definedName name="DataCol_32" localSheetId="9">#REF!</definedName>
    <definedName name="DataCol_32">#REF!</definedName>
    <definedName name="DataCol_33" localSheetId="31">#REF!</definedName>
    <definedName name="DataCol_33" localSheetId="0">#REF!</definedName>
    <definedName name="DataCol_33" localSheetId="1">#REF!</definedName>
    <definedName name="DataCol_33" localSheetId="10">#REF!</definedName>
    <definedName name="DataCol_33" localSheetId="9">#REF!</definedName>
    <definedName name="DataCol_33">#REF!</definedName>
    <definedName name="DataCol_34" localSheetId="31">#REF!</definedName>
    <definedName name="DataCol_34" localSheetId="0">#REF!</definedName>
    <definedName name="DataCol_34" localSheetId="1">#REF!</definedName>
    <definedName name="DataCol_34" localSheetId="10">#REF!</definedName>
    <definedName name="DataCol_34" localSheetId="9">#REF!</definedName>
    <definedName name="DataCol_34">#REF!</definedName>
    <definedName name="DataCol_35" localSheetId="31">#REF!</definedName>
    <definedName name="DataCol_35" localSheetId="0">#REF!</definedName>
    <definedName name="DataCol_35" localSheetId="1">#REF!</definedName>
    <definedName name="DataCol_35" localSheetId="10">#REF!</definedName>
    <definedName name="DataCol_35" localSheetId="9">#REF!</definedName>
    <definedName name="DataCol_35">#REF!</definedName>
    <definedName name="DataCol_36" localSheetId="31">#REF!</definedName>
    <definedName name="DataCol_36" localSheetId="0">#REF!</definedName>
    <definedName name="DataCol_36" localSheetId="1">#REF!</definedName>
    <definedName name="DataCol_36" localSheetId="10">#REF!</definedName>
    <definedName name="DataCol_36" localSheetId="9">#REF!</definedName>
    <definedName name="DataCol_36">#REF!</definedName>
    <definedName name="DataCol_37" localSheetId="31">#REF!</definedName>
    <definedName name="DataCol_37" localSheetId="0">#REF!</definedName>
    <definedName name="DataCol_37" localSheetId="1">#REF!</definedName>
    <definedName name="DataCol_37" localSheetId="10">#REF!</definedName>
    <definedName name="DataCol_37" localSheetId="9">#REF!</definedName>
    <definedName name="DataCol_37">#REF!</definedName>
    <definedName name="DataCol_38" localSheetId="31">#REF!</definedName>
    <definedName name="DataCol_38" localSheetId="0">#REF!</definedName>
    <definedName name="DataCol_38" localSheetId="1">#REF!</definedName>
    <definedName name="DataCol_38" localSheetId="10">#REF!</definedName>
    <definedName name="DataCol_38" localSheetId="9">#REF!</definedName>
    <definedName name="DataCol_38">#REF!</definedName>
    <definedName name="DataCol_39" localSheetId="31">#REF!</definedName>
    <definedName name="DataCol_39" localSheetId="0">#REF!</definedName>
    <definedName name="DataCol_39" localSheetId="1">#REF!</definedName>
    <definedName name="DataCol_39" localSheetId="10">#REF!</definedName>
    <definedName name="DataCol_39" localSheetId="9">#REF!</definedName>
    <definedName name="DataCol_39">#REF!</definedName>
    <definedName name="DataCol_40" localSheetId="31">#REF!</definedName>
    <definedName name="DataCol_40" localSheetId="0">#REF!</definedName>
    <definedName name="DataCol_40" localSheetId="1">#REF!</definedName>
    <definedName name="DataCol_40" localSheetId="10">#REF!</definedName>
    <definedName name="DataCol_40" localSheetId="9">#REF!</definedName>
    <definedName name="DataCol_40">#REF!</definedName>
    <definedName name="DataCol_41" localSheetId="31">#REF!</definedName>
    <definedName name="DataCol_41" localSheetId="0">#REF!</definedName>
    <definedName name="DataCol_41" localSheetId="1">#REF!</definedName>
    <definedName name="DataCol_41" localSheetId="10">#REF!</definedName>
    <definedName name="DataCol_41" localSheetId="9">#REF!</definedName>
    <definedName name="DataCol_41">#REF!</definedName>
    <definedName name="DataCol_42" localSheetId="31">#REF!</definedName>
    <definedName name="DataCol_42" localSheetId="0">#REF!</definedName>
    <definedName name="DataCol_42" localSheetId="1">#REF!</definedName>
    <definedName name="DataCol_42" localSheetId="10">#REF!</definedName>
    <definedName name="DataCol_42" localSheetId="9">#REF!</definedName>
    <definedName name="DataCol_42">#REF!</definedName>
    <definedName name="DataCol_43" localSheetId="31">#REF!</definedName>
    <definedName name="DataCol_43" localSheetId="0">#REF!</definedName>
    <definedName name="DataCol_43" localSheetId="1">#REF!</definedName>
    <definedName name="DataCol_43" localSheetId="10">#REF!</definedName>
    <definedName name="DataCol_43" localSheetId="9">#REF!</definedName>
    <definedName name="DataCol_43">#REF!</definedName>
    <definedName name="DataCol_44" localSheetId="31">#REF!</definedName>
    <definedName name="DataCol_44" localSheetId="0">#REF!</definedName>
    <definedName name="DataCol_44" localSheetId="1">#REF!</definedName>
    <definedName name="DataCol_44" localSheetId="10">#REF!</definedName>
    <definedName name="DataCol_44" localSheetId="9">#REF!</definedName>
    <definedName name="DataCol_44">#REF!</definedName>
    <definedName name="DataCol_45" localSheetId="31">#REF!</definedName>
    <definedName name="DataCol_45" localSheetId="0">#REF!</definedName>
    <definedName name="DataCol_45" localSheetId="1">#REF!</definedName>
    <definedName name="DataCol_45" localSheetId="10">#REF!</definedName>
    <definedName name="DataCol_45" localSheetId="9">#REF!</definedName>
    <definedName name="DataCol_45">#REF!</definedName>
    <definedName name="DataCol_46" localSheetId="31">#REF!</definedName>
    <definedName name="DataCol_46" localSheetId="0">#REF!</definedName>
    <definedName name="DataCol_46" localSheetId="1">#REF!</definedName>
    <definedName name="DataCol_46" localSheetId="10">#REF!</definedName>
    <definedName name="DataCol_46" localSheetId="9">#REF!</definedName>
    <definedName name="DataCol_46">#REF!</definedName>
    <definedName name="DataCol_47" localSheetId="31">#REF!</definedName>
    <definedName name="DataCol_47" localSheetId="0">#REF!</definedName>
    <definedName name="DataCol_47" localSheetId="1">#REF!</definedName>
    <definedName name="DataCol_47" localSheetId="10">#REF!</definedName>
    <definedName name="DataCol_47" localSheetId="9">#REF!</definedName>
    <definedName name="DataCol_47">#REF!</definedName>
    <definedName name="DataCol_48" localSheetId="31">#REF!</definedName>
    <definedName name="DataCol_48" localSheetId="0">#REF!</definedName>
    <definedName name="DataCol_48" localSheetId="1">#REF!</definedName>
    <definedName name="DataCol_48" localSheetId="10">#REF!</definedName>
    <definedName name="DataCol_48" localSheetId="9">#REF!</definedName>
    <definedName name="DataCol_48">#REF!</definedName>
    <definedName name="DataCol_49" localSheetId="31">#REF!</definedName>
    <definedName name="DataCol_49" localSheetId="0">#REF!</definedName>
    <definedName name="DataCol_49" localSheetId="1">#REF!</definedName>
    <definedName name="DataCol_49" localSheetId="10">#REF!</definedName>
    <definedName name="DataCol_49" localSheetId="9">#REF!</definedName>
    <definedName name="DataCol_49">#REF!</definedName>
    <definedName name="InputItemsTable" localSheetId="31">#REF!</definedName>
    <definedName name="InputItemsTable" localSheetId="0">#REF!</definedName>
    <definedName name="InputItemsTable" localSheetId="1">#REF!</definedName>
    <definedName name="InputItemsTable" localSheetId="10">#REF!</definedName>
    <definedName name="InputItemsTable" localSheetId="9">#REF!</definedName>
    <definedName name="InputItemsTable">#REF!</definedName>
    <definedName name="InputSec_01" localSheetId="31">#REF!</definedName>
    <definedName name="InputSec_01" localSheetId="0">#REF!</definedName>
    <definedName name="InputSec_01" localSheetId="1">#REF!</definedName>
    <definedName name="InputSec_01" localSheetId="10">#REF!</definedName>
    <definedName name="InputSec_01" localSheetId="9">#REF!</definedName>
    <definedName name="InputSec_01">#REF!</definedName>
    <definedName name="InputSec_02A" localSheetId="31">#REF!</definedName>
    <definedName name="InputSec_02A" localSheetId="0">#REF!</definedName>
    <definedName name="InputSec_02A" localSheetId="1">#REF!</definedName>
    <definedName name="InputSec_02A" localSheetId="10">#REF!</definedName>
    <definedName name="InputSec_02A" localSheetId="9">#REF!</definedName>
    <definedName name="InputSec_02A">#REF!</definedName>
    <definedName name="InputSec_02B" localSheetId="31">#REF!</definedName>
    <definedName name="InputSec_02B" localSheetId="0">#REF!</definedName>
    <definedName name="InputSec_02B" localSheetId="1">#REF!</definedName>
    <definedName name="InputSec_02B" localSheetId="10">#REF!</definedName>
    <definedName name="InputSec_02B" localSheetId="9">#REF!</definedName>
    <definedName name="InputSec_02B">#REF!</definedName>
    <definedName name="InputSec_02C" localSheetId="31">#REF!</definedName>
    <definedName name="InputSec_02C" localSheetId="0">#REF!</definedName>
    <definedName name="InputSec_02C" localSheetId="1">#REF!</definedName>
    <definedName name="InputSec_02C" localSheetId="10">#REF!</definedName>
    <definedName name="InputSec_02C" localSheetId="9">#REF!</definedName>
    <definedName name="InputSec_02C">#REF!</definedName>
    <definedName name="NextBillMonth" localSheetId="31">#REF!</definedName>
    <definedName name="NextBillMonth" localSheetId="0">#REF!</definedName>
    <definedName name="NextBillMonth" localSheetId="1">#REF!</definedName>
    <definedName name="NextBillMonth" localSheetId="10">#REF!</definedName>
    <definedName name="NextBillMonth" localSheetId="9">#REF!</definedName>
    <definedName name="NextBillMonth">#REF!</definedName>
    <definedName name="_xlnm.Print_Area" localSheetId="80">'Capital Budget 2017'!$A$1:$S$77</definedName>
    <definedName name="_xlnm.Print_Area" localSheetId="2">'Class Allocation'!$A$1:$I$44</definedName>
    <definedName name="_xlnm.Print_Area" localSheetId="0">'Cover - Exhibit 1'!$B$3:$I$38</definedName>
    <definedName name="_xlnm.Print_Area" localSheetId="1">'Cover - Exhibit 2'!$B$3:$I$40</definedName>
    <definedName name="_xlnm.Print_Area" localSheetId="4">'Cover - Exhibit 3'!$B$3:$I$42</definedName>
    <definedName name="_xlnm.Print_Area" localSheetId="10">'Cover - Exhibit 4'!$B$3:$I$42</definedName>
    <definedName name="_xlnm.Print_Area" localSheetId="7">'Net Assets'!$A$1:$I$50</definedName>
    <definedName name="_xlnm.Print_Area" localSheetId="8">OpEx!$A$1:$F$44</definedName>
    <definedName name="_xlnm.Print_Area" localSheetId="5">'OU Collection'!$A$1:$H$44</definedName>
    <definedName name="_xlnm.Print_Area" localSheetId="70">'Rev Req 2017-Distr'!$A$1:$Q$31</definedName>
    <definedName name="_xlnm.Print_Area" localSheetId="71">'Rev Req 2017-Trans'!$A$1:$Q$31</definedName>
    <definedName name="_xlnm.Print_Area" localSheetId="52">'Rev Req 2018-Distr'!$A$1:$Q$35</definedName>
    <definedName name="_xlnm.Print_Area" localSheetId="53">'Rev Req 2018-Trans'!$A$1:$Q$35</definedName>
    <definedName name="_xlnm.Print_Area" localSheetId="34">'Rev Req 2019-Distr'!$A$1:$Q$35</definedName>
    <definedName name="_xlnm.Print_Area" localSheetId="35">'Rev Req 2019-Trans'!$A$1:$Q$35</definedName>
    <definedName name="_xlnm.Print_Area" localSheetId="12">'Rev Req 2020-Distr'!$A$1:$Q$35</definedName>
    <definedName name="_xlnm.Print_Area" localSheetId="13">'Rev Req 2020-Trans'!$A$1:$Q$35</definedName>
    <definedName name="_xlnm.Print_Area" localSheetId="6">RevReq!$A$1:$K$50</definedName>
    <definedName name="_xlnm.Print_Area" localSheetId="67">'Tax Depr 2018'!$A$1:$T$49</definedName>
    <definedName name="_xlnm.Print_Area" localSheetId="49">'Tax Depr 2019'!$A$1:$U$50</definedName>
    <definedName name="_xlnm.Print_Area" localSheetId="28">'Tax Depr 2020-Dist'!$A$1:$W$94</definedName>
    <definedName name="_xlnm.Print_Area" localSheetId="29">'Tax Depr 2020-Trans'!$A$1:$T$87</definedName>
    <definedName name="_xlnm.Print_Titles" localSheetId="2">'Class Allocation'!$B:$B</definedName>
    <definedName name="ReptItemsTableAll" localSheetId="2">[3]Data!$O$85:$BK$134</definedName>
    <definedName name="ReptItemsTableAll">[3]Data!$O$85:$BK$134</definedName>
    <definedName name="RevCas1AllInp" localSheetId="2">[1]Input!#REF!,[1]Input!#REF!,[1]Input!#REF!,[1]Input!#REF!,[1]Input!#REF!,[1]Input!#REF!,[1]Input!#REF!,[1]Input!#REF!,[1]Input!#REF!,[1]Input!#REF!,[1]Input!#REF!</definedName>
    <definedName name="RevCas1AllInp" localSheetId="31">#REF!,#REF!,#REF!,#REF!,#REF!,#REF!,#REF!,#REF!,#REF!,#REF!,#REF!</definedName>
    <definedName name="RevCas1AllInp" localSheetId="0">#REF!,#REF!,#REF!,#REF!,#REF!,#REF!,#REF!,#REF!,#REF!,#REF!,#REF!</definedName>
    <definedName name="RevCas1AllInp" localSheetId="1">#REF!,#REF!,#REF!,#REF!,#REF!,#REF!,#REF!,#REF!,#REF!,#REF!,#REF!</definedName>
    <definedName name="RevCas1AllInp" localSheetId="10">#REF!,#REF!,#REF!,#REF!,#REF!,#REF!,#REF!,#REF!,#REF!,#REF!,#REF!</definedName>
    <definedName name="RevCas1AllInp" localSheetId="9">#REF!,#REF!,#REF!,#REF!,#REF!,#REF!,#REF!,#REF!,#REF!,#REF!,#REF!</definedName>
    <definedName name="RevCas1AllInp" localSheetId="7">#REF!,#REF!,#REF!,#REF!,#REF!,#REF!,#REF!,#REF!,#REF!,#REF!,#REF!</definedName>
    <definedName name="RevCas1AllInp" localSheetId="8">#REF!,#REF!,#REF!,#REF!,#REF!,#REF!,#REF!,#REF!,#REF!,#REF!,#REF!</definedName>
    <definedName name="RevCas1AllInp">#REF!,#REF!,#REF!,#REF!,#REF!,#REF!,#REF!,#REF!,#REF!,#REF!,#REF!</definedName>
    <definedName name="RevCas1AmortAmt1">[2]Input!$K$110</definedName>
    <definedName name="RevCas1AmortAmt2">[2]Input!$K$112</definedName>
    <definedName name="RevCas1AmortAmt3">[2]Input!$K$114</definedName>
    <definedName name="RevCas1AmortPer1">[2]Input!$Q$110</definedName>
    <definedName name="RevCas1AmortPer2">[2]Input!$Q$112</definedName>
    <definedName name="RevCas1AmortPer3">[2]Input!$Q$114</definedName>
    <definedName name="RevCas1Bal">[2]Input!$G$110</definedName>
    <definedName name="RevCas2AllInp" localSheetId="2">[1]Input!#REF!,[1]Input!#REF!,[1]Input!#REF!,[1]Input!#REF!,[1]Input!#REF!,[1]Input!#REF!,[1]Input!#REF!,[1]Input!#REF!,[1]Input!#REF!,[1]Input!#REF!,[1]Input!#REF!</definedName>
    <definedName name="RevCas2AllInp" localSheetId="31">#REF!,#REF!,#REF!,#REF!,#REF!,#REF!,#REF!,#REF!,#REF!,#REF!,#REF!</definedName>
    <definedName name="RevCas2AllInp" localSheetId="0">#REF!,#REF!,#REF!,#REF!,#REF!,#REF!,#REF!,#REF!,#REF!,#REF!,#REF!</definedName>
    <definedName name="RevCas2AllInp" localSheetId="1">#REF!,#REF!,#REF!,#REF!,#REF!,#REF!,#REF!,#REF!,#REF!,#REF!,#REF!</definedName>
    <definedName name="RevCas2AllInp" localSheetId="10">#REF!,#REF!,#REF!,#REF!,#REF!,#REF!,#REF!,#REF!,#REF!,#REF!,#REF!</definedName>
    <definedName name="RevCas2AllInp" localSheetId="9">#REF!,#REF!,#REF!,#REF!,#REF!,#REF!,#REF!,#REF!,#REF!,#REF!,#REF!</definedName>
    <definedName name="RevCas2AllInp" localSheetId="7">#REF!,#REF!,#REF!,#REF!,#REF!,#REF!,#REF!,#REF!,#REF!,#REF!,#REF!</definedName>
    <definedName name="RevCas2AllInp" localSheetId="8">#REF!,#REF!,#REF!,#REF!,#REF!,#REF!,#REF!,#REF!,#REF!,#REF!,#REF!</definedName>
    <definedName name="RevCas2AllInp">#REF!,#REF!,#REF!,#REF!,#REF!,#REF!,#REF!,#REF!,#REF!,#REF!,#REF!</definedName>
    <definedName name="RevCas2AmortAmt1">[2]Input!$K$124</definedName>
    <definedName name="RevCas2AmortAmt2" localSheetId="31">#REF!</definedName>
    <definedName name="RevCas2AmortAmt2" localSheetId="0">#REF!</definedName>
    <definedName name="RevCas2AmortAmt2" localSheetId="1">#REF!</definedName>
    <definedName name="RevCas2AmortAmt2" localSheetId="10">#REF!</definedName>
    <definedName name="RevCas2AmortAmt2" localSheetId="9">#REF!</definedName>
    <definedName name="RevCas2AmortAmt2">#REF!</definedName>
    <definedName name="RevCas2AmortAmt3">[2]Input!$K$128</definedName>
    <definedName name="RevCas2AmortPer1">[2]Input!$Q$124</definedName>
    <definedName name="RevCas2AmortPer2" localSheetId="31">#REF!</definedName>
    <definedName name="RevCas2AmortPer2" localSheetId="0">#REF!</definedName>
    <definedName name="RevCas2AmortPer2" localSheetId="1">#REF!</definedName>
    <definedName name="RevCas2AmortPer2" localSheetId="10">#REF!</definedName>
    <definedName name="RevCas2AmortPer2" localSheetId="9">#REF!</definedName>
    <definedName name="RevCas2AmortPer2">#REF!</definedName>
    <definedName name="RevCas2AmortPer3">[2]Input!$Q$128</definedName>
    <definedName name="RevCas2Bal">[2]Input!$G$124</definedName>
    <definedName name="RevCas3AllInp" localSheetId="2">[1]Input!#REF!,[1]Input!#REF!,[1]Input!#REF!,[1]Input!#REF!,[1]Input!#REF!,[1]Input!#REF!,[1]Input!#REF!,[1]Input!#REF!,[1]Input!#REF!,[1]Input!#REF!,[1]Input!#REF!</definedName>
    <definedName name="RevCas3AllInp" localSheetId="31">#REF!,#REF!,#REF!,#REF!,#REF!,#REF!,#REF!,#REF!,#REF!,#REF!,#REF!</definedName>
    <definedName name="RevCas3AllInp" localSheetId="0">#REF!,#REF!,#REF!,#REF!,#REF!,#REF!,#REF!,#REF!,#REF!,#REF!,#REF!</definedName>
    <definedName name="RevCas3AllInp" localSheetId="1">#REF!,#REF!,#REF!,#REF!,#REF!,#REF!,#REF!,#REF!,#REF!,#REF!,#REF!</definedName>
    <definedName name="RevCas3AllInp" localSheetId="10">#REF!,#REF!,#REF!,#REF!,#REF!,#REF!,#REF!,#REF!,#REF!,#REF!,#REF!</definedName>
    <definedName name="RevCas3AllInp" localSheetId="9">#REF!,#REF!,#REF!,#REF!,#REF!,#REF!,#REF!,#REF!,#REF!,#REF!,#REF!</definedName>
    <definedName name="RevCas3AllInp" localSheetId="7">#REF!,#REF!,#REF!,#REF!,#REF!,#REF!,#REF!,#REF!,#REF!,#REF!,#REF!</definedName>
    <definedName name="RevCas3AllInp" localSheetId="8">#REF!,#REF!,#REF!,#REF!,#REF!,#REF!,#REF!,#REF!,#REF!,#REF!,#REF!</definedName>
    <definedName name="RevCas3AllInp">#REF!,#REF!,#REF!,#REF!,#REF!,#REF!,#REF!,#REF!,#REF!,#REF!,#REF!</definedName>
    <definedName name="RevCas3AmortAmt1" localSheetId="31">#REF!</definedName>
    <definedName name="RevCas3AmortAmt1" localSheetId="0">#REF!</definedName>
    <definedName name="RevCas3AmortAmt1" localSheetId="1">#REF!</definedName>
    <definedName name="RevCas3AmortAmt1" localSheetId="10">#REF!</definedName>
    <definedName name="RevCas3AmortAmt1" localSheetId="9">#REF!</definedName>
    <definedName name="RevCas3AmortAmt1">#REF!</definedName>
    <definedName name="RevCas3AmortAmt2" localSheetId="31">#REF!</definedName>
    <definedName name="RevCas3AmortAmt2" localSheetId="0">#REF!</definedName>
    <definedName name="RevCas3AmortAmt2" localSheetId="1">#REF!</definedName>
    <definedName name="RevCas3AmortAmt2" localSheetId="10">#REF!</definedName>
    <definedName name="RevCas3AmortAmt2" localSheetId="9">#REF!</definedName>
    <definedName name="RevCas3AmortAmt2">#REF!</definedName>
    <definedName name="RevCas3AmortPer1" localSheetId="31">#REF!</definedName>
    <definedName name="RevCas3AmortPer1" localSheetId="0">#REF!</definedName>
    <definedName name="RevCas3AmortPer1" localSheetId="1">#REF!</definedName>
    <definedName name="RevCas3AmortPer1" localSheetId="10">#REF!</definedName>
    <definedName name="RevCas3AmortPer1" localSheetId="9">#REF!</definedName>
    <definedName name="RevCas3AmortPer1">#REF!</definedName>
    <definedName name="RevCas3AmortPer2" localSheetId="31">#REF!</definedName>
    <definedName name="RevCas3AmortPer2" localSheetId="0">#REF!</definedName>
    <definedName name="RevCas3AmortPer2" localSheetId="1">#REF!</definedName>
    <definedName name="RevCas3AmortPer2" localSheetId="10">#REF!</definedName>
    <definedName name="RevCas3AmortPer2" localSheetId="9">#REF!</definedName>
    <definedName name="RevCas3AmortPer2">#REF!</definedName>
    <definedName name="RevCas3Bal" localSheetId="31">#REF!</definedName>
    <definedName name="RevCas3Bal" localSheetId="0">#REF!</definedName>
    <definedName name="RevCas3Bal" localSheetId="1">#REF!</definedName>
    <definedName name="RevCas3Bal" localSheetId="10">#REF!</definedName>
    <definedName name="RevCas3Bal" localSheetId="9">#REF!</definedName>
    <definedName name="RevCas3Bal">#REF!</definedName>
    <definedName name="RevCas4AllInp" localSheetId="2">[1]Input!#REF!,[1]Input!#REF!,[1]Input!#REF!,[1]Input!#REF!,[1]Input!#REF!,[1]Input!#REF!,[1]Input!#REF!,[1]Input!#REF!,[1]Input!#REF!,[1]Input!#REF!,[1]Input!#REF!</definedName>
    <definedName name="RevCas4AllInp" localSheetId="31">#REF!,#REF!,#REF!,#REF!,#REF!,#REF!,#REF!,#REF!,#REF!,#REF!,#REF!</definedName>
    <definedName name="RevCas4AllInp" localSheetId="0">#REF!,#REF!,#REF!,#REF!,#REF!,#REF!,#REF!,#REF!,#REF!,#REF!,#REF!</definedName>
    <definedName name="RevCas4AllInp" localSheetId="1">#REF!,#REF!,#REF!,#REF!,#REF!,#REF!,#REF!,#REF!,#REF!,#REF!,#REF!</definedName>
    <definedName name="RevCas4AllInp" localSheetId="10">#REF!,#REF!,#REF!,#REF!,#REF!,#REF!,#REF!,#REF!,#REF!,#REF!,#REF!</definedName>
    <definedName name="RevCas4AllInp" localSheetId="9">#REF!,#REF!,#REF!,#REF!,#REF!,#REF!,#REF!,#REF!,#REF!,#REF!,#REF!</definedName>
    <definedName name="RevCas4AllInp" localSheetId="7">#REF!,#REF!,#REF!,#REF!,#REF!,#REF!,#REF!,#REF!,#REF!,#REF!,#REF!</definedName>
    <definedName name="RevCas4AllInp" localSheetId="8">#REF!,#REF!,#REF!,#REF!,#REF!,#REF!,#REF!,#REF!,#REF!,#REF!,#REF!</definedName>
    <definedName name="RevCas4AllInp">#REF!,#REF!,#REF!,#REF!,#REF!,#REF!,#REF!,#REF!,#REF!,#REF!,#REF!</definedName>
    <definedName name="RevCas4AmortAmt1">[2]Input!$K$152</definedName>
    <definedName name="RevCas4AmortPer1">[2]Input!$Q$152</definedName>
    <definedName name="RevCas5AllInp" localSheetId="2">[1]Input!#REF!,[1]Input!#REF!,[1]Input!#REF!,[1]Input!#REF!,[1]Input!#REF!,[1]Input!#REF!,[1]Input!#REF!,[1]Input!#REF!,[1]Input!#REF!,[1]Input!#REF!,[1]Input!#REF!</definedName>
    <definedName name="RevCas5AllInp" localSheetId="31">#REF!,#REF!,#REF!,#REF!,#REF!,#REF!,#REF!,#REF!,#REF!,#REF!,#REF!</definedName>
    <definedName name="RevCas5AllInp" localSheetId="0">#REF!,#REF!,#REF!,#REF!,#REF!,#REF!,#REF!,#REF!,#REF!,#REF!,#REF!</definedName>
    <definedName name="RevCas5AllInp" localSheetId="1">#REF!,#REF!,#REF!,#REF!,#REF!,#REF!,#REF!,#REF!,#REF!,#REF!,#REF!</definedName>
    <definedName name="RevCas5AllInp" localSheetId="10">#REF!,#REF!,#REF!,#REF!,#REF!,#REF!,#REF!,#REF!,#REF!,#REF!,#REF!</definedName>
    <definedName name="RevCas5AllInp" localSheetId="9">#REF!,#REF!,#REF!,#REF!,#REF!,#REF!,#REF!,#REF!,#REF!,#REF!,#REF!</definedName>
    <definedName name="RevCas5AllInp" localSheetId="7">#REF!,#REF!,#REF!,#REF!,#REF!,#REF!,#REF!,#REF!,#REF!,#REF!,#REF!</definedName>
    <definedName name="RevCas5AllInp" localSheetId="8">#REF!,#REF!,#REF!,#REF!,#REF!,#REF!,#REF!,#REF!,#REF!,#REF!,#REF!</definedName>
    <definedName name="RevCas5AllInp">#REF!,#REF!,#REF!,#REF!,#REF!,#REF!,#REF!,#REF!,#REF!,#REF!,#REF!</definedName>
    <definedName name="RevCas5AmortPer2">[2]Input!$Q$168</definedName>
    <definedName name="StartBalance" localSheetId="2">[1]Startup!$N$8</definedName>
    <definedName name="StartBalance" localSheetId="31">#REF!</definedName>
    <definedName name="StartBalance" localSheetId="0">#REF!</definedName>
    <definedName name="StartBalance" localSheetId="1">#REF!</definedName>
    <definedName name="StartBalance" localSheetId="10">#REF!</definedName>
    <definedName name="StartBalance" localSheetId="9">#REF!</definedName>
    <definedName name="StartBalance">#REF!</definedName>
    <definedName name="StartBalanceG1">[4]Startup!$N$10</definedName>
    <definedName name="StartBillMonth" localSheetId="2">[1]Startup!$N$5</definedName>
    <definedName name="StartBillMonth" localSheetId="31">#REF!</definedName>
    <definedName name="StartBillMonth" localSheetId="0">#REF!</definedName>
    <definedName name="StartBillMonth" localSheetId="1">#REF!</definedName>
    <definedName name="StartBillMonth" localSheetId="10">#REF!</definedName>
    <definedName name="StartBillMonth" localSheetId="9">#REF!</definedName>
    <definedName name="StartBillMonth">#REF!</definedName>
    <definedName name="TableName">"Dummy"</definedName>
    <definedName name="Tickmarks" localSheetId="2">#REF!</definedName>
    <definedName name="Tickmarks" localSheetId="31">#REF!</definedName>
    <definedName name="Tickmarks" localSheetId="0">#REF!</definedName>
    <definedName name="Tickmarks" localSheetId="1">#REF!</definedName>
    <definedName name="Tickmarks" localSheetId="10">#REF!</definedName>
    <definedName name="Tickmarks" localSheetId="9">#REF!</definedName>
    <definedName name="Tickmarks" localSheetId="7">#REF!</definedName>
    <definedName name="Tickmarks" localSheetId="8">#REF!</definedName>
    <definedName name="Tickmarks">#REF!</definedName>
    <definedName name="Z_221BFF00_8F97_4909_A3F2_2B41E136B126_.wvu.PrintArea" localSheetId="2" hidden="1">'Class Allocation'!$A$1:$I$13</definedName>
    <definedName name="Z_221BFF00_8F97_4909_A3F2_2B41E136B126_.wvu.PrintTitles" localSheetId="2" hidden="1">'Class Allocation'!$B:$B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70" l="1"/>
  <c r="R14" i="175" l="1"/>
  <c r="N13" i="167"/>
  <c r="M13" i="167"/>
  <c r="L13" i="167"/>
  <c r="K13" i="167"/>
  <c r="J13" i="167"/>
  <c r="I13" i="167"/>
  <c r="H13" i="167"/>
  <c r="G13" i="167"/>
  <c r="F13" i="167"/>
  <c r="E13" i="167"/>
  <c r="N13" i="168"/>
  <c r="M13" i="168"/>
  <c r="L13" i="168"/>
  <c r="K13" i="168"/>
  <c r="J13" i="168"/>
  <c r="I13" i="168"/>
  <c r="H13" i="168"/>
  <c r="G13" i="168"/>
  <c r="F13" i="168"/>
  <c r="E13" i="168"/>
  <c r="N14" i="182"/>
  <c r="N12" i="167"/>
  <c r="M12" i="167"/>
  <c r="L12" i="167"/>
  <c r="K12" i="167"/>
  <c r="J12" i="167"/>
  <c r="I12" i="167"/>
  <c r="H12" i="167"/>
  <c r="G12" i="167"/>
  <c r="F12" i="167"/>
  <c r="E12" i="167"/>
  <c r="N11" i="167"/>
  <c r="M11" i="167"/>
  <c r="L11" i="167"/>
  <c r="K11" i="167"/>
  <c r="J11" i="167"/>
  <c r="I11" i="167"/>
  <c r="H11" i="167"/>
  <c r="G11" i="167"/>
  <c r="F11" i="167"/>
  <c r="E11" i="167"/>
  <c r="N21" i="170"/>
  <c r="M21" i="170"/>
  <c r="L21" i="170"/>
  <c r="K21" i="170"/>
  <c r="J21" i="170"/>
  <c r="I21" i="170"/>
  <c r="H21" i="170"/>
  <c r="G21" i="170"/>
  <c r="F21" i="170"/>
  <c r="E21" i="170"/>
  <c r="D21" i="170"/>
  <c r="C21" i="170"/>
  <c r="N18" i="170"/>
  <c r="M18" i="170"/>
  <c r="L18" i="170"/>
  <c r="K18" i="170"/>
  <c r="J18" i="170"/>
  <c r="I18" i="170"/>
  <c r="H18" i="170"/>
  <c r="G18" i="170"/>
  <c r="F18" i="170"/>
  <c r="E18" i="170"/>
  <c r="D18" i="170"/>
  <c r="C18" i="170"/>
  <c r="B11" i="188"/>
  <c r="C8" i="188"/>
  <c r="C11" i="188" l="1"/>
  <c r="D8" i="188"/>
  <c r="N7" i="188"/>
  <c r="D11" i="188" l="1"/>
  <c r="E8" i="188"/>
  <c r="E11" i="188" l="1"/>
  <c r="F8" i="188"/>
  <c r="F11" i="188" l="1"/>
  <c r="G8" i="188"/>
  <c r="G11" i="188" l="1"/>
  <c r="H8" i="188"/>
  <c r="H11" i="188" l="1"/>
  <c r="I8" i="188"/>
  <c r="I11" i="188" l="1"/>
  <c r="J8" i="188"/>
  <c r="J11" i="188" l="1"/>
  <c r="K8" i="188"/>
  <c r="L8" i="188" l="1"/>
  <c r="K11" i="188"/>
  <c r="L17" i="183"/>
  <c r="L11" i="188" l="1"/>
  <c r="M8" i="188"/>
  <c r="E11" i="168"/>
  <c r="F11" i="168" s="1"/>
  <c r="G11" i="168" s="1"/>
  <c r="H11" i="168" s="1"/>
  <c r="I11" i="168" s="1"/>
  <c r="J11" i="168" s="1"/>
  <c r="K11" i="168" s="1"/>
  <c r="L11" i="168" s="1"/>
  <c r="M11" i="168" s="1"/>
  <c r="N11" i="168" s="1"/>
  <c r="O11" i="168" s="1"/>
  <c r="P11" i="168" s="1"/>
  <c r="P14" i="171"/>
  <c r="R36" i="172"/>
  <c r="P36" i="172"/>
  <c r="N36" i="172"/>
  <c r="L36" i="172"/>
  <c r="J36" i="172"/>
  <c r="R36" i="173"/>
  <c r="P36" i="173"/>
  <c r="N36" i="173"/>
  <c r="L36" i="173"/>
  <c r="J36" i="173"/>
  <c r="R36" i="174"/>
  <c r="P36" i="174"/>
  <c r="N36" i="174"/>
  <c r="L36" i="174"/>
  <c r="J36" i="174"/>
  <c r="R36" i="175"/>
  <c r="P36" i="175"/>
  <c r="N36" i="175"/>
  <c r="L36" i="175"/>
  <c r="J36" i="175"/>
  <c r="R36" i="176"/>
  <c r="P36" i="176"/>
  <c r="N36" i="176"/>
  <c r="L36" i="176"/>
  <c r="J36" i="176"/>
  <c r="R36" i="177"/>
  <c r="P36" i="177"/>
  <c r="N36" i="177"/>
  <c r="L36" i="177"/>
  <c r="J36" i="177"/>
  <c r="R36" i="178"/>
  <c r="P36" i="178"/>
  <c r="N36" i="178"/>
  <c r="L36" i="178"/>
  <c r="J36" i="178"/>
  <c r="R36" i="179"/>
  <c r="P36" i="179"/>
  <c r="N36" i="179"/>
  <c r="L36" i="179"/>
  <c r="J36" i="179"/>
  <c r="R36" i="180"/>
  <c r="P36" i="180"/>
  <c r="N36" i="180"/>
  <c r="L36" i="180"/>
  <c r="J36" i="180"/>
  <c r="P36" i="182"/>
  <c r="N36" i="182"/>
  <c r="L36" i="182"/>
  <c r="J36" i="182"/>
  <c r="P36" i="181"/>
  <c r="N36" i="181"/>
  <c r="J36" i="181"/>
  <c r="F36" i="172"/>
  <c r="F36" i="173"/>
  <c r="F36" i="174"/>
  <c r="F36" i="175"/>
  <c r="F36" i="176"/>
  <c r="F36" i="177"/>
  <c r="F36" i="178"/>
  <c r="F36" i="179"/>
  <c r="F36" i="180"/>
  <c r="A32" i="172"/>
  <c r="A33" i="172" s="1"/>
  <c r="A34" i="172" s="1"/>
  <c r="A35" i="172" s="1"/>
  <c r="A36" i="172" s="1"/>
  <c r="A34" i="173"/>
  <c r="A35" i="173" s="1"/>
  <c r="A36" i="173" s="1"/>
  <c r="A33" i="173"/>
  <c r="A32" i="173"/>
  <c r="A33" i="174"/>
  <c r="A34" i="174" s="1"/>
  <c r="A35" i="174" s="1"/>
  <c r="A36" i="174" s="1"/>
  <c r="A32" i="174"/>
  <c r="A32" i="175"/>
  <c r="A33" i="175" s="1"/>
  <c r="A34" i="175" s="1"/>
  <c r="A35" i="175" s="1"/>
  <c r="A36" i="175" s="1"/>
  <c r="A33" i="176"/>
  <c r="A34" i="176" s="1"/>
  <c r="A35" i="176" s="1"/>
  <c r="A36" i="176" s="1"/>
  <c r="A32" i="176"/>
  <c r="A32" i="177"/>
  <c r="A33" i="177" s="1"/>
  <c r="A34" i="177" s="1"/>
  <c r="A35" i="177" s="1"/>
  <c r="A36" i="177" s="1"/>
  <c r="A32" i="178"/>
  <c r="A33" i="178" s="1"/>
  <c r="A34" i="178" s="1"/>
  <c r="A35" i="178" s="1"/>
  <c r="A36" i="178" s="1"/>
  <c r="A32" i="179"/>
  <c r="A33" i="179" s="1"/>
  <c r="A34" i="179" s="1"/>
  <c r="A35" i="179" s="1"/>
  <c r="A36" i="179" s="1"/>
  <c r="A32" i="180"/>
  <c r="A33" i="180" s="1"/>
  <c r="A34" i="180" s="1"/>
  <c r="A35" i="180" s="1"/>
  <c r="A36" i="180" s="1"/>
  <c r="A34" i="182"/>
  <c r="A35" i="182" s="1"/>
  <c r="A36" i="182" s="1"/>
  <c r="A33" i="182"/>
  <c r="A32" i="182"/>
  <c r="A22" i="172"/>
  <c r="A23" i="172" s="1"/>
  <c r="A24" i="172" s="1"/>
  <c r="A25" i="172" s="1"/>
  <c r="A26" i="172" s="1"/>
  <c r="A22" i="173"/>
  <c r="A23" i="173" s="1"/>
  <c r="A24" i="173" s="1"/>
  <c r="A25" i="173" s="1"/>
  <c r="A26" i="173" s="1"/>
  <c r="A22" i="174"/>
  <c r="A23" i="174" s="1"/>
  <c r="A24" i="174" s="1"/>
  <c r="A25" i="174" s="1"/>
  <c r="A26" i="174" s="1"/>
  <c r="A22" i="175"/>
  <c r="A23" i="175" s="1"/>
  <c r="A24" i="175" s="1"/>
  <c r="A25" i="175" s="1"/>
  <c r="A26" i="175" s="1"/>
  <c r="A23" i="176"/>
  <c r="A24" i="176" s="1"/>
  <c r="A25" i="176" s="1"/>
  <c r="A26" i="176" s="1"/>
  <c r="A22" i="176"/>
  <c r="A24" i="177"/>
  <c r="A25" i="177" s="1"/>
  <c r="A26" i="177" s="1"/>
  <c r="A23" i="177"/>
  <c r="A22" i="177"/>
  <c r="A22" i="178"/>
  <c r="A23" i="178" s="1"/>
  <c r="A24" i="178" s="1"/>
  <c r="A25" i="178" s="1"/>
  <c r="A26" i="178" s="1"/>
  <c r="A22" i="179"/>
  <c r="A23" i="179" s="1"/>
  <c r="A24" i="179" s="1"/>
  <c r="A25" i="179" s="1"/>
  <c r="A26" i="179" s="1"/>
  <c r="A23" i="180"/>
  <c r="A24" i="180" s="1"/>
  <c r="A25" i="180" s="1"/>
  <c r="A26" i="180" s="1"/>
  <c r="A22" i="180"/>
  <c r="A22" i="182"/>
  <c r="A23" i="182" s="1"/>
  <c r="A24" i="182" s="1"/>
  <c r="A25" i="182" s="1"/>
  <c r="A26" i="182" s="1"/>
  <c r="F35" i="172"/>
  <c r="R35" i="172" s="1"/>
  <c r="F35" i="173" s="1"/>
  <c r="R35" i="173" s="1"/>
  <c r="F35" i="174" s="1"/>
  <c r="R35" i="174" s="1"/>
  <c r="F35" i="175" s="1"/>
  <c r="R35" i="175" s="1"/>
  <c r="F35" i="176" s="1"/>
  <c r="R35" i="176" s="1"/>
  <c r="F35" i="177" s="1"/>
  <c r="R35" i="177" s="1"/>
  <c r="F35" i="178" s="1"/>
  <c r="R35" i="178" s="1"/>
  <c r="F35" i="179" s="1"/>
  <c r="R35" i="179" s="1"/>
  <c r="F35" i="180" s="1"/>
  <c r="R35" i="180" s="1"/>
  <c r="F35" i="181" s="1"/>
  <c r="R35" i="181" s="1"/>
  <c r="F35" i="182" s="1"/>
  <c r="R35" i="182" s="1"/>
  <c r="L35" i="172"/>
  <c r="L35" i="173"/>
  <c r="L35" i="174"/>
  <c r="L35" i="175"/>
  <c r="L35" i="176"/>
  <c r="L35" i="177"/>
  <c r="L35" i="178"/>
  <c r="L35" i="179"/>
  <c r="L35" i="180"/>
  <c r="L35" i="182"/>
  <c r="L35" i="181"/>
  <c r="F32" i="172"/>
  <c r="L32" i="172"/>
  <c r="R32" i="172"/>
  <c r="F32" i="173" s="1"/>
  <c r="R32" i="173" s="1"/>
  <c r="F32" i="174" s="1"/>
  <c r="R32" i="174" s="1"/>
  <c r="F32" i="175" s="1"/>
  <c r="R32" i="175" s="1"/>
  <c r="F32" i="176" s="1"/>
  <c r="R32" i="176" s="1"/>
  <c r="F32" i="177" s="1"/>
  <c r="R32" i="177" s="1"/>
  <c r="F32" i="178" s="1"/>
  <c r="R32" i="178" s="1"/>
  <c r="F32" i="179" s="1"/>
  <c r="R32" i="179" s="1"/>
  <c r="F32" i="180" s="1"/>
  <c r="R32" i="180" s="1"/>
  <c r="F32" i="181" s="1"/>
  <c r="L32" i="173"/>
  <c r="L32" i="174"/>
  <c r="L32" i="175"/>
  <c r="L32" i="176"/>
  <c r="L32" i="177"/>
  <c r="L32" i="178"/>
  <c r="L32" i="179"/>
  <c r="L32" i="180"/>
  <c r="L32" i="182"/>
  <c r="L32" i="181"/>
  <c r="L25" i="172"/>
  <c r="L25" i="173"/>
  <c r="L25" i="174"/>
  <c r="L25" i="175"/>
  <c r="L25" i="176"/>
  <c r="L25" i="177"/>
  <c r="L25" i="178"/>
  <c r="L25" i="179"/>
  <c r="L25" i="180"/>
  <c r="L25" i="182"/>
  <c r="L25" i="181"/>
  <c r="L22" i="172"/>
  <c r="N22" i="172" s="1"/>
  <c r="L22" i="173"/>
  <c r="N22" i="173" s="1"/>
  <c r="L22" i="174"/>
  <c r="N22" i="174" s="1"/>
  <c r="L22" i="175"/>
  <c r="N22" i="175" s="1"/>
  <c r="L22" i="176"/>
  <c r="L26" i="176" s="1"/>
  <c r="L22" i="177"/>
  <c r="N22" i="177" s="1"/>
  <c r="L22" i="178"/>
  <c r="L26" i="178" s="1"/>
  <c r="L22" i="179"/>
  <c r="N22" i="179" s="1"/>
  <c r="L22" i="180"/>
  <c r="N22" i="180" s="1"/>
  <c r="L22" i="182"/>
  <c r="N22" i="182" s="1"/>
  <c r="L22" i="181"/>
  <c r="R36" i="171"/>
  <c r="P36" i="171"/>
  <c r="N36" i="171"/>
  <c r="L36" i="171"/>
  <c r="J36" i="171"/>
  <c r="F36" i="171"/>
  <c r="A36" i="171"/>
  <c r="A35" i="171"/>
  <c r="L35" i="171"/>
  <c r="R35" i="171"/>
  <c r="A33" i="171"/>
  <c r="A32" i="171"/>
  <c r="L32" i="171"/>
  <c r="R32" i="171" s="1"/>
  <c r="J25" i="171"/>
  <c r="H25" i="171"/>
  <c r="L25" i="171"/>
  <c r="N25" i="171" s="1"/>
  <c r="H22" i="171"/>
  <c r="J22" i="171" s="1"/>
  <c r="L22" i="171"/>
  <c r="R22" i="171" s="1"/>
  <c r="F22" i="172" s="1"/>
  <c r="R32" i="181" l="1"/>
  <c r="F32" i="182" s="1"/>
  <c r="R32" i="182" s="1"/>
  <c r="L26" i="182"/>
  <c r="N22" i="181"/>
  <c r="L26" i="175"/>
  <c r="L26" i="173"/>
  <c r="N22" i="178"/>
  <c r="L26" i="179"/>
  <c r="N22" i="176"/>
  <c r="L26" i="177"/>
  <c r="L26" i="174"/>
  <c r="L26" i="172"/>
  <c r="J22" i="172"/>
  <c r="P22" i="172" s="1"/>
  <c r="F25" i="168" s="1"/>
  <c r="M11" i="188"/>
  <c r="N8" i="188"/>
  <c r="N11" i="188" s="1"/>
  <c r="L26" i="180"/>
  <c r="L28" i="180" s="1"/>
  <c r="N25" i="181"/>
  <c r="N25" i="178"/>
  <c r="N25" i="174"/>
  <c r="N25" i="175"/>
  <c r="N25" i="179"/>
  <c r="N25" i="182"/>
  <c r="N25" i="173"/>
  <c r="N25" i="180"/>
  <c r="N25" i="176"/>
  <c r="N25" i="177"/>
  <c r="N25" i="172"/>
  <c r="R22" i="172"/>
  <c r="P25" i="171"/>
  <c r="E25" i="167" s="1"/>
  <c r="R25" i="171"/>
  <c r="F25" i="172" s="1"/>
  <c r="J25" i="172" s="1"/>
  <c r="P25" i="172" s="1"/>
  <c r="N22" i="171"/>
  <c r="P22" i="171" s="1"/>
  <c r="E25" i="168" s="1"/>
  <c r="N28" i="170"/>
  <c r="N31" i="170" s="1"/>
  <c r="M28" i="170"/>
  <c r="L28" i="170"/>
  <c r="K28" i="170"/>
  <c r="J28" i="170"/>
  <c r="I28" i="170"/>
  <c r="H28" i="170"/>
  <c r="G28" i="170"/>
  <c r="F28" i="170"/>
  <c r="F31" i="170" s="1"/>
  <c r="E28" i="170"/>
  <c r="D28" i="170"/>
  <c r="D31" i="170" s="1"/>
  <c r="N30" i="170"/>
  <c r="M30" i="170"/>
  <c r="L30" i="170"/>
  <c r="K30" i="170"/>
  <c r="J30" i="170"/>
  <c r="J31" i="170" s="1"/>
  <c r="I30" i="170"/>
  <c r="I31" i="170" s="1"/>
  <c r="H30" i="170"/>
  <c r="H31" i="170" s="1"/>
  <c r="G30" i="170"/>
  <c r="G31" i="170" s="1"/>
  <c r="F30" i="170"/>
  <c r="E30" i="170"/>
  <c r="D30" i="170"/>
  <c r="C30" i="170"/>
  <c r="C28" i="170"/>
  <c r="M31" i="170"/>
  <c r="L31" i="170"/>
  <c r="K31" i="170"/>
  <c r="E31" i="170"/>
  <c r="A31" i="170"/>
  <c r="A30" i="170"/>
  <c r="N22" i="170"/>
  <c r="M22" i="170"/>
  <c r="L22" i="170"/>
  <c r="K22" i="170"/>
  <c r="J22" i="170"/>
  <c r="I22" i="170"/>
  <c r="H22" i="170"/>
  <c r="G22" i="170"/>
  <c r="F22" i="170"/>
  <c r="E22" i="170"/>
  <c r="D22" i="170"/>
  <c r="O21" i="170"/>
  <c r="F26" i="172" l="1"/>
  <c r="R25" i="172"/>
  <c r="F25" i="173" s="1"/>
  <c r="F22" i="173"/>
  <c r="R26" i="172"/>
  <c r="O30" i="170"/>
  <c r="C31" i="170"/>
  <c r="F11" i="135"/>
  <c r="J25" i="173" l="1"/>
  <c r="P25" i="173" s="1"/>
  <c r="R25" i="173"/>
  <c r="F25" i="174" s="1"/>
  <c r="F26" i="173"/>
  <c r="J22" i="173"/>
  <c r="P22" i="173" s="1"/>
  <c r="G25" i="168" s="1"/>
  <c r="R22" i="173"/>
  <c r="D42" i="135"/>
  <c r="D43" i="135"/>
  <c r="D41" i="135"/>
  <c r="D40" i="135"/>
  <c r="J25" i="174" l="1"/>
  <c r="P25" i="174" s="1"/>
  <c r="R25" i="174"/>
  <c r="F25" i="175" s="1"/>
  <c r="F22" i="174"/>
  <c r="R26" i="173"/>
  <c r="J25" i="175" l="1"/>
  <c r="P25" i="175" s="1"/>
  <c r="R25" i="175"/>
  <c r="F25" i="176" s="1"/>
  <c r="F26" i="174"/>
  <c r="R22" i="174"/>
  <c r="J22" i="174"/>
  <c r="P22" i="174" s="1"/>
  <c r="H25" i="168" s="1"/>
  <c r="K12" i="183"/>
  <c r="I28" i="162"/>
  <c r="I27" i="162"/>
  <c r="I26" i="162"/>
  <c r="I25" i="162"/>
  <c r="I24" i="162"/>
  <c r="I23" i="162"/>
  <c r="I22" i="162"/>
  <c r="I21" i="162"/>
  <c r="I20" i="162"/>
  <c r="I19" i="162"/>
  <c r="I18" i="162"/>
  <c r="I17" i="162"/>
  <c r="R25" i="176" l="1"/>
  <c r="F25" i="177" s="1"/>
  <c r="J25" i="176"/>
  <c r="P25" i="176" s="1"/>
  <c r="F22" i="175"/>
  <c r="R26" i="174"/>
  <c r="J44" i="187"/>
  <c r="Q16" i="187"/>
  <c r="K20" i="187"/>
  <c r="K61" i="187" s="1"/>
  <c r="K19" i="187"/>
  <c r="K60" i="187" s="1"/>
  <c r="K18" i="187"/>
  <c r="K59" i="187" s="1"/>
  <c r="K17" i="187"/>
  <c r="H20" i="187"/>
  <c r="H61" i="187" s="1"/>
  <c r="H19" i="187"/>
  <c r="H60" i="187" s="1"/>
  <c r="H18" i="187"/>
  <c r="H17" i="187"/>
  <c r="L84" i="187"/>
  <c r="M84" i="187" s="1"/>
  <c r="Q84" i="187" s="1"/>
  <c r="L83" i="187"/>
  <c r="M83" i="187" s="1"/>
  <c r="Q83" i="187" s="1"/>
  <c r="L82" i="187"/>
  <c r="M82" i="187" s="1"/>
  <c r="Q82" i="187" s="1"/>
  <c r="L81" i="187"/>
  <c r="M81" i="187" s="1"/>
  <c r="Q81" i="187" s="1"/>
  <c r="L80" i="187"/>
  <c r="M80" i="187" s="1"/>
  <c r="Q80" i="187" s="1"/>
  <c r="L79" i="187"/>
  <c r="M79" i="187" s="1"/>
  <c r="Q79" i="187" s="1"/>
  <c r="L78" i="187"/>
  <c r="M78" i="187" s="1"/>
  <c r="Q78" i="187" s="1"/>
  <c r="L77" i="187"/>
  <c r="M77" i="187" s="1"/>
  <c r="Q77" i="187" s="1"/>
  <c r="L76" i="187"/>
  <c r="M76" i="187" s="1"/>
  <c r="Q76" i="187" s="1"/>
  <c r="L75" i="187"/>
  <c r="M75" i="187" s="1"/>
  <c r="Q75" i="187" s="1"/>
  <c r="L74" i="187"/>
  <c r="M74" i="187" s="1"/>
  <c r="Q74" i="187" s="1"/>
  <c r="L73" i="187"/>
  <c r="M73" i="187" s="1"/>
  <c r="Q73" i="187" s="1"/>
  <c r="L72" i="187"/>
  <c r="M72" i="187" s="1"/>
  <c r="Q72" i="187" s="1"/>
  <c r="L71" i="187"/>
  <c r="M71" i="187" s="1"/>
  <c r="Q71" i="187" s="1"/>
  <c r="L70" i="187"/>
  <c r="M70" i="187" s="1"/>
  <c r="Q70" i="187" s="1"/>
  <c r="A58" i="187"/>
  <c r="A59" i="187" s="1"/>
  <c r="A60" i="187" s="1"/>
  <c r="A61" i="187" s="1"/>
  <c r="A62" i="187" s="1"/>
  <c r="A63" i="187" s="1"/>
  <c r="A64" i="187" s="1"/>
  <c r="A65" i="187" s="1"/>
  <c r="A66" i="187" s="1"/>
  <c r="A67" i="187" s="1"/>
  <c r="A68" i="187" s="1"/>
  <c r="A69" i="187" s="1"/>
  <c r="A70" i="187" s="1"/>
  <c r="A71" i="187" s="1"/>
  <c r="A72" i="187" s="1"/>
  <c r="A73" i="187" s="1"/>
  <c r="A74" i="187" s="1"/>
  <c r="A75" i="187" s="1"/>
  <c r="A76" i="187" s="1"/>
  <c r="A77" i="187" s="1"/>
  <c r="A78" i="187" s="1"/>
  <c r="A79" i="187" s="1"/>
  <c r="A80" i="187" s="1"/>
  <c r="A81" i="187" s="1"/>
  <c r="A82" i="187" s="1"/>
  <c r="A83" i="187" s="1"/>
  <c r="A84" i="187" s="1"/>
  <c r="A85" i="187" s="1"/>
  <c r="Q43" i="187"/>
  <c r="P43" i="187"/>
  <c r="Q42" i="187"/>
  <c r="P42" i="187"/>
  <c r="Q41" i="187"/>
  <c r="P41" i="187"/>
  <c r="Q40" i="187"/>
  <c r="P40" i="187"/>
  <c r="Q39" i="187"/>
  <c r="P39" i="187"/>
  <c r="Q38" i="187"/>
  <c r="P38" i="187"/>
  <c r="Q37" i="187"/>
  <c r="P37" i="187"/>
  <c r="Q36" i="187"/>
  <c r="P36" i="187"/>
  <c r="Q35" i="187"/>
  <c r="P35" i="187"/>
  <c r="Q34" i="187"/>
  <c r="P34" i="187"/>
  <c r="Q33" i="187"/>
  <c r="P33" i="187"/>
  <c r="Q32" i="187"/>
  <c r="P32" i="187"/>
  <c r="Q31" i="187"/>
  <c r="P31" i="187"/>
  <c r="Q30" i="187"/>
  <c r="P30" i="187"/>
  <c r="P29" i="187"/>
  <c r="J69" i="187"/>
  <c r="J68" i="187"/>
  <c r="J67" i="187"/>
  <c r="J66" i="187"/>
  <c r="J65" i="187"/>
  <c r="J64" i="187"/>
  <c r="J63" i="187"/>
  <c r="J62" i="187"/>
  <c r="J61" i="187"/>
  <c r="J60" i="187"/>
  <c r="J59" i="187"/>
  <c r="H59" i="187"/>
  <c r="J58" i="187"/>
  <c r="A17" i="187"/>
  <c r="A18" i="187" s="1"/>
  <c r="A19" i="187" s="1"/>
  <c r="A20" i="187" s="1"/>
  <c r="A21" i="187" s="1"/>
  <c r="A22" i="187" s="1"/>
  <c r="A23" i="187" s="1"/>
  <c r="A24" i="187" s="1"/>
  <c r="A25" i="187" s="1"/>
  <c r="A26" i="187" s="1"/>
  <c r="A27" i="187" s="1"/>
  <c r="A28" i="187" s="1"/>
  <c r="A29" i="187" s="1"/>
  <c r="A30" i="187" s="1"/>
  <c r="A31" i="187" s="1"/>
  <c r="A32" i="187" s="1"/>
  <c r="A33" i="187" s="1"/>
  <c r="A34" i="187" s="1"/>
  <c r="A35" i="187" s="1"/>
  <c r="A36" i="187" s="1"/>
  <c r="A37" i="187" s="1"/>
  <c r="A38" i="187" s="1"/>
  <c r="A39" i="187" s="1"/>
  <c r="A40" i="187" s="1"/>
  <c r="A41" i="187" s="1"/>
  <c r="A42" i="187" s="1"/>
  <c r="A43" i="187" s="1"/>
  <c r="A44" i="187" s="1"/>
  <c r="J25" i="177" l="1"/>
  <c r="P25" i="177" s="1"/>
  <c r="R25" i="177"/>
  <c r="F25" i="178" s="1"/>
  <c r="F26" i="175"/>
  <c r="J22" i="175"/>
  <c r="P22" i="175" s="1"/>
  <c r="I25" i="168" s="1"/>
  <c r="R22" i="175"/>
  <c r="P44" i="187"/>
  <c r="H53" i="187"/>
  <c r="K58" i="187"/>
  <c r="J85" i="187"/>
  <c r="I19" i="187"/>
  <c r="L19" i="187" s="1"/>
  <c r="M19" i="187" s="1"/>
  <c r="I17" i="187"/>
  <c r="H58" i="187"/>
  <c r="T16" i="187"/>
  <c r="I18" i="187"/>
  <c r="L18" i="187" s="1"/>
  <c r="M18" i="187" s="1"/>
  <c r="R25" i="178" l="1"/>
  <c r="F25" i="179" s="1"/>
  <c r="J25" i="178"/>
  <c r="P25" i="178" s="1"/>
  <c r="F22" i="176"/>
  <c r="R26" i="175"/>
  <c r="L17" i="187"/>
  <c r="I61" i="187"/>
  <c r="L61" i="187" s="1"/>
  <c r="M61" i="187" s="1"/>
  <c r="N20" i="187" s="1"/>
  <c r="O20" i="187" s="1"/>
  <c r="I60" i="187"/>
  <c r="L60" i="187" s="1"/>
  <c r="M60" i="187" s="1"/>
  <c r="N19" i="187" s="1"/>
  <c r="O19" i="187" s="1"/>
  <c r="I59" i="187"/>
  <c r="L59" i="187" s="1"/>
  <c r="M59" i="187" s="1"/>
  <c r="N18" i="187" s="1"/>
  <c r="O18" i="187" s="1"/>
  <c r="I20" i="187"/>
  <c r="L20" i="187" s="1"/>
  <c r="M20" i="187" s="1"/>
  <c r="J25" i="179" l="1"/>
  <c r="P25" i="179" s="1"/>
  <c r="R25" i="179"/>
  <c r="F25" i="180" s="1"/>
  <c r="F26" i="176"/>
  <c r="J22" i="176"/>
  <c r="P22" i="176" s="1"/>
  <c r="J25" i="168" s="1"/>
  <c r="R22" i="176"/>
  <c r="M17" i="187"/>
  <c r="I58" i="187"/>
  <c r="J25" i="180" l="1"/>
  <c r="P25" i="180" s="1"/>
  <c r="R25" i="180"/>
  <c r="F25" i="181" s="1"/>
  <c r="F22" i="177"/>
  <c r="R26" i="176"/>
  <c r="L58" i="187"/>
  <c r="J25" i="181" l="1"/>
  <c r="P25" i="181" s="1"/>
  <c r="R25" i="181"/>
  <c r="F25" i="182" s="1"/>
  <c r="F26" i="177"/>
  <c r="J22" i="177"/>
  <c r="P22" i="177" s="1"/>
  <c r="K25" i="168" s="1"/>
  <c r="R22" i="177"/>
  <c r="M58" i="187"/>
  <c r="R25" i="182" l="1"/>
  <c r="J25" i="182"/>
  <c r="P25" i="182" s="1"/>
  <c r="F22" i="178"/>
  <c r="R26" i="177"/>
  <c r="N17" i="187"/>
  <c r="F26" i="178" l="1"/>
  <c r="J22" i="178"/>
  <c r="P22" i="178" s="1"/>
  <c r="L25" i="168" s="1"/>
  <c r="R22" i="178"/>
  <c r="O17" i="187"/>
  <c r="F22" i="179" l="1"/>
  <c r="R26" i="178"/>
  <c r="Q17" i="187"/>
  <c r="F26" i="179" l="1"/>
  <c r="J22" i="179"/>
  <c r="P22" i="179" s="1"/>
  <c r="M25" i="168" s="1"/>
  <c r="R22" i="179"/>
  <c r="Q18" i="187"/>
  <c r="R17" i="187"/>
  <c r="T17" i="187" s="1"/>
  <c r="E16" i="168" s="1"/>
  <c r="F22" i="180" l="1"/>
  <c r="R26" i="179"/>
  <c r="Q19" i="187"/>
  <c r="R18" i="187"/>
  <c r="T18" i="187" s="1"/>
  <c r="F16" i="168" s="1"/>
  <c r="F26" i="180" l="1"/>
  <c r="R22" i="180"/>
  <c r="J22" i="180"/>
  <c r="P22" i="180" s="1"/>
  <c r="N25" i="168" s="1"/>
  <c r="Q20" i="187"/>
  <c r="R19" i="187"/>
  <c r="T19" i="187" s="1"/>
  <c r="G16" i="168" s="1"/>
  <c r="R26" i="180" l="1"/>
  <c r="F22" i="181"/>
  <c r="R20" i="187"/>
  <c r="T20" i="187" s="1"/>
  <c r="H16" i="168" s="1"/>
  <c r="J22" i="181" l="1"/>
  <c r="P22" i="181" s="1"/>
  <c r="R22" i="181"/>
  <c r="K26" i="168"/>
  <c r="E26" i="168"/>
  <c r="D33" i="170"/>
  <c r="E33" i="170"/>
  <c r="F33" i="170"/>
  <c r="G33" i="170"/>
  <c r="H33" i="170"/>
  <c r="I33" i="170"/>
  <c r="J33" i="170"/>
  <c r="K33" i="170"/>
  <c r="L33" i="170"/>
  <c r="M33" i="170"/>
  <c r="N33" i="170"/>
  <c r="I34" i="170"/>
  <c r="C34" i="170"/>
  <c r="C33" i="170"/>
  <c r="I33" i="185"/>
  <c r="J33" i="185"/>
  <c r="K33" i="185"/>
  <c r="L33" i="185"/>
  <c r="M33" i="185"/>
  <c r="N33" i="185"/>
  <c r="O33" i="185"/>
  <c r="P33" i="185"/>
  <c r="Q33" i="185"/>
  <c r="R33" i="185"/>
  <c r="S33" i="185"/>
  <c r="T33" i="185"/>
  <c r="I34" i="185"/>
  <c r="F26" i="168" s="1"/>
  <c r="J34" i="185"/>
  <c r="G26" i="168" s="1"/>
  <c r="K34" i="185"/>
  <c r="H26" i="168" s="1"/>
  <c r="L34" i="185"/>
  <c r="I26" i="168" s="1"/>
  <c r="M34" i="185"/>
  <c r="J26" i="168" s="1"/>
  <c r="N34" i="185"/>
  <c r="O34" i="185"/>
  <c r="L26" i="168" s="1"/>
  <c r="P34" i="185"/>
  <c r="M26" i="168" s="1"/>
  <c r="Q34" i="185"/>
  <c r="N26" i="168" s="1"/>
  <c r="R34" i="185"/>
  <c r="O26" i="168" s="1"/>
  <c r="S34" i="185"/>
  <c r="P26" i="168" s="1"/>
  <c r="H34" i="185"/>
  <c r="H33" i="185"/>
  <c r="F22" i="182" l="1"/>
  <c r="N34" i="170"/>
  <c r="H34" i="170"/>
  <c r="M34" i="170"/>
  <c r="G34" i="170"/>
  <c r="L34" i="170"/>
  <c r="F34" i="170"/>
  <c r="K34" i="170"/>
  <c r="E34" i="170"/>
  <c r="J34" i="170"/>
  <c r="D34" i="170"/>
  <c r="D14" i="170"/>
  <c r="E14" i="170"/>
  <c r="F14" i="170"/>
  <c r="G14" i="170"/>
  <c r="H14" i="170"/>
  <c r="I14" i="170"/>
  <c r="J14" i="170"/>
  <c r="K14" i="170"/>
  <c r="L14" i="170"/>
  <c r="M14" i="170"/>
  <c r="N14" i="170"/>
  <c r="C14" i="170"/>
  <c r="V3" i="184"/>
  <c r="D10" i="170"/>
  <c r="E10" i="170"/>
  <c r="F10" i="170"/>
  <c r="G10" i="170"/>
  <c r="H10" i="170"/>
  <c r="I10" i="170"/>
  <c r="J10" i="170"/>
  <c r="K10" i="170"/>
  <c r="L10" i="170"/>
  <c r="M10" i="170"/>
  <c r="N10" i="170"/>
  <c r="C10" i="170"/>
  <c r="R27" i="184"/>
  <c r="R26" i="184"/>
  <c r="R42" i="184"/>
  <c r="F44" i="184"/>
  <c r="G44" i="184"/>
  <c r="H44" i="184"/>
  <c r="I44" i="184"/>
  <c r="J44" i="184"/>
  <c r="K44" i="184"/>
  <c r="L44" i="184"/>
  <c r="M44" i="184"/>
  <c r="N44" i="184"/>
  <c r="O44" i="184"/>
  <c r="P44" i="184"/>
  <c r="Q44" i="184"/>
  <c r="R22" i="182" l="1"/>
  <c r="J22" i="182"/>
  <c r="P22" i="182" s="1"/>
  <c r="O34" i="170"/>
  <c r="L14" i="178"/>
  <c r="H24" i="187" s="1"/>
  <c r="H65" i="187" l="1"/>
  <c r="I65" i="187" s="1"/>
  <c r="I24" i="187"/>
  <c r="L14" i="182"/>
  <c r="H28" i="187" s="1"/>
  <c r="A14" i="182"/>
  <c r="A15" i="182"/>
  <c r="H14" i="182"/>
  <c r="L14" i="181"/>
  <c r="H27" i="187" s="1"/>
  <c r="A14" i="181"/>
  <c r="A15" i="181" s="1"/>
  <c r="H14" i="181"/>
  <c r="L14" i="180"/>
  <c r="H26" i="187" s="1"/>
  <c r="A14" i="180"/>
  <c r="A15" i="180" s="1"/>
  <c r="H14" i="180"/>
  <c r="L14" i="179"/>
  <c r="H25" i="187" s="1"/>
  <c r="A14" i="179"/>
  <c r="A15" i="179" s="1"/>
  <c r="H14" i="179"/>
  <c r="A14" i="178"/>
  <c r="A15" i="178" s="1"/>
  <c r="H14" i="178"/>
  <c r="L14" i="177"/>
  <c r="H23" i="187" s="1"/>
  <c r="H14" i="177"/>
  <c r="A14" i="177"/>
  <c r="A15" i="177" s="1"/>
  <c r="L14" i="176"/>
  <c r="H22" i="187" s="1"/>
  <c r="A14" i="176"/>
  <c r="A15" i="176" s="1"/>
  <c r="H14" i="176"/>
  <c r="L14" i="175"/>
  <c r="H63" i="187" l="1"/>
  <c r="I63" i="187" s="1"/>
  <c r="I22" i="187"/>
  <c r="H68" i="187"/>
  <c r="I68" i="187" s="1"/>
  <c r="I27" i="187"/>
  <c r="H66" i="187"/>
  <c r="I66" i="187" s="1"/>
  <c r="I25" i="187"/>
  <c r="H69" i="187"/>
  <c r="I69" i="187" s="1"/>
  <c r="I28" i="187"/>
  <c r="H67" i="187"/>
  <c r="I67" i="187" s="1"/>
  <c r="I26" i="187"/>
  <c r="F14" i="176"/>
  <c r="J14" i="176" s="1"/>
  <c r="H21" i="187"/>
  <c r="H64" i="187"/>
  <c r="I64" i="187" s="1"/>
  <c r="I23" i="187"/>
  <c r="N14" i="179"/>
  <c r="N14" i="181"/>
  <c r="N14" i="180"/>
  <c r="N14" i="178"/>
  <c r="N14" i="177"/>
  <c r="N14" i="176"/>
  <c r="R14" i="176"/>
  <c r="F14" i="177" s="1"/>
  <c r="R14" i="177" s="1"/>
  <c r="F14" i="178" s="1"/>
  <c r="H62" i="187" l="1"/>
  <c r="I21" i="187"/>
  <c r="H44" i="187"/>
  <c r="J14" i="177"/>
  <c r="P14" i="177" s="1"/>
  <c r="K23" i="187" s="1"/>
  <c r="K64" i="187" s="1"/>
  <c r="L64" i="187" s="1"/>
  <c r="M64" i="187" s="1"/>
  <c r="N23" i="187" s="1"/>
  <c r="O23" i="187" s="1"/>
  <c r="P14" i="176"/>
  <c r="K22" i="187" s="1"/>
  <c r="K63" i="187" s="1"/>
  <c r="L63" i="187" s="1"/>
  <c r="M63" i="187" s="1"/>
  <c r="N22" i="187" s="1"/>
  <c r="O22" i="187" s="1"/>
  <c r="J14" i="178"/>
  <c r="P14" i="178" s="1"/>
  <c r="K24" i="187" s="1"/>
  <c r="R14" i="178"/>
  <c r="F14" i="179" s="1"/>
  <c r="A14" i="175"/>
  <c r="A15" i="175" s="1"/>
  <c r="A16" i="175" s="1"/>
  <c r="H14" i="175"/>
  <c r="N14" i="175" s="1"/>
  <c r="A14" i="174"/>
  <c r="A15" i="174" s="1"/>
  <c r="R14" i="174"/>
  <c r="H14" i="174"/>
  <c r="N14" i="174" s="1"/>
  <c r="A14" i="173"/>
  <c r="A15" i="173" s="1"/>
  <c r="A16" i="173" s="1"/>
  <c r="A17" i="173" s="1"/>
  <c r="R14" i="173"/>
  <c r="H14" i="173"/>
  <c r="N14" i="173" s="1"/>
  <c r="A14" i="172"/>
  <c r="A15" i="172" s="1"/>
  <c r="A16" i="172" s="1"/>
  <c r="A17" i="172" s="1"/>
  <c r="R14" i="172"/>
  <c r="H14" i="172"/>
  <c r="N14" i="172" s="1"/>
  <c r="A14" i="171"/>
  <c r="A15" i="171" s="1"/>
  <c r="A16" i="171" s="1"/>
  <c r="A17" i="171" s="1"/>
  <c r="A18" i="171" s="1"/>
  <c r="H14" i="171"/>
  <c r="L22" i="187" l="1"/>
  <c r="M22" i="187" s="1"/>
  <c r="K65" i="187"/>
  <c r="L65" i="187" s="1"/>
  <c r="M65" i="187" s="1"/>
  <c r="N24" i="187" s="1"/>
  <c r="O24" i="187" s="1"/>
  <c r="L24" i="187"/>
  <c r="M24" i="187" s="1"/>
  <c r="H85" i="187"/>
  <c r="I62" i="187"/>
  <c r="L23" i="187"/>
  <c r="M23" i="187" s="1"/>
  <c r="I44" i="187"/>
  <c r="R14" i="179"/>
  <c r="F14" i="180" s="1"/>
  <c r="J14" i="179"/>
  <c r="P14" i="179" s="1"/>
  <c r="K25" i="187" s="1"/>
  <c r="J14" i="175"/>
  <c r="P14" i="175" s="1"/>
  <c r="K21" i="187" s="1"/>
  <c r="J14" i="174"/>
  <c r="P14" i="174" s="1"/>
  <c r="J14" i="173"/>
  <c r="P14" i="173" s="1"/>
  <c r="J14" i="172"/>
  <c r="P14" i="172" s="1"/>
  <c r="R14" i="171"/>
  <c r="N14" i="171"/>
  <c r="J14" i="171"/>
  <c r="K62" i="187" l="1"/>
  <c r="L62" i="187" s="1"/>
  <c r="L21" i="187"/>
  <c r="K66" i="187"/>
  <c r="L66" i="187" s="1"/>
  <c r="M66" i="187" s="1"/>
  <c r="N25" i="187" s="1"/>
  <c r="O25" i="187" s="1"/>
  <c r="L25" i="187"/>
  <c r="M25" i="187" s="1"/>
  <c r="I85" i="187"/>
  <c r="R14" i="180"/>
  <c r="F14" i="181" s="1"/>
  <c r="J14" i="180"/>
  <c r="P14" i="180" s="1"/>
  <c r="K26" i="187" s="1"/>
  <c r="R16" i="184"/>
  <c r="H11" i="187" s="1"/>
  <c r="H52" i="187" s="1"/>
  <c r="R17" i="184"/>
  <c r="R18" i="184"/>
  <c r="R19" i="184"/>
  <c r="M62" i="187" l="1"/>
  <c r="K67" i="187"/>
  <c r="L67" i="187" s="1"/>
  <c r="M67" i="187" s="1"/>
  <c r="N26" i="187" s="1"/>
  <c r="O26" i="187" s="1"/>
  <c r="L26" i="187"/>
  <c r="M26" i="187" s="1"/>
  <c r="M21" i="187"/>
  <c r="R14" i="181"/>
  <c r="F14" i="182" s="1"/>
  <c r="J14" i="181"/>
  <c r="P14" i="181" s="1"/>
  <c r="T36" i="185"/>
  <c r="T37" i="185"/>
  <c r="K27" i="187" l="1"/>
  <c r="O13" i="168"/>
  <c r="O25" i="168"/>
  <c r="K68" i="187"/>
  <c r="L27" i="187"/>
  <c r="N21" i="187"/>
  <c r="J14" i="182"/>
  <c r="P14" i="182" s="1"/>
  <c r="R14" i="182"/>
  <c r="R15" i="184"/>
  <c r="R22" i="184"/>
  <c r="R23" i="184"/>
  <c r="R24" i="184"/>
  <c r="Q22" i="147"/>
  <c r="E22" i="147"/>
  <c r="D11" i="149"/>
  <c r="E11" i="149"/>
  <c r="F11" i="149"/>
  <c r="G11" i="149"/>
  <c r="H11" i="149"/>
  <c r="I11" i="149"/>
  <c r="J11" i="149"/>
  <c r="K11" i="149"/>
  <c r="L11" i="149"/>
  <c r="M11" i="149"/>
  <c r="N11" i="149"/>
  <c r="C11" i="149"/>
  <c r="K28" i="187" l="1"/>
  <c r="P25" i="168"/>
  <c r="Q25" i="168" s="1"/>
  <c r="P13" i="168"/>
  <c r="O21" i="187"/>
  <c r="Q21" i="187" s="1"/>
  <c r="M27" i="187"/>
  <c r="L68" i="187"/>
  <c r="K69" i="187"/>
  <c r="L69" i="187" s="1"/>
  <c r="M69" i="187" s="1"/>
  <c r="N28" i="187" s="1"/>
  <c r="O28" i="187" s="1"/>
  <c r="L28" i="187"/>
  <c r="M28" i="187" s="1"/>
  <c r="K44" i="187"/>
  <c r="D11" i="114"/>
  <c r="E11" i="114"/>
  <c r="F11" i="114"/>
  <c r="G11" i="114"/>
  <c r="H11" i="114"/>
  <c r="I11" i="114"/>
  <c r="J11" i="114"/>
  <c r="K11" i="114"/>
  <c r="L11" i="114"/>
  <c r="M11" i="114"/>
  <c r="N11" i="114"/>
  <c r="C11" i="114"/>
  <c r="K85" i="187" l="1"/>
  <c r="M68" i="187"/>
  <c r="L85" i="187"/>
  <c r="L44" i="187"/>
  <c r="Q22" i="187"/>
  <c r="R21" i="187"/>
  <c r="T21" i="187" s="1"/>
  <c r="I16" i="168" s="1"/>
  <c r="M44" i="187"/>
  <c r="H61" i="128"/>
  <c r="I61" i="128"/>
  <c r="J61" i="128"/>
  <c r="K61" i="128"/>
  <c r="L61" i="128"/>
  <c r="M61" i="128"/>
  <c r="N61" i="128"/>
  <c r="O61" i="128"/>
  <c r="P61" i="128"/>
  <c r="Q61" i="128"/>
  <c r="G61" i="128"/>
  <c r="F61" i="128"/>
  <c r="F22" i="165"/>
  <c r="G22" i="165"/>
  <c r="H22" i="165"/>
  <c r="I22" i="165"/>
  <c r="J22" i="165"/>
  <c r="K22" i="165"/>
  <c r="L22" i="165"/>
  <c r="M22" i="165"/>
  <c r="N22" i="165"/>
  <c r="O22" i="165"/>
  <c r="P22" i="165"/>
  <c r="Q22" i="165"/>
  <c r="H50" i="165"/>
  <c r="I50" i="165"/>
  <c r="J50" i="165"/>
  <c r="K50" i="165"/>
  <c r="L50" i="165"/>
  <c r="M50" i="165"/>
  <c r="N50" i="165"/>
  <c r="O50" i="165"/>
  <c r="P50" i="165"/>
  <c r="Q50" i="165"/>
  <c r="G50" i="165"/>
  <c r="Q23" i="187" l="1"/>
  <c r="R22" i="187"/>
  <c r="T22" i="187" s="1"/>
  <c r="J16" i="168" s="1"/>
  <c r="N27" i="187"/>
  <c r="M85" i="187"/>
  <c r="K11" i="111"/>
  <c r="L11" i="111" s="1"/>
  <c r="M11" i="111" s="1"/>
  <c r="N11" i="111" s="1"/>
  <c r="O11" i="111" s="1"/>
  <c r="P11" i="111" s="1"/>
  <c r="Q23" i="110"/>
  <c r="O27" i="187" l="1"/>
  <c r="O44" i="187" s="1"/>
  <c r="N44" i="187"/>
  <c r="Q24" i="187"/>
  <c r="R23" i="187"/>
  <c r="T23" i="187" s="1"/>
  <c r="K16" i="168" s="1"/>
  <c r="D35" i="170"/>
  <c r="E35" i="170"/>
  <c r="F35" i="170"/>
  <c r="G35" i="170"/>
  <c r="H35" i="170"/>
  <c r="I35" i="170"/>
  <c r="J35" i="170"/>
  <c r="K35" i="170"/>
  <c r="L35" i="170"/>
  <c r="M35" i="170"/>
  <c r="N35" i="170"/>
  <c r="D36" i="170"/>
  <c r="E36" i="170"/>
  <c r="F36" i="170"/>
  <c r="G36" i="170"/>
  <c r="H36" i="170"/>
  <c r="I36" i="170"/>
  <c r="J36" i="170"/>
  <c r="K36" i="170"/>
  <c r="L36" i="170"/>
  <c r="M36" i="170"/>
  <c r="N36" i="170"/>
  <c r="C36" i="170"/>
  <c r="C35" i="170"/>
  <c r="D25" i="149"/>
  <c r="E25" i="149"/>
  <c r="F25" i="149"/>
  <c r="G25" i="149"/>
  <c r="H25" i="149"/>
  <c r="I25" i="149"/>
  <c r="J25" i="149"/>
  <c r="K25" i="149"/>
  <c r="L25" i="149"/>
  <c r="M25" i="149"/>
  <c r="N25" i="149"/>
  <c r="C25" i="149"/>
  <c r="Q25" i="187" l="1"/>
  <c r="R24" i="187"/>
  <c r="T24" i="187" s="1"/>
  <c r="L16" i="168" s="1"/>
  <c r="D11" i="170"/>
  <c r="E11" i="170"/>
  <c r="F11" i="170"/>
  <c r="G11" i="170"/>
  <c r="H11" i="170"/>
  <c r="I11" i="170"/>
  <c r="J11" i="170"/>
  <c r="K11" i="170"/>
  <c r="L11" i="170"/>
  <c r="M11" i="170"/>
  <c r="N11" i="170"/>
  <c r="C11" i="170"/>
  <c r="F27" i="170"/>
  <c r="G27" i="170"/>
  <c r="H27" i="170"/>
  <c r="I27" i="170"/>
  <c r="J27" i="170"/>
  <c r="K27" i="170"/>
  <c r="L27" i="170"/>
  <c r="M27" i="170"/>
  <c r="N27" i="170"/>
  <c r="C27" i="170"/>
  <c r="D27" i="170"/>
  <c r="E27" i="170"/>
  <c r="Q26" i="187" l="1"/>
  <c r="R25" i="187"/>
  <c r="T25" i="187" s="1"/>
  <c r="M16" i="168" s="1"/>
  <c r="T2" i="185"/>
  <c r="I31" i="185"/>
  <c r="J31" i="185"/>
  <c r="K31" i="185"/>
  <c r="L31" i="185"/>
  <c r="M31" i="185"/>
  <c r="N31" i="185"/>
  <c r="O31" i="185"/>
  <c r="P31" i="185"/>
  <c r="Q31" i="185"/>
  <c r="R31" i="185"/>
  <c r="S31" i="185"/>
  <c r="H31" i="185"/>
  <c r="T3" i="185"/>
  <c r="T4" i="185"/>
  <c r="T5" i="185"/>
  <c r="T6" i="185"/>
  <c r="T7" i="185"/>
  <c r="T8" i="185"/>
  <c r="T9" i="185"/>
  <c r="T10" i="185"/>
  <c r="T11" i="185"/>
  <c r="T12" i="185"/>
  <c r="T13" i="185"/>
  <c r="T14" i="185"/>
  <c r="T15" i="185"/>
  <c r="T16" i="185"/>
  <c r="T17" i="185"/>
  <c r="T18" i="185"/>
  <c r="T19" i="185"/>
  <c r="T20" i="185"/>
  <c r="T21" i="185"/>
  <c r="T22" i="185"/>
  <c r="T23" i="185"/>
  <c r="T24" i="185"/>
  <c r="T25" i="185"/>
  <c r="T26" i="185"/>
  <c r="T27" i="185"/>
  <c r="T28" i="185"/>
  <c r="T29" i="185"/>
  <c r="T30" i="185"/>
  <c r="R40" i="184"/>
  <c r="R41" i="184"/>
  <c r="R38" i="184"/>
  <c r="Q27" i="187" l="1"/>
  <c r="R26" i="187"/>
  <c r="T26" i="187" s="1"/>
  <c r="N16" i="168" s="1"/>
  <c r="T31" i="185"/>
  <c r="T34" i="185"/>
  <c r="R43" i="184"/>
  <c r="R39" i="184"/>
  <c r="R37" i="184"/>
  <c r="R36" i="184"/>
  <c r="R35" i="184"/>
  <c r="R34" i="184"/>
  <c r="R33" i="184"/>
  <c r="R32" i="184"/>
  <c r="Q28" i="187" l="1"/>
  <c r="R28" i="187" s="1"/>
  <c r="R27" i="187"/>
  <c r="T27" i="187" s="1"/>
  <c r="O16" i="168" s="1"/>
  <c r="R44" i="184"/>
  <c r="N33" i="149"/>
  <c r="M33" i="149"/>
  <c r="L33" i="149"/>
  <c r="K33" i="149"/>
  <c r="J33" i="149"/>
  <c r="I33" i="149"/>
  <c r="H33" i="149"/>
  <c r="G33" i="149"/>
  <c r="F33" i="149"/>
  <c r="E33" i="149"/>
  <c r="D33" i="149"/>
  <c r="N32" i="149"/>
  <c r="M32" i="149"/>
  <c r="L32" i="149"/>
  <c r="K32" i="149"/>
  <c r="J32" i="149"/>
  <c r="I32" i="149"/>
  <c r="H32" i="149"/>
  <c r="G32" i="149"/>
  <c r="F32" i="149"/>
  <c r="E32" i="149"/>
  <c r="D32" i="149"/>
  <c r="E31" i="149"/>
  <c r="N31" i="149"/>
  <c r="M31" i="149"/>
  <c r="L31" i="149"/>
  <c r="K31" i="149"/>
  <c r="J31" i="149"/>
  <c r="I31" i="149"/>
  <c r="H31" i="149"/>
  <c r="G31" i="149"/>
  <c r="F31" i="149"/>
  <c r="D31" i="149"/>
  <c r="C33" i="149"/>
  <c r="C32" i="149"/>
  <c r="C31" i="149"/>
  <c r="Q12" i="131"/>
  <c r="Q26" i="131"/>
  <c r="Q26" i="91"/>
  <c r="Q44" i="187" l="1"/>
  <c r="T28" i="187"/>
  <c r="P16" i="168" s="1"/>
  <c r="Q16" i="168" s="1"/>
  <c r="H43" i="165"/>
  <c r="I43" i="165"/>
  <c r="J43" i="165"/>
  <c r="K43" i="165"/>
  <c r="L43" i="165"/>
  <c r="M43" i="165"/>
  <c r="N43" i="165"/>
  <c r="O43" i="165"/>
  <c r="P43" i="165"/>
  <c r="Q43" i="165"/>
  <c r="R43" i="165"/>
  <c r="G43" i="165"/>
  <c r="F43" i="165"/>
  <c r="R33" i="165" l="1"/>
  <c r="R34" i="165"/>
  <c r="R35" i="165"/>
  <c r="R36" i="165"/>
  <c r="R37" i="165" l="1"/>
  <c r="R31" i="165"/>
  <c r="R32" i="165"/>
  <c r="R38" i="165"/>
  <c r="R39" i="165"/>
  <c r="R40" i="165"/>
  <c r="R41" i="165"/>
  <c r="R42" i="165"/>
  <c r="R30" i="165"/>
  <c r="D27" i="168" l="1"/>
  <c r="J13" i="183" l="1"/>
  <c r="F23" i="171" l="1"/>
  <c r="F24" i="171"/>
  <c r="F21" i="171"/>
  <c r="Q20" i="168"/>
  <c r="E20" i="168"/>
  <c r="F20" i="168"/>
  <c r="G20" i="168"/>
  <c r="H20" i="168"/>
  <c r="I20" i="168"/>
  <c r="J20" i="168"/>
  <c r="K20" i="168"/>
  <c r="L20" i="168"/>
  <c r="M20" i="168"/>
  <c r="N20" i="168"/>
  <c r="O20" i="168"/>
  <c r="P20" i="168"/>
  <c r="D20" i="168"/>
  <c r="Q20" i="167"/>
  <c r="E20" i="167"/>
  <c r="F20" i="167"/>
  <c r="G20" i="167"/>
  <c r="H20" i="167"/>
  <c r="I20" i="167"/>
  <c r="J20" i="167"/>
  <c r="K20" i="167"/>
  <c r="L20" i="167"/>
  <c r="M20" i="167"/>
  <c r="N20" i="167"/>
  <c r="O20" i="167"/>
  <c r="P20" i="167"/>
  <c r="D20" i="167"/>
  <c r="F26" i="171" l="1"/>
  <c r="Q20" i="147"/>
  <c r="Q20" i="146"/>
  <c r="Q20" i="132" l="1"/>
  <c r="Q20" i="131"/>
  <c r="O87" i="183"/>
  <c r="P87" i="183" s="1"/>
  <c r="T87" i="183" s="1"/>
  <c r="O86" i="183"/>
  <c r="P86" i="183" s="1"/>
  <c r="T86" i="183" s="1"/>
  <c r="P85" i="183"/>
  <c r="T85" i="183" s="1"/>
  <c r="O85" i="183"/>
  <c r="O84" i="183"/>
  <c r="P84" i="183" s="1"/>
  <c r="T84" i="183" s="1"/>
  <c r="O83" i="183"/>
  <c r="P83" i="183" s="1"/>
  <c r="T83" i="183" s="1"/>
  <c r="O82" i="183"/>
  <c r="P82" i="183" s="1"/>
  <c r="T82" i="183" s="1"/>
  <c r="O81" i="183"/>
  <c r="P81" i="183" s="1"/>
  <c r="T81" i="183" s="1"/>
  <c r="O80" i="183"/>
  <c r="P80" i="183" s="1"/>
  <c r="T80" i="183" s="1"/>
  <c r="P79" i="183"/>
  <c r="T79" i="183" s="1"/>
  <c r="O79" i="183"/>
  <c r="O78" i="183"/>
  <c r="P78" i="183" s="1"/>
  <c r="T78" i="183" s="1"/>
  <c r="O77" i="183"/>
  <c r="P77" i="183" s="1"/>
  <c r="T77" i="183" s="1"/>
  <c r="P76" i="183"/>
  <c r="T76" i="183" s="1"/>
  <c r="O76" i="183"/>
  <c r="O75" i="183"/>
  <c r="P75" i="183" s="1"/>
  <c r="T75" i="183" s="1"/>
  <c r="T74" i="183"/>
  <c r="P74" i="183"/>
  <c r="O74" i="183"/>
  <c r="O73" i="183"/>
  <c r="P73" i="183" s="1"/>
  <c r="T73" i="183" s="1"/>
  <c r="A61" i="183"/>
  <c r="A62" i="183" s="1"/>
  <c r="A63" i="183" s="1"/>
  <c r="A64" i="183" s="1"/>
  <c r="A65" i="183" s="1"/>
  <c r="A66" i="183" s="1"/>
  <c r="A67" i="183" s="1"/>
  <c r="A68" i="183" s="1"/>
  <c r="A69" i="183" s="1"/>
  <c r="A70" i="183" s="1"/>
  <c r="A71" i="183" s="1"/>
  <c r="A72" i="183" s="1"/>
  <c r="A73" i="183" s="1"/>
  <c r="A74" i="183" s="1"/>
  <c r="A75" i="183" s="1"/>
  <c r="A76" i="183" s="1"/>
  <c r="A77" i="183" s="1"/>
  <c r="A78" i="183" s="1"/>
  <c r="A79" i="183" s="1"/>
  <c r="A80" i="183" s="1"/>
  <c r="A81" i="183" s="1"/>
  <c r="A82" i="183" s="1"/>
  <c r="A83" i="183" s="1"/>
  <c r="A84" i="183" s="1"/>
  <c r="A85" i="183" s="1"/>
  <c r="A86" i="183" s="1"/>
  <c r="A87" i="183" s="1"/>
  <c r="A88" i="183" s="1"/>
  <c r="T43" i="183"/>
  <c r="S43" i="183"/>
  <c r="T42" i="183"/>
  <c r="S42" i="183"/>
  <c r="T41" i="183"/>
  <c r="S41" i="183"/>
  <c r="T40" i="183"/>
  <c r="S40" i="183"/>
  <c r="T39" i="183"/>
  <c r="S39" i="183"/>
  <c r="T38" i="183"/>
  <c r="S38" i="183"/>
  <c r="T37" i="183"/>
  <c r="S37" i="183"/>
  <c r="T36" i="183"/>
  <c r="S36" i="183"/>
  <c r="T35" i="183"/>
  <c r="S35" i="183"/>
  <c r="T34" i="183"/>
  <c r="S34" i="183"/>
  <c r="T33" i="183"/>
  <c r="S33" i="183"/>
  <c r="T32" i="183"/>
  <c r="S32" i="183"/>
  <c r="T31" i="183"/>
  <c r="S31" i="183"/>
  <c r="T30" i="183"/>
  <c r="S30" i="183"/>
  <c r="S29" i="183"/>
  <c r="A19" i="183"/>
  <c r="A20" i="183" s="1"/>
  <c r="A21" i="183" s="1"/>
  <c r="A22" i="183" s="1"/>
  <c r="A23" i="183" s="1"/>
  <c r="A24" i="183" s="1"/>
  <c r="A25" i="183" s="1"/>
  <c r="A26" i="183" s="1"/>
  <c r="A27" i="183" s="1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A42" i="183" s="1"/>
  <c r="A43" i="183" s="1"/>
  <c r="A44" i="183" s="1"/>
  <c r="A18" i="183"/>
  <c r="A17" i="183"/>
  <c r="I13" i="183"/>
  <c r="H13" i="183"/>
  <c r="I12" i="183"/>
  <c r="H12" i="183"/>
  <c r="H11" i="183"/>
  <c r="L31" i="182"/>
  <c r="L24" i="182"/>
  <c r="L23" i="182"/>
  <c r="N23" i="182"/>
  <c r="L21" i="182"/>
  <c r="H17" i="182"/>
  <c r="L16" i="182"/>
  <c r="H16" i="182"/>
  <c r="H15" i="182"/>
  <c r="A16" i="182"/>
  <c r="A17" i="182" s="1"/>
  <c r="A18" i="182" s="1"/>
  <c r="A21" i="182" s="1"/>
  <c r="H13" i="182"/>
  <c r="L31" i="181"/>
  <c r="L24" i="181"/>
  <c r="L23" i="181"/>
  <c r="N23" i="181" s="1"/>
  <c r="L21" i="181"/>
  <c r="L26" i="181" s="1"/>
  <c r="H17" i="181"/>
  <c r="L16" i="181"/>
  <c r="H16" i="181"/>
  <c r="A16" i="181"/>
  <c r="A17" i="181" s="1"/>
  <c r="A18" i="181" s="1"/>
  <c r="A21" i="181" s="1"/>
  <c r="A22" i="181" s="1"/>
  <c r="A23" i="181" s="1"/>
  <c r="A24" i="181" s="1"/>
  <c r="A25" i="181" s="1"/>
  <c r="A26" i="181" s="1"/>
  <c r="H15" i="181"/>
  <c r="H13" i="181"/>
  <c r="L31" i="180"/>
  <c r="L24" i="180"/>
  <c r="L23" i="180"/>
  <c r="L21" i="180"/>
  <c r="N21" i="180" s="1"/>
  <c r="H17" i="180"/>
  <c r="L16" i="180"/>
  <c r="N16" i="180" s="1"/>
  <c r="H16" i="180"/>
  <c r="A16" i="180"/>
  <c r="A17" i="180" s="1"/>
  <c r="A18" i="180" s="1"/>
  <c r="A21" i="180" s="1"/>
  <c r="H15" i="180"/>
  <c r="H13" i="180"/>
  <c r="L31" i="179"/>
  <c r="L24" i="179"/>
  <c r="L23" i="179"/>
  <c r="L21" i="179"/>
  <c r="N21" i="179" s="1"/>
  <c r="H17" i="179"/>
  <c r="L16" i="179"/>
  <c r="N16" i="179" s="1"/>
  <c r="H16" i="179"/>
  <c r="H15" i="179"/>
  <c r="A16" i="179"/>
  <c r="A17" i="179" s="1"/>
  <c r="A18" i="179" s="1"/>
  <c r="A21" i="179" s="1"/>
  <c r="H13" i="179"/>
  <c r="L31" i="178"/>
  <c r="L24" i="178"/>
  <c r="N24" i="178" s="1"/>
  <c r="L23" i="178"/>
  <c r="L21" i="178"/>
  <c r="H17" i="178"/>
  <c r="L16" i="178"/>
  <c r="H16" i="178"/>
  <c r="H15" i="178"/>
  <c r="A16" i="178"/>
  <c r="A17" i="178" s="1"/>
  <c r="A18" i="178" s="1"/>
  <c r="A21" i="178" s="1"/>
  <c r="H13" i="178"/>
  <c r="L31" i="177"/>
  <c r="L24" i="177"/>
  <c r="N24" i="177" s="1"/>
  <c r="L23" i="177"/>
  <c r="L21" i="177"/>
  <c r="H17" i="177"/>
  <c r="L16" i="177"/>
  <c r="H16" i="177"/>
  <c r="H15" i="177"/>
  <c r="A16" i="177"/>
  <c r="A17" i="177" s="1"/>
  <c r="A18" i="177" s="1"/>
  <c r="A21" i="177" s="1"/>
  <c r="H13" i="177"/>
  <c r="L31" i="176"/>
  <c r="L24" i="176"/>
  <c r="L23" i="176"/>
  <c r="N23" i="176" s="1"/>
  <c r="L21" i="176"/>
  <c r="H17" i="176"/>
  <c r="L16" i="176"/>
  <c r="H16" i="176"/>
  <c r="A16" i="176"/>
  <c r="A17" i="176" s="1"/>
  <c r="A18" i="176" s="1"/>
  <c r="A21" i="176" s="1"/>
  <c r="H15" i="176"/>
  <c r="H13" i="176"/>
  <c r="L31" i="175"/>
  <c r="L24" i="175"/>
  <c r="L23" i="175"/>
  <c r="L21" i="175"/>
  <c r="N21" i="175" s="1"/>
  <c r="H17" i="175"/>
  <c r="L16" i="175"/>
  <c r="H16" i="175"/>
  <c r="H15" i="175"/>
  <c r="A17" i="175"/>
  <c r="A18" i="175" s="1"/>
  <c r="A21" i="175" s="1"/>
  <c r="H13" i="175"/>
  <c r="L31" i="174"/>
  <c r="L24" i="174"/>
  <c r="N24" i="174" s="1"/>
  <c r="L23" i="174"/>
  <c r="L21" i="174"/>
  <c r="H17" i="174"/>
  <c r="L16" i="174"/>
  <c r="H16" i="174"/>
  <c r="H15" i="174"/>
  <c r="A16" i="174"/>
  <c r="A17" i="174" s="1"/>
  <c r="A18" i="174" s="1"/>
  <c r="A21" i="174" s="1"/>
  <c r="H13" i="174"/>
  <c r="L31" i="173"/>
  <c r="L24" i="173"/>
  <c r="N24" i="173" s="1"/>
  <c r="L23" i="173"/>
  <c r="L21" i="173"/>
  <c r="H17" i="173"/>
  <c r="A18" i="173"/>
  <c r="A21" i="173" s="1"/>
  <c r="L16" i="173"/>
  <c r="H16" i="173"/>
  <c r="H15" i="173"/>
  <c r="H13" i="173"/>
  <c r="L31" i="172"/>
  <c r="L24" i="172"/>
  <c r="L23" i="172"/>
  <c r="N23" i="172" s="1"/>
  <c r="L21" i="172"/>
  <c r="H17" i="172"/>
  <c r="A18" i="172"/>
  <c r="A21" i="172" s="1"/>
  <c r="L16" i="172"/>
  <c r="H16" i="172"/>
  <c r="H15" i="172"/>
  <c r="H13" i="172"/>
  <c r="L31" i="171"/>
  <c r="L24" i="171"/>
  <c r="R24" i="171" s="1"/>
  <c r="F24" i="172" s="1"/>
  <c r="J24" i="172" s="1"/>
  <c r="J24" i="171"/>
  <c r="H24" i="171"/>
  <c r="L23" i="171"/>
  <c r="R23" i="171" s="1"/>
  <c r="F23" i="172" s="1"/>
  <c r="H23" i="171"/>
  <c r="J23" i="171"/>
  <c r="L21" i="171"/>
  <c r="H21" i="171"/>
  <c r="N21" i="171" s="1"/>
  <c r="J21" i="171"/>
  <c r="H17" i="171"/>
  <c r="L16" i="171"/>
  <c r="N16" i="171" s="1"/>
  <c r="H16" i="171"/>
  <c r="A21" i="171"/>
  <c r="H15" i="171"/>
  <c r="H13" i="171"/>
  <c r="P27" i="168"/>
  <c r="P29" i="168" s="1"/>
  <c r="J27" i="168"/>
  <c r="J29" i="168" s="1"/>
  <c r="P27" i="167"/>
  <c r="M27" i="167"/>
  <c r="J27" i="167"/>
  <c r="G27" i="167"/>
  <c r="P26" i="167"/>
  <c r="L26" i="167"/>
  <c r="H26" i="167"/>
  <c r="L34" i="182"/>
  <c r="L34" i="181"/>
  <c r="L34" i="180"/>
  <c r="L34" i="179"/>
  <c r="L34" i="178"/>
  <c r="L34" i="177"/>
  <c r="L34" i="176"/>
  <c r="L34" i="175"/>
  <c r="L34" i="174"/>
  <c r="L34" i="173"/>
  <c r="L34" i="172"/>
  <c r="L34" i="171"/>
  <c r="L33" i="182"/>
  <c r="L33" i="180"/>
  <c r="L33" i="179"/>
  <c r="L33" i="178"/>
  <c r="L33" i="177"/>
  <c r="L33" i="176"/>
  <c r="L33" i="175"/>
  <c r="L33" i="174"/>
  <c r="L33" i="173"/>
  <c r="L33" i="172"/>
  <c r="L33" i="171"/>
  <c r="O26" i="170"/>
  <c r="O24" i="170"/>
  <c r="O20" i="170"/>
  <c r="O19" i="170"/>
  <c r="O18" i="170"/>
  <c r="O17" i="170"/>
  <c r="O13" i="170"/>
  <c r="A12" i="170"/>
  <c r="A13" i="170" s="1"/>
  <c r="A14" i="170" s="1"/>
  <c r="A15" i="170" s="1"/>
  <c r="A17" i="170" s="1"/>
  <c r="A18" i="170" s="1"/>
  <c r="A19" i="170" s="1"/>
  <c r="A20" i="170" s="1"/>
  <c r="A11" i="170"/>
  <c r="S1048492" i="168"/>
  <c r="D29" i="168"/>
  <c r="O27" i="168"/>
  <c r="O29" i="168" s="1"/>
  <c r="N27" i="168"/>
  <c r="N29" i="168" s="1"/>
  <c r="M27" i="168"/>
  <c r="M29" i="168" s="1"/>
  <c r="L27" i="168"/>
  <c r="L29" i="168" s="1"/>
  <c r="K27" i="168"/>
  <c r="K29" i="168" s="1"/>
  <c r="I27" i="168"/>
  <c r="I29" i="168" s="1"/>
  <c r="H27" i="168"/>
  <c r="H29" i="168" s="1"/>
  <c r="G27" i="168"/>
  <c r="G29" i="168" s="1"/>
  <c r="F27" i="168"/>
  <c r="F29" i="168" s="1"/>
  <c r="E27" i="168"/>
  <c r="E29" i="168" s="1"/>
  <c r="Q26" i="168"/>
  <c r="Q13" i="168"/>
  <c r="Q6" i="168"/>
  <c r="P6" i="168"/>
  <c r="O6" i="168"/>
  <c r="N6" i="168"/>
  <c r="M6" i="168"/>
  <c r="L6" i="168"/>
  <c r="K6" i="168"/>
  <c r="J6" i="168"/>
  <c r="I6" i="168"/>
  <c r="H6" i="168"/>
  <c r="G6" i="168"/>
  <c r="F6" i="168"/>
  <c r="S1048576" i="167"/>
  <c r="O27" i="167"/>
  <c r="N27" i="167"/>
  <c r="L27" i="167"/>
  <c r="K27" i="167"/>
  <c r="I27" i="167"/>
  <c r="H27" i="167"/>
  <c r="F27" i="167"/>
  <c r="E27" i="167"/>
  <c r="N26" i="167"/>
  <c r="M26" i="167"/>
  <c r="K26" i="167"/>
  <c r="J26" i="167"/>
  <c r="G26" i="167"/>
  <c r="F26" i="167"/>
  <c r="Q6" i="167"/>
  <c r="P6" i="167"/>
  <c r="O6" i="167"/>
  <c r="N6" i="167"/>
  <c r="M6" i="167"/>
  <c r="L6" i="167"/>
  <c r="K6" i="167"/>
  <c r="J6" i="167"/>
  <c r="I6" i="167"/>
  <c r="H6" i="167"/>
  <c r="G6" i="167"/>
  <c r="F6" i="167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R26" i="165" s="1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Q24" i="165"/>
  <c r="P24" i="165"/>
  <c r="O24" i="165"/>
  <c r="N24" i="165"/>
  <c r="M24" i="165"/>
  <c r="L24" i="165"/>
  <c r="K24" i="165"/>
  <c r="J24" i="165"/>
  <c r="I24" i="165"/>
  <c r="H24" i="165"/>
  <c r="G24" i="165"/>
  <c r="F24" i="165"/>
  <c r="Q23" i="165"/>
  <c r="P23" i="165"/>
  <c r="O23" i="165"/>
  <c r="N23" i="165"/>
  <c r="M23" i="165"/>
  <c r="L23" i="165"/>
  <c r="K23" i="165"/>
  <c r="J23" i="165"/>
  <c r="I23" i="165"/>
  <c r="H23" i="165"/>
  <c r="G23" i="165"/>
  <c r="F23" i="165"/>
  <c r="R22" i="165"/>
  <c r="Q21" i="165"/>
  <c r="P21" i="165"/>
  <c r="O21" i="165"/>
  <c r="N21" i="165"/>
  <c r="M21" i="165"/>
  <c r="L21" i="165"/>
  <c r="K21" i="165"/>
  <c r="J21" i="165"/>
  <c r="I21" i="165"/>
  <c r="H21" i="165"/>
  <c r="G21" i="165"/>
  <c r="F21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Q19" i="165"/>
  <c r="P19" i="165"/>
  <c r="O19" i="165"/>
  <c r="N19" i="165"/>
  <c r="M19" i="165"/>
  <c r="L19" i="165"/>
  <c r="K19" i="165"/>
  <c r="J19" i="165"/>
  <c r="I19" i="165"/>
  <c r="H19" i="165"/>
  <c r="G19" i="165"/>
  <c r="F19" i="165"/>
  <c r="Q18" i="165"/>
  <c r="P18" i="165"/>
  <c r="O18" i="165"/>
  <c r="N18" i="165"/>
  <c r="M18" i="165"/>
  <c r="L18" i="165"/>
  <c r="K18" i="165"/>
  <c r="J18" i="165"/>
  <c r="I18" i="165"/>
  <c r="H18" i="165"/>
  <c r="G18" i="165"/>
  <c r="F18" i="165"/>
  <c r="R18" i="165" s="1"/>
  <c r="Q17" i="165"/>
  <c r="P17" i="165"/>
  <c r="O17" i="165"/>
  <c r="N17" i="165"/>
  <c r="M17" i="165"/>
  <c r="L17" i="165"/>
  <c r="K17" i="165"/>
  <c r="J17" i="165"/>
  <c r="I17" i="165"/>
  <c r="H17" i="165"/>
  <c r="G17" i="165"/>
  <c r="F17" i="165"/>
  <c r="R17" i="165" s="1"/>
  <c r="Q16" i="165"/>
  <c r="N10" i="149" s="1"/>
  <c r="P16" i="165"/>
  <c r="M10" i="149" s="1"/>
  <c r="O16" i="165"/>
  <c r="N16" i="165"/>
  <c r="M16" i="165"/>
  <c r="J10" i="149" s="1"/>
  <c r="L16" i="165"/>
  <c r="I10" i="149" s="1"/>
  <c r="K16" i="165"/>
  <c r="H10" i="149" s="1"/>
  <c r="J16" i="165"/>
  <c r="G10" i="149" s="1"/>
  <c r="I16" i="165"/>
  <c r="H16" i="165"/>
  <c r="G16" i="165"/>
  <c r="D10" i="149" s="1"/>
  <c r="F16" i="165"/>
  <c r="C10" i="149" s="1"/>
  <c r="Q15" i="165"/>
  <c r="P15" i="165"/>
  <c r="O15" i="165"/>
  <c r="N15" i="165"/>
  <c r="M15" i="165"/>
  <c r="L15" i="165"/>
  <c r="K15" i="165"/>
  <c r="J15" i="165"/>
  <c r="I15" i="165"/>
  <c r="H15" i="165"/>
  <c r="G15" i="165"/>
  <c r="F15" i="165"/>
  <c r="Q14" i="165"/>
  <c r="P14" i="165"/>
  <c r="O14" i="165"/>
  <c r="N14" i="165"/>
  <c r="M14" i="165"/>
  <c r="L14" i="165"/>
  <c r="K14" i="165"/>
  <c r="J14" i="165"/>
  <c r="I14" i="165"/>
  <c r="H14" i="165"/>
  <c r="G14" i="165"/>
  <c r="F14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Q12" i="165"/>
  <c r="P12" i="165"/>
  <c r="O12" i="165"/>
  <c r="N12" i="165"/>
  <c r="M12" i="165"/>
  <c r="L12" i="165"/>
  <c r="K12" i="165"/>
  <c r="J12" i="165"/>
  <c r="I12" i="165"/>
  <c r="H12" i="165"/>
  <c r="G12" i="165"/>
  <c r="F12" i="165"/>
  <c r="Q11" i="165"/>
  <c r="P11" i="165"/>
  <c r="O11" i="165"/>
  <c r="N11" i="165"/>
  <c r="M11" i="165"/>
  <c r="L11" i="165"/>
  <c r="K11" i="165"/>
  <c r="J11" i="165"/>
  <c r="I11" i="165"/>
  <c r="H11" i="165"/>
  <c r="G11" i="165"/>
  <c r="F11" i="165"/>
  <c r="Q10" i="165"/>
  <c r="P10" i="165"/>
  <c r="O10" i="165"/>
  <c r="N10" i="165"/>
  <c r="M10" i="165"/>
  <c r="L10" i="165"/>
  <c r="K10" i="165"/>
  <c r="J10" i="165"/>
  <c r="I10" i="165"/>
  <c r="H10" i="165"/>
  <c r="G10" i="165"/>
  <c r="F10" i="165"/>
  <c r="Q9" i="165"/>
  <c r="N14" i="149" s="1"/>
  <c r="P9" i="165"/>
  <c r="O9" i="165"/>
  <c r="L14" i="149" s="1"/>
  <c r="N9" i="165"/>
  <c r="N27" i="165" s="1"/>
  <c r="M9" i="165"/>
  <c r="M27" i="165" s="1"/>
  <c r="L9" i="165"/>
  <c r="I14" i="149" s="1"/>
  <c r="K9" i="165"/>
  <c r="H14" i="149" s="1"/>
  <c r="J9" i="165"/>
  <c r="J27" i="165" s="1"/>
  <c r="I9" i="165"/>
  <c r="I27" i="165" s="1"/>
  <c r="H9" i="165"/>
  <c r="H27" i="165" s="1"/>
  <c r="G9" i="165"/>
  <c r="F9" i="165"/>
  <c r="E14" i="149"/>
  <c r="E10" i="149"/>
  <c r="F10" i="149"/>
  <c r="K10" i="149"/>
  <c r="L10" i="149"/>
  <c r="N16" i="181" l="1"/>
  <c r="H17" i="183"/>
  <c r="H55" i="183"/>
  <c r="H23" i="183"/>
  <c r="H24" i="183"/>
  <c r="H20" i="183"/>
  <c r="H25" i="183"/>
  <c r="H26" i="183"/>
  <c r="H18" i="183"/>
  <c r="H27" i="183"/>
  <c r="H28" i="183"/>
  <c r="H21" i="183"/>
  <c r="H22" i="183"/>
  <c r="H19" i="183"/>
  <c r="A28" i="172"/>
  <c r="A31" i="172" s="1"/>
  <c r="A28" i="173"/>
  <c r="A31" i="173" s="1"/>
  <c r="A28" i="174"/>
  <c r="A31" i="174" s="1"/>
  <c r="A28" i="175"/>
  <c r="A31" i="175" s="1"/>
  <c r="A28" i="177"/>
  <c r="A31" i="177" s="1"/>
  <c r="A28" i="178"/>
  <c r="A31" i="178" s="1"/>
  <c r="A28" i="179"/>
  <c r="A31" i="179" s="1"/>
  <c r="A28" i="182"/>
  <c r="A31" i="182" s="1"/>
  <c r="A28" i="176"/>
  <c r="A31" i="176" s="1"/>
  <c r="A28" i="180"/>
  <c r="A31" i="180" s="1"/>
  <c r="A28" i="181"/>
  <c r="A31" i="181" s="1"/>
  <c r="A32" i="181" s="1"/>
  <c r="A33" i="181" s="1"/>
  <c r="A34" i="181" s="1"/>
  <c r="A35" i="181" s="1"/>
  <c r="A36" i="181" s="1"/>
  <c r="L26" i="171"/>
  <c r="J26" i="171"/>
  <c r="A22" i="171"/>
  <c r="A23" i="171" s="1"/>
  <c r="A24" i="171" s="1"/>
  <c r="O22" i="170"/>
  <c r="M21" i="183"/>
  <c r="M65" i="183" s="1"/>
  <c r="N23" i="175"/>
  <c r="N26" i="175" s="1"/>
  <c r="A21" i="170"/>
  <c r="A22" i="170" s="1"/>
  <c r="A24" i="170" s="1"/>
  <c r="A26" i="170" s="1"/>
  <c r="A27" i="170" s="1"/>
  <c r="A28" i="170" s="1"/>
  <c r="A29" i="170" s="1"/>
  <c r="A33" i="170" s="1"/>
  <c r="A34" i="170" s="1"/>
  <c r="A35" i="170" s="1"/>
  <c r="A36" i="170" s="1"/>
  <c r="N21" i="173"/>
  <c r="M28" i="183"/>
  <c r="M72" i="183" s="1"/>
  <c r="N16" i="172"/>
  <c r="M25" i="183"/>
  <c r="M69" i="183" s="1"/>
  <c r="N16" i="182"/>
  <c r="K14" i="149"/>
  <c r="F14" i="149"/>
  <c r="F27" i="165"/>
  <c r="R11" i="165"/>
  <c r="R12" i="165"/>
  <c r="R13" i="165"/>
  <c r="R14" i="165"/>
  <c r="R15" i="165"/>
  <c r="R19" i="165"/>
  <c r="R20" i="165"/>
  <c r="R21" i="165"/>
  <c r="R9" i="165"/>
  <c r="I12" i="162" s="1"/>
  <c r="R23" i="165"/>
  <c r="R24" i="165"/>
  <c r="R25" i="165"/>
  <c r="N23" i="171"/>
  <c r="N26" i="171" s="1"/>
  <c r="N24" i="171"/>
  <c r="P24" i="171" s="1"/>
  <c r="N16" i="173"/>
  <c r="N23" i="173"/>
  <c r="N16" i="174"/>
  <c r="N24" i="182"/>
  <c r="N21" i="181"/>
  <c r="N24" i="180"/>
  <c r="N24" i="179"/>
  <c r="N23" i="178"/>
  <c r="N16" i="177"/>
  <c r="N23" i="177"/>
  <c r="N21" i="176"/>
  <c r="N26" i="176" s="1"/>
  <c r="N24" i="175"/>
  <c r="N23" i="174"/>
  <c r="N21" i="172"/>
  <c r="P21" i="171"/>
  <c r="O35" i="170"/>
  <c r="Q27" i="168"/>
  <c r="Q29" i="168" s="1"/>
  <c r="Q27" i="167"/>
  <c r="M14" i="149"/>
  <c r="J14" i="149"/>
  <c r="P27" i="165"/>
  <c r="O27" i="165"/>
  <c r="D14" i="149"/>
  <c r="G27" i="165"/>
  <c r="R16" i="165"/>
  <c r="R10" i="165"/>
  <c r="G14" i="149"/>
  <c r="L27" i="165"/>
  <c r="Q27" i="165"/>
  <c r="K27" i="165"/>
  <c r="S44" i="183"/>
  <c r="O27" i="170"/>
  <c r="O36" i="170"/>
  <c r="K12" i="170"/>
  <c r="L15" i="179" s="1"/>
  <c r="E12" i="170"/>
  <c r="L15" i="173" s="1"/>
  <c r="J12" i="170"/>
  <c r="L15" i="178" s="1"/>
  <c r="D12" i="170"/>
  <c r="L15" i="172" s="1"/>
  <c r="I12" i="170"/>
  <c r="L15" i="177" s="1"/>
  <c r="N12" i="170"/>
  <c r="L15" i="182" s="1"/>
  <c r="R13" i="184"/>
  <c r="M12" i="170"/>
  <c r="L15" i="181" s="1"/>
  <c r="N15" i="181" s="1"/>
  <c r="G12" i="170"/>
  <c r="L15" i="175" s="1"/>
  <c r="R12" i="184"/>
  <c r="I26" i="167"/>
  <c r="O28" i="170"/>
  <c r="J23" i="172"/>
  <c r="P23" i="172" s="1"/>
  <c r="R23" i="172"/>
  <c r="F23" i="173" s="1"/>
  <c r="R24" i="172"/>
  <c r="F24" i="173" s="1"/>
  <c r="J24" i="173" s="1"/>
  <c r="P24" i="173" s="1"/>
  <c r="N24" i="172"/>
  <c r="P24" i="172" s="1"/>
  <c r="O26" i="167"/>
  <c r="M17" i="183"/>
  <c r="N21" i="174"/>
  <c r="N26" i="174" s="1"/>
  <c r="E26" i="167"/>
  <c r="O29" i="170"/>
  <c r="O31" i="170" s="1"/>
  <c r="R21" i="171"/>
  <c r="R26" i="171" s="1"/>
  <c r="L33" i="181"/>
  <c r="L36" i="181" s="1"/>
  <c r="N16" i="175"/>
  <c r="N24" i="176"/>
  <c r="N21" i="177"/>
  <c r="N26" i="177" s="1"/>
  <c r="N21" i="178"/>
  <c r="N26" i="178" s="1"/>
  <c r="N23" i="180"/>
  <c r="N26" i="180" s="1"/>
  <c r="N16" i="176"/>
  <c r="N16" i="178"/>
  <c r="N23" i="179"/>
  <c r="N26" i="179" s="1"/>
  <c r="N24" i="181"/>
  <c r="N21" i="182"/>
  <c r="N26" i="181" l="1"/>
  <c r="H63" i="183"/>
  <c r="H61" i="183"/>
  <c r="H70" i="183"/>
  <c r="H72" i="183"/>
  <c r="H65" i="183"/>
  <c r="H66" i="183"/>
  <c r="H62" i="183"/>
  <c r="H71" i="183"/>
  <c r="H67" i="183"/>
  <c r="H64" i="183"/>
  <c r="H68" i="183"/>
  <c r="H69" i="183"/>
  <c r="N26" i="173"/>
  <c r="N26" i="182"/>
  <c r="N26" i="172"/>
  <c r="P23" i="171"/>
  <c r="P26" i="171"/>
  <c r="A25" i="171"/>
  <c r="A26" i="171" s="1"/>
  <c r="A28" i="171" s="1"/>
  <c r="A31" i="171" s="1"/>
  <c r="A34" i="171" s="1"/>
  <c r="M22" i="183"/>
  <c r="M66" i="183" s="1"/>
  <c r="M26" i="183"/>
  <c r="M70" i="183" s="1"/>
  <c r="M20" i="183"/>
  <c r="M64" i="183" s="1"/>
  <c r="M19" i="183"/>
  <c r="M63" i="183" s="1"/>
  <c r="M18" i="183"/>
  <c r="M62" i="183" s="1"/>
  <c r="M23" i="183"/>
  <c r="M67" i="183" s="1"/>
  <c r="M24" i="183"/>
  <c r="M68" i="183" s="1"/>
  <c r="R27" i="165"/>
  <c r="R24" i="173"/>
  <c r="F24" i="174" s="1"/>
  <c r="J24" i="174" s="1"/>
  <c r="P24" i="174" s="1"/>
  <c r="H29" i="184"/>
  <c r="H46" i="184" s="1"/>
  <c r="L17" i="173"/>
  <c r="L13" i="181"/>
  <c r="F12" i="170"/>
  <c r="L15" i="174" s="1"/>
  <c r="Q29" i="184"/>
  <c r="Q46" i="184" s="1"/>
  <c r="L17" i="182"/>
  <c r="L13" i="174"/>
  <c r="L13" i="180"/>
  <c r="F21" i="172"/>
  <c r="J23" i="173"/>
  <c r="P23" i="173" s="1"/>
  <c r="R23" i="173"/>
  <c r="F23" i="174" s="1"/>
  <c r="N29" i="184"/>
  <c r="N46" i="184" s="1"/>
  <c r="L17" i="179"/>
  <c r="H12" i="170"/>
  <c r="L15" i="176" s="1"/>
  <c r="R20" i="184"/>
  <c r="C12" i="170"/>
  <c r="R28" i="184"/>
  <c r="N15" i="173"/>
  <c r="L12" i="170"/>
  <c r="L15" i="180" s="1"/>
  <c r="L13" i="173"/>
  <c r="N15" i="175"/>
  <c r="R14" i="184"/>
  <c r="P29" i="184"/>
  <c r="P46" i="184" s="1"/>
  <c r="L17" i="181"/>
  <c r="Q26" i="167"/>
  <c r="K29" i="184"/>
  <c r="K46" i="184" s="1"/>
  <c r="L17" i="176"/>
  <c r="O29" i="184"/>
  <c r="O46" i="184" s="1"/>
  <c r="L17" i="180"/>
  <c r="L13" i="179"/>
  <c r="J29" i="184"/>
  <c r="J46" i="184" s="1"/>
  <c r="L17" i="175"/>
  <c r="N15" i="182"/>
  <c r="N15" i="177"/>
  <c r="N15" i="178"/>
  <c r="N15" i="179"/>
  <c r="H44" i="183"/>
  <c r="R11" i="184"/>
  <c r="F29" i="184"/>
  <c r="F46" i="184" s="1"/>
  <c r="R9" i="184"/>
  <c r="R21" i="184"/>
  <c r="G29" i="184"/>
  <c r="G46" i="184" s="1"/>
  <c r="L17" i="172"/>
  <c r="O33" i="170"/>
  <c r="M61" i="183"/>
  <c r="I29" i="184"/>
  <c r="I46" i="184" s="1"/>
  <c r="L17" i="174"/>
  <c r="L29" i="184"/>
  <c r="L46" i="184" s="1"/>
  <c r="L17" i="177"/>
  <c r="M29" i="184"/>
  <c r="M46" i="184" s="1"/>
  <c r="L17" i="178"/>
  <c r="R25" i="184"/>
  <c r="L13" i="175"/>
  <c r="R10" i="184"/>
  <c r="N15" i="172"/>
  <c r="R24" i="174" l="1"/>
  <c r="F24" i="175" s="1"/>
  <c r="J24" i="175" s="1"/>
  <c r="P24" i="175" s="1"/>
  <c r="M27" i="183"/>
  <c r="M71" i="183" s="1"/>
  <c r="M88" i="183" s="1"/>
  <c r="R29" i="184"/>
  <c r="K11" i="183" s="1"/>
  <c r="G15" i="170"/>
  <c r="L15" i="170"/>
  <c r="K15" i="170"/>
  <c r="N17" i="177"/>
  <c r="O11" i="170"/>
  <c r="L13" i="171"/>
  <c r="O10" i="170"/>
  <c r="C15" i="170"/>
  <c r="N17" i="178"/>
  <c r="N17" i="175"/>
  <c r="N17" i="181"/>
  <c r="N15" i="176"/>
  <c r="L13" i="177"/>
  <c r="I15" i="170"/>
  <c r="N17" i="173"/>
  <c r="L18" i="175"/>
  <c r="K21" i="183" s="1"/>
  <c r="N13" i="175"/>
  <c r="N17" i="176"/>
  <c r="N17" i="179"/>
  <c r="R21" i="172"/>
  <c r="J21" i="172"/>
  <c r="J26" i="172" s="1"/>
  <c r="F15" i="170"/>
  <c r="L17" i="171"/>
  <c r="O14" i="170"/>
  <c r="E15" i="170"/>
  <c r="R23" i="174"/>
  <c r="F23" i="175" s="1"/>
  <c r="J23" i="174"/>
  <c r="P23" i="174" s="1"/>
  <c r="N17" i="182"/>
  <c r="N15" i="174"/>
  <c r="L13" i="182"/>
  <c r="N15" i="170"/>
  <c r="L13" i="176"/>
  <c r="H15" i="170"/>
  <c r="K56" i="183"/>
  <c r="L18" i="179"/>
  <c r="K25" i="183" s="1"/>
  <c r="N13" i="179"/>
  <c r="L18" i="173"/>
  <c r="K19" i="183" s="1"/>
  <c r="N13" i="173"/>
  <c r="L15" i="171"/>
  <c r="O12" i="170"/>
  <c r="M15" i="170"/>
  <c r="L18" i="174"/>
  <c r="K20" i="183" s="1"/>
  <c r="N13" i="174"/>
  <c r="L13" i="178"/>
  <c r="J15" i="170"/>
  <c r="L13" i="172"/>
  <c r="D15" i="170"/>
  <c r="N17" i="174"/>
  <c r="N17" i="172"/>
  <c r="N17" i="180"/>
  <c r="N15" i="180"/>
  <c r="H88" i="183"/>
  <c r="L18" i="180"/>
  <c r="K26" i="183" s="1"/>
  <c r="N13" i="180"/>
  <c r="L18" i="181"/>
  <c r="K27" i="183" s="1"/>
  <c r="N13" i="181"/>
  <c r="R24" i="175" l="1"/>
  <c r="F24" i="176" s="1"/>
  <c r="R24" i="176" s="1"/>
  <c r="F24" i="177" s="1"/>
  <c r="M44" i="183"/>
  <c r="K55" i="183"/>
  <c r="N18" i="181"/>
  <c r="N28" i="181" s="1"/>
  <c r="N18" i="179"/>
  <c r="N28" i="179" s="1"/>
  <c r="N18" i="173"/>
  <c r="N28" i="173" s="1"/>
  <c r="K70" i="183"/>
  <c r="L18" i="172"/>
  <c r="K18" i="183" s="1"/>
  <c r="N13" i="172"/>
  <c r="N18" i="172" s="1"/>
  <c r="N28" i="172" s="1"/>
  <c r="N15" i="171"/>
  <c r="L18" i="176"/>
  <c r="K22" i="183" s="1"/>
  <c r="N13" i="176"/>
  <c r="N18" i="176" s="1"/>
  <c r="N28" i="176" s="1"/>
  <c r="J23" i="175"/>
  <c r="P23" i="175" s="1"/>
  <c r="R23" i="175"/>
  <c r="F23" i="176" s="1"/>
  <c r="K65" i="183"/>
  <c r="L28" i="175"/>
  <c r="N18" i="180"/>
  <c r="N28" i="180" s="1"/>
  <c r="K64" i="183"/>
  <c r="L28" i="174"/>
  <c r="K69" i="183"/>
  <c r="L28" i="179"/>
  <c r="K63" i="183"/>
  <c r="L28" i="173"/>
  <c r="N17" i="171"/>
  <c r="P21" i="172"/>
  <c r="O15" i="170"/>
  <c r="R46" i="184"/>
  <c r="J24" i="176"/>
  <c r="P24" i="176" s="1"/>
  <c r="F21" i="173"/>
  <c r="N13" i="171"/>
  <c r="L18" i="171"/>
  <c r="K17" i="183" s="1"/>
  <c r="L18" i="182"/>
  <c r="K28" i="183" s="1"/>
  <c r="N13" i="182"/>
  <c r="N18" i="182" s="1"/>
  <c r="N28" i="182" s="1"/>
  <c r="L28" i="181"/>
  <c r="K71" i="183"/>
  <c r="L18" i="178"/>
  <c r="K24" i="183" s="1"/>
  <c r="N13" i="178"/>
  <c r="N18" i="178" s="1"/>
  <c r="N28" i="178" s="1"/>
  <c r="N18" i="174"/>
  <c r="N28" i="174" s="1"/>
  <c r="N18" i="175"/>
  <c r="N28" i="175" s="1"/>
  <c r="L18" i="177"/>
  <c r="K23" i="183" s="1"/>
  <c r="N13" i="177"/>
  <c r="N18" i="177" s="1"/>
  <c r="N28" i="177" s="1"/>
  <c r="P26" i="172" l="1"/>
  <c r="F25" i="167"/>
  <c r="K61" i="183"/>
  <c r="J23" i="176"/>
  <c r="P23" i="176" s="1"/>
  <c r="R23" i="176"/>
  <c r="F23" i="177" s="1"/>
  <c r="L28" i="182"/>
  <c r="K72" i="183"/>
  <c r="K62" i="183"/>
  <c r="L28" i="172"/>
  <c r="K66" i="183"/>
  <c r="L28" i="176"/>
  <c r="K67" i="183"/>
  <c r="L28" i="177"/>
  <c r="J21" i="173"/>
  <c r="J26" i="173" s="1"/>
  <c r="R21" i="173"/>
  <c r="J24" i="177"/>
  <c r="P24" i="177" s="1"/>
  <c r="R24" i="177"/>
  <c r="F24" i="178" s="1"/>
  <c r="K68" i="183"/>
  <c r="L28" i="178"/>
  <c r="L28" i="171"/>
  <c r="N18" i="171"/>
  <c r="N28" i="171" s="1"/>
  <c r="K88" i="183" l="1"/>
  <c r="K44" i="183"/>
  <c r="J23" i="177"/>
  <c r="P23" i="177" s="1"/>
  <c r="R23" i="177"/>
  <c r="F23" i="178" s="1"/>
  <c r="J24" i="178"/>
  <c r="P24" i="178" s="1"/>
  <c r="R24" i="178"/>
  <c r="F24" i="179" s="1"/>
  <c r="P21" i="173"/>
  <c r="F21" i="174"/>
  <c r="G25" i="167" l="1"/>
  <c r="P26" i="173"/>
  <c r="J24" i="179"/>
  <c r="P24" i="179" s="1"/>
  <c r="R24" i="179"/>
  <c r="F24" i="180" s="1"/>
  <c r="J21" i="174"/>
  <c r="J26" i="174" s="1"/>
  <c r="R21" i="174"/>
  <c r="R23" i="178"/>
  <c r="F23" i="179" s="1"/>
  <c r="J23" i="178"/>
  <c r="P23" i="178" s="1"/>
  <c r="F21" i="175" l="1"/>
  <c r="R24" i="180"/>
  <c r="F24" i="181" s="1"/>
  <c r="J24" i="180"/>
  <c r="P24" i="180" s="1"/>
  <c r="P21" i="174"/>
  <c r="J23" i="179"/>
  <c r="P23" i="179" s="1"/>
  <c r="R23" i="179"/>
  <c r="F23" i="180" s="1"/>
  <c r="H25" i="167" l="1"/>
  <c r="P26" i="174"/>
  <c r="J23" i="180"/>
  <c r="P23" i="180" s="1"/>
  <c r="R23" i="180"/>
  <c r="F23" i="181" s="1"/>
  <c r="J24" i="181"/>
  <c r="P24" i="181" s="1"/>
  <c r="R24" i="181"/>
  <c r="F24" i="182" s="1"/>
  <c r="J21" i="175"/>
  <c r="J26" i="175" s="1"/>
  <c r="R21" i="175"/>
  <c r="F21" i="176" l="1"/>
  <c r="P21" i="175"/>
  <c r="J23" i="181"/>
  <c r="P23" i="181" s="1"/>
  <c r="R23" i="181"/>
  <c r="F23" i="182" s="1"/>
  <c r="J24" i="182"/>
  <c r="P24" i="182" s="1"/>
  <c r="R24" i="182"/>
  <c r="P26" i="175" l="1"/>
  <c r="I25" i="167"/>
  <c r="R21" i="176"/>
  <c r="J21" i="176"/>
  <c r="J26" i="176" s="1"/>
  <c r="J23" i="182"/>
  <c r="P23" i="182" s="1"/>
  <c r="R23" i="182"/>
  <c r="F21" i="177" l="1"/>
  <c r="P21" i="176"/>
  <c r="J25" i="167" l="1"/>
  <c r="P26" i="176"/>
  <c r="J21" i="177"/>
  <c r="J26" i="177" s="1"/>
  <c r="R21" i="177"/>
  <c r="F21" i="178" l="1"/>
  <c r="P21" i="177"/>
  <c r="K25" i="167" l="1"/>
  <c r="P26" i="177"/>
  <c r="J21" i="178"/>
  <c r="J26" i="178" s="1"/>
  <c r="R21" i="178"/>
  <c r="F21" i="179" l="1"/>
  <c r="P21" i="178"/>
  <c r="P26" i="178" l="1"/>
  <c r="L25" i="167"/>
  <c r="J21" i="179"/>
  <c r="J26" i="179" s="1"/>
  <c r="R21" i="179"/>
  <c r="P21" i="179" l="1"/>
  <c r="F21" i="180"/>
  <c r="P26" i="179" l="1"/>
  <c r="M25" i="167"/>
  <c r="J21" i="180"/>
  <c r="J26" i="180" s="1"/>
  <c r="R21" i="180"/>
  <c r="F21" i="181" l="1"/>
  <c r="F26" i="181" s="1"/>
  <c r="P21" i="180"/>
  <c r="N25" i="167" l="1"/>
  <c r="P26" i="180"/>
  <c r="J21" i="181"/>
  <c r="J26" i="181" s="1"/>
  <c r="R21" i="181"/>
  <c r="R26" i="181" s="1"/>
  <c r="F21" i="182" l="1"/>
  <c r="F26" i="182" s="1"/>
  <c r="P21" i="181"/>
  <c r="P26" i="181" l="1"/>
  <c r="J21" i="182"/>
  <c r="J26" i="182" s="1"/>
  <c r="R21" i="182"/>
  <c r="R26" i="182" s="1"/>
  <c r="P21" i="182" l="1"/>
  <c r="P26" i="182" l="1"/>
  <c r="A339" i="165"/>
  <c r="A338" i="165"/>
  <c r="A337" i="165"/>
  <c r="A336" i="165"/>
  <c r="A335" i="165"/>
  <c r="A334" i="165"/>
  <c r="A333" i="165"/>
  <c r="A332" i="165"/>
  <c r="A331" i="165"/>
  <c r="A330" i="165"/>
  <c r="A329" i="165"/>
  <c r="A328" i="165"/>
  <c r="A327" i="165"/>
  <c r="A326" i="165"/>
  <c r="A325" i="165"/>
  <c r="A324" i="165"/>
  <c r="A323" i="165"/>
  <c r="A322" i="165"/>
  <c r="A321" i="165"/>
  <c r="A320" i="165"/>
  <c r="A319" i="165"/>
  <c r="A318" i="165"/>
  <c r="A317" i="165"/>
  <c r="A316" i="165"/>
  <c r="A315" i="165"/>
  <c r="A314" i="165"/>
  <c r="A313" i="165"/>
  <c r="A312" i="165"/>
  <c r="A311" i="165"/>
  <c r="A310" i="165"/>
  <c r="A309" i="165"/>
  <c r="A308" i="165"/>
  <c r="A307" i="165"/>
  <c r="A306" i="165"/>
  <c r="A305" i="165"/>
  <c r="A304" i="165"/>
  <c r="A303" i="165"/>
  <c r="A302" i="165"/>
  <c r="A301" i="165"/>
  <c r="A300" i="165"/>
  <c r="A299" i="165"/>
  <c r="A298" i="165"/>
  <c r="A297" i="165"/>
  <c r="A296" i="165"/>
  <c r="A295" i="165"/>
  <c r="A294" i="165"/>
  <c r="A293" i="165"/>
  <c r="A292" i="165"/>
  <c r="A291" i="165"/>
  <c r="A290" i="165"/>
  <c r="A289" i="165"/>
  <c r="A288" i="165"/>
  <c r="A287" i="165"/>
  <c r="A286" i="165"/>
  <c r="A285" i="165"/>
  <c r="A284" i="165"/>
  <c r="A283" i="165"/>
  <c r="A282" i="165"/>
  <c r="A281" i="165"/>
  <c r="A280" i="165"/>
  <c r="A279" i="165"/>
  <c r="A278" i="165"/>
  <c r="A277" i="165"/>
  <c r="A276" i="165"/>
  <c r="A275" i="165"/>
  <c r="A274" i="165"/>
  <c r="A273" i="165"/>
  <c r="A272" i="165"/>
  <c r="A271" i="165"/>
  <c r="A270" i="165"/>
  <c r="A269" i="165"/>
  <c r="A268" i="165"/>
  <c r="A267" i="165"/>
  <c r="A266" i="165"/>
  <c r="A265" i="165"/>
  <c r="A264" i="165"/>
  <c r="A263" i="165"/>
  <c r="A262" i="165"/>
  <c r="A261" i="165"/>
  <c r="A260" i="165"/>
  <c r="A259" i="165"/>
  <c r="A258" i="165"/>
  <c r="A257" i="165"/>
  <c r="A256" i="165"/>
  <c r="A255" i="165"/>
  <c r="A254" i="165"/>
  <c r="A253" i="165"/>
  <c r="A252" i="165"/>
  <c r="A251" i="165"/>
  <c r="A250" i="165"/>
  <c r="A249" i="165"/>
  <c r="A248" i="165"/>
  <c r="A247" i="165"/>
  <c r="A246" i="165"/>
  <c r="A245" i="165"/>
  <c r="A244" i="165"/>
  <c r="A243" i="165"/>
  <c r="A242" i="165"/>
  <c r="A241" i="165"/>
  <c r="A240" i="165"/>
  <c r="A239" i="165"/>
  <c r="A238" i="165"/>
  <c r="A237" i="165"/>
  <c r="A236" i="165"/>
  <c r="A235" i="165"/>
  <c r="A234" i="165"/>
  <c r="A233" i="165"/>
  <c r="A232" i="165"/>
  <c r="A231" i="165"/>
  <c r="A230" i="165"/>
  <c r="A229" i="165"/>
  <c r="A228" i="165"/>
  <c r="A227" i="165"/>
  <c r="A226" i="165"/>
  <c r="A225" i="165"/>
  <c r="A224" i="165"/>
  <c r="A223" i="165"/>
  <c r="A222" i="165"/>
  <c r="A221" i="165"/>
  <c r="A220" i="165"/>
  <c r="A219" i="165"/>
  <c r="A218" i="165"/>
  <c r="A217" i="165"/>
  <c r="A216" i="165"/>
  <c r="A215" i="165"/>
  <c r="A214" i="165"/>
  <c r="A213" i="165"/>
  <c r="A212" i="165"/>
  <c r="A211" i="165"/>
  <c r="A210" i="165"/>
  <c r="A209" i="165"/>
  <c r="A208" i="165"/>
  <c r="A207" i="165"/>
  <c r="A206" i="165"/>
  <c r="A205" i="165"/>
  <c r="A204" i="165"/>
  <c r="A203" i="165"/>
  <c r="A202" i="165"/>
  <c r="A201" i="165"/>
  <c r="A200" i="165"/>
  <c r="A199" i="165"/>
  <c r="A198" i="165"/>
  <c r="A197" i="165"/>
  <c r="A196" i="165"/>
  <c r="A195" i="165"/>
  <c r="A194" i="165"/>
  <c r="A193" i="165"/>
  <c r="A192" i="165"/>
  <c r="A191" i="165"/>
  <c r="A190" i="165"/>
  <c r="A189" i="165"/>
  <c r="A188" i="165"/>
  <c r="A187" i="165"/>
  <c r="A186" i="165"/>
  <c r="A185" i="165"/>
  <c r="A184" i="165"/>
  <c r="A183" i="165"/>
  <c r="A182" i="165"/>
  <c r="A181" i="165"/>
  <c r="A180" i="165"/>
  <c r="A179" i="165"/>
  <c r="A178" i="165"/>
  <c r="A177" i="165"/>
  <c r="A176" i="165"/>
  <c r="A175" i="165"/>
  <c r="A174" i="165"/>
  <c r="A173" i="165"/>
  <c r="A172" i="165"/>
  <c r="A171" i="165"/>
  <c r="A170" i="165"/>
  <c r="A169" i="165"/>
  <c r="A168" i="165"/>
  <c r="A167" i="165"/>
  <c r="A166" i="165"/>
  <c r="A165" i="165"/>
  <c r="A164" i="165"/>
  <c r="A163" i="165"/>
  <c r="A162" i="165"/>
  <c r="A161" i="165"/>
  <c r="A160" i="165"/>
  <c r="A159" i="165"/>
  <c r="A158" i="165"/>
  <c r="A157" i="165"/>
  <c r="A156" i="165"/>
  <c r="A155" i="165"/>
  <c r="A154" i="165"/>
  <c r="A153" i="165"/>
  <c r="A152" i="165"/>
  <c r="A151" i="165"/>
  <c r="A150" i="165"/>
  <c r="A149" i="165"/>
  <c r="A148" i="165"/>
  <c r="A147" i="165"/>
  <c r="A146" i="165"/>
  <c r="A145" i="165"/>
  <c r="A144" i="165"/>
  <c r="A143" i="165"/>
  <c r="A142" i="165"/>
  <c r="A141" i="165"/>
  <c r="A140" i="165"/>
  <c r="A139" i="165"/>
  <c r="A138" i="165"/>
  <c r="A137" i="165"/>
  <c r="A136" i="165"/>
  <c r="A135" i="165"/>
  <c r="A134" i="165"/>
  <c r="A133" i="165"/>
  <c r="A132" i="165"/>
  <c r="A131" i="165"/>
  <c r="A130" i="165"/>
  <c r="A129" i="165"/>
  <c r="A128" i="165"/>
  <c r="A127" i="165"/>
  <c r="A126" i="165"/>
  <c r="A125" i="165"/>
  <c r="A124" i="165"/>
  <c r="A123" i="165"/>
  <c r="A122" i="165"/>
  <c r="A121" i="165"/>
  <c r="A120" i="165"/>
  <c r="A119" i="165"/>
  <c r="A118" i="165"/>
  <c r="A117" i="165"/>
  <c r="A116" i="165"/>
  <c r="A115" i="165"/>
  <c r="A114" i="165"/>
  <c r="A113" i="165"/>
  <c r="A112" i="165"/>
  <c r="A111" i="165"/>
  <c r="A110" i="165"/>
  <c r="A109" i="165"/>
  <c r="A108" i="165"/>
  <c r="A107" i="165"/>
  <c r="A106" i="165"/>
  <c r="A105" i="165"/>
  <c r="A104" i="165"/>
  <c r="A103" i="165"/>
  <c r="A102" i="165"/>
  <c r="A101" i="165"/>
  <c r="A100" i="165"/>
  <c r="A99" i="165"/>
  <c r="A98" i="165"/>
  <c r="A97" i="165"/>
  <c r="A96" i="165"/>
  <c r="A95" i="165"/>
  <c r="A94" i="165"/>
  <c r="A93" i="165"/>
  <c r="A92" i="165"/>
  <c r="A91" i="165"/>
  <c r="A90" i="165"/>
  <c r="A89" i="165"/>
  <c r="A88" i="165"/>
  <c r="A87" i="165"/>
  <c r="A86" i="165"/>
  <c r="A85" i="165"/>
  <c r="A84" i="165"/>
  <c r="A83" i="165"/>
  <c r="A82" i="165"/>
  <c r="A81" i="165"/>
  <c r="A80" i="165"/>
  <c r="A79" i="165"/>
  <c r="A78" i="165"/>
  <c r="A77" i="165"/>
  <c r="A76" i="165"/>
  <c r="A75" i="165"/>
  <c r="A74" i="165"/>
  <c r="A73" i="165"/>
  <c r="A72" i="165"/>
  <c r="A71" i="165"/>
  <c r="A70" i="165"/>
  <c r="A69" i="165"/>
  <c r="A68" i="165"/>
  <c r="A67" i="165"/>
  <c r="A66" i="165"/>
  <c r="A65" i="165"/>
  <c r="A64" i="165"/>
  <c r="A63" i="165"/>
  <c r="A62" i="165"/>
  <c r="A61" i="165"/>
  <c r="A60" i="165"/>
  <c r="A59" i="165"/>
  <c r="A58" i="165"/>
  <c r="A57" i="165"/>
  <c r="A56" i="165"/>
  <c r="A55" i="165" l="1"/>
  <c r="C14" i="149" s="1"/>
  <c r="J45" i="165"/>
  <c r="G45" i="165" l="1"/>
  <c r="H45" i="165"/>
  <c r="I45" i="165"/>
  <c r="K45" i="165"/>
  <c r="L45" i="165"/>
  <c r="M45" i="165"/>
  <c r="N45" i="165"/>
  <c r="O45" i="165"/>
  <c r="P45" i="165"/>
  <c r="Q45" i="165"/>
  <c r="R45" i="165"/>
  <c r="F45" i="165"/>
  <c r="F10" i="135" l="1"/>
  <c r="E9" i="8" l="1"/>
  <c r="G9" i="8" s="1"/>
  <c r="E10" i="8"/>
  <c r="G10" i="8" s="1"/>
  <c r="E11" i="8"/>
  <c r="F11" i="8" l="1"/>
  <c r="G11" i="8"/>
  <c r="G12" i="8"/>
  <c r="A35" i="139"/>
  <c r="A35" i="138"/>
  <c r="H13" i="162" l="1"/>
  <c r="L72" i="130"/>
  <c r="L73" i="130"/>
  <c r="L74" i="130"/>
  <c r="L75" i="130"/>
  <c r="L76" i="130"/>
  <c r="L77" i="130"/>
  <c r="L78" i="130"/>
  <c r="L79" i="130"/>
  <c r="L80" i="130"/>
  <c r="L81" i="130"/>
  <c r="L82" i="130"/>
  <c r="L83" i="130"/>
  <c r="L84" i="130"/>
  <c r="L85" i="130"/>
  <c r="L86" i="130"/>
  <c r="H56" i="130"/>
  <c r="J12" i="183" l="1"/>
  <c r="L12" i="108" l="1"/>
  <c r="M12" i="108" s="1"/>
  <c r="G12" i="162" l="1"/>
  <c r="G12" i="130"/>
  <c r="D10" i="114"/>
  <c r="E10" i="114"/>
  <c r="F10" i="114"/>
  <c r="G10" i="114"/>
  <c r="H10" i="114"/>
  <c r="I10" i="114"/>
  <c r="J10" i="114"/>
  <c r="K10" i="114"/>
  <c r="L10" i="114"/>
  <c r="M10" i="114"/>
  <c r="N10" i="114"/>
  <c r="D12" i="114"/>
  <c r="E12" i="114"/>
  <c r="F12" i="114"/>
  <c r="G12" i="114"/>
  <c r="H12" i="114"/>
  <c r="I12" i="114"/>
  <c r="J12" i="114"/>
  <c r="K12" i="114"/>
  <c r="L12" i="114"/>
  <c r="M12" i="114"/>
  <c r="N12" i="114"/>
  <c r="C12" i="114"/>
  <c r="C10" i="114"/>
  <c r="R23" i="128"/>
  <c r="R24" i="128"/>
  <c r="R25" i="128"/>
  <c r="R26" i="128"/>
  <c r="R27" i="128"/>
  <c r="R28" i="128"/>
  <c r="R29" i="128"/>
  <c r="R30" i="128"/>
  <c r="R31" i="128"/>
  <c r="R32" i="128"/>
  <c r="R33" i="128"/>
  <c r="R37" i="128"/>
  <c r="M72" i="130" l="1"/>
  <c r="M73" i="130"/>
  <c r="M74" i="130"/>
  <c r="M75" i="130"/>
  <c r="M76" i="130"/>
  <c r="M77" i="130"/>
  <c r="M78" i="130"/>
  <c r="M79" i="130"/>
  <c r="M80" i="130"/>
  <c r="M81" i="130"/>
  <c r="M82" i="130"/>
  <c r="M83" i="130"/>
  <c r="M84" i="130"/>
  <c r="M85" i="130"/>
  <c r="M86" i="130"/>
  <c r="R44" i="128" l="1"/>
  <c r="R45" i="128"/>
  <c r="R46" i="128"/>
  <c r="R47" i="128"/>
  <c r="R48" i="128"/>
  <c r="R38" i="128"/>
  <c r="R36" i="128"/>
  <c r="R35" i="128"/>
  <c r="R34" i="128"/>
  <c r="R22" i="128"/>
  <c r="R21" i="128"/>
  <c r="R20" i="128"/>
  <c r="R19" i="128"/>
  <c r="R18" i="128"/>
  <c r="R17" i="128"/>
  <c r="R16" i="128"/>
  <c r="R15" i="128"/>
  <c r="R14" i="128"/>
  <c r="R13" i="128"/>
  <c r="R12" i="128"/>
  <c r="R11" i="128"/>
  <c r="R10" i="128"/>
  <c r="R9" i="128"/>
  <c r="R8" i="128"/>
  <c r="H12" i="130" s="1"/>
  <c r="H12" i="162" s="1"/>
  <c r="R52" i="128"/>
  <c r="R51" i="128"/>
  <c r="R50" i="128"/>
  <c r="R49" i="128"/>
  <c r="R42" i="128"/>
  <c r="R43" i="128"/>
  <c r="D27" i="149" l="1"/>
  <c r="E27" i="149"/>
  <c r="F27" i="149"/>
  <c r="G27" i="149"/>
  <c r="H27" i="149"/>
  <c r="I27" i="149"/>
  <c r="J27" i="149"/>
  <c r="K27" i="149"/>
  <c r="L27" i="149"/>
  <c r="M27" i="149"/>
  <c r="N27" i="149"/>
  <c r="D28" i="149"/>
  <c r="E28" i="149"/>
  <c r="F28" i="149"/>
  <c r="G28" i="149"/>
  <c r="H28" i="149"/>
  <c r="I28" i="149"/>
  <c r="J28" i="149"/>
  <c r="K28" i="149"/>
  <c r="L28" i="149"/>
  <c r="M28" i="149"/>
  <c r="N28" i="149"/>
  <c r="C28" i="149"/>
  <c r="C27" i="149"/>
  <c r="D26" i="149"/>
  <c r="E26" i="149"/>
  <c r="F26" i="149"/>
  <c r="G26" i="149"/>
  <c r="H26" i="149"/>
  <c r="I26" i="149"/>
  <c r="J26" i="149"/>
  <c r="K26" i="149"/>
  <c r="L26" i="149"/>
  <c r="M26" i="149"/>
  <c r="N26" i="149"/>
  <c r="D12" i="168" s="1"/>
  <c r="C26" i="149"/>
  <c r="D12" i="149"/>
  <c r="E12" i="149"/>
  <c r="F12" i="149"/>
  <c r="G12" i="149"/>
  <c r="H12" i="149"/>
  <c r="I12" i="149"/>
  <c r="J12" i="149"/>
  <c r="K12" i="149"/>
  <c r="L12" i="149"/>
  <c r="M12" i="149"/>
  <c r="N12" i="149"/>
  <c r="C12" i="149"/>
  <c r="I11" i="162"/>
  <c r="J11" i="183" s="1"/>
  <c r="E12" i="168" l="1"/>
  <c r="F12" i="168" s="1"/>
  <c r="G12" i="168" s="1"/>
  <c r="H12" i="168" s="1"/>
  <c r="I12" i="168" s="1"/>
  <c r="J12" i="168" s="1"/>
  <c r="K12" i="168" s="1"/>
  <c r="L12" i="168" s="1"/>
  <c r="M12" i="168" s="1"/>
  <c r="N12" i="168" s="1"/>
  <c r="O12" i="168" s="1"/>
  <c r="P12" i="168" s="1"/>
  <c r="J20" i="183"/>
  <c r="J26" i="183"/>
  <c r="J25" i="183"/>
  <c r="J21" i="183"/>
  <c r="J27" i="183"/>
  <c r="J28" i="183"/>
  <c r="J22" i="183"/>
  <c r="J23" i="183"/>
  <c r="J17" i="183"/>
  <c r="J18" i="183"/>
  <c r="J24" i="183"/>
  <c r="J55" i="183"/>
  <c r="J19" i="183"/>
  <c r="P26" i="146"/>
  <c r="D26" i="167" s="1"/>
  <c r="L26" i="146"/>
  <c r="H26" i="146"/>
  <c r="M87" i="162"/>
  <c r="N87" i="162" s="1"/>
  <c r="R87" i="162" s="1"/>
  <c r="M86" i="162"/>
  <c r="N86" i="162" s="1"/>
  <c r="R86" i="162" s="1"/>
  <c r="M85" i="162"/>
  <c r="N85" i="162" s="1"/>
  <c r="R85" i="162" s="1"/>
  <c r="M84" i="162"/>
  <c r="N84" i="162" s="1"/>
  <c r="R84" i="162" s="1"/>
  <c r="M83" i="162"/>
  <c r="N83" i="162" s="1"/>
  <c r="R83" i="162" s="1"/>
  <c r="M82" i="162"/>
  <c r="N82" i="162" s="1"/>
  <c r="R82" i="162" s="1"/>
  <c r="M81" i="162"/>
  <c r="N81" i="162" s="1"/>
  <c r="R81" i="162" s="1"/>
  <c r="N80" i="162"/>
  <c r="R80" i="162" s="1"/>
  <c r="M80" i="162"/>
  <c r="M79" i="162"/>
  <c r="N79" i="162" s="1"/>
  <c r="R79" i="162" s="1"/>
  <c r="M78" i="162"/>
  <c r="N78" i="162" s="1"/>
  <c r="R78" i="162" s="1"/>
  <c r="M77" i="162"/>
  <c r="N77" i="162" s="1"/>
  <c r="R77" i="162" s="1"/>
  <c r="M76" i="162"/>
  <c r="N76" i="162" s="1"/>
  <c r="R76" i="162" s="1"/>
  <c r="M75" i="162"/>
  <c r="N75" i="162" s="1"/>
  <c r="R75" i="162" s="1"/>
  <c r="M74" i="162"/>
  <c r="N74" i="162" s="1"/>
  <c r="R74" i="162" s="1"/>
  <c r="M73" i="162"/>
  <c r="N73" i="162" s="1"/>
  <c r="R73" i="162" s="1"/>
  <c r="A62" i="162"/>
  <c r="A63" i="162" s="1"/>
  <c r="A64" i="162" s="1"/>
  <c r="A65" i="162" s="1"/>
  <c r="A66" i="162" s="1"/>
  <c r="A67" i="162" s="1"/>
  <c r="A68" i="162" s="1"/>
  <c r="A69" i="162" s="1"/>
  <c r="A70" i="162" s="1"/>
  <c r="A71" i="162" s="1"/>
  <c r="A72" i="162" s="1"/>
  <c r="A73" i="162" s="1"/>
  <c r="A74" i="162" s="1"/>
  <c r="A75" i="162" s="1"/>
  <c r="A76" i="162" s="1"/>
  <c r="A77" i="162" s="1"/>
  <c r="A78" i="162" s="1"/>
  <c r="A79" i="162" s="1"/>
  <c r="A80" i="162" s="1"/>
  <c r="A81" i="162" s="1"/>
  <c r="A82" i="162" s="1"/>
  <c r="A83" i="162" s="1"/>
  <c r="A84" i="162" s="1"/>
  <c r="A85" i="162" s="1"/>
  <c r="A86" i="162" s="1"/>
  <c r="A87" i="162" s="1"/>
  <c r="A88" i="162" s="1"/>
  <c r="A61" i="162"/>
  <c r="R43" i="162"/>
  <c r="Q43" i="162"/>
  <c r="R42" i="162"/>
  <c r="Q42" i="162"/>
  <c r="R41" i="162"/>
  <c r="Q41" i="162"/>
  <c r="R40" i="162"/>
  <c r="Q40" i="162"/>
  <c r="R39" i="162"/>
  <c r="Q39" i="162"/>
  <c r="R38" i="162"/>
  <c r="Q38" i="162"/>
  <c r="R37" i="162"/>
  <c r="Q37" i="162"/>
  <c r="R36" i="162"/>
  <c r="Q36" i="162"/>
  <c r="R35" i="162"/>
  <c r="Q35" i="162"/>
  <c r="R34" i="162"/>
  <c r="Q34" i="162"/>
  <c r="R33" i="162"/>
  <c r="Q33" i="162"/>
  <c r="R32" i="162"/>
  <c r="Q32" i="162"/>
  <c r="R31" i="162"/>
  <c r="Q31" i="162"/>
  <c r="R30" i="162"/>
  <c r="Q30" i="162"/>
  <c r="Q29" i="162"/>
  <c r="A17" i="162"/>
  <c r="A18" i="162" s="1"/>
  <c r="A19" i="162" s="1"/>
  <c r="A20" i="162" s="1"/>
  <c r="A21" i="162" s="1"/>
  <c r="A22" i="162" s="1"/>
  <c r="A23" i="162" s="1"/>
  <c r="A24" i="162" s="1"/>
  <c r="A25" i="162" s="1"/>
  <c r="A26" i="162" s="1"/>
  <c r="A27" i="162" s="1"/>
  <c r="A28" i="162" s="1"/>
  <c r="A29" i="162" s="1"/>
  <c r="A30" i="162" s="1"/>
  <c r="A31" i="162" s="1"/>
  <c r="A32" i="162" s="1"/>
  <c r="A33" i="162" s="1"/>
  <c r="A34" i="162" s="1"/>
  <c r="A35" i="162" s="1"/>
  <c r="A36" i="162" s="1"/>
  <c r="A37" i="162" s="1"/>
  <c r="A38" i="162" s="1"/>
  <c r="A39" i="162" s="1"/>
  <c r="A40" i="162" s="1"/>
  <c r="A41" i="162" s="1"/>
  <c r="A42" i="162" s="1"/>
  <c r="A43" i="162" s="1"/>
  <c r="A44" i="162" s="1"/>
  <c r="I56" i="162"/>
  <c r="P31" i="161"/>
  <c r="N31" i="161"/>
  <c r="J31" i="161"/>
  <c r="L30" i="161"/>
  <c r="L29" i="161"/>
  <c r="L22" i="161"/>
  <c r="H22" i="161"/>
  <c r="L21" i="161"/>
  <c r="H21" i="161"/>
  <c r="L20" i="161"/>
  <c r="H20" i="161"/>
  <c r="H16" i="161"/>
  <c r="H15" i="161"/>
  <c r="H14" i="161"/>
  <c r="A14" i="161"/>
  <c r="A15" i="161" s="1"/>
  <c r="A16" i="161" s="1"/>
  <c r="A17" i="161" s="1"/>
  <c r="A20" i="161" s="1"/>
  <c r="A21" i="161" s="1"/>
  <c r="A22" i="161" s="1"/>
  <c r="A23" i="161" s="1"/>
  <c r="A25" i="161" s="1"/>
  <c r="A28" i="161" s="1"/>
  <c r="A29" i="161" s="1"/>
  <c r="A30" i="161" s="1"/>
  <c r="A31" i="161" s="1"/>
  <c r="H13" i="161"/>
  <c r="P31" i="160"/>
  <c r="N31" i="160"/>
  <c r="J31" i="160"/>
  <c r="L30" i="160"/>
  <c r="L22" i="160"/>
  <c r="H22" i="160"/>
  <c r="N22" i="160" s="1"/>
  <c r="L21" i="160"/>
  <c r="H21" i="160"/>
  <c r="N21" i="160" s="1"/>
  <c r="L20" i="160"/>
  <c r="L23" i="160" s="1"/>
  <c r="H20" i="160"/>
  <c r="N20" i="160" s="1"/>
  <c r="H16" i="160"/>
  <c r="H15" i="160"/>
  <c r="A15" i="160"/>
  <c r="A16" i="160" s="1"/>
  <c r="A17" i="160" s="1"/>
  <c r="A20" i="160" s="1"/>
  <c r="A21" i="160" s="1"/>
  <c r="A22" i="160" s="1"/>
  <c r="A23" i="160" s="1"/>
  <c r="A25" i="160" s="1"/>
  <c r="A28" i="160" s="1"/>
  <c r="A29" i="160" s="1"/>
  <c r="A30" i="160" s="1"/>
  <c r="A31" i="160" s="1"/>
  <c r="H14" i="160"/>
  <c r="A14" i="160"/>
  <c r="H13" i="160"/>
  <c r="P31" i="159"/>
  <c r="N31" i="159"/>
  <c r="J31" i="159"/>
  <c r="L30" i="159"/>
  <c r="L22" i="159"/>
  <c r="H22" i="159"/>
  <c r="L21" i="159"/>
  <c r="H21" i="159"/>
  <c r="N20" i="159"/>
  <c r="L20" i="159"/>
  <c r="H20" i="159"/>
  <c r="L16" i="159"/>
  <c r="H16" i="159"/>
  <c r="L15" i="159"/>
  <c r="H15" i="159"/>
  <c r="H14" i="159"/>
  <c r="A14" i="159"/>
  <c r="A15" i="159" s="1"/>
  <c r="A16" i="159" s="1"/>
  <c r="A17" i="159" s="1"/>
  <c r="A20" i="159" s="1"/>
  <c r="A21" i="159" s="1"/>
  <c r="A22" i="159" s="1"/>
  <c r="A23" i="159" s="1"/>
  <c r="A25" i="159" s="1"/>
  <c r="A28" i="159" s="1"/>
  <c r="A29" i="159" s="1"/>
  <c r="A30" i="159" s="1"/>
  <c r="A31" i="159" s="1"/>
  <c r="H13" i="159"/>
  <c r="P31" i="158"/>
  <c r="N31" i="158"/>
  <c r="J31" i="158"/>
  <c r="L30" i="158"/>
  <c r="L29" i="158"/>
  <c r="N22" i="158"/>
  <c r="L22" i="158"/>
  <c r="H22" i="158"/>
  <c r="L21" i="158"/>
  <c r="H21" i="158"/>
  <c r="L20" i="158"/>
  <c r="H20" i="158"/>
  <c r="L16" i="158"/>
  <c r="H16" i="158"/>
  <c r="H15" i="158"/>
  <c r="A15" i="158"/>
  <c r="A16" i="158" s="1"/>
  <c r="A17" i="158" s="1"/>
  <c r="A20" i="158" s="1"/>
  <c r="A21" i="158" s="1"/>
  <c r="A22" i="158" s="1"/>
  <c r="A23" i="158" s="1"/>
  <c r="A25" i="158" s="1"/>
  <c r="A28" i="158" s="1"/>
  <c r="A29" i="158" s="1"/>
  <c r="A30" i="158" s="1"/>
  <c r="A31" i="158" s="1"/>
  <c r="L14" i="158"/>
  <c r="H14" i="158"/>
  <c r="A14" i="158"/>
  <c r="L13" i="158"/>
  <c r="H13" i="158"/>
  <c r="P31" i="157"/>
  <c r="N31" i="157"/>
  <c r="J31" i="157"/>
  <c r="L30" i="157"/>
  <c r="L29" i="157"/>
  <c r="L22" i="157"/>
  <c r="H22" i="157"/>
  <c r="N22" i="157" s="1"/>
  <c r="L21" i="157"/>
  <c r="H21" i="157"/>
  <c r="N20" i="157"/>
  <c r="L20" i="157"/>
  <c r="H20" i="157"/>
  <c r="L16" i="157"/>
  <c r="H16" i="157"/>
  <c r="L15" i="157"/>
  <c r="H15" i="157"/>
  <c r="H14" i="157"/>
  <c r="A14" i="157"/>
  <c r="A15" i="157" s="1"/>
  <c r="A16" i="157" s="1"/>
  <c r="A17" i="157" s="1"/>
  <c r="A20" i="157" s="1"/>
  <c r="A21" i="157" s="1"/>
  <c r="A22" i="157" s="1"/>
  <c r="A23" i="157" s="1"/>
  <c r="A25" i="157" s="1"/>
  <c r="A28" i="157" s="1"/>
  <c r="A29" i="157" s="1"/>
  <c r="A30" i="157" s="1"/>
  <c r="A31" i="157" s="1"/>
  <c r="H13" i="157"/>
  <c r="P31" i="156"/>
  <c r="N31" i="156"/>
  <c r="J31" i="156"/>
  <c r="L30" i="156"/>
  <c r="L29" i="156"/>
  <c r="L28" i="156"/>
  <c r="L22" i="156"/>
  <c r="H22" i="156"/>
  <c r="N22" i="156" s="1"/>
  <c r="L21" i="156"/>
  <c r="H21" i="156"/>
  <c r="L20" i="156"/>
  <c r="H20" i="156"/>
  <c r="L16" i="156"/>
  <c r="H16" i="156"/>
  <c r="L15" i="156"/>
  <c r="H15" i="156"/>
  <c r="H14" i="156"/>
  <c r="A14" i="156"/>
  <c r="A15" i="156" s="1"/>
  <c r="A16" i="156" s="1"/>
  <c r="A17" i="156" s="1"/>
  <c r="A20" i="156" s="1"/>
  <c r="A21" i="156" s="1"/>
  <c r="A22" i="156" s="1"/>
  <c r="A23" i="156" s="1"/>
  <c r="A25" i="156" s="1"/>
  <c r="A28" i="156" s="1"/>
  <c r="A29" i="156" s="1"/>
  <c r="A30" i="156" s="1"/>
  <c r="A31" i="156" s="1"/>
  <c r="H13" i="156"/>
  <c r="P31" i="155"/>
  <c r="N31" i="155"/>
  <c r="J31" i="155"/>
  <c r="L30" i="155"/>
  <c r="L28" i="155"/>
  <c r="L22" i="155"/>
  <c r="H22" i="155"/>
  <c r="L21" i="155"/>
  <c r="H21" i="155"/>
  <c r="L20" i="155"/>
  <c r="H20" i="155"/>
  <c r="H16" i="155"/>
  <c r="H15" i="155"/>
  <c r="H14" i="155"/>
  <c r="A14" i="155"/>
  <c r="A15" i="155" s="1"/>
  <c r="A16" i="155" s="1"/>
  <c r="A17" i="155" s="1"/>
  <c r="A20" i="155" s="1"/>
  <c r="A21" i="155" s="1"/>
  <c r="A22" i="155" s="1"/>
  <c r="A23" i="155" s="1"/>
  <c r="A25" i="155" s="1"/>
  <c r="A28" i="155" s="1"/>
  <c r="A29" i="155" s="1"/>
  <c r="A30" i="155" s="1"/>
  <c r="A31" i="155" s="1"/>
  <c r="H13" i="155"/>
  <c r="P31" i="154"/>
  <c r="N31" i="154"/>
  <c r="J31" i="154"/>
  <c r="L30" i="154"/>
  <c r="L22" i="154"/>
  <c r="H22" i="154"/>
  <c r="L21" i="154"/>
  <c r="H21" i="154"/>
  <c r="N21" i="154" s="1"/>
  <c r="L20" i="154"/>
  <c r="L23" i="154" s="1"/>
  <c r="H20" i="154"/>
  <c r="L16" i="154"/>
  <c r="H16" i="154"/>
  <c r="H15" i="154"/>
  <c r="L14" i="154"/>
  <c r="H14" i="154"/>
  <c r="A14" i="154"/>
  <c r="A15" i="154" s="1"/>
  <c r="A16" i="154" s="1"/>
  <c r="A17" i="154" s="1"/>
  <c r="A20" i="154" s="1"/>
  <c r="A21" i="154" s="1"/>
  <c r="A22" i="154" s="1"/>
  <c r="A23" i="154" s="1"/>
  <c r="A25" i="154" s="1"/>
  <c r="A28" i="154" s="1"/>
  <c r="A29" i="154" s="1"/>
  <c r="A30" i="154" s="1"/>
  <c r="A31" i="154" s="1"/>
  <c r="L13" i="154"/>
  <c r="H13" i="154"/>
  <c r="P31" i="153"/>
  <c r="N31" i="153"/>
  <c r="J31" i="153"/>
  <c r="L30" i="153"/>
  <c r="L29" i="153"/>
  <c r="L22" i="153"/>
  <c r="H22" i="153"/>
  <c r="N22" i="153" s="1"/>
  <c r="L21" i="153"/>
  <c r="H21" i="153"/>
  <c r="L20" i="153"/>
  <c r="H20" i="153"/>
  <c r="N20" i="153" s="1"/>
  <c r="L16" i="153"/>
  <c r="H16" i="153"/>
  <c r="L15" i="153"/>
  <c r="H15" i="153"/>
  <c r="H14" i="153"/>
  <c r="A14" i="153"/>
  <c r="A15" i="153" s="1"/>
  <c r="A16" i="153" s="1"/>
  <c r="A17" i="153" s="1"/>
  <c r="A20" i="153" s="1"/>
  <c r="A21" i="153" s="1"/>
  <c r="A22" i="153" s="1"/>
  <c r="A23" i="153" s="1"/>
  <c r="A25" i="153" s="1"/>
  <c r="A28" i="153" s="1"/>
  <c r="A29" i="153" s="1"/>
  <c r="A30" i="153" s="1"/>
  <c r="A31" i="153" s="1"/>
  <c r="H13" i="153"/>
  <c r="P31" i="152"/>
  <c r="N31" i="152"/>
  <c r="J31" i="152"/>
  <c r="L30" i="152"/>
  <c r="L29" i="152"/>
  <c r="L28" i="152"/>
  <c r="L22" i="152"/>
  <c r="H22" i="152"/>
  <c r="N22" i="152" s="1"/>
  <c r="L21" i="152"/>
  <c r="H21" i="152"/>
  <c r="N21" i="152" s="1"/>
  <c r="L20" i="152"/>
  <c r="L23" i="152" s="1"/>
  <c r="H20" i="152"/>
  <c r="L16" i="152"/>
  <c r="H16" i="152"/>
  <c r="L15" i="152"/>
  <c r="H15" i="152"/>
  <c r="H14" i="152"/>
  <c r="A14" i="152"/>
  <c r="A15" i="152" s="1"/>
  <c r="A16" i="152" s="1"/>
  <c r="A17" i="152" s="1"/>
  <c r="A20" i="152" s="1"/>
  <c r="A21" i="152" s="1"/>
  <c r="A22" i="152" s="1"/>
  <c r="A23" i="152" s="1"/>
  <c r="A25" i="152" s="1"/>
  <c r="A28" i="152" s="1"/>
  <c r="A29" i="152" s="1"/>
  <c r="A30" i="152" s="1"/>
  <c r="A31" i="152" s="1"/>
  <c r="H13" i="152"/>
  <c r="P31" i="151"/>
  <c r="N31" i="151"/>
  <c r="J31" i="151"/>
  <c r="L30" i="151"/>
  <c r="L28" i="151"/>
  <c r="L22" i="151"/>
  <c r="H22" i="151"/>
  <c r="L21" i="151"/>
  <c r="H21" i="151"/>
  <c r="N21" i="151" s="1"/>
  <c r="L20" i="151"/>
  <c r="H20" i="151"/>
  <c r="H16" i="151"/>
  <c r="H15" i="151"/>
  <c r="H14" i="151"/>
  <c r="A14" i="151"/>
  <c r="A15" i="151" s="1"/>
  <c r="A16" i="151" s="1"/>
  <c r="A17" i="151" s="1"/>
  <c r="A20" i="151" s="1"/>
  <c r="A21" i="151" s="1"/>
  <c r="A22" i="151" s="1"/>
  <c r="A23" i="151" s="1"/>
  <c r="A25" i="151" s="1"/>
  <c r="A28" i="151" s="1"/>
  <c r="A29" i="151" s="1"/>
  <c r="A30" i="151" s="1"/>
  <c r="A31" i="151" s="1"/>
  <c r="H13" i="151"/>
  <c r="P31" i="150"/>
  <c r="N31" i="150"/>
  <c r="J31" i="150"/>
  <c r="L30" i="150"/>
  <c r="L22" i="150"/>
  <c r="H22" i="150"/>
  <c r="N22" i="150" s="1"/>
  <c r="L21" i="150"/>
  <c r="H21" i="150"/>
  <c r="N21" i="150" s="1"/>
  <c r="L20" i="150"/>
  <c r="L23" i="150" s="1"/>
  <c r="H20" i="150"/>
  <c r="L16" i="150"/>
  <c r="H16" i="150"/>
  <c r="H15" i="150"/>
  <c r="L14" i="150"/>
  <c r="H14" i="150"/>
  <c r="A14" i="150"/>
  <c r="A15" i="150" s="1"/>
  <c r="A16" i="150" s="1"/>
  <c r="A17" i="150" s="1"/>
  <c r="A20" i="150" s="1"/>
  <c r="A21" i="150" s="1"/>
  <c r="A22" i="150" s="1"/>
  <c r="A23" i="150" s="1"/>
  <c r="A25" i="150" s="1"/>
  <c r="A28" i="150" s="1"/>
  <c r="A29" i="150" s="1"/>
  <c r="A30" i="150" s="1"/>
  <c r="A31" i="150" s="1"/>
  <c r="L13" i="150"/>
  <c r="H13" i="150"/>
  <c r="O27" i="147"/>
  <c r="O29" i="147" s="1"/>
  <c r="N27" i="147"/>
  <c r="N29" i="147" s="1"/>
  <c r="J27" i="147"/>
  <c r="J29" i="147" s="1"/>
  <c r="G27" i="147"/>
  <c r="G29" i="147" s="1"/>
  <c r="F27" i="147"/>
  <c r="F29" i="147" s="1"/>
  <c r="P27" i="146"/>
  <c r="D27" i="167" s="1"/>
  <c r="O27" i="146"/>
  <c r="N27" i="146"/>
  <c r="K27" i="146"/>
  <c r="J27" i="146"/>
  <c r="G27" i="146"/>
  <c r="F27" i="146"/>
  <c r="N26" i="146"/>
  <c r="M26" i="146"/>
  <c r="I26" i="146"/>
  <c r="O31" i="149"/>
  <c r="E29" i="149"/>
  <c r="O28" i="149"/>
  <c r="L29" i="160"/>
  <c r="L29" i="159"/>
  <c r="L29" i="155"/>
  <c r="L29" i="154"/>
  <c r="L29" i="151"/>
  <c r="L29" i="150"/>
  <c r="L28" i="160"/>
  <c r="L28" i="159"/>
  <c r="L28" i="158"/>
  <c r="L28" i="157"/>
  <c r="I29" i="149"/>
  <c r="L28" i="154"/>
  <c r="L28" i="153"/>
  <c r="L28" i="150"/>
  <c r="O23" i="149"/>
  <c r="N21" i="149"/>
  <c r="M21" i="149"/>
  <c r="L21" i="149"/>
  <c r="K21" i="149"/>
  <c r="J21" i="149"/>
  <c r="I21" i="149"/>
  <c r="H21" i="149"/>
  <c r="G21" i="149"/>
  <c r="F21" i="149"/>
  <c r="E21" i="149"/>
  <c r="D21" i="149"/>
  <c r="C21" i="149"/>
  <c r="O20" i="149"/>
  <c r="O19" i="149"/>
  <c r="O18" i="149"/>
  <c r="O17" i="149"/>
  <c r="D15" i="149"/>
  <c r="L16" i="161"/>
  <c r="L16" i="160"/>
  <c r="L16" i="155"/>
  <c r="L16" i="151"/>
  <c r="L15" i="161"/>
  <c r="N15" i="161" s="1"/>
  <c r="L15" i="160"/>
  <c r="L15" i="158"/>
  <c r="L15" i="155"/>
  <c r="N15" i="155" s="1"/>
  <c r="L15" i="154"/>
  <c r="L15" i="151"/>
  <c r="L15" i="150"/>
  <c r="L14" i="161"/>
  <c r="L14" i="160"/>
  <c r="L14" i="159"/>
  <c r="N14" i="159" s="1"/>
  <c r="L14" i="157"/>
  <c r="N14" i="157" s="1"/>
  <c r="L14" i="156"/>
  <c r="L14" i="155"/>
  <c r="L14" i="153"/>
  <c r="L14" i="152"/>
  <c r="L14" i="151"/>
  <c r="J15" i="149"/>
  <c r="C15" i="149"/>
  <c r="A11" i="149"/>
  <c r="A12" i="149" s="1"/>
  <c r="A13" i="149" s="1"/>
  <c r="A14" i="149" s="1"/>
  <c r="A15" i="149" s="1"/>
  <c r="A17" i="149" s="1"/>
  <c r="A18" i="149" s="1"/>
  <c r="A19" i="149" s="1"/>
  <c r="A20" i="149" s="1"/>
  <c r="A21" i="149" s="1"/>
  <c r="A23" i="149" s="1"/>
  <c r="A25" i="149" s="1"/>
  <c r="A26" i="149" s="1"/>
  <c r="A27" i="149" s="1"/>
  <c r="A28" i="149" s="1"/>
  <c r="A29" i="149" s="1"/>
  <c r="A31" i="149" s="1"/>
  <c r="A32" i="149" s="1"/>
  <c r="L13" i="161"/>
  <c r="L15" i="149"/>
  <c r="L13" i="157"/>
  <c r="N13" i="157" s="1"/>
  <c r="L13" i="153"/>
  <c r="L13" i="151"/>
  <c r="O10" i="149"/>
  <c r="S1048492" i="147"/>
  <c r="P27" i="147"/>
  <c r="P29" i="147" s="1"/>
  <c r="M27" i="147"/>
  <c r="M29" i="147" s="1"/>
  <c r="L27" i="147"/>
  <c r="L29" i="147" s="1"/>
  <c r="K27" i="147"/>
  <c r="K29" i="147" s="1"/>
  <c r="I27" i="147"/>
  <c r="I29" i="147" s="1"/>
  <c r="H27" i="147"/>
  <c r="H29" i="147" s="1"/>
  <c r="E27" i="147"/>
  <c r="Q26" i="147"/>
  <c r="Q25" i="147"/>
  <c r="Q16" i="147"/>
  <c r="Q13" i="147"/>
  <c r="Q6" i="147"/>
  <c r="P6" i="147"/>
  <c r="O6" i="147"/>
  <c r="N6" i="147"/>
  <c r="M6" i="147"/>
  <c r="L6" i="147"/>
  <c r="K6" i="147"/>
  <c r="J6" i="147"/>
  <c r="I6" i="147"/>
  <c r="H6" i="147"/>
  <c r="G6" i="147"/>
  <c r="F6" i="147"/>
  <c r="S1048576" i="146"/>
  <c r="M27" i="146"/>
  <c r="L27" i="146"/>
  <c r="I27" i="146"/>
  <c r="H27" i="146"/>
  <c r="E27" i="146"/>
  <c r="O26" i="146"/>
  <c r="K26" i="146"/>
  <c r="J26" i="146"/>
  <c r="G26" i="146"/>
  <c r="F26" i="146"/>
  <c r="E26" i="146"/>
  <c r="Q6" i="146"/>
  <c r="P6" i="146"/>
  <c r="O6" i="146"/>
  <c r="N6" i="146"/>
  <c r="M6" i="146"/>
  <c r="L6" i="146"/>
  <c r="K6" i="146"/>
  <c r="J6" i="146"/>
  <c r="I6" i="146"/>
  <c r="H6" i="146"/>
  <c r="G6" i="146"/>
  <c r="F6" i="146"/>
  <c r="J44" i="183" l="1"/>
  <c r="J67" i="183"/>
  <c r="J71" i="183"/>
  <c r="J72" i="183"/>
  <c r="J66" i="183"/>
  <c r="J68" i="183"/>
  <c r="J65" i="183"/>
  <c r="J62" i="183"/>
  <c r="J70" i="183"/>
  <c r="J61" i="183"/>
  <c r="J64" i="183"/>
  <c r="J69" i="183"/>
  <c r="J63" i="183"/>
  <c r="Q12" i="168"/>
  <c r="L31" i="160"/>
  <c r="K27" i="162" s="1"/>
  <c r="K71" i="162" s="1"/>
  <c r="N14" i="158"/>
  <c r="N23" i="153"/>
  <c r="N14" i="153"/>
  <c r="N20" i="150"/>
  <c r="N23" i="150" s="1"/>
  <c r="N20" i="161"/>
  <c r="N13" i="150"/>
  <c r="N21" i="153"/>
  <c r="N22" i="154"/>
  <c r="N21" i="161"/>
  <c r="N16" i="160"/>
  <c r="N20" i="154"/>
  <c r="N23" i="154" s="1"/>
  <c r="N21" i="155"/>
  <c r="N21" i="157"/>
  <c r="N16" i="158"/>
  <c r="N16" i="151"/>
  <c r="N13" i="154"/>
  <c r="Q27" i="146"/>
  <c r="Q26" i="146"/>
  <c r="Q44" i="162"/>
  <c r="N15" i="156"/>
  <c r="L17" i="151"/>
  <c r="L17" i="161"/>
  <c r="N15" i="154"/>
  <c r="N16" i="155"/>
  <c r="N15" i="160"/>
  <c r="L17" i="153"/>
  <c r="N14" i="151"/>
  <c r="N13" i="161"/>
  <c r="N15" i="152"/>
  <c r="N15" i="150"/>
  <c r="L29" i="149"/>
  <c r="L31" i="151"/>
  <c r="K18" i="162" s="1"/>
  <c r="K62" i="162" s="1"/>
  <c r="N15" i="153"/>
  <c r="N20" i="156"/>
  <c r="N23" i="156" s="1"/>
  <c r="L17" i="158"/>
  <c r="N20" i="158"/>
  <c r="L23" i="158"/>
  <c r="N15" i="159"/>
  <c r="N14" i="160"/>
  <c r="Q27" i="147"/>
  <c r="Q29" i="147" s="1"/>
  <c r="L13" i="155"/>
  <c r="H15" i="149"/>
  <c r="G15" i="149"/>
  <c r="O11" i="149"/>
  <c r="F15" i="149"/>
  <c r="L31" i="157"/>
  <c r="K24" i="162" s="1"/>
  <c r="K68" i="162" s="1"/>
  <c r="L28" i="161"/>
  <c r="N29" i="149"/>
  <c r="L23" i="151"/>
  <c r="N16" i="153"/>
  <c r="L31" i="153"/>
  <c r="K20" i="162" s="1"/>
  <c r="K64" i="162" s="1"/>
  <c r="L31" i="155"/>
  <c r="K22" i="162" s="1"/>
  <c r="K66" i="162" s="1"/>
  <c r="N21" i="156"/>
  <c r="L13" i="159"/>
  <c r="E29" i="147"/>
  <c r="O13" i="149"/>
  <c r="L31" i="158"/>
  <c r="K25" i="162" s="1"/>
  <c r="K69" i="162" s="1"/>
  <c r="F29" i="149"/>
  <c r="L31" i="150"/>
  <c r="K17" i="162" s="1"/>
  <c r="K61" i="162" s="1"/>
  <c r="N13" i="151"/>
  <c r="L31" i="152"/>
  <c r="K19" i="162" s="1"/>
  <c r="K63" i="162" s="1"/>
  <c r="N16" i="154"/>
  <c r="L23" i="155"/>
  <c r="N16" i="157"/>
  <c r="L31" i="159"/>
  <c r="K26" i="162" s="1"/>
  <c r="K70" i="162" s="1"/>
  <c r="L17" i="157"/>
  <c r="K15" i="149"/>
  <c r="D29" i="149"/>
  <c r="H29" i="149"/>
  <c r="O26" i="149"/>
  <c r="J29" i="149"/>
  <c r="O33" i="149"/>
  <c r="N14" i="150"/>
  <c r="N16" i="150"/>
  <c r="N15" i="151"/>
  <c r="N20" i="152"/>
  <c r="N23" i="152" s="1"/>
  <c r="N13" i="153"/>
  <c r="N14" i="154"/>
  <c r="L31" i="154"/>
  <c r="K21" i="162" s="1"/>
  <c r="K65" i="162" s="1"/>
  <c r="N14" i="155"/>
  <c r="L23" i="156"/>
  <c r="L31" i="156"/>
  <c r="K23" i="162" s="1"/>
  <c r="K67" i="162" s="1"/>
  <c r="N23" i="157"/>
  <c r="N15" i="158"/>
  <c r="N16" i="161"/>
  <c r="E15" i="149"/>
  <c r="I15" i="149"/>
  <c r="L13" i="160"/>
  <c r="M15" i="149"/>
  <c r="O14" i="149"/>
  <c r="O21" i="149"/>
  <c r="M29" i="149"/>
  <c r="L17" i="150"/>
  <c r="L17" i="154"/>
  <c r="N15" i="157"/>
  <c r="N22" i="159"/>
  <c r="N23" i="159" s="1"/>
  <c r="N23" i="160"/>
  <c r="N22" i="161"/>
  <c r="N23" i="161" s="1"/>
  <c r="I55" i="162"/>
  <c r="O12" i="149"/>
  <c r="N15" i="149"/>
  <c r="O32" i="149"/>
  <c r="N20" i="151"/>
  <c r="N22" i="151"/>
  <c r="L13" i="152"/>
  <c r="N14" i="152"/>
  <c r="N16" i="152"/>
  <c r="L23" i="153"/>
  <c r="N20" i="155"/>
  <c r="N22" i="155"/>
  <c r="L13" i="156"/>
  <c r="N14" i="156"/>
  <c r="N16" i="156"/>
  <c r="L23" i="157"/>
  <c r="N13" i="158"/>
  <c r="N21" i="158"/>
  <c r="N16" i="159"/>
  <c r="L23" i="159"/>
  <c r="N21" i="159"/>
  <c r="N14" i="161"/>
  <c r="L23" i="161"/>
  <c r="O25" i="149"/>
  <c r="O27" i="149"/>
  <c r="C29" i="149"/>
  <c r="G29" i="149"/>
  <c r="K29" i="149"/>
  <c r="J88" i="183" l="1"/>
  <c r="N17" i="157"/>
  <c r="N25" i="157" s="1"/>
  <c r="N17" i="161"/>
  <c r="N25" i="161" s="1"/>
  <c r="L25" i="153"/>
  <c r="I64" i="162"/>
  <c r="N23" i="158"/>
  <c r="L25" i="151"/>
  <c r="O29" i="149"/>
  <c r="N17" i="151"/>
  <c r="L25" i="161"/>
  <c r="N17" i="154"/>
  <c r="N25" i="154" s="1"/>
  <c r="O15" i="149"/>
  <c r="N17" i="150"/>
  <c r="N25" i="150" s="1"/>
  <c r="I72" i="162"/>
  <c r="I68" i="162"/>
  <c r="I62" i="162"/>
  <c r="I69" i="162"/>
  <c r="I65" i="162"/>
  <c r="I61" i="162"/>
  <c r="L17" i="160"/>
  <c r="I71" i="162" s="1"/>
  <c r="L17" i="159"/>
  <c r="I70" i="162" s="1"/>
  <c r="N13" i="159"/>
  <c r="N17" i="159" s="1"/>
  <c r="N25" i="159" s="1"/>
  <c r="L31" i="161"/>
  <c r="K28" i="162" s="1"/>
  <c r="K72" i="162" s="1"/>
  <c r="L17" i="155"/>
  <c r="I66" i="162" s="1"/>
  <c r="L17" i="156"/>
  <c r="I67" i="162" s="1"/>
  <c r="L17" i="152"/>
  <c r="I63" i="162" s="1"/>
  <c r="N13" i="156"/>
  <c r="N17" i="156" s="1"/>
  <c r="N25" i="156" s="1"/>
  <c r="L25" i="150"/>
  <c r="L25" i="157"/>
  <c r="N13" i="152"/>
  <c r="N17" i="152" s="1"/>
  <c r="N25" i="152" s="1"/>
  <c r="L25" i="158"/>
  <c r="N17" i="158"/>
  <c r="N23" i="155"/>
  <c r="N23" i="151"/>
  <c r="L25" i="154"/>
  <c r="N13" i="155"/>
  <c r="N17" i="155" s="1"/>
  <c r="N25" i="155" s="1"/>
  <c r="N17" i="153"/>
  <c r="N25" i="153" s="1"/>
  <c r="N13" i="160"/>
  <c r="N17" i="160" s="1"/>
  <c r="N25" i="160" s="1"/>
  <c r="N25" i="158" l="1"/>
  <c r="N25" i="151"/>
  <c r="L25" i="160"/>
  <c r="L25" i="156"/>
  <c r="L25" i="159"/>
  <c r="L25" i="152"/>
  <c r="L25" i="155"/>
  <c r="I88" i="162" l="1"/>
  <c r="I44" i="162"/>
  <c r="K88" i="162"/>
  <c r="K44" i="162"/>
  <c r="E11" i="92" l="1"/>
  <c r="F11" i="92"/>
  <c r="G11" i="92"/>
  <c r="H11" i="92"/>
  <c r="D11" i="92"/>
  <c r="L13" i="108" l="1"/>
  <c r="G13" i="130" l="1"/>
  <c r="G13" i="162"/>
  <c r="D10" i="92" l="1"/>
  <c r="E10" i="92"/>
  <c r="F10" i="92"/>
  <c r="G10" i="92"/>
  <c r="H10" i="92"/>
  <c r="D12" i="92"/>
  <c r="E12" i="92"/>
  <c r="F12" i="92"/>
  <c r="G12" i="92"/>
  <c r="H12" i="92"/>
  <c r="D13" i="92"/>
  <c r="E13" i="92"/>
  <c r="F13" i="92"/>
  <c r="G13" i="92"/>
  <c r="H13" i="92"/>
  <c r="D14" i="92"/>
  <c r="E14" i="92"/>
  <c r="F14" i="92"/>
  <c r="G14" i="92"/>
  <c r="H14" i="92"/>
  <c r="C12" i="92"/>
  <c r="C10" i="92"/>
  <c r="H22" i="113" l="1"/>
  <c r="H21" i="113"/>
  <c r="H20" i="113"/>
  <c r="H16" i="113"/>
  <c r="H15" i="113"/>
  <c r="H14" i="113"/>
  <c r="H13" i="113"/>
  <c r="H22" i="116"/>
  <c r="H21" i="116"/>
  <c r="H20" i="116"/>
  <c r="H16" i="116"/>
  <c r="H15" i="116"/>
  <c r="H14" i="116"/>
  <c r="H13" i="116"/>
  <c r="H22" i="117"/>
  <c r="H21" i="117"/>
  <c r="H20" i="117"/>
  <c r="H16" i="117"/>
  <c r="H15" i="117"/>
  <c r="H14" i="117"/>
  <c r="H13" i="117"/>
  <c r="H22" i="118"/>
  <c r="H21" i="118"/>
  <c r="H20" i="118"/>
  <c r="H16" i="118"/>
  <c r="H15" i="118"/>
  <c r="H14" i="118"/>
  <c r="H13" i="118"/>
  <c r="H22" i="119"/>
  <c r="H21" i="119"/>
  <c r="H20" i="119"/>
  <c r="H16" i="119"/>
  <c r="H15" i="119"/>
  <c r="H14" i="119"/>
  <c r="H13" i="119"/>
  <c r="H22" i="120"/>
  <c r="H21" i="120"/>
  <c r="H20" i="120"/>
  <c r="H16" i="120"/>
  <c r="H15" i="120"/>
  <c r="H14" i="120"/>
  <c r="H13" i="120"/>
  <c r="H22" i="121"/>
  <c r="H21" i="121"/>
  <c r="H20" i="121"/>
  <c r="H16" i="121"/>
  <c r="H15" i="121"/>
  <c r="H14" i="121"/>
  <c r="H13" i="121"/>
  <c r="H22" i="122"/>
  <c r="H21" i="122"/>
  <c r="H20" i="122"/>
  <c r="H16" i="122"/>
  <c r="H15" i="122"/>
  <c r="H14" i="122"/>
  <c r="H13" i="122"/>
  <c r="H22" i="123"/>
  <c r="H21" i="123"/>
  <c r="H20" i="123"/>
  <c r="H16" i="123"/>
  <c r="H15" i="123"/>
  <c r="H14" i="123"/>
  <c r="H13" i="123"/>
  <c r="H22" i="124"/>
  <c r="H21" i="124"/>
  <c r="H20" i="124"/>
  <c r="H16" i="124"/>
  <c r="H15" i="124"/>
  <c r="H14" i="124"/>
  <c r="H13" i="124"/>
  <c r="H22" i="125"/>
  <c r="H21" i="125"/>
  <c r="H20" i="125"/>
  <c r="H16" i="125"/>
  <c r="H15" i="125"/>
  <c r="H14" i="125"/>
  <c r="H13" i="125"/>
  <c r="H22" i="126"/>
  <c r="H21" i="126"/>
  <c r="H20" i="126"/>
  <c r="H16" i="126"/>
  <c r="H15" i="126"/>
  <c r="H14" i="126"/>
  <c r="H13" i="126"/>
  <c r="H22" i="99"/>
  <c r="H21" i="99"/>
  <c r="H20" i="99"/>
  <c r="H16" i="99"/>
  <c r="H15" i="99"/>
  <c r="H14" i="99"/>
  <c r="H13" i="99"/>
  <c r="H22" i="100"/>
  <c r="H21" i="100"/>
  <c r="H20" i="100"/>
  <c r="H16" i="100"/>
  <c r="H15" i="100"/>
  <c r="H14" i="100"/>
  <c r="H13" i="100"/>
  <c r="H22" i="101"/>
  <c r="H21" i="101"/>
  <c r="H20" i="101"/>
  <c r="H16" i="101"/>
  <c r="H15" i="101"/>
  <c r="H14" i="101"/>
  <c r="H13" i="101"/>
  <c r="H22" i="102"/>
  <c r="H21" i="102"/>
  <c r="H20" i="102"/>
  <c r="H16" i="102"/>
  <c r="H15" i="102"/>
  <c r="H14" i="102"/>
  <c r="H13" i="102"/>
  <c r="H22" i="103"/>
  <c r="H21" i="103"/>
  <c r="H20" i="103"/>
  <c r="H16" i="103"/>
  <c r="H15" i="103"/>
  <c r="H14" i="103"/>
  <c r="H13" i="103"/>
  <c r="H21" i="104"/>
  <c r="H22" i="104"/>
  <c r="H20" i="104"/>
  <c r="H15" i="104"/>
  <c r="H16" i="104"/>
  <c r="H14" i="104"/>
  <c r="H13" i="104"/>
  <c r="L27" i="111" l="1"/>
  <c r="M27" i="111"/>
  <c r="N27" i="111"/>
  <c r="O27" i="111"/>
  <c r="P27" i="111"/>
  <c r="K27" i="111"/>
  <c r="I31" i="92"/>
  <c r="A14" i="126" l="1"/>
  <c r="A14" i="125"/>
  <c r="A14" i="124"/>
  <c r="A14" i="123"/>
  <c r="A14" i="122"/>
  <c r="A14" i="121"/>
  <c r="A14" i="120"/>
  <c r="A14" i="119"/>
  <c r="A14" i="118"/>
  <c r="A14" i="117"/>
  <c r="A14" i="116"/>
  <c r="A14" i="113"/>
  <c r="A14" i="104"/>
  <c r="A14" i="103"/>
  <c r="A14" i="102"/>
  <c r="A14" i="101"/>
  <c r="A14" i="100"/>
  <c r="A14" i="99"/>
  <c r="L30" i="126"/>
  <c r="L30" i="125"/>
  <c r="L30" i="124"/>
  <c r="L30" i="123"/>
  <c r="L30" i="122"/>
  <c r="L30" i="121"/>
  <c r="L30" i="120"/>
  <c r="L30" i="119"/>
  <c r="L30" i="118"/>
  <c r="F27" i="132"/>
  <c r="G27" i="132"/>
  <c r="H27" i="132"/>
  <c r="I27" i="132"/>
  <c r="J27" i="132"/>
  <c r="K27" i="132"/>
  <c r="L27" i="132"/>
  <c r="M27" i="132"/>
  <c r="N27" i="132"/>
  <c r="O27" i="132"/>
  <c r="D27" i="147"/>
  <c r="D29" i="147" s="1"/>
  <c r="E27" i="132"/>
  <c r="P27" i="132" l="1"/>
  <c r="O33" i="114"/>
  <c r="A15" i="104" l="1"/>
  <c r="A16" i="104" s="1"/>
  <c r="A17" i="104" s="1"/>
  <c r="L21" i="103"/>
  <c r="A15" i="103"/>
  <c r="A16" i="103" s="1"/>
  <c r="A17" i="103" s="1"/>
  <c r="A15" i="102"/>
  <c r="A16" i="102" s="1"/>
  <c r="A17" i="102" s="1"/>
  <c r="L21" i="101"/>
  <c r="A15" i="101"/>
  <c r="A16" i="101" s="1"/>
  <c r="A17" i="101" s="1"/>
  <c r="A15" i="100"/>
  <c r="A16" i="100" s="1"/>
  <c r="A17" i="100" s="1"/>
  <c r="A15" i="99"/>
  <c r="A16" i="99" s="1"/>
  <c r="A17" i="99" s="1"/>
  <c r="A15" i="124" l="1"/>
  <c r="A16" i="124" s="1"/>
  <c r="A17" i="124" s="1"/>
  <c r="A15" i="125"/>
  <c r="A16" i="125"/>
  <c r="A17" i="125" s="1"/>
  <c r="A15" i="126"/>
  <c r="A16" i="126" s="1"/>
  <c r="A17" i="126" s="1"/>
  <c r="A15" i="123"/>
  <c r="A16" i="123" s="1"/>
  <c r="A17" i="123" s="1"/>
  <c r="A15" i="122"/>
  <c r="A16" i="122" s="1"/>
  <c r="A17" i="122" s="1"/>
  <c r="A15" i="121"/>
  <c r="A16" i="121" s="1"/>
  <c r="A17" i="121" s="1"/>
  <c r="A15" i="120"/>
  <c r="A16" i="120" s="1"/>
  <c r="A17" i="120" s="1"/>
  <c r="A15" i="119"/>
  <c r="A16" i="119" s="1"/>
  <c r="A17" i="119" s="1"/>
  <c r="A15" i="118"/>
  <c r="A16" i="118" s="1"/>
  <c r="A17" i="118" s="1"/>
  <c r="A15" i="117"/>
  <c r="A16" i="117" s="1"/>
  <c r="A17" i="117" s="1"/>
  <c r="A15" i="116"/>
  <c r="A16" i="116" s="1"/>
  <c r="A17" i="116" s="1"/>
  <c r="L30" i="113"/>
  <c r="L21" i="113"/>
  <c r="L22" i="113"/>
  <c r="A15" i="113"/>
  <c r="O18" i="114"/>
  <c r="F31" i="135"/>
  <c r="F32" i="135"/>
  <c r="F30" i="135"/>
  <c r="N21" i="103" l="1"/>
  <c r="N21" i="101"/>
  <c r="N22" i="113"/>
  <c r="N21" i="113"/>
  <c r="E44" i="140" l="1"/>
  <c r="D44" i="140"/>
  <c r="C44" i="140"/>
  <c r="B44" i="140"/>
  <c r="F43" i="140"/>
  <c r="F42" i="140"/>
  <c r="F41" i="140"/>
  <c r="F40" i="140"/>
  <c r="F39" i="140"/>
  <c r="F38" i="140"/>
  <c r="F37" i="140"/>
  <c r="F36" i="140"/>
  <c r="F35" i="140"/>
  <c r="F34" i="140"/>
  <c r="F33" i="140"/>
  <c r="F32" i="140"/>
  <c r="A32" i="140"/>
  <c r="E23" i="140"/>
  <c r="D23" i="140"/>
  <c r="C23" i="140"/>
  <c r="B23" i="140"/>
  <c r="F22" i="140"/>
  <c r="F21" i="140"/>
  <c r="F20" i="140"/>
  <c r="F19" i="140"/>
  <c r="F18" i="140"/>
  <c r="F17" i="140"/>
  <c r="F16" i="140"/>
  <c r="F15" i="140"/>
  <c r="F14" i="140"/>
  <c r="F13" i="140"/>
  <c r="F12" i="140"/>
  <c r="A12" i="140"/>
  <c r="F11" i="140"/>
  <c r="A3" i="140"/>
  <c r="I49" i="139"/>
  <c r="I48" i="139"/>
  <c r="I47" i="139"/>
  <c r="I46" i="139"/>
  <c r="I45" i="139"/>
  <c r="I44" i="139"/>
  <c r="I43" i="139"/>
  <c r="I42" i="139"/>
  <c r="I41" i="139"/>
  <c r="I40" i="139"/>
  <c r="I39" i="139"/>
  <c r="I38" i="139"/>
  <c r="I36" i="139"/>
  <c r="A36" i="139"/>
  <c r="I25" i="139"/>
  <c r="I24" i="139"/>
  <c r="I23" i="139"/>
  <c r="I22" i="139"/>
  <c r="I21" i="139"/>
  <c r="I20" i="139"/>
  <c r="I19" i="139"/>
  <c r="I18" i="139"/>
  <c r="I17" i="139"/>
  <c r="I16" i="139"/>
  <c r="I15" i="139"/>
  <c r="I14" i="139"/>
  <c r="A14" i="139"/>
  <c r="A15" i="139" s="1"/>
  <c r="I12" i="139"/>
  <c r="A3" i="139"/>
  <c r="J50" i="138"/>
  <c r="H50" i="138"/>
  <c r="E49" i="138"/>
  <c r="G49" i="138" s="1"/>
  <c r="I49" i="138" s="1"/>
  <c r="K49" i="138" s="1"/>
  <c r="E48" i="138"/>
  <c r="G48" i="138" s="1"/>
  <c r="I48" i="138" s="1"/>
  <c r="K48" i="138" s="1"/>
  <c r="E47" i="138"/>
  <c r="G47" i="138" s="1"/>
  <c r="I47" i="138" s="1"/>
  <c r="K47" i="138" s="1"/>
  <c r="E46" i="138"/>
  <c r="G46" i="138" s="1"/>
  <c r="I46" i="138" s="1"/>
  <c r="K46" i="138" s="1"/>
  <c r="E45" i="138"/>
  <c r="G45" i="138" s="1"/>
  <c r="I45" i="138" s="1"/>
  <c r="K45" i="138" s="1"/>
  <c r="E44" i="138"/>
  <c r="G44" i="138" s="1"/>
  <c r="I44" i="138" s="1"/>
  <c r="K44" i="138" s="1"/>
  <c r="E43" i="138"/>
  <c r="G43" i="138" s="1"/>
  <c r="I43" i="138" s="1"/>
  <c r="K43" i="138" s="1"/>
  <c r="E42" i="138"/>
  <c r="G42" i="138" s="1"/>
  <c r="I42" i="138" s="1"/>
  <c r="K42" i="138" s="1"/>
  <c r="E41" i="138"/>
  <c r="G41" i="138" s="1"/>
  <c r="I41" i="138" s="1"/>
  <c r="K41" i="138" s="1"/>
  <c r="E40" i="138"/>
  <c r="G40" i="138" s="1"/>
  <c r="I40" i="138" s="1"/>
  <c r="K40" i="138" s="1"/>
  <c r="E39" i="138"/>
  <c r="G39" i="138" s="1"/>
  <c r="I39" i="138" s="1"/>
  <c r="K39" i="138" s="1"/>
  <c r="E38" i="138"/>
  <c r="G38" i="138" s="1"/>
  <c r="A36" i="138"/>
  <c r="J26" i="138"/>
  <c r="H26" i="138"/>
  <c r="E25" i="138"/>
  <c r="G25" i="138" s="1"/>
  <c r="I25" i="138" s="1"/>
  <c r="K25" i="138" s="1"/>
  <c r="E24" i="138"/>
  <c r="G24" i="138" s="1"/>
  <c r="I24" i="138" s="1"/>
  <c r="K24" i="138" s="1"/>
  <c r="E23" i="138"/>
  <c r="G23" i="138" s="1"/>
  <c r="I23" i="138" s="1"/>
  <c r="K23" i="138" s="1"/>
  <c r="E22" i="138"/>
  <c r="G22" i="138" s="1"/>
  <c r="I22" i="138" s="1"/>
  <c r="K22" i="138" s="1"/>
  <c r="E21" i="138"/>
  <c r="G21" i="138" s="1"/>
  <c r="I21" i="138" s="1"/>
  <c r="K21" i="138" s="1"/>
  <c r="E20" i="138"/>
  <c r="G20" i="138" s="1"/>
  <c r="I20" i="138" s="1"/>
  <c r="K20" i="138" s="1"/>
  <c r="E19" i="138"/>
  <c r="G19" i="138" s="1"/>
  <c r="I19" i="138" s="1"/>
  <c r="K19" i="138" s="1"/>
  <c r="E18" i="138"/>
  <c r="G18" i="138" s="1"/>
  <c r="I18" i="138" s="1"/>
  <c r="K18" i="138" s="1"/>
  <c r="E17" i="138"/>
  <c r="G17" i="138" s="1"/>
  <c r="I17" i="138" s="1"/>
  <c r="K17" i="138" s="1"/>
  <c r="E16" i="138"/>
  <c r="G16" i="138" s="1"/>
  <c r="I16" i="138" s="1"/>
  <c r="K16" i="138" s="1"/>
  <c r="E15" i="138"/>
  <c r="G15" i="138" s="1"/>
  <c r="I15" i="138" s="1"/>
  <c r="K15" i="138" s="1"/>
  <c r="E14" i="138"/>
  <c r="G14" i="138" s="1"/>
  <c r="A14" i="138"/>
  <c r="A38" i="138" s="1"/>
  <c r="A3" i="138"/>
  <c r="D43" i="137"/>
  <c r="G43" i="137" s="1"/>
  <c r="D42" i="137"/>
  <c r="G42" i="137" s="1"/>
  <c r="D41" i="137"/>
  <c r="G41" i="137" s="1"/>
  <c r="D40" i="137"/>
  <c r="G40" i="137" s="1"/>
  <c r="D39" i="137"/>
  <c r="G39" i="137" s="1"/>
  <c r="D38" i="137"/>
  <c r="G38" i="137" s="1"/>
  <c r="D37" i="137"/>
  <c r="G37" i="137" s="1"/>
  <c r="D36" i="137"/>
  <c r="G36" i="137" s="1"/>
  <c r="D35" i="137"/>
  <c r="G35" i="137" s="1"/>
  <c r="D34" i="137"/>
  <c r="G34" i="137" s="1"/>
  <c r="D33" i="137"/>
  <c r="G33" i="137" s="1"/>
  <c r="D32" i="137"/>
  <c r="G32" i="137" s="1"/>
  <c r="A32" i="137"/>
  <c r="D22" i="137"/>
  <c r="G22" i="137" s="1"/>
  <c r="D21" i="137"/>
  <c r="G21" i="137" s="1"/>
  <c r="D20" i="137"/>
  <c r="G20" i="137" s="1"/>
  <c r="D19" i="137"/>
  <c r="G19" i="137" s="1"/>
  <c r="D18" i="137"/>
  <c r="G18" i="137" s="1"/>
  <c r="D17" i="137"/>
  <c r="G17" i="137" s="1"/>
  <c r="D16" i="137"/>
  <c r="G16" i="137" s="1"/>
  <c r="D15" i="137"/>
  <c r="G15" i="137" s="1"/>
  <c r="D14" i="137"/>
  <c r="G14" i="137" s="1"/>
  <c r="D13" i="137"/>
  <c r="G13" i="137" s="1"/>
  <c r="D12" i="137"/>
  <c r="G12" i="137" s="1"/>
  <c r="A12" i="137"/>
  <c r="A13" i="137" s="1"/>
  <c r="D11" i="137"/>
  <c r="G11" i="137" s="1"/>
  <c r="F43" i="135"/>
  <c r="C43" i="135"/>
  <c r="F42" i="135"/>
  <c r="F41" i="135"/>
  <c r="F40" i="135"/>
  <c r="F33" i="135"/>
  <c r="C32" i="135"/>
  <c r="C31" i="135"/>
  <c r="C30" i="135"/>
  <c r="F23" i="135"/>
  <c r="C21" i="135"/>
  <c r="C42" i="135" s="1"/>
  <c r="C20" i="135"/>
  <c r="C41" i="135" s="1"/>
  <c r="C19" i="135"/>
  <c r="C40" i="135" s="1"/>
  <c r="F12" i="135"/>
  <c r="C12" i="135"/>
  <c r="D10" i="135" s="1"/>
  <c r="F44" i="140" l="1"/>
  <c r="F23" i="140"/>
  <c r="A38" i="139"/>
  <c r="G44" i="137"/>
  <c r="E44" i="135" s="1"/>
  <c r="A34" i="137"/>
  <c r="A14" i="137"/>
  <c r="A15" i="137" s="1"/>
  <c r="A36" i="137" s="1"/>
  <c r="A33" i="137"/>
  <c r="D9" i="135"/>
  <c r="F44" i="135"/>
  <c r="C44" i="135"/>
  <c r="D11" i="135"/>
  <c r="I14" i="138"/>
  <c r="G26" i="138"/>
  <c r="G23" i="137"/>
  <c r="E33" i="135" s="1"/>
  <c r="G50" i="138"/>
  <c r="C33" i="135"/>
  <c r="D30" i="135" s="1"/>
  <c r="A15" i="138"/>
  <c r="I38" i="138"/>
  <c r="A39" i="139"/>
  <c r="A16" i="139"/>
  <c r="A33" i="140"/>
  <c r="A13" i="140"/>
  <c r="C23" i="135"/>
  <c r="D21" i="135" s="1"/>
  <c r="A35" i="137" l="1"/>
  <c r="A16" i="137"/>
  <c r="A37" i="137" s="1"/>
  <c r="D31" i="135"/>
  <c r="E31" i="135" s="1"/>
  <c r="G31" i="135" s="1"/>
  <c r="H10" i="135" s="1"/>
  <c r="D20" i="135"/>
  <c r="D32" i="135"/>
  <c r="E32" i="135" s="1"/>
  <c r="G32" i="135" s="1"/>
  <c r="H11" i="135" s="1"/>
  <c r="D12" i="135"/>
  <c r="D19" i="135"/>
  <c r="A40" i="139"/>
  <c r="A17" i="139"/>
  <c r="A39" i="138"/>
  <c r="A16" i="138"/>
  <c r="I26" i="138"/>
  <c r="K14" i="138"/>
  <c r="K26" i="138" s="1"/>
  <c r="E43" i="135"/>
  <c r="G43" i="135" s="1"/>
  <c r="H22" i="135" s="1"/>
  <c r="D22" i="135"/>
  <c r="E30" i="135"/>
  <c r="G30" i="135" s="1"/>
  <c r="H9" i="135" s="1"/>
  <c r="E42" i="135"/>
  <c r="G42" i="135" s="1"/>
  <c r="H21" i="135" s="1"/>
  <c r="A34" i="140"/>
  <c r="A14" i="140"/>
  <c r="K38" i="138"/>
  <c r="K50" i="138" s="1"/>
  <c r="I50" i="138"/>
  <c r="E41" i="135"/>
  <c r="G41" i="135" s="1"/>
  <c r="H20" i="135" s="1"/>
  <c r="A17" i="137" l="1"/>
  <c r="A38" i="137" s="1"/>
  <c r="A35" i="140"/>
  <c r="A15" i="140"/>
  <c r="A41" i="139"/>
  <c r="A18" i="139"/>
  <c r="D33" i="135"/>
  <c r="D44" i="135"/>
  <c r="E40" i="135"/>
  <c r="G40" i="135" s="1"/>
  <c r="H19" i="135" s="1"/>
  <c r="A17" i="138"/>
  <c r="A40" i="138"/>
  <c r="D23" i="135"/>
  <c r="A18" i="137" l="1"/>
  <c r="A41" i="138"/>
  <c r="A18" i="138"/>
  <c r="A16" i="140"/>
  <c r="A36" i="140"/>
  <c r="A19" i="137"/>
  <c r="A39" i="137"/>
  <c r="A19" i="139"/>
  <c r="A42" i="139"/>
  <c r="A42" i="138" l="1"/>
  <c r="A19" i="138"/>
  <c r="A20" i="137"/>
  <c r="A40" i="137"/>
  <c r="A43" i="139"/>
  <c r="A20" i="139"/>
  <c r="A37" i="140"/>
  <c r="A17" i="140"/>
  <c r="A21" i="139" l="1"/>
  <c r="A44" i="139"/>
  <c r="A43" i="138"/>
  <c r="A20" i="138"/>
  <c r="A38" i="140"/>
  <c r="A18" i="140"/>
  <c r="A41" i="137"/>
  <c r="A21" i="137"/>
  <c r="A39" i="140" l="1"/>
  <c r="A19" i="140"/>
  <c r="A45" i="139"/>
  <c r="A22" i="139"/>
  <c r="A42" i="137"/>
  <c r="A22" i="137"/>
  <c r="A21" i="138"/>
  <c r="A44" i="138"/>
  <c r="F23" i="137" l="1"/>
  <c r="A43" i="137"/>
  <c r="F44" i="137" s="1"/>
  <c r="A40" i="140"/>
  <c r="A20" i="140"/>
  <c r="A23" i="139"/>
  <c r="A46" i="139"/>
  <c r="A45" i="138"/>
  <c r="A22" i="138"/>
  <c r="A47" i="139" l="1"/>
  <c r="A24" i="139"/>
  <c r="A46" i="138"/>
  <c r="A23" i="138"/>
  <c r="A41" i="140"/>
  <c r="A21" i="140"/>
  <c r="A42" i="140" l="1"/>
  <c r="A22" i="140"/>
  <c r="A48" i="139"/>
  <c r="A25" i="139"/>
  <c r="A24" i="138"/>
  <c r="A47" i="138"/>
  <c r="A43" i="140" l="1"/>
  <c r="A44" i="140" s="1"/>
  <c r="A23" i="140"/>
  <c r="A25" i="138"/>
  <c r="A48" i="138"/>
  <c r="A49" i="139"/>
  <c r="A50" i="139" s="1"/>
  <c r="A26" i="139"/>
  <c r="A49" i="138" l="1"/>
  <c r="A26" i="138"/>
  <c r="A50" i="138" s="1"/>
  <c r="H55" i="130" l="1"/>
  <c r="D25" i="92" l="1"/>
  <c r="E25" i="92"/>
  <c r="F25" i="92"/>
  <c r="G25" i="92"/>
  <c r="H25" i="92"/>
  <c r="C25" i="92"/>
  <c r="D24" i="92"/>
  <c r="E24" i="92"/>
  <c r="F24" i="92"/>
  <c r="G24" i="92"/>
  <c r="H24" i="92"/>
  <c r="C24" i="92"/>
  <c r="C14" i="92"/>
  <c r="C13" i="92"/>
  <c r="L14" i="100"/>
  <c r="L14" i="101"/>
  <c r="L14" i="102"/>
  <c r="L14" i="103"/>
  <c r="L14" i="99"/>
  <c r="R14" i="99" s="1"/>
  <c r="N14" i="103" l="1"/>
  <c r="N14" i="102"/>
  <c r="N14" i="101"/>
  <c r="Q19" i="110" l="1"/>
  <c r="Q14" i="110"/>
  <c r="Q15" i="110"/>
  <c r="Q16" i="110"/>
  <c r="Q17" i="110"/>
  <c r="Q18" i="110"/>
  <c r="J32" i="110"/>
  <c r="H32" i="110"/>
  <c r="Q26" i="110" l="1"/>
  <c r="Q27" i="110"/>
  <c r="Q28" i="110"/>
  <c r="Q29" i="110"/>
  <c r="Q30" i="110"/>
  <c r="Q20" i="91" l="1"/>
  <c r="Q20" i="111"/>
  <c r="D29" i="132"/>
  <c r="Q26" i="132" l="1"/>
  <c r="Q16" i="132" l="1"/>
  <c r="F27" i="131" l="1"/>
  <c r="G27" i="131"/>
  <c r="H27" i="131"/>
  <c r="I27" i="131"/>
  <c r="J27" i="131"/>
  <c r="K27" i="131"/>
  <c r="L27" i="131"/>
  <c r="M27" i="131"/>
  <c r="N27" i="131"/>
  <c r="O27" i="131"/>
  <c r="P27" i="131"/>
  <c r="D27" i="146" s="1"/>
  <c r="E27" i="131"/>
  <c r="Q6" i="131"/>
  <c r="Q27" i="131" l="1"/>
  <c r="S1048492" i="132"/>
  <c r="P29" i="132"/>
  <c r="O29" i="132"/>
  <c r="N29" i="132"/>
  <c r="M29" i="132"/>
  <c r="L29" i="132"/>
  <c r="K29" i="132"/>
  <c r="J29" i="132"/>
  <c r="I29" i="132"/>
  <c r="H29" i="132"/>
  <c r="G29" i="132"/>
  <c r="F29" i="132"/>
  <c r="E29" i="132"/>
  <c r="Q27" i="132"/>
  <c r="Q25" i="132"/>
  <c r="Q6" i="132"/>
  <c r="P6" i="132"/>
  <c r="O6" i="132"/>
  <c r="N6" i="132"/>
  <c r="M6" i="132"/>
  <c r="L6" i="132"/>
  <c r="K6" i="132"/>
  <c r="J6" i="132"/>
  <c r="I6" i="132"/>
  <c r="H6" i="132"/>
  <c r="G6" i="132"/>
  <c r="F6" i="132"/>
  <c r="S1048576" i="131"/>
  <c r="P6" i="131"/>
  <c r="O6" i="131"/>
  <c r="N6" i="131"/>
  <c r="M6" i="131"/>
  <c r="L6" i="131"/>
  <c r="K6" i="131"/>
  <c r="J6" i="131"/>
  <c r="I6" i="131"/>
  <c r="H6" i="131"/>
  <c r="G6" i="131"/>
  <c r="F6" i="131"/>
  <c r="Q29" i="132" l="1"/>
  <c r="Q72" i="130" l="1"/>
  <c r="Q73" i="130" s="1"/>
  <c r="Q74" i="130" s="1"/>
  <c r="Q75" i="130" s="1"/>
  <c r="Q76" i="130" s="1"/>
  <c r="Q77" i="130" s="1"/>
  <c r="Q78" i="130" s="1"/>
  <c r="Q79" i="130" s="1"/>
  <c r="Q80" i="130" s="1"/>
  <c r="Q81" i="130" s="1"/>
  <c r="Q82" i="130" s="1"/>
  <c r="Q83" i="130" s="1"/>
  <c r="Q84" i="130" s="1"/>
  <c r="Q85" i="130" s="1"/>
  <c r="Q86" i="130" s="1"/>
  <c r="A60" i="130"/>
  <c r="A61" i="130" s="1"/>
  <c r="A62" i="130" s="1"/>
  <c r="A63" i="130" s="1"/>
  <c r="A64" i="130" s="1"/>
  <c r="A65" i="130" s="1"/>
  <c r="A66" i="130" s="1"/>
  <c r="A67" i="130" s="1"/>
  <c r="A68" i="130" s="1"/>
  <c r="A69" i="130" s="1"/>
  <c r="A70" i="130" s="1"/>
  <c r="A71" i="130" s="1"/>
  <c r="A72" i="130" s="1"/>
  <c r="A73" i="130" s="1"/>
  <c r="A74" i="130" s="1"/>
  <c r="A75" i="130" s="1"/>
  <c r="A76" i="130" s="1"/>
  <c r="A77" i="130" s="1"/>
  <c r="A78" i="130" s="1"/>
  <c r="A79" i="130" s="1"/>
  <c r="A80" i="130" s="1"/>
  <c r="A81" i="130" s="1"/>
  <c r="A82" i="130" s="1"/>
  <c r="A83" i="130" s="1"/>
  <c r="A84" i="130" s="1"/>
  <c r="A85" i="130" s="1"/>
  <c r="A86" i="130" s="1"/>
  <c r="A87" i="130" s="1"/>
  <c r="Q43" i="130"/>
  <c r="P43" i="130"/>
  <c r="Q42" i="130"/>
  <c r="P42" i="130"/>
  <c r="Q41" i="130"/>
  <c r="P41" i="130"/>
  <c r="Q40" i="130"/>
  <c r="P40" i="130"/>
  <c r="Q39" i="130"/>
  <c r="P39" i="130"/>
  <c r="Q38" i="130"/>
  <c r="P38" i="130"/>
  <c r="Q37" i="130"/>
  <c r="P37" i="130"/>
  <c r="Q36" i="130"/>
  <c r="P36" i="130"/>
  <c r="Q35" i="130"/>
  <c r="P35" i="130"/>
  <c r="Q34" i="130"/>
  <c r="P34" i="130"/>
  <c r="Q33" i="130"/>
  <c r="P33" i="130"/>
  <c r="Q32" i="130"/>
  <c r="P32" i="130"/>
  <c r="Q31" i="130"/>
  <c r="P31" i="130"/>
  <c r="Q30" i="130"/>
  <c r="P30" i="130"/>
  <c r="P29" i="130"/>
  <c r="A17" i="130"/>
  <c r="A18" i="130" s="1"/>
  <c r="A19" i="130" s="1"/>
  <c r="A20" i="130" s="1"/>
  <c r="A21" i="130" s="1"/>
  <c r="A22" i="130" s="1"/>
  <c r="A23" i="130" s="1"/>
  <c r="A24" i="130" s="1"/>
  <c r="A25" i="130" s="1"/>
  <c r="A26" i="130" s="1"/>
  <c r="A27" i="130" s="1"/>
  <c r="A28" i="130" s="1"/>
  <c r="A29" i="130" s="1"/>
  <c r="A30" i="130" s="1"/>
  <c r="A31" i="130" s="1"/>
  <c r="A32" i="130" s="1"/>
  <c r="A33" i="130" s="1"/>
  <c r="A34" i="130" s="1"/>
  <c r="A35" i="130" s="1"/>
  <c r="A36" i="130" s="1"/>
  <c r="A37" i="130" s="1"/>
  <c r="A38" i="130" s="1"/>
  <c r="A39" i="130" s="1"/>
  <c r="A40" i="130" s="1"/>
  <c r="A41" i="130" s="1"/>
  <c r="A42" i="130" s="1"/>
  <c r="A43" i="130" s="1"/>
  <c r="A44" i="130" s="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D26" i="146" s="1"/>
  <c r="D25" i="114"/>
  <c r="E25" i="114"/>
  <c r="F25" i="114"/>
  <c r="L28" i="118" s="1"/>
  <c r="G25" i="114"/>
  <c r="L28" i="119" s="1"/>
  <c r="H25" i="114"/>
  <c r="L28" i="120" s="1"/>
  <c r="I25" i="114"/>
  <c r="L28" i="121" s="1"/>
  <c r="J25" i="114"/>
  <c r="L28" i="122" s="1"/>
  <c r="K25" i="114"/>
  <c r="L28" i="123" s="1"/>
  <c r="L25" i="114"/>
  <c r="L28" i="124" s="1"/>
  <c r="M25" i="114"/>
  <c r="L28" i="125" s="1"/>
  <c r="N25" i="114"/>
  <c r="L28" i="126" s="1"/>
  <c r="D26" i="114"/>
  <c r="E26" i="114"/>
  <c r="F26" i="114"/>
  <c r="G26" i="114"/>
  <c r="H26" i="114"/>
  <c r="I26" i="114"/>
  <c r="J26" i="114"/>
  <c r="K26" i="114"/>
  <c r="L26" i="114"/>
  <c r="M26" i="114"/>
  <c r="N26" i="114"/>
  <c r="D12" i="147" s="1"/>
  <c r="D27" i="114"/>
  <c r="E27" i="114"/>
  <c r="F27" i="114"/>
  <c r="L29" i="118" s="1"/>
  <c r="G27" i="114"/>
  <c r="L29" i="119" s="1"/>
  <c r="H27" i="114"/>
  <c r="L29" i="120" s="1"/>
  <c r="I27" i="114"/>
  <c r="L29" i="121" s="1"/>
  <c r="J27" i="114"/>
  <c r="L29" i="122" s="1"/>
  <c r="K27" i="114"/>
  <c r="L29" i="123" s="1"/>
  <c r="L27" i="114"/>
  <c r="L29" i="124" s="1"/>
  <c r="M27" i="114"/>
  <c r="L29" i="125" s="1"/>
  <c r="N27" i="114"/>
  <c r="L29" i="126" s="1"/>
  <c r="C26" i="114"/>
  <c r="E12" i="132" s="1"/>
  <c r="C27" i="114"/>
  <c r="L29" i="113" s="1"/>
  <c r="C25" i="114"/>
  <c r="L14" i="116"/>
  <c r="L14" i="117"/>
  <c r="L14" i="118"/>
  <c r="L14" i="119"/>
  <c r="L14" i="120"/>
  <c r="L14" i="121"/>
  <c r="L14" i="122"/>
  <c r="L14" i="123"/>
  <c r="L14" i="124"/>
  <c r="L14" i="125"/>
  <c r="N14" i="125" s="1"/>
  <c r="L14" i="126"/>
  <c r="D13" i="114"/>
  <c r="L15" i="116" s="1"/>
  <c r="E13" i="114"/>
  <c r="L15" i="117" s="1"/>
  <c r="F13" i="114"/>
  <c r="L15" i="118" s="1"/>
  <c r="G13" i="114"/>
  <c r="L15" i="119" s="1"/>
  <c r="H13" i="114"/>
  <c r="L15" i="120" s="1"/>
  <c r="I13" i="114"/>
  <c r="L15" i="121" s="1"/>
  <c r="J13" i="114"/>
  <c r="L15" i="122" s="1"/>
  <c r="K13" i="114"/>
  <c r="L15" i="123" s="1"/>
  <c r="L13" i="114"/>
  <c r="L15" i="124" s="1"/>
  <c r="M13" i="114"/>
  <c r="L15" i="125" s="1"/>
  <c r="N13" i="114"/>
  <c r="L15" i="126" s="1"/>
  <c r="D14" i="114"/>
  <c r="L16" i="116" s="1"/>
  <c r="E14" i="114"/>
  <c r="L16" i="117" s="1"/>
  <c r="F14" i="114"/>
  <c r="L16" i="118" s="1"/>
  <c r="G14" i="114"/>
  <c r="L16" i="119" s="1"/>
  <c r="H14" i="114"/>
  <c r="L16" i="120" s="1"/>
  <c r="I14" i="114"/>
  <c r="L16" i="121" s="1"/>
  <c r="J14" i="114"/>
  <c r="L16" i="122" s="1"/>
  <c r="K14" i="114"/>
  <c r="L16" i="123" s="1"/>
  <c r="L14" i="114"/>
  <c r="L16" i="124" s="1"/>
  <c r="M14" i="114"/>
  <c r="L16" i="125" s="1"/>
  <c r="N14" i="114"/>
  <c r="L16" i="126" s="1"/>
  <c r="C13" i="114"/>
  <c r="L15" i="113" s="1"/>
  <c r="C14" i="114"/>
  <c r="L16" i="113" s="1"/>
  <c r="F12" i="132" l="1"/>
  <c r="G12" i="132" s="1"/>
  <c r="H12" i="132" s="1"/>
  <c r="I12" i="132" s="1"/>
  <c r="J12" i="132" s="1"/>
  <c r="K12" i="132" s="1"/>
  <c r="L12" i="132" s="1"/>
  <c r="M12" i="132" s="1"/>
  <c r="N12" i="132" s="1"/>
  <c r="O12" i="132" s="1"/>
  <c r="P12" i="132" s="1"/>
  <c r="E12" i="147"/>
  <c r="O26" i="114"/>
  <c r="P44" i="130"/>
  <c r="L14" i="113"/>
  <c r="N14" i="113" s="1"/>
  <c r="Q53" i="128"/>
  <c r="P53" i="128"/>
  <c r="O53" i="128"/>
  <c r="N53" i="128"/>
  <c r="M53" i="128"/>
  <c r="L53" i="128"/>
  <c r="K53" i="128"/>
  <c r="J53" i="128"/>
  <c r="I53" i="128"/>
  <c r="H53" i="128"/>
  <c r="G53" i="128"/>
  <c r="F53" i="128"/>
  <c r="Q39" i="128"/>
  <c r="P39" i="128"/>
  <c r="O39" i="128"/>
  <c r="N39" i="128"/>
  <c r="M39" i="128"/>
  <c r="M55" i="128" s="1"/>
  <c r="L39" i="128"/>
  <c r="K39" i="128"/>
  <c r="J39" i="128"/>
  <c r="I39" i="128"/>
  <c r="H39" i="128"/>
  <c r="H55" i="128" s="1"/>
  <c r="G39" i="128"/>
  <c r="G55" i="128" s="1"/>
  <c r="F39" i="128"/>
  <c r="F55" i="128" s="1"/>
  <c r="Q55" i="128" l="1"/>
  <c r="F12" i="147"/>
  <c r="J55" i="128"/>
  <c r="N55" i="128"/>
  <c r="K55" i="128"/>
  <c r="O55" i="128"/>
  <c r="L55" i="128"/>
  <c r="P55" i="128"/>
  <c r="R53" i="128"/>
  <c r="I55" i="128"/>
  <c r="R39" i="128"/>
  <c r="H11" i="130" s="1"/>
  <c r="I11" i="183" s="1"/>
  <c r="O32" i="114"/>
  <c r="O31" i="114"/>
  <c r="O27" i="114"/>
  <c r="O28" i="114"/>
  <c r="O25" i="114"/>
  <c r="O23" i="114"/>
  <c r="O19" i="114"/>
  <c r="O20" i="114"/>
  <c r="O17" i="114"/>
  <c r="O11" i="114"/>
  <c r="O12" i="114"/>
  <c r="O13" i="114"/>
  <c r="O14" i="114"/>
  <c r="O10" i="114"/>
  <c r="L22" i="126"/>
  <c r="N22" i="126" s="1"/>
  <c r="L21" i="126"/>
  <c r="N21" i="126" s="1"/>
  <c r="L20" i="126"/>
  <c r="N20" i="126" s="1"/>
  <c r="L13" i="126"/>
  <c r="P31" i="126"/>
  <c r="N31" i="126"/>
  <c r="J31" i="126"/>
  <c r="A20" i="126"/>
  <c r="A21" i="126" s="1"/>
  <c r="L22" i="125"/>
  <c r="N22" i="125" s="1"/>
  <c r="L21" i="125"/>
  <c r="L20" i="125"/>
  <c r="N20" i="125" s="1"/>
  <c r="L13" i="125"/>
  <c r="N13" i="125" s="1"/>
  <c r="P31" i="125"/>
  <c r="N31" i="125"/>
  <c r="J31" i="125"/>
  <c r="A20" i="125"/>
  <c r="A21" i="125" s="1"/>
  <c r="L22" i="124"/>
  <c r="L21" i="124"/>
  <c r="L20" i="124"/>
  <c r="N20" i="124" s="1"/>
  <c r="L13" i="124"/>
  <c r="P31" i="124"/>
  <c r="N31" i="124"/>
  <c r="J31" i="124"/>
  <c r="A20" i="124"/>
  <c r="A21" i="124" s="1"/>
  <c r="L22" i="123"/>
  <c r="L21" i="123"/>
  <c r="N21" i="123" s="1"/>
  <c r="L20" i="123"/>
  <c r="N20" i="123" s="1"/>
  <c r="L13" i="123"/>
  <c r="N13" i="123" s="1"/>
  <c r="P31" i="123"/>
  <c r="N31" i="123"/>
  <c r="J31" i="123"/>
  <c r="A20" i="123"/>
  <c r="A21" i="123" s="1"/>
  <c r="L22" i="122"/>
  <c r="N22" i="122" s="1"/>
  <c r="L21" i="122"/>
  <c r="N21" i="122" s="1"/>
  <c r="L20" i="122"/>
  <c r="N20" i="122" s="1"/>
  <c r="L13" i="122"/>
  <c r="P31" i="122"/>
  <c r="N31" i="122"/>
  <c r="J31" i="122"/>
  <c r="A20" i="122"/>
  <c r="A21" i="122" s="1"/>
  <c r="L22" i="121"/>
  <c r="L21" i="121"/>
  <c r="N21" i="121" s="1"/>
  <c r="L20" i="121"/>
  <c r="N20" i="121" s="1"/>
  <c r="L13" i="121"/>
  <c r="P31" i="121"/>
  <c r="N31" i="121"/>
  <c r="J31" i="121"/>
  <c r="A20" i="121"/>
  <c r="A21" i="121" s="1"/>
  <c r="L22" i="120"/>
  <c r="N22" i="120" s="1"/>
  <c r="L21" i="120"/>
  <c r="N21" i="120" s="1"/>
  <c r="L20" i="120"/>
  <c r="N20" i="120" s="1"/>
  <c r="L13" i="120"/>
  <c r="P31" i="120"/>
  <c r="N31" i="120"/>
  <c r="J31" i="120"/>
  <c r="A20" i="120"/>
  <c r="A21" i="120" s="1"/>
  <c r="L22" i="119"/>
  <c r="L21" i="119"/>
  <c r="L20" i="119"/>
  <c r="N20" i="119" s="1"/>
  <c r="L13" i="119"/>
  <c r="P31" i="119"/>
  <c r="N31" i="119"/>
  <c r="J31" i="119"/>
  <c r="A20" i="119"/>
  <c r="A21" i="119" s="1"/>
  <c r="L31" i="118"/>
  <c r="L22" i="118"/>
  <c r="N22" i="118" s="1"/>
  <c r="L21" i="118"/>
  <c r="N21" i="118" s="1"/>
  <c r="L20" i="118"/>
  <c r="L13" i="118"/>
  <c r="L17" i="118" s="1"/>
  <c r="H20" i="130" s="1"/>
  <c r="H63" i="130" s="1"/>
  <c r="P31" i="118"/>
  <c r="N31" i="118"/>
  <c r="J31" i="118"/>
  <c r="A20" i="118"/>
  <c r="A21" i="118" s="1"/>
  <c r="L29" i="117"/>
  <c r="L30" i="117"/>
  <c r="L28" i="117"/>
  <c r="L21" i="117"/>
  <c r="L22" i="117"/>
  <c r="L20" i="117"/>
  <c r="N14" i="117"/>
  <c r="N15" i="117"/>
  <c r="L13" i="117"/>
  <c r="N13" i="117" s="1"/>
  <c r="P31" i="117"/>
  <c r="N31" i="117"/>
  <c r="J31" i="117"/>
  <c r="N16" i="117"/>
  <c r="A20" i="117"/>
  <c r="A21" i="117" s="1"/>
  <c r="L29" i="116"/>
  <c r="L30" i="116"/>
  <c r="L28" i="116"/>
  <c r="L21" i="116"/>
  <c r="N21" i="116" s="1"/>
  <c r="L22" i="116"/>
  <c r="N22" i="116" s="1"/>
  <c r="L20" i="116"/>
  <c r="N20" i="116" s="1"/>
  <c r="L13" i="116"/>
  <c r="P31" i="116"/>
  <c r="N31" i="116"/>
  <c r="J31" i="116"/>
  <c r="A20" i="116"/>
  <c r="A21" i="116" s="1"/>
  <c r="L28" i="113"/>
  <c r="L20" i="113"/>
  <c r="L13" i="113"/>
  <c r="N13" i="113" s="1"/>
  <c r="C29" i="114"/>
  <c r="D29" i="114"/>
  <c r="G29" i="114"/>
  <c r="H29" i="114"/>
  <c r="E29" i="114"/>
  <c r="F29" i="114"/>
  <c r="H21" i="114"/>
  <c r="G21" i="114"/>
  <c r="F21" i="114"/>
  <c r="E21" i="114"/>
  <c r="D21" i="114"/>
  <c r="C21" i="114"/>
  <c r="H15" i="114"/>
  <c r="G15" i="114"/>
  <c r="D15" i="114"/>
  <c r="C15" i="114"/>
  <c r="F15" i="114"/>
  <c r="E15" i="114"/>
  <c r="I20" i="183" l="1"/>
  <c r="L20" i="183" s="1"/>
  <c r="I26" i="183"/>
  <c r="L26" i="183" s="1"/>
  <c r="I21" i="183"/>
  <c r="L21" i="183" s="1"/>
  <c r="I22" i="183"/>
  <c r="L22" i="183" s="1"/>
  <c r="I28" i="183"/>
  <c r="L28" i="183" s="1"/>
  <c r="I23" i="183"/>
  <c r="L23" i="183" s="1"/>
  <c r="I17" i="183"/>
  <c r="I24" i="183"/>
  <c r="L24" i="183" s="1"/>
  <c r="I19" i="183"/>
  <c r="L19" i="183" s="1"/>
  <c r="I27" i="183"/>
  <c r="L27" i="183" s="1"/>
  <c r="I25" i="183"/>
  <c r="L25" i="183" s="1"/>
  <c r="I18" i="183"/>
  <c r="L18" i="183" s="1"/>
  <c r="I55" i="183"/>
  <c r="H54" i="130"/>
  <c r="H11" i="162"/>
  <c r="R55" i="128"/>
  <c r="G12" i="147"/>
  <c r="A22" i="126"/>
  <c r="A23" i="126" s="1"/>
  <c r="A25" i="126" s="1"/>
  <c r="A28" i="126" s="1"/>
  <c r="A22" i="125"/>
  <c r="A23" i="125" s="1"/>
  <c r="A25" i="125" s="1"/>
  <c r="A28" i="125" s="1"/>
  <c r="A22" i="124"/>
  <c r="A23" i="124" s="1"/>
  <c r="A25" i="124" s="1"/>
  <c r="A28" i="124" s="1"/>
  <c r="A22" i="123"/>
  <c r="A23" i="123" s="1"/>
  <c r="A25" i="123" s="1"/>
  <c r="A28" i="123" s="1"/>
  <c r="A22" i="122"/>
  <c r="A23" i="122" s="1"/>
  <c r="A25" i="122" s="1"/>
  <c r="A28" i="122" s="1"/>
  <c r="A22" i="121"/>
  <c r="A23" i="121" s="1"/>
  <c r="A25" i="121" s="1"/>
  <c r="A28" i="121" s="1"/>
  <c r="A22" i="120"/>
  <c r="A23" i="120" s="1"/>
  <c r="A25" i="120" s="1"/>
  <c r="A28" i="120" s="1"/>
  <c r="A22" i="119"/>
  <c r="A23" i="119" s="1"/>
  <c r="A25" i="119" s="1"/>
  <c r="A28" i="119" s="1"/>
  <c r="A22" i="118"/>
  <c r="A23" i="118" s="1"/>
  <c r="A25" i="118" s="1"/>
  <c r="A28" i="118" s="1"/>
  <c r="A22" i="117"/>
  <c r="A23" i="117" s="1"/>
  <c r="A25" i="117" s="1"/>
  <c r="A28" i="117" s="1"/>
  <c r="A22" i="116"/>
  <c r="A23" i="116" s="1"/>
  <c r="A25" i="116" s="1"/>
  <c r="A28" i="116" s="1"/>
  <c r="L17" i="124"/>
  <c r="H26" i="130" s="1"/>
  <c r="H69" i="130" s="1"/>
  <c r="L23" i="123"/>
  <c r="J63" i="130"/>
  <c r="J20" i="130"/>
  <c r="L23" i="125"/>
  <c r="N16" i="116"/>
  <c r="N22" i="117"/>
  <c r="L23" i="119"/>
  <c r="L31" i="116"/>
  <c r="N22" i="124"/>
  <c r="L17" i="116"/>
  <c r="H18" i="130" s="1"/>
  <c r="H61" i="130" s="1"/>
  <c r="L23" i="126"/>
  <c r="L23" i="121"/>
  <c r="N22" i="121"/>
  <c r="N23" i="121" s="1"/>
  <c r="N16" i="120"/>
  <c r="N23" i="120"/>
  <c r="L31" i="120"/>
  <c r="N22" i="119"/>
  <c r="L17" i="120"/>
  <c r="H22" i="130" s="1"/>
  <c r="H65" i="130" s="1"/>
  <c r="L23" i="120"/>
  <c r="N22" i="123"/>
  <c r="N23" i="123" s="1"/>
  <c r="N20" i="117"/>
  <c r="N15" i="118"/>
  <c r="L31" i="119"/>
  <c r="L23" i="124"/>
  <c r="N14" i="118"/>
  <c r="N13" i="116"/>
  <c r="L17" i="117"/>
  <c r="H19" i="130" s="1"/>
  <c r="H62" i="130" s="1"/>
  <c r="N13" i="118"/>
  <c r="N13" i="119"/>
  <c r="N16" i="119"/>
  <c r="L17" i="119"/>
  <c r="N15" i="120"/>
  <c r="O15" i="114"/>
  <c r="L17" i="121"/>
  <c r="H23" i="130" s="1"/>
  <c r="H66" i="130" s="1"/>
  <c r="N16" i="123"/>
  <c r="L17" i="126"/>
  <c r="H28" i="130" s="1"/>
  <c r="H71" i="130" s="1"/>
  <c r="N23" i="126"/>
  <c r="N13" i="126"/>
  <c r="N14" i="126"/>
  <c r="N15" i="126"/>
  <c r="N16" i="126"/>
  <c r="N21" i="125"/>
  <c r="N23" i="125" s="1"/>
  <c r="L17" i="125"/>
  <c r="H27" i="130" s="1"/>
  <c r="H70" i="130" s="1"/>
  <c r="N15" i="125"/>
  <c r="N16" i="125"/>
  <c r="N21" i="124"/>
  <c r="N13" i="124"/>
  <c r="N14" i="124"/>
  <c r="N15" i="124"/>
  <c r="N16" i="124"/>
  <c r="N15" i="123"/>
  <c r="L17" i="123"/>
  <c r="H25" i="130" s="1"/>
  <c r="H68" i="130" s="1"/>
  <c r="N14" i="123"/>
  <c r="L23" i="122"/>
  <c r="N23" i="122"/>
  <c r="L17" i="122"/>
  <c r="H24" i="130" s="1"/>
  <c r="H67" i="130" s="1"/>
  <c r="N13" i="122"/>
  <c r="N14" i="122"/>
  <c r="N15" i="122"/>
  <c r="N16" i="122"/>
  <c r="N13" i="121"/>
  <c r="N14" i="121"/>
  <c r="N15" i="121"/>
  <c r="N16" i="121"/>
  <c r="N14" i="120"/>
  <c r="N13" i="120"/>
  <c r="N21" i="119"/>
  <c r="N15" i="119"/>
  <c r="N14" i="119"/>
  <c r="L23" i="118"/>
  <c r="L25" i="118" s="1"/>
  <c r="N20" i="118"/>
  <c r="N23" i="118" s="1"/>
  <c r="N16" i="118"/>
  <c r="L31" i="117"/>
  <c r="N21" i="117"/>
  <c r="L23" i="117"/>
  <c r="N17" i="117"/>
  <c r="N23" i="116"/>
  <c r="L23" i="116"/>
  <c r="N14" i="116"/>
  <c r="N15" i="116"/>
  <c r="N21" i="114"/>
  <c r="M21" i="114"/>
  <c r="L21" i="114"/>
  <c r="K21" i="114"/>
  <c r="J21" i="114"/>
  <c r="I21" i="114"/>
  <c r="O21" i="114"/>
  <c r="A11" i="114"/>
  <c r="A12" i="114" s="1"/>
  <c r="A13" i="114" s="1"/>
  <c r="A14" i="114" s="1"/>
  <c r="A15" i="114" s="1"/>
  <c r="A17" i="114" s="1"/>
  <c r="P31" i="113"/>
  <c r="N31" i="113"/>
  <c r="J31" i="113"/>
  <c r="L31" i="113"/>
  <c r="J17" i="130" s="1"/>
  <c r="L23" i="113"/>
  <c r="N20" i="113"/>
  <c r="L17" i="113"/>
  <c r="H17" i="130" s="1"/>
  <c r="H60" i="130" s="1"/>
  <c r="N16" i="113"/>
  <c r="N15" i="113"/>
  <c r="A16" i="113"/>
  <c r="A17" i="113" s="1"/>
  <c r="A20" i="113" s="1"/>
  <c r="A21" i="113" s="1"/>
  <c r="I67" i="183" l="1"/>
  <c r="L67" i="183" s="1"/>
  <c r="I62" i="183"/>
  <c r="L62" i="183" s="1"/>
  <c r="I68" i="183"/>
  <c r="L68" i="183" s="1"/>
  <c r="I69" i="183"/>
  <c r="L69" i="183" s="1"/>
  <c r="I64" i="183"/>
  <c r="L64" i="183" s="1"/>
  <c r="I70" i="183"/>
  <c r="L70" i="183" s="1"/>
  <c r="I65" i="183"/>
  <c r="L65" i="183" s="1"/>
  <c r="I71" i="183"/>
  <c r="L71" i="183" s="1"/>
  <c r="I72" i="183"/>
  <c r="L72" i="183" s="1"/>
  <c r="I63" i="183"/>
  <c r="L63" i="183" s="1"/>
  <c r="I66" i="183"/>
  <c r="L66" i="183" s="1"/>
  <c r="I61" i="183"/>
  <c r="I44" i="183"/>
  <c r="L44" i="183"/>
  <c r="L25" i="119"/>
  <c r="H21" i="130"/>
  <c r="H64" i="130" s="1"/>
  <c r="A18" i="114"/>
  <c r="A19" i="114" s="1"/>
  <c r="A20" i="114" s="1"/>
  <c r="A21" i="114" s="1"/>
  <c r="A23" i="114" s="1"/>
  <c r="A25" i="114" s="1"/>
  <c r="A26" i="114" s="1"/>
  <c r="A27" i="114" s="1"/>
  <c r="A28" i="114" s="1"/>
  <c r="A29" i="114" s="1"/>
  <c r="A31" i="114" s="1"/>
  <c r="A32" i="114" s="1"/>
  <c r="H55" i="162"/>
  <c r="H21" i="162"/>
  <c r="H17" i="162"/>
  <c r="H24" i="162"/>
  <c r="H25" i="162"/>
  <c r="H20" i="162"/>
  <c r="H28" i="162"/>
  <c r="H23" i="162"/>
  <c r="H18" i="162"/>
  <c r="H19" i="162"/>
  <c r="H26" i="162"/>
  <c r="H27" i="162"/>
  <c r="H22" i="162"/>
  <c r="H12" i="147"/>
  <c r="A29" i="126"/>
  <c r="A30" i="126" s="1"/>
  <c r="A31" i="126" s="1"/>
  <c r="A29" i="125"/>
  <c r="A30" i="125" s="1"/>
  <c r="A31" i="125" s="1"/>
  <c r="A29" i="124"/>
  <c r="A30" i="124" s="1"/>
  <c r="A31" i="124" s="1"/>
  <c r="A30" i="123"/>
  <c r="A31" i="123" s="1"/>
  <c r="A29" i="123"/>
  <c r="A29" i="122"/>
  <c r="A30" i="122" s="1"/>
  <c r="A31" i="122" s="1"/>
  <c r="A30" i="121"/>
  <c r="A31" i="121" s="1"/>
  <c r="A29" i="121"/>
  <c r="A29" i="120"/>
  <c r="A30" i="120" s="1"/>
  <c r="A31" i="120" s="1"/>
  <c r="A30" i="119"/>
  <c r="A31" i="119" s="1"/>
  <c r="A29" i="119"/>
  <c r="A29" i="118"/>
  <c r="A30" i="118" s="1"/>
  <c r="A31" i="118" s="1"/>
  <c r="A29" i="117"/>
  <c r="A30" i="117" s="1"/>
  <c r="A31" i="117" s="1"/>
  <c r="A29" i="116"/>
  <c r="A30" i="116" s="1"/>
  <c r="A31" i="116" s="1"/>
  <c r="A22" i="113"/>
  <c r="A23" i="113" s="1"/>
  <c r="A25" i="113" s="1"/>
  <c r="A28" i="113" s="1"/>
  <c r="L25" i="120"/>
  <c r="L25" i="124"/>
  <c r="L25" i="126"/>
  <c r="L25" i="123"/>
  <c r="J65" i="130"/>
  <c r="J22" i="130"/>
  <c r="J64" i="130"/>
  <c r="J21" i="130"/>
  <c r="J62" i="130"/>
  <c r="J19" i="130"/>
  <c r="L25" i="117"/>
  <c r="L25" i="116"/>
  <c r="J61" i="130"/>
  <c r="J18" i="130"/>
  <c r="J60" i="130"/>
  <c r="L25" i="113"/>
  <c r="N17" i="123"/>
  <c r="N25" i="123" s="1"/>
  <c r="N23" i="119"/>
  <c r="N23" i="124"/>
  <c r="N23" i="117"/>
  <c r="N25" i="117" s="1"/>
  <c r="L25" i="125"/>
  <c r="L25" i="121"/>
  <c r="N17" i="120"/>
  <c r="N25" i="120" s="1"/>
  <c r="N17" i="119"/>
  <c r="N17" i="116"/>
  <c r="N25" i="116" s="1"/>
  <c r="N17" i="118"/>
  <c r="N25" i="118" s="1"/>
  <c r="L25" i="122"/>
  <c r="N17" i="126"/>
  <c r="N25" i="126" s="1"/>
  <c r="N17" i="125"/>
  <c r="N25" i="125" s="1"/>
  <c r="N17" i="124"/>
  <c r="N17" i="122"/>
  <c r="N25" i="122" s="1"/>
  <c r="N17" i="121"/>
  <c r="N25" i="121" s="1"/>
  <c r="N23" i="113"/>
  <c r="L15" i="114"/>
  <c r="K29" i="114"/>
  <c r="L29" i="114"/>
  <c r="I15" i="114"/>
  <c r="M15" i="114"/>
  <c r="J15" i="114"/>
  <c r="N15" i="114"/>
  <c r="I29" i="114"/>
  <c r="M29" i="114"/>
  <c r="K15" i="114"/>
  <c r="J29" i="114"/>
  <c r="N29" i="114"/>
  <c r="N17" i="113"/>
  <c r="L61" i="183" l="1"/>
  <c r="L88" i="183" s="1"/>
  <c r="I88" i="183"/>
  <c r="H66" i="162"/>
  <c r="H72" i="162"/>
  <c r="H67" i="162"/>
  <c r="H61" i="162"/>
  <c r="H62" i="162"/>
  <c r="H68" i="162"/>
  <c r="H63" i="162"/>
  <c r="H69" i="162"/>
  <c r="H64" i="162"/>
  <c r="H70" i="162"/>
  <c r="H65" i="162"/>
  <c r="H71" i="162"/>
  <c r="H44" i="162"/>
  <c r="I12" i="147"/>
  <c r="A29" i="113"/>
  <c r="A30" i="113" s="1"/>
  <c r="A31" i="113" s="1"/>
  <c r="N25" i="124"/>
  <c r="H87" i="130"/>
  <c r="H44" i="130"/>
  <c r="N25" i="119"/>
  <c r="L31" i="126"/>
  <c r="L31" i="121"/>
  <c r="L31" i="122"/>
  <c r="L31" i="124"/>
  <c r="L31" i="123"/>
  <c r="L31" i="125"/>
  <c r="N25" i="113"/>
  <c r="O29" i="114"/>
  <c r="H88" i="162" l="1"/>
  <c r="J12" i="147"/>
  <c r="J71" i="130"/>
  <c r="J28" i="130"/>
  <c r="J70" i="130"/>
  <c r="J27" i="130"/>
  <c r="J69" i="130"/>
  <c r="J26" i="130"/>
  <c r="J68" i="130"/>
  <c r="J25" i="130"/>
  <c r="J67" i="130"/>
  <c r="J24" i="130"/>
  <c r="J66" i="130"/>
  <c r="J23" i="130"/>
  <c r="K12" i="147" l="1"/>
  <c r="C11" i="92"/>
  <c r="L12" i="147" l="1"/>
  <c r="L60" i="108"/>
  <c r="Q16" i="111"/>
  <c r="Q13" i="111"/>
  <c r="Q12" i="111"/>
  <c r="M12" i="147" l="1"/>
  <c r="P27" i="91"/>
  <c r="D27" i="131" s="1"/>
  <c r="O27" i="91"/>
  <c r="N27" i="91"/>
  <c r="M27" i="91"/>
  <c r="L27" i="91"/>
  <c r="K27" i="91"/>
  <c r="N12" i="147" l="1"/>
  <c r="K92" i="108"/>
  <c r="J92" i="108"/>
  <c r="I92" i="108"/>
  <c r="H92" i="108"/>
  <c r="G92" i="108"/>
  <c r="P91" i="108"/>
  <c r="Q91" i="108" s="1"/>
  <c r="U91" i="108" s="1"/>
  <c r="P90" i="108"/>
  <c r="Q90" i="108" s="1"/>
  <c r="U90" i="108" s="1"/>
  <c r="P89" i="108"/>
  <c r="Q89" i="108" s="1"/>
  <c r="U89" i="108" s="1"/>
  <c r="P88" i="108"/>
  <c r="Q88" i="108" s="1"/>
  <c r="U88" i="108" s="1"/>
  <c r="P87" i="108"/>
  <c r="Q87" i="108" s="1"/>
  <c r="U87" i="108" s="1"/>
  <c r="P86" i="108"/>
  <c r="Q86" i="108" s="1"/>
  <c r="U86" i="108" s="1"/>
  <c r="P85" i="108"/>
  <c r="Q85" i="108" s="1"/>
  <c r="U85" i="108" s="1"/>
  <c r="P84" i="108"/>
  <c r="Q84" i="108" s="1"/>
  <c r="U84" i="108" s="1"/>
  <c r="P83" i="108"/>
  <c r="Q83" i="108" s="1"/>
  <c r="U83" i="108" s="1"/>
  <c r="P82" i="108"/>
  <c r="Q82" i="108" s="1"/>
  <c r="U82" i="108" s="1"/>
  <c r="P81" i="108"/>
  <c r="Q81" i="108" s="1"/>
  <c r="U81" i="108" s="1"/>
  <c r="P80" i="108"/>
  <c r="Q80" i="108" s="1"/>
  <c r="U80" i="108" s="1"/>
  <c r="P79" i="108"/>
  <c r="Q79" i="108" s="1"/>
  <c r="U79" i="108" s="1"/>
  <c r="P78" i="108"/>
  <c r="Q78" i="108" s="1"/>
  <c r="U78" i="108" s="1"/>
  <c r="P77" i="108"/>
  <c r="Q77" i="108" s="1"/>
  <c r="U77" i="108" s="1"/>
  <c r="A65" i="108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U43" i="108"/>
  <c r="T43" i="108"/>
  <c r="U42" i="108"/>
  <c r="T42" i="108"/>
  <c r="U41" i="108"/>
  <c r="T41" i="108"/>
  <c r="U40" i="108"/>
  <c r="T40" i="108"/>
  <c r="U39" i="108"/>
  <c r="T39" i="108"/>
  <c r="U38" i="108"/>
  <c r="T38" i="108"/>
  <c r="U37" i="108"/>
  <c r="T37" i="108"/>
  <c r="U36" i="108"/>
  <c r="T36" i="108"/>
  <c r="U35" i="108"/>
  <c r="T35" i="108"/>
  <c r="U34" i="108"/>
  <c r="T34" i="108"/>
  <c r="U33" i="108"/>
  <c r="T33" i="108"/>
  <c r="U32" i="108"/>
  <c r="T32" i="108"/>
  <c r="U31" i="108"/>
  <c r="T31" i="108"/>
  <c r="U30" i="108"/>
  <c r="T30" i="108"/>
  <c r="T29" i="108"/>
  <c r="V22" i="108"/>
  <c r="V21" i="108"/>
  <c r="V20" i="108"/>
  <c r="V19" i="108"/>
  <c r="V18" i="108"/>
  <c r="V17" i="108"/>
  <c r="A17" i="108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X16" i="108"/>
  <c r="P31" i="104"/>
  <c r="N31" i="104"/>
  <c r="J31" i="104"/>
  <c r="L30" i="104"/>
  <c r="L22" i="104"/>
  <c r="A20" i="104"/>
  <c r="A21" i="104" s="1"/>
  <c r="P31" i="103"/>
  <c r="N31" i="103"/>
  <c r="J31" i="103"/>
  <c r="L30" i="103"/>
  <c r="A20" i="103"/>
  <c r="A21" i="103" s="1"/>
  <c r="P31" i="102"/>
  <c r="N31" i="102"/>
  <c r="J31" i="102"/>
  <c r="L30" i="102"/>
  <c r="L22" i="102"/>
  <c r="N22" i="102" s="1"/>
  <c r="A20" i="102"/>
  <c r="A21" i="102" s="1"/>
  <c r="P31" i="101"/>
  <c r="N31" i="101"/>
  <c r="J31" i="101"/>
  <c r="L30" i="101"/>
  <c r="L22" i="101"/>
  <c r="N22" i="101" s="1"/>
  <c r="A20" i="101"/>
  <c r="A21" i="101" s="1"/>
  <c r="P31" i="100"/>
  <c r="N31" i="100"/>
  <c r="J31" i="100"/>
  <c r="L30" i="100"/>
  <c r="L22" i="100"/>
  <c r="A20" i="100"/>
  <c r="A21" i="100" s="1"/>
  <c r="P31" i="99"/>
  <c r="N31" i="99"/>
  <c r="J31" i="99"/>
  <c r="F31" i="99"/>
  <c r="L30" i="99"/>
  <c r="F23" i="99"/>
  <c r="L22" i="99"/>
  <c r="R22" i="99" s="1"/>
  <c r="J22" i="99"/>
  <c r="J21" i="99"/>
  <c r="J20" i="99"/>
  <c r="F17" i="99"/>
  <c r="J16" i="99"/>
  <c r="J15" i="99"/>
  <c r="J14" i="99"/>
  <c r="A20" i="99"/>
  <c r="A21" i="99" s="1"/>
  <c r="J13" i="99"/>
  <c r="I30" i="92"/>
  <c r="I26" i="92"/>
  <c r="L29" i="104"/>
  <c r="L29" i="103"/>
  <c r="L29" i="102"/>
  <c r="L29" i="101"/>
  <c r="L29" i="100"/>
  <c r="L29" i="99"/>
  <c r="L28" i="104"/>
  <c r="L28" i="103"/>
  <c r="L28" i="102"/>
  <c r="L28" i="101"/>
  <c r="L28" i="100"/>
  <c r="L28" i="99"/>
  <c r="R28" i="99" s="1"/>
  <c r="G22" i="92"/>
  <c r="L16" i="104"/>
  <c r="L16" i="103"/>
  <c r="L16" i="102"/>
  <c r="L16" i="101"/>
  <c r="L16" i="100"/>
  <c r="N16" i="100" s="1"/>
  <c r="L16" i="99"/>
  <c r="R16" i="99" s="1"/>
  <c r="L15" i="104"/>
  <c r="N15" i="104" s="1"/>
  <c r="L15" i="103"/>
  <c r="L15" i="102"/>
  <c r="L15" i="101"/>
  <c r="L15" i="100"/>
  <c r="N15" i="100" s="1"/>
  <c r="L15" i="99"/>
  <c r="L14" i="104"/>
  <c r="A11" i="92"/>
  <c r="A12" i="92" s="1"/>
  <c r="A13" i="92" s="1"/>
  <c r="A14" i="92" s="1"/>
  <c r="A15" i="92" s="1"/>
  <c r="A17" i="92" s="1"/>
  <c r="A18" i="92" s="1"/>
  <c r="A19" i="92" s="1"/>
  <c r="A20" i="92" s="1"/>
  <c r="A22" i="92" s="1"/>
  <c r="A24" i="92" s="1"/>
  <c r="A25" i="92" s="1"/>
  <c r="A26" i="92" s="1"/>
  <c r="A27" i="92" s="1"/>
  <c r="A29" i="92" s="1"/>
  <c r="A30" i="92" s="1"/>
  <c r="A31" i="92" s="1"/>
  <c r="L13" i="103"/>
  <c r="L13" i="99"/>
  <c r="R13" i="99" s="1"/>
  <c r="P75" i="110"/>
  <c r="O75" i="110"/>
  <c r="N75" i="110"/>
  <c r="M75" i="110"/>
  <c r="L75" i="110"/>
  <c r="K75" i="110"/>
  <c r="J75" i="110"/>
  <c r="I75" i="110"/>
  <c r="H75" i="110"/>
  <c r="G75" i="110"/>
  <c r="F75" i="110"/>
  <c r="E75" i="110"/>
  <c r="Q74" i="110"/>
  <c r="Q73" i="110"/>
  <c r="Q72" i="110"/>
  <c r="P70" i="110"/>
  <c r="O70" i="110"/>
  <c r="N70" i="110"/>
  <c r="M70" i="110"/>
  <c r="L70" i="110"/>
  <c r="K70" i="110"/>
  <c r="J70" i="110"/>
  <c r="I70" i="110"/>
  <c r="H70" i="110"/>
  <c r="G70" i="110"/>
  <c r="F70" i="110"/>
  <c r="E70" i="110"/>
  <c r="Q69" i="110"/>
  <c r="Q68" i="110"/>
  <c r="Q67" i="110"/>
  <c r="Q66" i="110"/>
  <c r="Q65" i="110"/>
  <c r="Q64" i="110"/>
  <c r="Q63" i="110"/>
  <c r="Q62" i="110"/>
  <c r="Q61" i="110"/>
  <c r="Q60" i="110"/>
  <c r="Q59" i="110"/>
  <c r="P54" i="110"/>
  <c r="O54" i="110"/>
  <c r="N54" i="110"/>
  <c r="M54" i="110"/>
  <c r="L54" i="110"/>
  <c r="K54" i="110"/>
  <c r="J54" i="110"/>
  <c r="I54" i="110"/>
  <c r="H54" i="110"/>
  <c r="G54" i="110"/>
  <c r="F54" i="110"/>
  <c r="E54" i="110"/>
  <c r="Q53" i="110"/>
  <c r="Q52" i="110"/>
  <c r="Q51" i="110"/>
  <c r="P49" i="110"/>
  <c r="O49" i="110"/>
  <c r="N49" i="110"/>
  <c r="M49" i="110"/>
  <c r="L49" i="110"/>
  <c r="K49" i="110"/>
  <c r="J49" i="110"/>
  <c r="I49" i="110"/>
  <c r="H49" i="110"/>
  <c r="G49" i="110"/>
  <c r="F49" i="110"/>
  <c r="E49" i="110"/>
  <c r="Q48" i="110"/>
  <c r="Q47" i="110"/>
  <c r="Q46" i="110"/>
  <c r="Q45" i="110"/>
  <c r="Q44" i="110"/>
  <c r="Q43" i="110"/>
  <c r="Q42" i="110"/>
  <c r="Q41" i="110"/>
  <c r="Q40" i="110"/>
  <c r="Q39" i="110"/>
  <c r="Q38" i="110"/>
  <c r="Q37" i="110"/>
  <c r="P32" i="110"/>
  <c r="O32" i="110"/>
  <c r="N32" i="110"/>
  <c r="M32" i="110"/>
  <c r="L32" i="110"/>
  <c r="K32" i="110"/>
  <c r="I32" i="110"/>
  <c r="G32" i="110"/>
  <c r="F32" i="110"/>
  <c r="E32" i="110"/>
  <c r="Q31" i="110"/>
  <c r="P20" i="110"/>
  <c r="O20" i="110"/>
  <c r="N20" i="110"/>
  <c r="M20" i="110"/>
  <c r="L20" i="110"/>
  <c r="K20" i="110"/>
  <c r="J20" i="110"/>
  <c r="I20" i="110"/>
  <c r="I34" i="110" s="1"/>
  <c r="H20" i="110"/>
  <c r="G20" i="110"/>
  <c r="F20" i="110"/>
  <c r="Q13" i="110"/>
  <c r="Q12" i="110"/>
  <c r="Q11" i="110"/>
  <c r="Q10" i="110"/>
  <c r="Q9" i="110"/>
  <c r="Q8" i="110"/>
  <c r="Q7" i="110"/>
  <c r="Q6" i="110"/>
  <c r="Q5" i="110"/>
  <c r="Q4" i="110"/>
  <c r="Q3" i="110"/>
  <c r="P26" i="91"/>
  <c r="D26" i="131" s="1"/>
  <c r="O26" i="91"/>
  <c r="N26" i="91"/>
  <c r="M26" i="91"/>
  <c r="L26" i="91"/>
  <c r="K26" i="91"/>
  <c r="C12" i="8"/>
  <c r="S1048490" i="111"/>
  <c r="P29" i="111"/>
  <c r="O29" i="111"/>
  <c r="N29" i="111"/>
  <c r="M29" i="111"/>
  <c r="L29" i="111"/>
  <c r="K29" i="111"/>
  <c r="J29" i="111"/>
  <c r="I29" i="111"/>
  <c r="H29" i="111"/>
  <c r="G29" i="111"/>
  <c r="F29" i="111"/>
  <c r="E29" i="111"/>
  <c r="D29" i="111"/>
  <c r="Q27" i="111"/>
  <c r="Q26" i="111"/>
  <c r="Q25" i="111"/>
  <c r="D14" i="111"/>
  <c r="D18" i="111" s="1"/>
  <c r="D22" i="111" s="1"/>
  <c r="J14" i="111"/>
  <c r="J18" i="111" s="1"/>
  <c r="J22" i="111" s="1"/>
  <c r="I14" i="111"/>
  <c r="I18" i="111" s="1"/>
  <c r="I22" i="111" s="1"/>
  <c r="H14" i="111"/>
  <c r="H18" i="111" s="1"/>
  <c r="H22" i="111" s="1"/>
  <c r="G14" i="111"/>
  <c r="G18" i="111" s="1"/>
  <c r="G22" i="111" s="1"/>
  <c r="F14" i="111"/>
  <c r="F18" i="111" s="1"/>
  <c r="F22" i="111" s="1"/>
  <c r="E14" i="111"/>
  <c r="E18" i="111" s="1"/>
  <c r="E22" i="111" s="1"/>
  <c r="Q6" i="111"/>
  <c r="P6" i="111"/>
  <c r="O6" i="111"/>
  <c r="N6" i="111"/>
  <c r="M6" i="111"/>
  <c r="L6" i="111"/>
  <c r="K6" i="111"/>
  <c r="J6" i="111"/>
  <c r="I6" i="111"/>
  <c r="H6" i="111"/>
  <c r="G6" i="111"/>
  <c r="F6" i="111"/>
  <c r="S1048575" i="91"/>
  <c r="Q27" i="91"/>
  <c r="P6" i="91"/>
  <c r="O6" i="91"/>
  <c r="N6" i="91"/>
  <c r="M6" i="91"/>
  <c r="L6" i="91"/>
  <c r="K6" i="91"/>
  <c r="J6" i="91"/>
  <c r="I6" i="91"/>
  <c r="H6" i="91"/>
  <c r="G6" i="91"/>
  <c r="F6" i="91"/>
  <c r="D31" i="111" l="1"/>
  <c r="N15" i="99"/>
  <c r="R15" i="99"/>
  <c r="R29" i="99"/>
  <c r="F29" i="100" s="1"/>
  <c r="R29" i="100" s="1"/>
  <c r="F29" i="101" s="1"/>
  <c r="R29" i="101" s="1"/>
  <c r="F30" i="100"/>
  <c r="R30" i="100" s="1"/>
  <c r="R30" i="99"/>
  <c r="L11" i="108"/>
  <c r="G11" i="162" s="1"/>
  <c r="F12" i="8"/>
  <c r="O12" i="147"/>
  <c r="A22" i="104"/>
  <c r="A23" i="104" s="1"/>
  <c r="A25" i="104" s="1"/>
  <c r="A28" i="104" s="1"/>
  <c r="A22" i="103"/>
  <c r="A23" i="103" s="1"/>
  <c r="A25" i="103" s="1"/>
  <c r="A28" i="103" s="1"/>
  <c r="A22" i="102"/>
  <c r="A23" i="102" s="1"/>
  <c r="A25" i="102" s="1"/>
  <c r="A28" i="102" s="1"/>
  <c r="A22" i="101"/>
  <c r="A23" i="101" s="1"/>
  <c r="A25" i="101" s="1"/>
  <c r="A28" i="101" s="1"/>
  <c r="A22" i="100"/>
  <c r="A23" i="100" s="1"/>
  <c r="A25" i="100" s="1"/>
  <c r="A28" i="100" s="1"/>
  <c r="A22" i="99"/>
  <c r="A23" i="99" s="1"/>
  <c r="A25" i="99" s="1"/>
  <c r="A28" i="99" s="1"/>
  <c r="A29" i="99" s="1"/>
  <c r="A30" i="99" s="1"/>
  <c r="A31" i="99" s="1"/>
  <c r="F56" i="110"/>
  <c r="J56" i="110"/>
  <c r="N56" i="110"/>
  <c r="G56" i="110"/>
  <c r="K56" i="110"/>
  <c r="O56" i="110"/>
  <c r="Q20" i="110"/>
  <c r="F34" i="110"/>
  <c r="G34" i="110"/>
  <c r="O34" i="110"/>
  <c r="F77" i="110"/>
  <c r="L34" i="110"/>
  <c r="M77" i="110"/>
  <c r="F31" i="111"/>
  <c r="J31" i="111"/>
  <c r="G31" i="111"/>
  <c r="P15" i="99"/>
  <c r="H34" i="110"/>
  <c r="P34" i="110"/>
  <c r="E77" i="110"/>
  <c r="I77" i="110"/>
  <c r="M34" i="110"/>
  <c r="Q70" i="110"/>
  <c r="J77" i="110"/>
  <c r="N77" i="110"/>
  <c r="F25" i="99"/>
  <c r="H56" i="110"/>
  <c r="P56" i="110"/>
  <c r="G77" i="110"/>
  <c r="O77" i="110"/>
  <c r="Q49" i="110"/>
  <c r="E56" i="110"/>
  <c r="I56" i="110"/>
  <c r="M56" i="110"/>
  <c r="H77" i="110"/>
  <c r="L77" i="110"/>
  <c r="P77" i="110"/>
  <c r="Q32" i="110"/>
  <c r="L56" i="110"/>
  <c r="K77" i="110"/>
  <c r="E20" i="110"/>
  <c r="E34" i="110" s="1"/>
  <c r="J34" i="110"/>
  <c r="N34" i="110"/>
  <c r="Q54" i="110"/>
  <c r="Q75" i="110"/>
  <c r="E12" i="8"/>
  <c r="E31" i="111"/>
  <c r="I31" i="111"/>
  <c r="J23" i="99"/>
  <c r="J17" i="99"/>
  <c r="X17" i="108"/>
  <c r="X18" i="108" s="1"/>
  <c r="X19" i="108" s="1"/>
  <c r="X20" i="108" s="1"/>
  <c r="X21" i="108" s="1"/>
  <c r="X22" i="108" s="1"/>
  <c r="N14" i="104"/>
  <c r="N16" i="104"/>
  <c r="N13" i="99"/>
  <c r="P13" i="99" s="1"/>
  <c r="K34" i="110"/>
  <c r="Q29" i="111"/>
  <c r="H31" i="111"/>
  <c r="T44" i="108"/>
  <c r="I44" i="108"/>
  <c r="J44" i="108"/>
  <c r="G44" i="108"/>
  <c r="K44" i="108"/>
  <c r="H44" i="108"/>
  <c r="E15" i="92"/>
  <c r="L31" i="101"/>
  <c r="L31" i="99"/>
  <c r="I12" i="92"/>
  <c r="I11" i="92"/>
  <c r="C15" i="92"/>
  <c r="G15" i="92"/>
  <c r="I22" i="92"/>
  <c r="N16" i="101"/>
  <c r="N15" i="101"/>
  <c r="F16" i="100"/>
  <c r="R16" i="100" s="1"/>
  <c r="N16" i="99"/>
  <c r="P16" i="99" s="1"/>
  <c r="L31" i="100"/>
  <c r="L13" i="102"/>
  <c r="F15" i="92"/>
  <c r="L31" i="104"/>
  <c r="K14" i="111"/>
  <c r="K18" i="111" s="1"/>
  <c r="I10" i="92"/>
  <c r="I13" i="92"/>
  <c r="I14" i="92"/>
  <c r="D27" i="92"/>
  <c r="F15" i="100"/>
  <c r="R15" i="100" s="1"/>
  <c r="F22" i="100"/>
  <c r="N22" i="99"/>
  <c r="P22" i="99" s="1"/>
  <c r="N22" i="100"/>
  <c r="H27" i="92"/>
  <c r="L17" i="99"/>
  <c r="L17" i="103"/>
  <c r="L75" i="108" s="1"/>
  <c r="N13" i="103"/>
  <c r="N14" i="99"/>
  <c r="P14" i="99" s="1"/>
  <c r="F14" i="100"/>
  <c r="R14" i="100" s="1"/>
  <c r="N15" i="103"/>
  <c r="N16" i="103"/>
  <c r="L13" i="101"/>
  <c r="N15" i="102"/>
  <c r="L13" i="100"/>
  <c r="D15" i="92"/>
  <c r="L13" i="104"/>
  <c r="H15" i="92"/>
  <c r="I29" i="92"/>
  <c r="F30" i="101"/>
  <c r="R30" i="101" s="1"/>
  <c r="N16" i="102"/>
  <c r="I24" i="92"/>
  <c r="I25" i="92"/>
  <c r="E27" i="92"/>
  <c r="L31" i="102"/>
  <c r="F27" i="92"/>
  <c r="L31" i="103"/>
  <c r="C27" i="92"/>
  <c r="G27" i="92"/>
  <c r="N22" i="104"/>
  <c r="L71" i="108" l="1"/>
  <c r="L23" i="108"/>
  <c r="Q77" i="110"/>
  <c r="A29" i="101"/>
  <c r="A30" i="101" s="1"/>
  <c r="A31" i="101" s="1"/>
  <c r="G22" i="162"/>
  <c r="J22" i="162" s="1"/>
  <c r="G20" i="162"/>
  <c r="J20" i="162" s="1"/>
  <c r="G17" i="162"/>
  <c r="G55" i="162"/>
  <c r="G23" i="162"/>
  <c r="J23" i="162" s="1"/>
  <c r="G24" i="162"/>
  <c r="J24" i="162" s="1"/>
  <c r="G25" i="162"/>
  <c r="J25" i="162" s="1"/>
  <c r="G26" i="162"/>
  <c r="J26" i="162" s="1"/>
  <c r="G18" i="162"/>
  <c r="J18" i="162" s="1"/>
  <c r="G28" i="162"/>
  <c r="J28" i="162" s="1"/>
  <c r="G27" i="162"/>
  <c r="J27" i="162" s="1"/>
  <c r="G21" i="162"/>
  <c r="J21" i="162" s="1"/>
  <c r="G19" i="162"/>
  <c r="J19" i="162" s="1"/>
  <c r="P12" i="147"/>
  <c r="J22" i="100"/>
  <c r="R22" i="100"/>
  <c r="F22" i="101" s="1"/>
  <c r="J22" i="101" s="1"/>
  <c r="P22" i="101" s="1"/>
  <c r="P14" i="111"/>
  <c r="P18" i="111" s="1"/>
  <c r="D11" i="132"/>
  <c r="E11" i="132" s="1"/>
  <c r="F11" i="132" s="1"/>
  <c r="G11" i="132" s="1"/>
  <c r="H11" i="132" s="1"/>
  <c r="I11" i="132" s="1"/>
  <c r="J11" i="132" s="1"/>
  <c r="K11" i="132" s="1"/>
  <c r="L11" i="132" s="1"/>
  <c r="M11" i="132" s="1"/>
  <c r="N11" i="132" s="1"/>
  <c r="O11" i="132" s="1"/>
  <c r="P11" i="132" s="1"/>
  <c r="A29" i="104"/>
  <c r="A30" i="104" s="1"/>
  <c r="A31" i="104" s="1"/>
  <c r="A29" i="103"/>
  <c r="A30" i="103" s="1"/>
  <c r="A31" i="103" s="1"/>
  <c r="A29" i="102"/>
  <c r="A30" i="102" s="1"/>
  <c r="A31" i="102" s="1"/>
  <c r="A29" i="100"/>
  <c r="A30" i="100" s="1"/>
  <c r="A31" i="100" s="1"/>
  <c r="F30" i="102"/>
  <c r="R30" i="102" s="1"/>
  <c r="F30" i="103" s="1"/>
  <c r="R30" i="103" s="1"/>
  <c r="F30" i="104" s="1"/>
  <c r="R30" i="104" s="1"/>
  <c r="F30" i="113" s="1"/>
  <c r="R30" i="113" s="1"/>
  <c r="F30" i="116" s="1"/>
  <c r="R30" i="116" s="1"/>
  <c r="F30" i="117" s="1"/>
  <c r="R30" i="117" s="1"/>
  <c r="F30" i="118" s="1"/>
  <c r="R30" i="118" s="1"/>
  <c r="F30" i="119" s="1"/>
  <c r="R30" i="119" s="1"/>
  <c r="F30" i="120" s="1"/>
  <c r="R30" i="120" s="1"/>
  <c r="F30" i="121" s="1"/>
  <c r="R30" i="121" s="1"/>
  <c r="F30" i="122" s="1"/>
  <c r="R30" i="122" s="1"/>
  <c r="F30" i="123" s="1"/>
  <c r="R30" i="123" s="1"/>
  <c r="F30" i="124" s="1"/>
  <c r="R30" i="124" s="1"/>
  <c r="F30" i="125" s="1"/>
  <c r="R30" i="125" s="1"/>
  <c r="F30" i="126" s="1"/>
  <c r="R30" i="126" s="1"/>
  <c r="F30" i="150" s="1"/>
  <c r="R30" i="150" s="1"/>
  <c r="F30" i="151" s="1"/>
  <c r="R30" i="151" s="1"/>
  <c r="F30" i="152" s="1"/>
  <c r="R30" i="152" s="1"/>
  <c r="F30" i="153" s="1"/>
  <c r="R30" i="153" s="1"/>
  <c r="F30" i="154" s="1"/>
  <c r="R30" i="154" s="1"/>
  <c r="F30" i="155" s="1"/>
  <c r="R30" i="155" s="1"/>
  <c r="F30" i="156" s="1"/>
  <c r="R30" i="156" s="1"/>
  <c r="F30" i="157" s="1"/>
  <c r="R30" i="157" s="1"/>
  <c r="F30" i="158" s="1"/>
  <c r="R30" i="158" s="1"/>
  <c r="F30" i="159" s="1"/>
  <c r="R30" i="159" s="1"/>
  <c r="F30" i="160" s="1"/>
  <c r="R30" i="160" s="1"/>
  <c r="F30" i="161" s="1"/>
  <c r="R30" i="161" s="1"/>
  <c r="F34" i="171" s="1"/>
  <c r="R34" i="171" s="1"/>
  <c r="F34" i="172" s="1"/>
  <c r="R34" i="172" s="1"/>
  <c r="F34" i="173" s="1"/>
  <c r="R34" i="173" s="1"/>
  <c r="F34" i="174" s="1"/>
  <c r="R34" i="174" s="1"/>
  <c r="F34" i="175" s="1"/>
  <c r="R34" i="175" s="1"/>
  <c r="F34" i="176" s="1"/>
  <c r="R34" i="176" s="1"/>
  <c r="F34" i="177" s="1"/>
  <c r="R34" i="177" s="1"/>
  <c r="F34" i="178" s="1"/>
  <c r="R34" i="178" s="1"/>
  <c r="F34" i="179" s="1"/>
  <c r="R34" i="179" s="1"/>
  <c r="F34" i="180" s="1"/>
  <c r="R34" i="180" s="1"/>
  <c r="F34" i="181" s="1"/>
  <c r="R34" i="181" s="1"/>
  <c r="F34" i="182" s="1"/>
  <c r="R34" i="182" s="1"/>
  <c r="F29" i="102"/>
  <c r="R29" i="102" s="1"/>
  <c r="F29" i="103" s="1"/>
  <c r="R29" i="103" s="1"/>
  <c r="F29" i="104" s="1"/>
  <c r="R29" i="104" s="1"/>
  <c r="F29" i="113" s="1"/>
  <c r="R29" i="113" s="1"/>
  <c r="F29" i="116" s="1"/>
  <c r="R29" i="116" s="1"/>
  <c r="F29" i="117" s="1"/>
  <c r="R29" i="117" s="1"/>
  <c r="F29" i="118" s="1"/>
  <c r="R29" i="118" s="1"/>
  <c r="F29" i="119" s="1"/>
  <c r="R29" i="119" s="1"/>
  <c r="F29" i="120" s="1"/>
  <c r="R29" i="120" s="1"/>
  <c r="F29" i="121" s="1"/>
  <c r="R29" i="121" s="1"/>
  <c r="F29" i="122" s="1"/>
  <c r="R29" i="122" s="1"/>
  <c r="F29" i="123" s="1"/>
  <c r="R29" i="123" s="1"/>
  <c r="F29" i="124" s="1"/>
  <c r="R29" i="124" s="1"/>
  <c r="F29" i="125" s="1"/>
  <c r="R29" i="125" s="1"/>
  <c r="L59" i="108"/>
  <c r="G11" i="130"/>
  <c r="J14" i="100"/>
  <c r="F14" i="101"/>
  <c r="M23" i="108"/>
  <c r="L27" i="108"/>
  <c r="M27" i="108" s="1"/>
  <c r="N23" i="108"/>
  <c r="N71" i="108" s="1"/>
  <c r="N25" i="108"/>
  <c r="N73" i="108" s="1"/>
  <c r="Q11" i="111"/>
  <c r="Q14" i="111" s="1"/>
  <c r="Q18" i="111" s="1"/>
  <c r="L14" i="111"/>
  <c r="L18" i="111" s="1"/>
  <c r="Q34" i="110"/>
  <c r="Q56" i="110"/>
  <c r="O14" i="111"/>
  <c r="O18" i="111" s="1"/>
  <c r="N14" i="111"/>
  <c r="N18" i="111" s="1"/>
  <c r="M14" i="111"/>
  <c r="M18" i="111" s="1"/>
  <c r="J25" i="99"/>
  <c r="I15" i="92"/>
  <c r="N27" i="108"/>
  <c r="N75" i="108" s="1"/>
  <c r="N26" i="108"/>
  <c r="N74" i="108" s="1"/>
  <c r="I27" i="92"/>
  <c r="N13" i="104"/>
  <c r="L17" i="104"/>
  <c r="L76" i="108" s="1"/>
  <c r="N17" i="103"/>
  <c r="M71" i="108"/>
  <c r="L17" i="102"/>
  <c r="N13" i="102"/>
  <c r="N17" i="102" s="1"/>
  <c r="J16" i="100"/>
  <c r="P16" i="100" s="1"/>
  <c r="F16" i="101"/>
  <c r="N28" i="108"/>
  <c r="N76" i="108" s="1"/>
  <c r="P22" i="100"/>
  <c r="N17" i="99"/>
  <c r="F13" i="100"/>
  <c r="R13" i="100" s="1"/>
  <c r="R17" i="100" s="1"/>
  <c r="R17" i="99"/>
  <c r="L17" i="100"/>
  <c r="L17" i="101"/>
  <c r="N13" i="101"/>
  <c r="N17" i="101" s="1"/>
  <c r="F28" i="100"/>
  <c r="R28" i="100" s="1"/>
  <c r="R31" i="100" s="1"/>
  <c r="R31" i="99"/>
  <c r="K12" i="91" s="1"/>
  <c r="M75" i="108"/>
  <c r="J15" i="100"/>
  <c r="P15" i="100" s="1"/>
  <c r="F15" i="101"/>
  <c r="N24" i="108"/>
  <c r="N72" i="108" s="1"/>
  <c r="P17" i="99"/>
  <c r="O23" i="108" s="1"/>
  <c r="D11" i="147" l="1"/>
  <c r="E11" i="147" s="1"/>
  <c r="F50" i="165"/>
  <c r="L74" i="108"/>
  <c r="L26" i="108"/>
  <c r="N14" i="100"/>
  <c r="P14" i="100" s="1"/>
  <c r="G66" i="162"/>
  <c r="J66" i="162" s="1"/>
  <c r="G72" i="162"/>
  <c r="J72" i="162" s="1"/>
  <c r="G67" i="162"/>
  <c r="J67" i="162" s="1"/>
  <c r="G61" i="162"/>
  <c r="G62" i="162"/>
  <c r="J62" i="162" s="1"/>
  <c r="G68" i="162"/>
  <c r="J68" i="162" s="1"/>
  <c r="G63" i="162"/>
  <c r="J63" i="162" s="1"/>
  <c r="G70" i="162"/>
  <c r="J70" i="162" s="1"/>
  <c r="G65" i="162"/>
  <c r="J65" i="162" s="1"/>
  <c r="G64" i="162"/>
  <c r="J64" i="162" s="1"/>
  <c r="G71" i="162"/>
  <c r="J71" i="162" s="1"/>
  <c r="G69" i="162"/>
  <c r="J69" i="162" s="1"/>
  <c r="G44" i="162"/>
  <c r="J17" i="162"/>
  <c r="J44" i="162" s="1"/>
  <c r="L73" i="108"/>
  <c r="M73" i="108" s="1"/>
  <c r="L25" i="108"/>
  <c r="L72" i="108"/>
  <c r="L24" i="108"/>
  <c r="G19" i="130"/>
  <c r="G23" i="130"/>
  <c r="G27" i="130"/>
  <c r="G21" i="130"/>
  <c r="G25" i="130"/>
  <c r="G22" i="130"/>
  <c r="G26" i="130"/>
  <c r="G20" i="130"/>
  <c r="G24" i="130"/>
  <c r="G28" i="130"/>
  <c r="I28" i="130" s="1"/>
  <c r="G17" i="130"/>
  <c r="I17" i="130" s="1"/>
  <c r="G18" i="130"/>
  <c r="M20" i="147"/>
  <c r="I20" i="147"/>
  <c r="L20" i="146"/>
  <c r="P20" i="146"/>
  <c r="L20" i="147"/>
  <c r="I20" i="146"/>
  <c r="K20" i="147"/>
  <c r="J20" i="146"/>
  <c r="N20" i="147"/>
  <c r="J20" i="147"/>
  <c r="K20" i="146"/>
  <c r="O20" i="146"/>
  <c r="P20" i="147"/>
  <c r="M20" i="146"/>
  <c r="O20" i="147"/>
  <c r="N20" i="146"/>
  <c r="F11" i="147"/>
  <c r="D14" i="147"/>
  <c r="D18" i="147" s="1"/>
  <c r="Q12" i="147"/>
  <c r="D14" i="132"/>
  <c r="D18" i="132" s="1"/>
  <c r="D22" i="132" s="1"/>
  <c r="D31" i="132" s="1"/>
  <c r="O71" i="108"/>
  <c r="K13" i="91"/>
  <c r="J14" i="101"/>
  <c r="P14" i="101" s="1"/>
  <c r="R14" i="101"/>
  <c r="F14" i="102" s="1"/>
  <c r="G54" i="130"/>
  <c r="N17" i="104"/>
  <c r="Q12" i="132"/>
  <c r="L28" i="108"/>
  <c r="M28" i="108" s="1"/>
  <c r="M24" i="108"/>
  <c r="M25" i="108"/>
  <c r="M26" i="108"/>
  <c r="F29" i="126"/>
  <c r="R29" i="126" s="1"/>
  <c r="F29" i="150" s="1"/>
  <c r="R29" i="150" s="1"/>
  <c r="F29" i="151" s="1"/>
  <c r="R29" i="151" s="1"/>
  <c r="F29" i="152" s="1"/>
  <c r="R29" i="152" s="1"/>
  <c r="F29" i="153" s="1"/>
  <c r="R29" i="153" s="1"/>
  <c r="F29" i="154" s="1"/>
  <c r="R29" i="154" s="1"/>
  <c r="F29" i="155" s="1"/>
  <c r="R29" i="155" s="1"/>
  <c r="F29" i="156" s="1"/>
  <c r="R29" i="156" s="1"/>
  <c r="F29" i="157" s="1"/>
  <c r="R29" i="157" s="1"/>
  <c r="F29" i="158" s="1"/>
  <c r="R29" i="158" s="1"/>
  <c r="F29" i="159" s="1"/>
  <c r="R29" i="159" s="1"/>
  <c r="F29" i="160" s="1"/>
  <c r="R29" i="160" s="1"/>
  <c r="F29" i="161" s="1"/>
  <c r="R29" i="161" s="1"/>
  <c r="F33" i="171" s="1"/>
  <c r="J87" i="130"/>
  <c r="J44" i="130"/>
  <c r="P22" i="111"/>
  <c r="P31" i="111" s="1"/>
  <c r="N44" i="108"/>
  <c r="N92" i="108"/>
  <c r="R22" i="101"/>
  <c r="J15" i="101"/>
  <c r="P15" i="101" s="1"/>
  <c r="R15" i="101"/>
  <c r="F15" i="102" s="1"/>
  <c r="M72" i="108"/>
  <c r="P71" i="108"/>
  <c r="Q71" i="108" s="1"/>
  <c r="R23" i="108" s="1"/>
  <c r="S23" i="108" s="1"/>
  <c r="F31" i="100"/>
  <c r="J16" i="101"/>
  <c r="P16" i="101" s="1"/>
  <c r="R16" i="101"/>
  <c r="F16" i="102" s="1"/>
  <c r="M74" i="108"/>
  <c r="F13" i="101"/>
  <c r="F17" i="100"/>
  <c r="J13" i="100"/>
  <c r="M76" i="108"/>
  <c r="R33" i="171" l="1"/>
  <c r="G61" i="130"/>
  <c r="G62" i="130"/>
  <c r="G68" i="130"/>
  <c r="I68" i="130" s="1"/>
  <c r="G63" i="130"/>
  <c r="G69" i="130"/>
  <c r="I69" i="130" s="1"/>
  <c r="G65" i="130"/>
  <c r="I65" i="130" s="1"/>
  <c r="G64" i="130"/>
  <c r="G70" i="130"/>
  <c r="I70" i="130" s="1"/>
  <c r="G71" i="130"/>
  <c r="I71" i="130" s="1"/>
  <c r="G66" i="130"/>
  <c r="I66" i="130" s="1"/>
  <c r="G60" i="130"/>
  <c r="I60" i="130" s="1"/>
  <c r="G67" i="130"/>
  <c r="I67" i="130" s="1"/>
  <c r="N13" i="100"/>
  <c r="N17" i="100" s="1"/>
  <c r="G88" i="162"/>
  <c r="J61" i="162"/>
  <c r="J88" i="162" s="1"/>
  <c r="D22" i="147"/>
  <c r="D31" i="147" s="1"/>
  <c r="E14" i="147"/>
  <c r="E18" i="147" s="1"/>
  <c r="E31" i="147" s="1"/>
  <c r="I23" i="130"/>
  <c r="I24" i="130"/>
  <c r="P23" i="108"/>
  <c r="Q23" i="108" s="1"/>
  <c r="U23" i="108" s="1"/>
  <c r="F22" i="102"/>
  <c r="J22" i="102" s="1"/>
  <c r="P22" i="102" s="1"/>
  <c r="I25" i="130"/>
  <c r="I27" i="130"/>
  <c r="I61" i="130"/>
  <c r="I18" i="130"/>
  <c r="I63" i="130"/>
  <c r="I20" i="130"/>
  <c r="I22" i="130"/>
  <c r="J14" i="102"/>
  <c r="P14" i="102" s="1"/>
  <c r="R14" i="102"/>
  <c r="F14" i="103" s="1"/>
  <c r="I62" i="130"/>
  <c r="I19" i="130"/>
  <c r="I64" i="130"/>
  <c r="I21" i="130"/>
  <c r="G44" i="130"/>
  <c r="I26" i="130"/>
  <c r="N22" i="111"/>
  <c r="N31" i="111" s="1"/>
  <c r="Q22" i="111"/>
  <c r="Q31" i="111" s="1"/>
  <c r="M22" i="111"/>
  <c r="M31" i="111" s="1"/>
  <c r="L22" i="111"/>
  <c r="L31" i="111" s="1"/>
  <c r="O22" i="111"/>
  <c r="O31" i="111" s="1"/>
  <c r="K22" i="111"/>
  <c r="K31" i="111" s="1"/>
  <c r="L44" i="108"/>
  <c r="L92" i="108"/>
  <c r="J13" i="101"/>
  <c r="F17" i="101"/>
  <c r="R13" i="101"/>
  <c r="F13" i="102" s="1"/>
  <c r="F17" i="102" s="1"/>
  <c r="J16" i="102"/>
  <c r="P16" i="102" s="1"/>
  <c r="R16" i="102"/>
  <c r="F16" i="103" s="1"/>
  <c r="J17" i="100"/>
  <c r="F28" i="101"/>
  <c r="L12" i="91"/>
  <c r="J15" i="102"/>
  <c r="P15" i="102" s="1"/>
  <c r="R15" i="102"/>
  <c r="F15" i="103" s="1"/>
  <c r="M44" i="108"/>
  <c r="M92" i="108"/>
  <c r="F33" i="172" l="1"/>
  <c r="P13" i="100"/>
  <c r="P17" i="100" s="1"/>
  <c r="O24" i="108" s="1"/>
  <c r="O72" i="108" s="1"/>
  <c r="P72" i="108" s="1"/>
  <c r="Q72" i="108" s="1"/>
  <c r="R24" i="108" s="1"/>
  <c r="S24" i="108" s="1"/>
  <c r="G11" i="147"/>
  <c r="F14" i="147"/>
  <c r="F18" i="147" s="1"/>
  <c r="F22" i="147" s="1"/>
  <c r="F31" i="147" s="1"/>
  <c r="L13" i="91"/>
  <c r="R22" i="102"/>
  <c r="F22" i="103" s="1"/>
  <c r="J22" i="103" s="1"/>
  <c r="I87" i="130"/>
  <c r="J14" i="103"/>
  <c r="P14" i="103" s="1"/>
  <c r="R14" i="103"/>
  <c r="F14" i="104" s="1"/>
  <c r="G87" i="130"/>
  <c r="I44" i="130"/>
  <c r="J15" i="103"/>
  <c r="P15" i="103" s="1"/>
  <c r="R15" i="103"/>
  <c r="F15" i="104" s="1"/>
  <c r="F31" i="101"/>
  <c r="R28" i="101"/>
  <c r="F28" i="102" s="1"/>
  <c r="F31" i="102" s="1"/>
  <c r="J16" i="103"/>
  <c r="P16" i="103" s="1"/>
  <c r="R16" i="103"/>
  <c r="F16" i="104" s="1"/>
  <c r="J17" i="101"/>
  <c r="P13" i="101"/>
  <c r="P17" i="101" s="1"/>
  <c r="O25" i="108" s="1"/>
  <c r="V23" i="108"/>
  <c r="X23" i="108" s="1"/>
  <c r="R17" i="101"/>
  <c r="R33" i="172" l="1"/>
  <c r="H11" i="147"/>
  <c r="G14" i="147"/>
  <c r="G18" i="147" s="1"/>
  <c r="G22" i="147" s="1"/>
  <c r="G31" i="147" s="1"/>
  <c r="P24" i="108"/>
  <c r="Q24" i="108" s="1"/>
  <c r="U24" i="108" s="1"/>
  <c r="V24" i="108" s="1"/>
  <c r="X24" i="108" s="1"/>
  <c r="O73" i="108"/>
  <c r="P73" i="108" s="1"/>
  <c r="Q73" i="108" s="1"/>
  <c r="R25" i="108" s="1"/>
  <c r="S25" i="108" s="1"/>
  <c r="M13" i="91"/>
  <c r="E14" i="132"/>
  <c r="E18" i="132" s="1"/>
  <c r="E22" i="132" s="1"/>
  <c r="E31" i="132" s="1"/>
  <c r="K16" i="91"/>
  <c r="R31" i="101"/>
  <c r="M12" i="91" s="1"/>
  <c r="J13" i="102"/>
  <c r="R13" i="102"/>
  <c r="J15" i="104"/>
  <c r="P15" i="104" s="1"/>
  <c r="R15" i="104"/>
  <c r="F15" i="113" s="1"/>
  <c r="J14" i="104"/>
  <c r="P14" i="104" s="1"/>
  <c r="R14" i="104"/>
  <c r="F14" i="113" s="1"/>
  <c r="J16" i="104"/>
  <c r="P16" i="104" s="1"/>
  <c r="R16" i="104"/>
  <c r="F16" i="113" s="1"/>
  <c r="F33" i="173" l="1"/>
  <c r="I11" i="147"/>
  <c r="H14" i="147"/>
  <c r="H18" i="147" s="1"/>
  <c r="H22" i="147" s="1"/>
  <c r="H31" i="147" s="1"/>
  <c r="P25" i="108"/>
  <c r="Q25" i="108" s="1"/>
  <c r="U25" i="108" s="1"/>
  <c r="V25" i="108" s="1"/>
  <c r="X25" i="108" s="1"/>
  <c r="R14" i="113"/>
  <c r="F14" i="116" s="1"/>
  <c r="J14" i="113"/>
  <c r="P14" i="113" s="1"/>
  <c r="R16" i="113"/>
  <c r="F16" i="116" s="1"/>
  <c r="J16" i="113"/>
  <c r="P16" i="113" s="1"/>
  <c r="R15" i="113"/>
  <c r="F15" i="116" s="1"/>
  <c r="J15" i="113"/>
  <c r="P15" i="113" s="1"/>
  <c r="P13" i="102"/>
  <c r="P17" i="102" s="1"/>
  <c r="O26" i="108" s="1"/>
  <c r="J17" i="102"/>
  <c r="L16" i="91"/>
  <c r="F13" i="103"/>
  <c r="R17" i="102"/>
  <c r="R28" i="102"/>
  <c r="R33" i="173" l="1"/>
  <c r="J11" i="147"/>
  <c r="I14" i="147"/>
  <c r="I18" i="147" s="1"/>
  <c r="I22" i="147" s="1"/>
  <c r="I31" i="147" s="1"/>
  <c r="N13" i="91"/>
  <c r="O74" i="108"/>
  <c r="P74" i="108" s="1"/>
  <c r="Q74" i="108" s="1"/>
  <c r="R26" i="108" s="1"/>
  <c r="S26" i="108" s="1"/>
  <c r="F14" i="132"/>
  <c r="F18" i="132" s="1"/>
  <c r="F22" i="132" s="1"/>
  <c r="F31" i="132" s="1"/>
  <c r="R15" i="116"/>
  <c r="F15" i="117" s="1"/>
  <c r="J15" i="116"/>
  <c r="P15" i="116" s="1"/>
  <c r="R16" i="116"/>
  <c r="F16" i="117" s="1"/>
  <c r="J16" i="116"/>
  <c r="P16" i="116" s="1"/>
  <c r="J14" i="116"/>
  <c r="P14" i="116" s="1"/>
  <c r="R14" i="116"/>
  <c r="F14" i="117" s="1"/>
  <c r="J13" i="103"/>
  <c r="F17" i="103"/>
  <c r="R13" i="103"/>
  <c r="M16" i="91"/>
  <c r="R31" i="102"/>
  <c r="N12" i="91" s="1"/>
  <c r="F28" i="103"/>
  <c r="F33" i="174" l="1"/>
  <c r="K11" i="147"/>
  <c r="J14" i="147"/>
  <c r="J18" i="147" s="1"/>
  <c r="J22" i="147" s="1"/>
  <c r="J31" i="147" s="1"/>
  <c r="P26" i="108"/>
  <c r="Q26" i="108" s="1"/>
  <c r="U26" i="108" s="1"/>
  <c r="V26" i="108" s="1"/>
  <c r="X26" i="108" s="1"/>
  <c r="R14" i="117"/>
  <c r="F14" i="118" s="1"/>
  <c r="J14" i="117"/>
  <c r="P14" i="117" s="1"/>
  <c r="R16" i="117"/>
  <c r="F16" i="118" s="1"/>
  <c r="J16" i="117"/>
  <c r="P16" i="117" s="1"/>
  <c r="J15" i="117"/>
  <c r="P15" i="117" s="1"/>
  <c r="R15" i="117"/>
  <c r="F15" i="118" s="1"/>
  <c r="P13" i="103"/>
  <c r="P17" i="103" s="1"/>
  <c r="O27" i="108" s="1"/>
  <c r="J17" i="103"/>
  <c r="F31" i="103"/>
  <c r="R28" i="103"/>
  <c r="F13" i="104"/>
  <c r="R17" i="103"/>
  <c r="R33" i="174" l="1"/>
  <c r="L11" i="147"/>
  <c r="K14" i="147"/>
  <c r="K18" i="147" s="1"/>
  <c r="K22" i="147" s="1"/>
  <c r="K31" i="147" s="1"/>
  <c r="O13" i="91"/>
  <c r="O75" i="108"/>
  <c r="P75" i="108" s="1"/>
  <c r="Q75" i="108" s="1"/>
  <c r="R27" i="108" s="1"/>
  <c r="S27" i="108" s="1"/>
  <c r="G14" i="132"/>
  <c r="G18" i="132" s="1"/>
  <c r="G22" i="132" s="1"/>
  <c r="G31" i="132" s="1"/>
  <c r="R16" i="118"/>
  <c r="F16" i="119" s="1"/>
  <c r="J16" i="118"/>
  <c r="P16" i="118" s="1"/>
  <c r="R15" i="118"/>
  <c r="F15" i="119" s="1"/>
  <c r="J15" i="118"/>
  <c r="P15" i="118" s="1"/>
  <c r="R14" i="118"/>
  <c r="F14" i="119" s="1"/>
  <c r="J14" i="118"/>
  <c r="P14" i="118" s="1"/>
  <c r="N16" i="91"/>
  <c r="F17" i="104"/>
  <c r="J13" i="104"/>
  <c r="R13" i="104"/>
  <c r="R31" i="103"/>
  <c r="O12" i="91" s="1"/>
  <c r="F28" i="104"/>
  <c r="F33" i="175" l="1"/>
  <c r="M11" i="147"/>
  <c r="L14" i="147"/>
  <c r="L18" i="147" s="1"/>
  <c r="L22" i="147" s="1"/>
  <c r="L31" i="147" s="1"/>
  <c r="P27" i="108"/>
  <c r="Q27" i="108" s="1"/>
  <c r="U27" i="108" s="1"/>
  <c r="V27" i="108" s="1"/>
  <c r="X27" i="108" s="1"/>
  <c r="R14" i="119"/>
  <c r="F14" i="120" s="1"/>
  <c r="J14" i="119"/>
  <c r="P14" i="119" s="1"/>
  <c r="J15" i="119"/>
  <c r="P15" i="119" s="1"/>
  <c r="R15" i="119"/>
  <c r="F15" i="120" s="1"/>
  <c r="R17" i="104"/>
  <c r="F13" i="113"/>
  <c r="R16" i="119"/>
  <c r="F16" i="120" s="1"/>
  <c r="J16" i="119"/>
  <c r="P16" i="119" s="1"/>
  <c r="F31" i="104"/>
  <c r="R28" i="104"/>
  <c r="J17" i="104"/>
  <c r="P13" i="104"/>
  <c r="P17" i="104" s="1"/>
  <c r="O28" i="108" s="1"/>
  <c r="R33" i="175" l="1"/>
  <c r="N11" i="147"/>
  <c r="M14" i="147"/>
  <c r="M18" i="147" s="1"/>
  <c r="M22" i="147" s="1"/>
  <c r="M31" i="147" s="1"/>
  <c r="O76" i="108"/>
  <c r="P76" i="108" s="1"/>
  <c r="Q76" i="108" s="1"/>
  <c r="R28" i="108" s="1"/>
  <c r="S28" i="108" s="1"/>
  <c r="P13" i="91"/>
  <c r="H14" i="132"/>
  <c r="H18" i="132" s="1"/>
  <c r="H22" i="132" s="1"/>
  <c r="H31" i="132" s="1"/>
  <c r="R16" i="120"/>
  <c r="F16" i="121" s="1"/>
  <c r="J16" i="120"/>
  <c r="P16" i="120" s="1"/>
  <c r="J14" i="120"/>
  <c r="P14" i="120" s="1"/>
  <c r="R14" i="120"/>
  <c r="F14" i="121" s="1"/>
  <c r="F17" i="113"/>
  <c r="R13" i="113"/>
  <c r="J13" i="113"/>
  <c r="P13" i="113" s="1"/>
  <c r="R15" i="120"/>
  <c r="F15" i="121" s="1"/>
  <c r="J15" i="120"/>
  <c r="P15" i="120" s="1"/>
  <c r="R31" i="104"/>
  <c r="P12" i="91" s="1"/>
  <c r="F28" i="113"/>
  <c r="O16" i="91"/>
  <c r="F33" i="176" l="1"/>
  <c r="O11" i="147"/>
  <c r="N14" i="147"/>
  <c r="N18" i="147" s="1"/>
  <c r="N22" i="147" s="1"/>
  <c r="N31" i="147" s="1"/>
  <c r="P28" i="108"/>
  <c r="Q28" i="108" s="1"/>
  <c r="U28" i="108" s="1"/>
  <c r="Q16" i="130" s="1"/>
  <c r="T16" i="130" s="1"/>
  <c r="R16" i="121"/>
  <c r="F16" i="122" s="1"/>
  <c r="J16" i="121"/>
  <c r="P16" i="121" s="1"/>
  <c r="R15" i="121"/>
  <c r="F15" i="122" s="1"/>
  <c r="J15" i="121"/>
  <c r="P15" i="121" s="1"/>
  <c r="R14" i="121"/>
  <c r="F14" i="122" s="1"/>
  <c r="J14" i="121"/>
  <c r="P14" i="121" s="1"/>
  <c r="Q13" i="91"/>
  <c r="D13" i="131"/>
  <c r="J17" i="113"/>
  <c r="F13" i="116"/>
  <c r="R17" i="113"/>
  <c r="Q12" i="91"/>
  <c r="D12" i="131"/>
  <c r="F31" i="113"/>
  <c r="R28" i="113"/>
  <c r="E12" i="131" s="1"/>
  <c r="R33" i="176" l="1"/>
  <c r="P11" i="147"/>
  <c r="D11" i="168" s="1"/>
  <c r="O14" i="147"/>
  <c r="O18" i="147" s="1"/>
  <c r="O22" i="147" s="1"/>
  <c r="O31" i="147" s="1"/>
  <c r="I14" i="132"/>
  <c r="I18" i="132" s="1"/>
  <c r="I22" i="132" s="1"/>
  <c r="I31" i="132" s="1"/>
  <c r="P17" i="113"/>
  <c r="K60" i="130" s="1"/>
  <c r="L60" i="130" s="1"/>
  <c r="E13" i="131"/>
  <c r="R13" i="116"/>
  <c r="J13" i="116"/>
  <c r="F17" i="116"/>
  <c r="J14" i="122"/>
  <c r="P14" i="122" s="1"/>
  <c r="R14" i="122"/>
  <c r="F14" i="123" s="1"/>
  <c r="R16" i="122"/>
  <c r="F16" i="123" s="1"/>
  <c r="J16" i="122"/>
  <c r="P16" i="122" s="1"/>
  <c r="R15" i="122"/>
  <c r="F15" i="123" s="1"/>
  <c r="J15" i="122"/>
  <c r="P15" i="122" s="1"/>
  <c r="R31" i="113"/>
  <c r="F28" i="116"/>
  <c r="V28" i="108"/>
  <c r="X28" i="108" s="1"/>
  <c r="D16" i="131" s="1"/>
  <c r="U44" i="108"/>
  <c r="O44" i="108"/>
  <c r="O92" i="108"/>
  <c r="D14" i="168" l="1"/>
  <c r="D18" i="168" s="1"/>
  <c r="D22" i="168" s="1"/>
  <c r="D31" i="168" s="1"/>
  <c r="F33" i="177"/>
  <c r="P14" i="147"/>
  <c r="P18" i="147" s="1"/>
  <c r="P22" i="147" s="1"/>
  <c r="P31" i="147" s="1"/>
  <c r="Q11" i="147"/>
  <c r="Q14" i="147" s="1"/>
  <c r="Q18" i="147" s="1"/>
  <c r="Q31" i="147" s="1"/>
  <c r="K17" i="130"/>
  <c r="L17" i="130" s="1"/>
  <c r="M17" i="130" s="1"/>
  <c r="M60" i="130"/>
  <c r="R15" i="123"/>
  <c r="F15" i="124" s="1"/>
  <c r="J15" i="123"/>
  <c r="P15" i="123" s="1"/>
  <c r="R16" i="123"/>
  <c r="F16" i="124" s="1"/>
  <c r="J16" i="123"/>
  <c r="P16" i="123" s="1"/>
  <c r="J14" i="123"/>
  <c r="P14" i="123" s="1"/>
  <c r="R14" i="123"/>
  <c r="F14" i="124" s="1"/>
  <c r="J17" i="116"/>
  <c r="P13" i="116"/>
  <c r="F13" i="117"/>
  <c r="R17" i="116"/>
  <c r="R28" i="116"/>
  <c r="F12" i="131" s="1"/>
  <c r="F31" i="116"/>
  <c r="P92" i="108"/>
  <c r="Q44" i="108"/>
  <c r="P44" i="108"/>
  <c r="E14" i="168" l="1"/>
  <c r="E18" i="168" s="1"/>
  <c r="E22" i="168" s="1"/>
  <c r="E31" i="168" s="1"/>
  <c r="R33" i="177"/>
  <c r="J14" i="132"/>
  <c r="J18" i="132" s="1"/>
  <c r="J22" i="132" s="1"/>
  <c r="J31" i="132" s="1"/>
  <c r="P17" i="116"/>
  <c r="K61" i="130" s="1"/>
  <c r="L61" i="130" s="1"/>
  <c r="F13" i="131"/>
  <c r="J15" i="124"/>
  <c r="P15" i="124" s="1"/>
  <c r="R15" i="124"/>
  <c r="F15" i="125" s="1"/>
  <c r="R16" i="124"/>
  <c r="F16" i="125" s="1"/>
  <c r="J16" i="124"/>
  <c r="P16" i="124" s="1"/>
  <c r="R14" i="124"/>
  <c r="F14" i="125" s="1"/>
  <c r="J14" i="124"/>
  <c r="P14" i="124" s="1"/>
  <c r="J13" i="117"/>
  <c r="R13" i="117"/>
  <c r="F17" i="117"/>
  <c r="F28" i="117"/>
  <c r="R31" i="116"/>
  <c r="P16" i="91"/>
  <c r="Q16" i="91" s="1"/>
  <c r="Q92" i="108"/>
  <c r="F14" i="168" l="1"/>
  <c r="F18" i="168" s="1"/>
  <c r="F22" i="168" s="1"/>
  <c r="F31" i="168" s="1"/>
  <c r="F33" i="178"/>
  <c r="K18" i="130"/>
  <c r="L18" i="130" s="1"/>
  <c r="R14" i="125"/>
  <c r="F14" i="126" s="1"/>
  <c r="M61" i="130"/>
  <c r="N17" i="130"/>
  <c r="O17" i="130" s="1"/>
  <c r="J16" i="125"/>
  <c r="P16" i="125" s="1"/>
  <c r="R16" i="125"/>
  <c r="F16" i="126" s="1"/>
  <c r="F13" i="118"/>
  <c r="R17" i="117"/>
  <c r="P13" i="117"/>
  <c r="J17" i="117"/>
  <c r="R15" i="125"/>
  <c r="F15" i="126" s="1"/>
  <c r="J15" i="125"/>
  <c r="P15" i="125" s="1"/>
  <c r="F31" i="117"/>
  <c r="R28" i="117"/>
  <c r="G12" i="131" s="1"/>
  <c r="S44" i="108"/>
  <c r="R44" i="108"/>
  <c r="I18" i="92"/>
  <c r="L21" i="104"/>
  <c r="L21" i="102"/>
  <c r="L20" i="103"/>
  <c r="L20" i="104"/>
  <c r="N20" i="104" s="1"/>
  <c r="L21" i="100"/>
  <c r="N21" i="100" s="1"/>
  <c r="L21" i="99"/>
  <c r="D20" i="92"/>
  <c r="L20" i="100"/>
  <c r="I17" i="92"/>
  <c r="G14" i="168" l="1"/>
  <c r="G18" i="168" s="1"/>
  <c r="G22" i="168" s="1"/>
  <c r="G31" i="168" s="1"/>
  <c r="R33" i="178"/>
  <c r="R21" i="99"/>
  <c r="F21" i="100" s="1"/>
  <c r="K14" i="132"/>
  <c r="K18" i="132" s="1"/>
  <c r="K22" i="132" s="1"/>
  <c r="K31" i="132" s="1"/>
  <c r="P17" i="117"/>
  <c r="K19" i="130" s="1"/>
  <c r="G13" i="131"/>
  <c r="J14" i="125"/>
  <c r="P14" i="125" s="1"/>
  <c r="J14" i="126"/>
  <c r="P14" i="126" s="1"/>
  <c r="M18" i="130"/>
  <c r="R14" i="126"/>
  <c r="F14" i="150" s="1"/>
  <c r="R13" i="118"/>
  <c r="J13" i="118"/>
  <c r="F17" i="118"/>
  <c r="R15" i="126"/>
  <c r="F15" i="150" s="1"/>
  <c r="J15" i="126"/>
  <c r="P15" i="126" s="1"/>
  <c r="J16" i="126"/>
  <c r="P16" i="126" s="1"/>
  <c r="R16" i="126"/>
  <c r="F16" i="150" s="1"/>
  <c r="R31" i="117"/>
  <c r="F28" i="118"/>
  <c r="L23" i="104"/>
  <c r="L25" i="104" s="1"/>
  <c r="N21" i="99"/>
  <c r="P21" i="99" s="1"/>
  <c r="L20" i="102"/>
  <c r="F20" i="92"/>
  <c r="N20" i="103"/>
  <c r="G20" i="92"/>
  <c r="N20" i="100"/>
  <c r="N23" i="100" s="1"/>
  <c r="N25" i="100" s="1"/>
  <c r="L23" i="100"/>
  <c r="L25" i="100" s="1"/>
  <c r="E20" i="92"/>
  <c r="L20" i="101"/>
  <c r="H20" i="92"/>
  <c r="L20" i="99"/>
  <c r="R20" i="99" s="1"/>
  <c r="C20" i="92"/>
  <c r="N21" i="102"/>
  <c r="I19" i="92"/>
  <c r="I20" i="92" s="1"/>
  <c r="L22" i="103"/>
  <c r="L23" i="103" s="1"/>
  <c r="L25" i="103" s="1"/>
  <c r="N21" i="104"/>
  <c r="N23" i="104" s="1"/>
  <c r="N25" i="104" s="1"/>
  <c r="H14" i="168" l="1"/>
  <c r="H18" i="168" s="1"/>
  <c r="H22" i="168" s="1"/>
  <c r="H31" i="168" s="1"/>
  <c r="F33" i="179"/>
  <c r="R21" i="100"/>
  <c r="F21" i="101" s="1"/>
  <c r="J21" i="100"/>
  <c r="P21" i="100" s="1"/>
  <c r="J16" i="150"/>
  <c r="P16" i="150" s="1"/>
  <c r="R16" i="150"/>
  <c r="F16" i="151" s="1"/>
  <c r="J15" i="150"/>
  <c r="P15" i="150" s="1"/>
  <c r="R15" i="150"/>
  <c r="F15" i="151" s="1"/>
  <c r="J14" i="150"/>
  <c r="P14" i="150" s="1"/>
  <c r="R14" i="150"/>
  <c r="F14" i="151" s="1"/>
  <c r="J21" i="101"/>
  <c r="P21" i="101" s="1"/>
  <c r="R21" i="101"/>
  <c r="F21" i="102" s="1"/>
  <c r="K62" i="130"/>
  <c r="L19" i="130"/>
  <c r="N18" i="130"/>
  <c r="Q17" i="130"/>
  <c r="R17" i="118"/>
  <c r="F13" i="119"/>
  <c r="P13" i="118"/>
  <c r="J17" i="118"/>
  <c r="F31" i="118"/>
  <c r="R28" i="118"/>
  <c r="H12" i="131" s="1"/>
  <c r="R22" i="103"/>
  <c r="F22" i="104" s="1"/>
  <c r="N22" i="103"/>
  <c r="P22" i="103" s="1"/>
  <c r="L23" i="99"/>
  <c r="L25" i="99" s="1"/>
  <c r="N20" i="99"/>
  <c r="L23" i="102"/>
  <c r="L25" i="102" s="1"/>
  <c r="N20" i="102"/>
  <c r="N23" i="102" s="1"/>
  <c r="N25" i="102" s="1"/>
  <c r="N20" i="101"/>
  <c r="N23" i="101" s="1"/>
  <c r="N25" i="101" s="1"/>
  <c r="L23" i="101"/>
  <c r="L25" i="101" s="1"/>
  <c r="I14" i="168" l="1"/>
  <c r="I18" i="168" s="1"/>
  <c r="I22" i="168" s="1"/>
  <c r="I31" i="168" s="1"/>
  <c r="R33" i="179"/>
  <c r="L62" i="130"/>
  <c r="M62" i="130" s="1"/>
  <c r="J14" i="151"/>
  <c r="P14" i="151" s="1"/>
  <c r="R14" i="151"/>
  <c r="F14" i="152" s="1"/>
  <c r="R16" i="151"/>
  <c r="F16" i="152" s="1"/>
  <c r="J16" i="151"/>
  <c r="P16" i="151" s="1"/>
  <c r="J15" i="151"/>
  <c r="P15" i="151" s="1"/>
  <c r="R15" i="151"/>
  <c r="F15" i="152" s="1"/>
  <c r="L14" i="132"/>
  <c r="L18" i="132" s="1"/>
  <c r="L22" i="132" s="1"/>
  <c r="L31" i="132" s="1"/>
  <c r="P17" i="118"/>
  <c r="K63" i="130" s="1"/>
  <c r="L63" i="130" s="1"/>
  <c r="H13" i="131"/>
  <c r="M19" i="130"/>
  <c r="O18" i="130"/>
  <c r="R17" i="130"/>
  <c r="T17" i="130" s="1"/>
  <c r="E16" i="131" s="1"/>
  <c r="R13" i="119"/>
  <c r="F17" i="119"/>
  <c r="J13" i="119"/>
  <c r="R31" i="118"/>
  <c r="F28" i="119"/>
  <c r="N23" i="103"/>
  <c r="N25" i="103" s="1"/>
  <c r="J21" i="102"/>
  <c r="P21" i="102" s="1"/>
  <c r="R21" i="102"/>
  <c r="F21" i="103" s="1"/>
  <c r="R23" i="99"/>
  <c r="R25" i="99" s="1"/>
  <c r="K11" i="91" s="1"/>
  <c r="F20" i="100"/>
  <c r="R20" i="100" s="1"/>
  <c r="R23" i="100" s="1"/>
  <c r="R25" i="100" s="1"/>
  <c r="R22" i="104"/>
  <c r="F22" i="113" s="1"/>
  <c r="J22" i="104"/>
  <c r="P22" i="104" s="1"/>
  <c r="N23" i="99"/>
  <c r="N25" i="99" s="1"/>
  <c r="P20" i="99"/>
  <c r="P23" i="99" s="1"/>
  <c r="P25" i="99" s="1"/>
  <c r="K25" i="91" s="1"/>
  <c r="J14" i="168" l="1"/>
  <c r="J18" i="168" s="1"/>
  <c r="J22" i="168" s="1"/>
  <c r="J31" i="168" s="1"/>
  <c r="F33" i="180"/>
  <c r="J16" i="152"/>
  <c r="P16" i="152" s="1"/>
  <c r="R16" i="152"/>
  <c r="F16" i="153" s="1"/>
  <c r="R15" i="152"/>
  <c r="F15" i="153" s="1"/>
  <c r="J15" i="152"/>
  <c r="P15" i="152" s="1"/>
  <c r="J14" i="152"/>
  <c r="P14" i="152" s="1"/>
  <c r="R14" i="152"/>
  <c r="F14" i="153" s="1"/>
  <c r="J21" i="103"/>
  <c r="P21" i="103" s="1"/>
  <c r="R21" i="103"/>
  <c r="F21" i="104" s="1"/>
  <c r="K20" i="130"/>
  <c r="L20" i="130" s="1"/>
  <c r="J22" i="113"/>
  <c r="P22" i="113" s="1"/>
  <c r="R22" i="113"/>
  <c r="F22" i="116" s="1"/>
  <c r="M63" i="130"/>
  <c r="N19" i="130"/>
  <c r="Q18" i="130"/>
  <c r="R18" i="130" s="1"/>
  <c r="T18" i="130" s="1"/>
  <c r="F16" i="131" s="1"/>
  <c r="F13" i="120"/>
  <c r="R17" i="119"/>
  <c r="J17" i="119"/>
  <c r="P13" i="119"/>
  <c r="R28" i="119"/>
  <c r="I12" i="131" s="1"/>
  <c r="F31" i="119"/>
  <c r="K29" i="91"/>
  <c r="J20" i="100"/>
  <c r="F23" i="100"/>
  <c r="F25" i="100" s="1"/>
  <c r="K14" i="91"/>
  <c r="K18" i="91" s="1"/>
  <c r="K22" i="91" s="1"/>
  <c r="K14" i="168" l="1"/>
  <c r="K18" i="168" s="1"/>
  <c r="K22" i="168" s="1"/>
  <c r="K31" i="168" s="1"/>
  <c r="R33" i="180"/>
  <c r="J15" i="153"/>
  <c r="P15" i="153" s="1"/>
  <c r="R15" i="153"/>
  <c r="F15" i="154" s="1"/>
  <c r="J14" i="153"/>
  <c r="P14" i="153" s="1"/>
  <c r="R14" i="153"/>
  <c r="F14" i="154" s="1"/>
  <c r="J16" i="153"/>
  <c r="P16" i="153" s="1"/>
  <c r="R16" i="153"/>
  <c r="F16" i="154" s="1"/>
  <c r="P17" i="119"/>
  <c r="K21" i="130" s="1"/>
  <c r="I13" i="131"/>
  <c r="R22" i="116"/>
  <c r="F22" i="117" s="1"/>
  <c r="J22" i="116"/>
  <c r="P22" i="116" s="1"/>
  <c r="M20" i="130"/>
  <c r="O19" i="130"/>
  <c r="Q19" i="130" s="1"/>
  <c r="F17" i="120"/>
  <c r="J13" i="120"/>
  <c r="R13" i="120"/>
  <c r="F28" i="120"/>
  <c r="R31" i="119"/>
  <c r="J23" i="100"/>
  <c r="J25" i="100" s="1"/>
  <c r="P20" i="100"/>
  <c r="P23" i="100" s="1"/>
  <c r="P25" i="100" s="1"/>
  <c r="L25" i="91" s="1"/>
  <c r="K31" i="91"/>
  <c r="J21" i="104"/>
  <c r="P21" i="104" s="1"/>
  <c r="R21" i="104"/>
  <c r="F21" i="113" s="1"/>
  <c r="L11" i="91"/>
  <c r="F20" i="101"/>
  <c r="L14" i="168" l="1"/>
  <c r="L18" i="168" s="1"/>
  <c r="L22" i="168" s="1"/>
  <c r="L31" i="168" s="1"/>
  <c r="F33" i="181"/>
  <c r="J14" i="154"/>
  <c r="P14" i="154" s="1"/>
  <c r="R14" i="154"/>
  <c r="F14" i="155" s="1"/>
  <c r="J16" i="154"/>
  <c r="P16" i="154" s="1"/>
  <c r="R16" i="154"/>
  <c r="F16" i="155" s="1"/>
  <c r="J15" i="154"/>
  <c r="P15" i="154" s="1"/>
  <c r="R15" i="154"/>
  <c r="F15" i="155" s="1"/>
  <c r="M14" i="132"/>
  <c r="M18" i="132" s="1"/>
  <c r="M22" i="132" s="1"/>
  <c r="M31" i="132" s="1"/>
  <c r="K64" i="130"/>
  <c r="R22" i="117"/>
  <c r="F22" i="118" s="1"/>
  <c r="J22" i="117"/>
  <c r="P22" i="117" s="1"/>
  <c r="R21" i="113"/>
  <c r="F21" i="116" s="1"/>
  <c r="J21" i="113"/>
  <c r="P21" i="113" s="1"/>
  <c r="L21" i="130"/>
  <c r="N20" i="130"/>
  <c r="R19" i="130"/>
  <c r="T19" i="130" s="1"/>
  <c r="G16" i="131" s="1"/>
  <c r="J17" i="120"/>
  <c r="P13" i="120"/>
  <c r="F13" i="121"/>
  <c r="R17" i="120"/>
  <c r="F31" i="120"/>
  <c r="R28" i="120"/>
  <c r="J12" i="131" s="1"/>
  <c r="L29" i="91"/>
  <c r="L14" i="91"/>
  <c r="L18" i="91" s="1"/>
  <c r="L22" i="91" s="1"/>
  <c r="J20" i="101"/>
  <c r="F23" i="101"/>
  <c r="F25" i="101" s="1"/>
  <c r="R20" i="101"/>
  <c r="F20" i="102" s="1"/>
  <c r="F23" i="102" s="1"/>
  <c r="F25" i="102" s="1"/>
  <c r="M14" i="168" l="1"/>
  <c r="M18" i="168" s="1"/>
  <c r="M22" i="168" s="1"/>
  <c r="M31" i="168" s="1"/>
  <c r="R33" i="181"/>
  <c r="L64" i="130"/>
  <c r="M64" i="130" s="1"/>
  <c r="R15" i="155"/>
  <c r="F15" i="156" s="1"/>
  <c r="J15" i="155"/>
  <c r="P15" i="155" s="1"/>
  <c r="J14" i="155"/>
  <c r="P14" i="155" s="1"/>
  <c r="R14" i="155"/>
  <c r="F14" i="156" s="1"/>
  <c r="R16" i="155"/>
  <c r="F16" i="156" s="1"/>
  <c r="J16" i="155"/>
  <c r="P16" i="155" s="1"/>
  <c r="R21" i="116"/>
  <c r="F21" i="117" s="1"/>
  <c r="J21" i="116"/>
  <c r="P21" i="116" s="1"/>
  <c r="P17" i="120"/>
  <c r="K65" i="130" s="1"/>
  <c r="L65" i="130" s="1"/>
  <c r="J13" i="131"/>
  <c r="J22" i="118"/>
  <c r="P22" i="118" s="1"/>
  <c r="R22" i="118"/>
  <c r="F22" i="119" s="1"/>
  <c r="M21" i="130"/>
  <c r="O20" i="130"/>
  <c r="F17" i="121"/>
  <c r="R13" i="121"/>
  <c r="J13" i="121"/>
  <c r="F28" i="121"/>
  <c r="R31" i="120"/>
  <c r="L31" i="91"/>
  <c r="J23" i="101"/>
  <c r="J25" i="101" s="1"/>
  <c r="P20" i="101"/>
  <c r="P23" i="101" s="1"/>
  <c r="P25" i="101" s="1"/>
  <c r="M25" i="91" s="1"/>
  <c r="R23" i="101"/>
  <c r="R25" i="101" s="1"/>
  <c r="M11" i="91" s="1"/>
  <c r="N14" i="168" l="1"/>
  <c r="N18" i="168" s="1"/>
  <c r="N22" i="168" s="1"/>
  <c r="N31" i="168" s="1"/>
  <c r="F33" i="182"/>
  <c r="J14" i="156"/>
  <c r="P14" i="156" s="1"/>
  <c r="R14" i="156"/>
  <c r="F14" i="157" s="1"/>
  <c r="R16" i="156"/>
  <c r="F16" i="157" s="1"/>
  <c r="J16" i="156"/>
  <c r="P16" i="156" s="1"/>
  <c r="J15" i="156"/>
  <c r="P15" i="156" s="1"/>
  <c r="R15" i="156"/>
  <c r="F15" i="157" s="1"/>
  <c r="N14" i="132"/>
  <c r="N18" i="132" s="1"/>
  <c r="N22" i="132" s="1"/>
  <c r="N31" i="132" s="1"/>
  <c r="R22" i="119"/>
  <c r="F22" i="120" s="1"/>
  <c r="J22" i="119"/>
  <c r="P22" i="119" s="1"/>
  <c r="K22" i="130"/>
  <c r="L22" i="130" s="1"/>
  <c r="R21" i="117"/>
  <c r="F21" i="118" s="1"/>
  <c r="J21" i="117"/>
  <c r="P21" i="117" s="1"/>
  <c r="M65" i="130"/>
  <c r="N21" i="130"/>
  <c r="Q20" i="130"/>
  <c r="J17" i="121"/>
  <c r="P13" i="121"/>
  <c r="F13" i="122"/>
  <c r="R17" i="121"/>
  <c r="R28" i="121"/>
  <c r="K12" i="131" s="1"/>
  <c r="F31" i="121"/>
  <c r="M29" i="91"/>
  <c r="M14" i="91"/>
  <c r="M18" i="91" s="1"/>
  <c r="M22" i="91" s="1"/>
  <c r="J20" i="102"/>
  <c r="R20" i="102"/>
  <c r="O14" i="168" l="1"/>
  <c r="O18" i="168" s="1"/>
  <c r="O22" i="168" s="1"/>
  <c r="O31" i="168" s="1"/>
  <c r="R33" i="182"/>
  <c r="R16" i="157"/>
  <c r="F16" i="158" s="1"/>
  <c r="J16" i="157"/>
  <c r="P16" i="157" s="1"/>
  <c r="R15" i="157"/>
  <c r="F15" i="158" s="1"/>
  <c r="J15" i="157"/>
  <c r="P15" i="157" s="1"/>
  <c r="J14" i="157"/>
  <c r="P14" i="157" s="1"/>
  <c r="R14" i="157"/>
  <c r="F14" i="158" s="1"/>
  <c r="P17" i="121"/>
  <c r="K66" i="130" s="1"/>
  <c r="L66" i="130" s="1"/>
  <c r="K13" i="131"/>
  <c r="R21" i="118"/>
  <c r="F21" i="119" s="1"/>
  <c r="J21" i="118"/>
  <c r="P21" i="118" s="1"/>
  <c r="R22" i="120"/>
  <c r="F22" i="121" s="1"/>
  <c r="J22" i="120"/>
  <c r="P22" i="120" s="1"/>
  <c r="M22" i="130"/>
  <c r="O21" i="130"/>
  <c r="Q21" i="130" s="1"/>
  <c r="R20" i="130"/>
  <c r="T20" i="130" s="1"/>
  <c r="H16" i="131" s="1"/>
  <c r="J13" i="122"/>
  <c r="F17" i="122"/>
  <c r="R13" i="122"/>
  <c r="R31" i="121"/>
  <c r="F28" i="122"/>
  <c r="M31" i="91"/>
  <c r="R23" i="102"/>
  <c r="R25" i="102" s="1"/>
  <c r="N11" i="91" s="1"/>
  <c r="F20" i="103"/>
  <c r="J23" i="102"/>
  <c r="J25" i="102" s="1"/>
  <c r="P20" i="102"/>
  <c r="P23" i="102" s="1"/>
  <c r="P25" i="102" s="1"/>
  <c r="N25" i="91" s="1"/>
  <c r="P14" i="168" l="1"/>
  <c r="P18" i="168" s="1"/>
  <c r="P22" i="168" s="1"/>
  <c r="P31" i="168" s="1"/>
  <c r="Q11" i="168"/>
  <c r="Q14" i="168" s="1"/>
  <c r="Q18" i="168" s="1"/>
  <c r="Q22" i="168" s="1"/>
  <c r="Q31" i="168" s="1"/>
  <c r="E23" i="135" s="1"/>
  <c r="O24" i="135" s="1"/>
  <c r="J15" i="158"/>
  <c r="P15" i="158" s="1"/>
  <c r="R15" i="158"/>
  <c r="F15" i="159" s="1"/>
  <c r="J14" i="158"/>
  <c r="P14" i="158" s="1"/>
  <c r="R14" i="158"/>
  <c r="F14" i="159" s="1"/>
  <c r="J16" i="158"/>
  <c r="P16" i="158" s="1"/>
  <c r="R16" i="158"/>
  <c r="F16" i="159" s="1"/>
  <c r="O14" i="132"/>
  <c r="O18" i="132" s="1"/>
  <c r="O22" i="132" s="1"/>
  <c r="O31" i="132" s="1"/>
  <c r="Q13" i="132"/>
  <c r="K23" i="130"/>
  <c r="L23" i="130" s="1"/>
  <c r="R21" i="119"/>
  <c r="F21" i="120" s="1"/>
  <c r="J21" i="119"/>
  <c r="P21" i="119" s="1"/>
  <c r="J22" i="121"/>
  <c r="P22" i="121" s="1"/>
  <c r="R22" i="121"/>
  <c r="F22" i="122" s="1"/>
  <c r="M66" i="130"/>
  <c r="N22" i="130"/>
  <c r="R21" i="130"/>
  <c r="T21" i="130" s="1"/>
  <c r="I16" i="131" s="1"/>
  <c r="F13" i="123"/>
  <c r="R17" i="122"/>
  <c r="J17" i="122"/>
  <c r="P13" i="122"/>
  <c r="P17" i="122" s="1"/>
  <c r="R28" i="122"/>
  <c r="L12" i="131" s="1"/>
  <c r="F31" i="122"/>
  <c r="N29" i="91"/>
  <c r="N14" i="91"/>
  <c r="N18" i="91" s="1"/>
  <c r="N22" i="91" s="1"/>
  <c r="F23" i="103"/>
  <c r="F25" i="103" s="1"/>
  <c r="R20" i="103"/>
  <c r="J20" i="103"/>
  <c r="E19" i="135" l="1"/>
  <c r="R16" i="159"/>
  <c r="F16" i="160" s="1"/>
  <c r="J16" i="159"/>
  <c r="P16" i="159" s="1"/>
  <c r="R15" i="159"/>
  <c r="F15" i="160" s="1"/>
  <c r="J15" i="159"/>
  <c r="P15" i="159" s="1"/>
  <c r="R14" i="159"/>
  <c r="F14" i="160" s="1"/>
  <c r="J14" i="159"/>
  <c r="P14" i="159" s="1"/>
  <c r="P14" i="132"/>
  <c r="P18" i="132" s="1"/>
  <c r="P22" i="132" s="1"/>
  <c r="P31" i="132" s="1"/>
  <c r="Q11" i="132"/>
  <c r="Q14" i="132" s="1"/>
  <c r="Q18" i="132" s="1"/>
  <c r="Q22" i="132" s="1"/>
  <c r="Q31" i="132" s="1"/>
  <c r="L13" i="131"/>
  <c r="J22" i="122"/>
  <c r="P22" i="122" s="1"/>
  <c r="R22" i="122"/>
  <c r="F22" i="123" s="1"/>
  <c r="R21" i="120"/>
  <c r="F21" i="121" s="1"/>
  <c r="J21" i="120"/>
  <c r="P21" i="120" s="1"/>
  <c r="K67" i="130"/>
  <c r="L67" i="130" s="1"/>
  <c r="K24" i="130"/>
  <c r="M23" i="130"/>
  <c r="O22" i="130"/>
  <c r="F17" i="123"/>
  <c r="R13" i="123"/>
  <c r="J13" i="123"/>
  <c r="R31" i="122"/>
  <c r="F28" i="123"/>
  <c r="N31" i="91"/>
  <c r="P20" i="103"/>
  <c r="P23" i="103" s="1"/>
  <c r="P25" i="103" s="1"/>
  <c r="O25" i="91" s="1"/>
  <c r="J23" i="103"/>
  <c r="J25" i="103" s="1"/>
  <c r="R23" i="103"/>
  <c r="R25" i="103" s="1"/>
  <c r="O11" i="91" s="1"/>
  <c r="F20" i="104"/>
  <c r="J15" i="160" l="1"/>
  <c r="P15" i="160" s="1"/>
  <c r="R15" i="160"/>
  <c r="F15" i="161" s="1"/>
  <c r="R14" i="160"/>
  <c r="F14" i="161" s="1"/>
  <c r="J14" i="160"/>
  <c r="P14" i="160" s="1"/>
  <c r="J16" i="160"/>
  <c r="P16" i="160" s="1"/>
  <c r="R16" i="160"/>
  <c r="F16" i="161" s="1"/>
  <c r="E21" i="135"/>
  <c r="G21" i="135" s="1"/>
  <c r="I21" i="135" s="1"/>
  <c r="R21" i="135" s="1"/>
  <c r="S21" i="135" s="1"/>
  <c r="G19" i="135"/>
  <c r="I19" i="135" s="1"/>
  <c r="R19" i="135" s="1"/>
  <c r="S19" i="135" s="1"/>
  <c r="E22" i="135"/>
  <c r="G22" i="135" s="1"/>
  <c r="I22" i="135" s="1"/>
  <c r="R22" i="135" s="1"/>
  <c r="S22" i="135" s="1"/>
  <c r="E20" i="135"/>
  <c r="G20" i="135" s="1"/>
  <c r="I20" i="135" s="1"/>
  <c r="R20" i="135" s="1"/>
  <c r="S20" i="135" s="1"/>
  <c r="J22" i="123"/>
  <c r="P22" i="123" s="1"/>
  <c r="R22" i="123"/>
  <c r="F22" i="124" s="1"/>
  <c r="J21" i="121"/>
  <c r="P21" i="121" s="1"/>
  <c r="R21" i="121"/>
  <c r="F21" i="122" s="1"/>
  <c r="L24" i="130"/>
  <c r="M67" i="130"/>
  <c r="N23" i="130"/>
  <c r="Q22" i="130"/>
  <c r="F13" i="124"/>
  <c r="R17" i="123"/>
  <c r="P13" i="123"/>
  <c r="P17" i="123" s="1"/>
  <c r="J17" i="123"/>
  <c r="R28" i="123"/>
  <c r="M12" i="131" s="1"/>
  <c r="F31" i="123"/>
  <c r="O14" i="91"/>
  <c r="O18" i="91" s="1"/>
  <c r="O22" i="91" s="1"/>
  <c r="O29" i="91"/>
  <c r="J20" i="104"/>
  <c r="F23" i="104"/>
  <c r="F25" i="104" s="1"/>
  <c r="R20" i="104"/>
  <c r="J14" i="161" l="1"/>
  <c r="P14" i="161" s="1"/>
  <c r="R14" i="161"/>
  <c r="F15" i="171" s="1"/>
  <c r="J16" i="161"/>
  <c r="P16" i="161" s="1"/>
  <c r="R16" i="161"/>
  <c r="F17" i="171" s="1"/>
  <c r="J15" i="161"/>
  <c r="P15" i="161" s="1"/>
  <c r="R15" i="161"/>
  <c r="F16" i="171" s="1"/>
  <c r="R23" i="104"/>
  <c r="R25" i="104" s="1"/>
  <c r="P11" i="91" s="1"/>
  <c r="F20" i="113"/>
  <c r="M13" i="131"/>
  <c r="J22" i="124"/>
  <c r="P22" i="124" s="1"/>
  <c r="R22" i="124"/>
  <c r="F22" i="125" s="1"/>
  <c r="J21" i="122"/>
  <c r="P21" i="122" s="1"/>
  <c r="R21" i="122"/>
  <c r="F21" i="123" s="1"/>
  <c r="K68" i="130"/>
  <c r="L68" i="130" s="1"/>
  <c r="K25" i="130"/>
  <c r="M24" i="130"/>
  <c r="O23" i="130"/>
  <c r="R22" i="130"/>
  <c r="T22" i="130" s="1"/>
  <c r="J16" i="131" s="1"/>
  <c r="R13" i="124"/>
  <c r="J13" i="124"/>
  <c r="F17" i="124"/>
  <c r="R31" i="123"/>
  <c r="F28" i="124"/>
  <c r="O31" i="91"/>
  <c r="J23" i="104"/>
  <c r="J25" i="104" s="1"/>
  <c r="P20" i="104"/>
  <c r="P23" i="104" s="1"/>
  <c r="P25" i="104" s="1"/>
  <c r="P25" i="91" s="1"/>
  <c r="D25" i="131" s="1"/>
  <c r="D29" i="131" s="1"/>
  <c r="J16" i="171" l="1"/>
  <c r="P16" i="171" s="1"/>
  <c r="R16" i="171"/>
  <c r="F16" i="172" s="1"/>
  <c r="J17" i="171"/>
  <c r="P17" i="171" s="1"/>
  <c r="R17" i="171"/>
  <c r="F17" i="172" s="1"/>
  <c r="J15" i="171"/>
  <c r="R15" i="171"/>
  <c r="D11" i="131"/>
  <c r="D14" i="131" s="1"/>
  <c r="D18" i="131" s="1"/>
  <c r="D22" i="131" s="1"/>
  <c r="D31" i="131" s="1"/>
  <c r="J21" i="123"/>
  <c r="P21" i="123" s="1"/>
  <c r="R21" i="123"/>
  <c r="F21" i="124" s="1"/>
  <c r="J20" i="113"/>
  <c r="R20" i="113"/>
  <c r="F23" i="113"/>
  <c r="F25" i="113" s="1"/>
  <c r="R22" i="125"/>
  <c r="F22" i="126" s="1"/>
  <c r="J22" i="125"/>
  <c r="P22" i="125" s="1"/>
  <c r="M68" i="130"/>
  <c r="L25" i="130"/>
  <c r="N24" i="130"/>
  <c r="Q23" i="130"/>
  <c r="R23" i="130" s="1"/>
  <c r="T23" i="130" s="1"/>
  <c r="K16" i="131" s="1"/>
  <c r="Q11" i="91"/>
  <c r="Q14" i="91" s="1"/>
  <c r="Q18" i="91" s="1"/>
  <c r="Q22" i="91" s="1"/>
  <c r="J17" i="124"/>
  <c r="P13" i="124"/>
  <c r="P17" i="124" s="1"/>
  <c r="R17" i="124"/>
  <c r="F13" i="125"/>
  <c r="R28" i="124"/>
  <c r="N12" i="131" s="1"/>
  <c r="F31" i="124"/>
  <c r="P29" i="91"/>
  <c r="Q25" i="91"/>
  <c r="Q29" i="91" s="1"/>
  <c r="F15" i="172" l="1"/>
  <c r="R15" i="172" s="1"/>
  <c r="F15" i="173" s="1"/>
  <c r="J16" i="172"/>
  <c r="P16" i="172" s="1"/>
  <c r="R16" i="172"/>
  <c r="F16" i="173" s="1"/>
  <c r="P15" i="171"/>
  <c r="R17" i="172"/>
  <c r="F17" i="173" s="1"/>
  <c r="J17" i="172"/>
  <c r="P17" i="172" s="1"/>
  <c r="P14" i="91"/>
  <c r="P18" i="91" s="1"/>
  <c r="P22" i="91" s="1"/>
  <c r="P31" i="91" s="1"/>
  <c r="F20" i="116"/>
  <c r="R23" i="113"/>
  <c r="R25" i="113" s="1"/>
  <c r="E11" i="131"/>
  <c r="E14" i="131" s="1"/>
  <c r="E18" i="131" s="1"/>
  <c r="E22" i="131" s="1"/>
  <c r="J23" i="113"/>
  <c r="J25" i="113" s="1"/>
  <c r="P20" i="113"/>
  <c r="P23" i="113" s="1"/>
  <c r="P25" i="113" s="1"/>
  <c r="J21" i="124"/>
  <c r="P21" i="124" s="1"/>
  <c r="R21" i="124"/>
  <c r="F21" i="125" s="1"/>
  <c r="R22" i="126"/>
  <c r="F22" i="150" s="1"/>
  <c r="J22" i="126"/>
  <c r="P22" i="126" s="1"/>
  <c r="N13" i="131"/>
  <c r="K69" i="130"/>
  <c r="L69" i="130" s="1"/>
  <c r="K26" i="130"/>
  <c r="M25" i="130"/>
  <c r="O24" i="130"/>
  <c r="Q24" i="130" s="1"/>
  <c r="R24" i="130" s="1"/>
  <c r="T24" i="130" s="1"/>
  <c r="L16" i="131" s="1"/>
  <c r="F17" i="125"/>
  <c r="R13" i="125"/>
  <c r="J13" i="125"/>
  <c r="R31" i="124"/>
  <c r="F28" i="125"/>
  <c r="Q31" i="91"/>
  <c r="J15" i="172" l="1"/>
  <c r="P15" i="172" s="1"/>
  <c r="J16" i="173"/>
  <c r="P16" i="173" s="1"/>
  <c r="R16" i="173"/>
  <c r="F16" i="174" s="1"/>
  <c r="J17" i="173"/>
  <c r="P17" i="173" s="1"/>
  <c r="R17" i="173"/>
  <c r="F17" i="174" s="1"/>
  <c r="J15" i="173"/>
  <c r="P15" i="173" s="1"/>
  <c r="R15" i="173"/>
  <c r="F15" i="174" s="1"/>
  <c r="R22" i="150"/>
  <c r="F22" i="151" s="1"/>
  <c r="J22" i="150"/>
  <c r="P22" i="150" s="1"/>
  <c r="J21" i="125"/>
  <c r="P21" i="125" s="1"/>
  <c r="R21" i="125"/>
  <c r="F21" i="126" s="1"/>
  <c r="E25" i="131"/>
  <c r="F23" i="116"/>
  <c r="F25" i="116" s="1"/>
  <c r="J20" i="116"/>
  <c r="R20" i="116"/>
  <c r="M69" i="130"/>
  <c r="L26" i="130"/>
  <c r="N25" i="130"/>
  <c r="J17" i="125"/>
  <c r="P13" i="125"/>
  <c r="P17" i="125" s="1"/>
  <c r="F13" i="126"/>
  <c r="R17" i="125"/>
  <c r="R28" i="125"/>
  <c r="O12" i="131" s="1"/>
  <c r="F31" i="125"/>
  <c r="J16" i="174" l="1"/>
  <c r="P16" i="174" s="1"/>
  <c r="R16" i="174"/>
  <c r="F16" i="175" s="1"/>
  <c r="J15" i="174"/>
  <c r="P15" i="174" s="1"/>
  <c r="R15" i="174"/>
  <c r="F15" i="175" s="1"/>
  <c r="R17" i="174"/>
  <c r="F17" i="175" s="1"/>
  <c r="J17" i="174"/>
  <c r="P17" i="174" s="1"/>
  <c r="E29" i="131"/>
  <c r="E31" i="131" s="1"/>
  <c r="K70" i="130"/>
  <c r="L70" i="130" s="1"/>
  <c r="K27" i="130"/>
  <c r="J22" i="151"/>
  <c r="P22" i="151" s="1"/>
  <c r="R22" i="151"/>
  <c r="F22" i="152" s="1"/>
  <c r="O13" i="131"/>
  <c r="F20" i="117"/>
  <c r="R23" i="116"/>
  <c r="R25" i="116" s="1"/>
  <c r="F11" i="131"/>
  <c r="F14" i="131" s="1"/>
  <c r="F18" i="131" s="1"/>
  <c r="F22" i="131" s="1"/>
  <c r="J23" i="116"/>
  <c r="J25" i="116" s="1"/>
  <c r="P20" i="116"/>
  <c r="P23" i="116" s="1"/>
  <c r="P25" i="116" s="1"/>
  <c r="F25" i="131" s="1"/>
  <c r="F29" i="131" s="1"/>
  <c r="J21" i="126"/>
  <c r="P21" i="126" s="1"/>
  <c r="R21" i="126"/>
  <c r="F21" i="150" s="1"/>
  <c r="M26" i="130"/>
  <c r="O25" i="130"/>
  <c r="J13" i="126"/>
  <c r="F17" i="126"/>
  <c r="R13" i="126"/>
  <c r="F13" i="150" s="1"/>
  <c r="F28" i="126"/>
  <c r="R31" i="125"/>
  <c r="J16" i="175" l="1"/>
  <c r="P16" i="175" s="1"/>
  <c r="R16" i="175"/>
  <c r="F16" i="176" s="1"/>
  <c r="J15" i="175"/>
  <c r="P15" i="175" s="1"/>
  <c r="R15" i="175"/>
  <c r="F15" i="176" s="1"/>
  <c r="J17" i="175"/>
  <c r="P17" i="175" s="1"/>
  <c r="R17" i="175"/>
  <c r="F17" i="176" s="1"/>
  <c r="J22" i="152"/>
  <c r="P22" i="152" s="1"/>
  <c r="R22" i="152"/>
  <c r="F22" i="153" s="1"/>
  <c r="J21" i="150"/>
  <c r="P21" i="150" s="1"/>
  <c r="R21" i="150"/>
  <c r="F21" i="151" s="1"/>
  <c r="F17" i="150"/>
  <c r="R13" i="150"/>
  <c r="J13" i="150"/>
  <c r="F31" i="131"/>
  <c r="R17" i="126"/>
  <c r="F23" i="117"/>
  <c r="F25" i="117" s="1"/>
  <c r="J20" i="117"/>
  <c r="R20" i="117"/>
  <c r="L27" i="130"/>
  <c r="M70" i="130"/>
  <c r="N26" i="130"/>
  <c r="Q25" i="130"/>
  <c r="J17" i="126"/>
  <c r="P13" i="126"/>
  <c r="F31" i="126"/>
  <c r="R28" i="126"/>
  <c r="F28" i="150" s="1"/>
  <c r="J16" i="176" l="1"/>
  <c r="P16" i="176" s="1"/>
  <c r="R16" i="176"/>
  <c r="F16" i="177" s="1"/>
  <c r="R15" i="176"/>
  <c r="F15" i="177" s="1"/>
  <c r="J15" i="176"/>
  <c r="P15" i="176" s="1"/>
  <c r="J17" i="176"/>
  <c r="P17" i="176" s="1"/>
  <c r="R17" i="176"/>
  <c r="F17" i="177" s="1"/>
  <c r="J21" i="151"/>
  <c r="P21" i="151" s="1"/>
  <c r="R21" i="151"/>
  <c r="F21" i="152" s="1"/>
  <c r="J22" i="153"/>
  <c r="P22" i="153" s="1"/>
  <c r="R22" i="153"/>
  <c r="F22" i="154" s="1"/>
  <c r="P13" i="150"/>
  <c r="J17" i="150"/>
  <c r="F13" i="151"/>
  <c r="R17" i="150"/>
  <c r="F31" i="150"/>
  <c r="R28" i="150"/>
  <c r="P17" i="126"/>
  <c r="K28" i="130" s="1"/>
  <c r="P13" i="131"/>
  <c r="P20" i="117"/>
  <c r="P23" i="117" s="1"/>
  <c r="P25" i="117" s="1"/>
  <c r="G25" i="131" s="1"/>
  <c r="J23" i="117"/>
  <c r="J25" i="117" s="1"/>
  <c r="R31" i="126"/>
  <c r="D12" i="146" s="1"/>
  <c r="P12" i="131"/>
  <c r="F20" i="118"/>
  <c r="R23" i="117"/>
  <c r="R25" i="117" s="1"/>
  <c r="G11" i="131"/>
  <c r="G14" i="131" s="1"/>
  <c r="G18" i="131" s="1"/>
  <c r="G22" i="131" s="1"/>
  <c r="M27" i="130"/>
  <c r="O26" i="130"/>
  <c r="Q26" i="130" s="1"/>
  <c r="R25" i="130"/>
  <c r="T25" i="130" s="1"/>
  <c r="M16" i="131" s="1"/>
  <c r="J16" i="177" l="1"/>
  <c r="P16" i="177" s="1"/>
  <c r="R16" i="177"/>
  <c r="F16" i="178" s="1"/>
  <c r="R17" i="177"/>
  <c r="F17" i="178" s="1"/>
  <c r="J17" i="177"/>
  <c r="P17" i="177" s="1"/>
  <c r="J15" i="177"/>
  <c r="P15" i="177" s="1"/>
  <c r="R15" i="177"/>
  <c r="F15" i="178" s="1"/>
  <c r="J21" i="152"/>
  <c r="P21" i="152" s="1"/>
  <c r="R21" i="152"/>
  <c r="F21" i="153" s="1"/>
  <c r="J22" i="154"/>
  <c r="P22" i="154" s="1"/>
  <c r="R22" i="154"/>
  <c r="F22" i="155" s="1"/>
  <c r="G29" i="131"/>
  <c r="G31" i="131" s="1"/>
  <c r="R13" i="151"/>
  <c r="J13" i="151"/>
  <c r="F17" i="151"/>
  <c r="Q13" i="131"/>
  <c r="D13" i="146"/>
  <c r="E13" i="146" s="1"/>
  <c r="P17" i="150"/>
  <c r="R31" i="150"/>
  <c r="E12" i="146"/>
  <c r="F28" i="151"/>
  <c r="K71" i="130"/>
  <c r="F23" i="118"/>
  <c r="F25" i="118" s="1"/>
  <c r="J20" i="118"/>
  <c r="R20" i="118"/>
  <c r="L28" i="130"/>
  <c r="K44" i="130"/>
  <c r="N27" i="130"/>
  <c r="R26" i="130"/>
  <c r="T26" i="130" s="1"/>
  <c r="N16" i="131" s="1"/>
  <c r="R16" i="178" l="1"/>
  <c r="F16" i="179" s="1"/>
  <c r="J16" i="178"/>
  <c r="P16" i="178" s="1"/>
  <c r="R15" i="178"/>
  <c r="F15" i="179" s="1"/>
  <c r="J15" i="178"/>
  <c r="P15" i="178" s="1"/>
  <c r="J17" i="178"/>
  <c r="P17" i="178" s="1"/>
  <c r="R17" i="178"/>
  <c r="F17" i="179" s="1"/>
  <c r="J22" i="155"/>
  <c r="P22" i="155" s="1"/>
  <c r="R22" i="155"/>
  <c r="F22" i="156" s="1"/>
  <c r="J21" i="153"/>
  <c r="P21" i="153" s="1"/>
  <c r="R21" i="153"/>
  <c r="F21" i="154" s="1"/>
  <c r="K87" i="130"/>
  <c r="L71" i="130"/>
  <c r="L87" i="130" s="1"/>
  <c r="L61" i="162"/>
  <c r="L17" i="162"/>
  <c r="J17" i="151"/>
  <c r="P13" i="151"/>
  <c r="F13" i="152"/>
  <c r="R17" i="151"/>
  <c r="F31" i="151"/>
  <c r="R28" i="151"/>
  <c r="R23" i="118"/>
  <c r="R25" i="118" s="1"/>
  <c r="F20" i="119"/>
  <c r="H11" i="131"/>
  <c r="H14" i="131" s="1"/>
  <c r="H18" i="131" s="1"/>
  <c r="H22" i="131" s="1"/>
  <c r="J23" i="118"/>
  <c r="J25" i="118" s="1"/>
  <c r="P20" i="118"/>
  <c r="P23" i="118" s="1"/>
  <c r="P25" i="118" s="1"/>
  <c r="H25" i="131" s="1"/>
  <c r="M28" i="130"/>
  <c r="M44" i="130" s="1"/>
  <c r="L44" i="130"/>
  <c r="O27" i="130"/>
  <c r="M71" i="130" l="1"/>
  <c r="M87" i="130" s="1"/>
  <c r="J16" i="179"/>
  <c r="P16" i="179" s="1"/>
  <c r="R16" i="179"/>
  <c r="F16" i="180" s="1"/>
  <c r="J17" i="179"/>
  <c r="P17" i="179" s="1"/>
  <c r="R17" i="179"/>
  <c r="F17" i="180" s="1"/>
  <c r="J15" i="179"/>
  <c r="P15" i="179" s="1"/>
  <c r="R15" i="179"/>
  <c r="F15" i="180" s="1"/>
  <c r="J21" i="154"/>
  <c r="P21" i="154" s="1"/>
  <c r="R21" i="154"/>
  <c r="F21" i="155" s="1"/>
  <c r="H29" i="131"/>
  <c r="H31" i="131" s="1"/>
  <c r="J22" i="156"/>
  <c r="P22" i="156" s="1"/>
  <c r="R22" i="156"/>
  <c r="F22" i="157" s="1"/>
  <c r="R13" i="152"/>
  <c r="F17" i="152"/>
  <c r="J13" i="152"/>
  <c r="M61" i="162"/>
  <c r="N61" i="162" s="1"/>
  <c r="P17" i="151"/>
  <c r="F13" i="146"/>
  <c r="M17" i="162"/>
  <c r="F28" i="152"/>
  <c r="F12" i="146"/>
  <c r="R31" i="151"/>
  <c r="R20" i="119"/>
  <c r="F23" i="119"/>
  <c r="F25" i="119" s="1"/>
  <c r="J20" i="119"/>
  <c r="N28" i="130"/>
  <c r="Q27" i="130"/>
  <c r="J16" i="180" l="1"/>
  <c r="P16" i="180" s="1"/>
  <c r="R16" i="180"/>
  <c r="F16" i="181" s="1"/>
  <c r="R15" i="180"/>
  <c r="F15" i="181" s="1"/>
  <c r="J15" i="180"/>
  <c r="P15" i="180" s="1"/>
  <c r="R17" i="180"/>
  <c r="F17" i="181" s="1"/>
  <c r="J17" i="180"/>
  <c r="P17" i="180" s="1"/>
  <c r="J21" i="155"/>
  <c r="P21" i="155" s="1"/>
  <c r="R21" i="155"/>
  <c r="F21" i="156" s="1"/>
  <c r="R22" i="157"/>
  <c r="F22" i="158" s="1"/>
  <c r="J22" i="157"/>
  <c r="P22" i="157" s="1"/>
  <c r="N17" i="162"/>
  <c r="J17" i="152"/>
  <c r="P13" i="152"/>
  <c r="F13" i="153"/>
  <c r="R17" i="152"/>
  <c r="L62" i="162"/>
  <c r="L18" i="162"/>
  <c r="F31" i="152"/>
  <c r="R28" i="152"/>
  <c r="F20" i="120"/>
  <c r="R23" i="119"/>
  <c r="R25" i="119" s="1"/>
  <c r="I11" i="131"/>
  <c r="I14" i="131" s="1"/>
  <c r="I18" i="131" s="1"/>
  <c r="I22" i="131" s="1"/>
  <c r="J23" i="119"/>
  <c r="J25" i="119" s="1"/>
  <c r="P20" i="119"/>
  <c r="P23" i="119" s="1"/>
  <c r="P25" i="119" s="1"/>
  <c r="I25" i="131" s="1"/>
  <c r="O28" i="130"/>
  <c r="O44" i="130" s="1"/>
  <c r="N44" i="130"/>
  <c r="R27" i="130"/>
  <c r="T27" i="130" s="1"/>
  <c r="O16" i="131" s="1"/>
  <c r="J16" i="181" l="1"/>
  <c r="P16" i="181" s="1"/>
  <c r="R16" i="181"/>
  <c r="F16" i="182" s="1"/>
  <c r="R17" i="181"/>
  <c r="F17" i="182" s="1"/>
  <c r="J17" i="181"/>
  <c r="P17" i="181" s="1"/>
  <c r="J15" i="181"/>
  <c r="P15" i="181" s="1"/>
  <c r="R15" i="181"/>
  <c r="F15" i="182" s="1"/>
  <c r="J21" i="156"/>
  <c r="P21" i="156" s="1"/>
  <c r="R21" i="156"/>
  <c r="F21" i="157" s="1"/>
  <c r="I29" i="131"/>
  <c r="I31" i="131" s="1"/>
  <c r="J22" i="158"/>
  <c r="P22" i="158" s="1"/>
  <c r="R22" i="158"/>
  <c r="F22" i="159" s="1"/>
  <c r="M18" i="162"/>
  <c r="M62" i="162"/>
  <c r="N62" i="162" s="1"/>
  <c r="O17" i="162"/>
  <c r="R13" i="153"/>
  <c r="J13" i="153"/>
  <c r="F17" i="153"/>
  <c r="G13" i="146"/>
  <c r="P17" i="152"/>
  <c r="R31" i="152"/>
  <c r="G12" i="146"/>
  <c r="F28" i="153"/>
  <c r="J20" i="120"/>
  <c r="R20" i="120"/>
  <c r="F23" i="120"/>
  <c r="F25" i="120" s="1"/>
  <c r="Q28" i="130"/>
  <c r="J16" i="182" l="1"/>
  <c r="P16" i="182" s="1"/>
  <c r="R16" i="182"/>
  <c r="J15" i="182"/>
  <c r="P15" i="182" s="1"/>
  <c r="R15" i="182"/>
  <c r="J17" i="182"/>
  <c r="P17" i="182" s="1"/>
  <c r="R17" i="182"/>
  <c r="R21" i="157"/>
  <c r="F21" i="158" s="1"/>
  <c r="J21" i="157"/>
  <c r="P21" i="157" s="1"/>
  <c r="J22" i="159"/>
  <c r="P22" i="159" s="1"/>
  <c r="R22" i="159"/>
  <c r="F22" i="160" s="1"/>
  <c r="F13" i="154"/>
  <c r="R17" i="153"/>
  <c r="J17" i="153"/>
  <c r="P13" i="153"/>
  <c r="L63" i="162"/>
  <c r="L19" i="162"/>
  <c r="P17" i="162"/>
  <c r="N18" i="162"/>
  <c r="R28" i="130"/>
  <c r="T28" i="130" s="1"/>
  <c r="D16" i="146" s="1"/>
  <c r="R16" i="162"/>
  <c r="U16" i="162" s="1"/>
  <c r="R28" i="153"/>
  <c r="F31" i="153"/>
  <c r="F20" i="121"/>
  <c r="R23" i="120"/>
  <c r="R25" i="120" s="1"/>
  <c r="J11" i="131"/>
  <c r="J14" i="131" s="1"/>
  <c r="J18" i="131" s="1"/>
  <c r="J22" i="131" s="1"/>
  <c r="P20" i="120"/>
  <c r="P23" i="120" s="1"/>
  <c r="P25" i="120" s="1"/>
  <c r="J25" i="131" s="1"/>
  <c r="J29" i="131" s="1"/>
  <c r="J23" i="120"/>
  <c r="J25" i="120" s="1"/>
  <c r="Q44" i="130"/>
  <c r="R22" i="160" l="1"/>
  <c r="F22" i="161" s="1"/>
  <c r="J22" i="160"/>
  <c r="P22" i="160" s="1"/>
  <c r="J21" i="158"/>
  <c r="P21" i="158" s="1"/>
  <c r="R21" i="158"/>
  <c r="F21" i="159" s="1"/>
  <c r="P16" i="131"/>
  <c r="M19" i="162"/>
  <c r="M63" i="162"/>
  <c r="N63" i="162" s="1"/>
  <c r="J13" i="154"/>
  <c r="F17" i="154"/>
  <c r="R13" i="154"/>
  <c r="O18" i="162"/>
  <c r="P17" i="153"/>
  <c r="H13" i="146"/>
  <c r="F28" i="154"/>
  <c r="R31" i="153"/>
  <c r="H12" i="146"/>
  <c r="R17" i="162"/>
  <c r="F23" i="121"/>
  <c r="F25" i="121" s="1"/>
  <c r="R20" i="121"/>
  <c r="J20" i="121"/>
  <c r="J31" i="131"/>
  <c r="J21" i="159" l="1"/>
  <c r="P21" i="159" s="1"/>
  <c r="R21" i="159"/>
  <c r="F21" i="160" s="1"/>
  <c r="J22" i="161"/>
  <c r="P22" i="161" s="1"/>
  <c r="R22" i="161"/>
  <c r="Q16" i="131"/>
  <c r="F13" i="155"/>
  <c r="R17" i="154"/>
  <c r="L64" i="162"/>
  <c r="L20" i="162"/>
  <c r="P13" i="154"/>
  <c r="J17" i="154"/>
  <c r="N19" i="162"/>
  <c r="P18" i="162"/>
  <c r="R18" i="162" s="1"/>
  <c r="S17" i="162"/>
  <c r="U17" i="162" s="1"/>
  <c r="E16" i="146" s="1"/>
  <c r="F31" i="154"/>
  <c r="R28" i="154"/>
  <c r="J23" i="121"/>
  <c r="J25" i="121" s="1"/>
  <c r="P20" i="121"/>
  <c r="P23" i="121" s="1"/>
  <c r="P25" i="121" s="1"/>
  <c r="K25" i="131" s="1"/>
  <c r="K29" i="131" s="1"/>
  <c r="F20" i="122"/>
  <c r="R23" i="121"/>
  <c r="R25" i="121" s="1"/>
  <c r="K11" i="131"/>
  <c r="K14" i="131" s="1"/>
  <c r="K18" i="131" s="1"/>
  <c r="K22" i="131" s="1"/>
  <c r="R21" i="160" l="1"/>
  <c r="F21" i="161" s="1"/>
  <c r="J21" i="160"/>
  <c r="P21" i="160" s="1"/>
  <c r="P17" i="154"/>
  <c r="I13" i="146"/>
  <c r="R13" i="155"/>
  <c r="J13" i="155"/>
  <c r="F17" i="155"/>
  <c r="O19" i="162"/>
  <c r="M20" i="162"/>
  <c r="M64" i="162"/>
  <c r="N64" i="162" s="1"/>
  <c r="R31" i="154"/>
  <c r="F28" i="155"/>
  <c r="I12" i="146"/>
  <c r="S18" i="162"/>
  <c r="U18" i="162" s="1"/>
  <c r="F16" i="146" s="1"/>
  <c r="K31" i="131"/>
  <c r="F23" i="122"/>
  <c r="F25" i="122" s="1"/>
  <c r="R20" i="122"/>
  <c r="J20" i="122"/>
  <c r="J21" i="161" l="1"/>
  <c r="P21" i="161" s="1"/>
  <c r="R21" i="161"/>
  <c r="N20" i="162"/>
  <c r="F13" i="156"/>
  <c r="R17" i="155"/>
  <c r="P19" i="162"/>
  <c r="R19" i="162" s="1"/>
  <c r="S19" i="162" s="1"/>
  <c r="U19" i="162" s="1"/>
  <c r="G16" i="146" s="1"/>
  <c r="L21" i="162"/>
  <c r="L65" i="162"/>
  <c r="J17" i="155"/>
  <c r="P13" i="155"/>
  <c r="F31" i="155"/>
  <c r="R28" i="155"/>
  <c r="P20" i="122"/>
  <c r="P23" i="122" s="1"/>
  <c r="P25" i="122" s="1"/>
  <c r="L25" i="131" s="1"/>
  <c r="L29" i="131" s="1"/>
  <c r="J23" i="122"/>
  <c r="J25" i="122" s="1"/>
  <c r="F20" i="123"/>
  <c r="R23" i="122"/>
  <c r="R25" i="122" s="1"/>
  <c r="L11" i="131"/>
  <c r="L14" i="131" s="1"/>
  <c r="L18" i="131" s="1"/>
  <c r="L22" i="131" s="1"/>
  <c r="P17" i="155" l="1"/>
  <c r="J13" i="146"/>
  <c r="M21" i="162"/>
  <c r="O20" i="162"/>
  <c r="J13" i="156"/>
  <c r="R13" i="156"/>
  <c r="F17" i="156"/>
  <c r="M65" i="162"/>
  <c r="N65" i="162" s="1"/>
  <c r="F28" i="156"/>
  <c r="J12" i="146"/>
  <c r="R31" i="155"/>
  <c r="L31" i="131"/>
  <c r="F23" i="123"/>
  <c r="F25" i="123" s="1"/>
  <c r="J20" i="123"/>
  <c r="R20" i="123"/>
  <c r="F13" i="157" l="1"/>
  <c r="R17" i="156"/>
  <c r="P13" i="156"/>
  <c r="J17" i="156"/>
  <c r="N21" i="162"/>
  <c r="P20" i="162"/>
  <c r="R20" i="162" s="1"/>
  <c r="L22" i="162"/>
  <c r="M22" i="162" s="1"/>
  <c r="N22" i="162" s="1"/>
  <c r="L66" i="162"/>
  <c r="M66" i="162" s="1"/>
  <c r="R28" i="156"/>
  <c r="F31" i="156"/>
  <c r="P20" i="123"/>
  <c r="P23" i="123" s="1"/>
  <c r="P25" i="123" s="1"/>
  <c r="M25" i="131" s="1"/>
  <c r="M29" i="131" s="1"/>
  <c r="J23" i="123"/>
  <c r="J25" i="123" s="1"/>
  <c r="F20" i="124"/>
  <c r="R23" i="123"/>
  <c r="R25" i="123" s="1"/>
  <c r="M11" i="131"/>
  <c r="M14" i="131" s="1"/>
  <c r="M18" i="131" s="1"/>
  <c r="M22" i="131" s="1"/>
  <c r="N66" i="162" l="1"/>
  <c r="O22" i="162" s="1"/>
  <c r="P22" i="162" s="1"/>
  <c r="S20" i="162"/>
  <c r="U20" i="162" s="1"/>
  <c r="H16" i="146" s="1"/>
  <c r="P17" i="156"/>
  <c r="K13" i="146"/>
  <c r="O21" i="162"/>
  <c r="R13" i="157"/>
  <c r="F17" i="157"/>
  <c r="J13" i="157"/>
  <c r="K12" i="146"/>
  <c r="F28" i="157"/>
  <c r="R31" i="156"/>
  <c r="M31" i="131"/>
  <c r="F23" i="124"/>
  <c r="F25" i="124" s="1"/>
  <c r="J20" i="124"/>
  <c r="R20" i="124"/>
  <c r="L67" i="162" l="1"/>
  <c r="M67" i="162" s="1"/>
  <c r="L23" i="162"/>
  <c r="M23" i="162" s="1"/>
  <c r="N23" i="162" s="1"/>
  <c r="J17" i="157"/>
  <c r="P13" i="157"/>
  <c r="P21" i="162"/>
  <c r="R21" i="162" s="1"/>
  <c r="F13" i="158"/>
  <c r="R17" i="157"/>
  <c r="R28" i="157"/>
  <c r="F31" i="157"/>
  <c r="F20" i="125"/>
  <c r="R23" i="124"/>
  <c r="R25" i="124" s="1"/>
  <c r="N11" i="131"/>
  <c r="N14" i="131" s="1"/>
  <c r="N18" i="131" s="1"/>
  <c r="N22" i="131" s="1"/>
  <c r="P20" i="124"/>
  <c r="P23" i="124" s="1"/>
  <c r="P25" i="124" s="1"/>
  <c r="N25" i="131" s="1"/>
  <c r="N29" i="131" s="1"/>
  <c r="J23" i="124"/>
  <c r="J25" i="124" s="1"/>
  <c r="N67" i="162" l="1"/>
  <c r="O23" i="162" s="1"/>
  <c r="P23" i="162" s="1"/>
  <c r="R13" i="158"/>
  <c r="F17" i="158"/>
  <c r="J13" i="158"/>
  <c r="R22" i="162"/>
  <c r="S21" i="162"/>
  <c r="U21" i="162" s="1"/>
  <c r="I16" i="146" s="1"/>
  <c r="P17" i="157"/>
  <c r="L13" i="146"/>
  <c r="F28" i="158"/>
  <c r="R31" i="157"/>
  <c r="L12" i="146"/>
  <c r="N31" i="131"/>
  <c r="R20" i="125"/>
  <c r="F23" i="125"/>
  <c r="F25" i="125" s="1"/>
  <c r="J20" i="125"/>
  <c r="J17" i="158" l="1"/>
  <c r="P13" i="158"/>
  <c r="L24" i="162"/>
  <c r="M24" i="162" s="1"/>
  <c r="N24" i="162" s="1"/>
  <c r="L68" i="162"/>
  <c r="M68" i="162" s="1"/>
  <c r="R17" i="158"/>
  <c r="F13" i="159"/>
  <c r="S22" i="162"/>
  <c r="U22" i="162" s="1"/>
  <c r="J16" i="146" s="1"/>
  <c r="R23" i="162"/>
  <c r="F31" i="158"/>
  <c r="R28" i="158"/>
  <c r="R23" i="125"/>
  <c r="R25" i="125" s="1"/>
  <c r="F20" i="126"/>
  <c r="O11" i="131"/>
  <c r="O14" i="131" s="1"/>
  <c r="O18" i="131" s="1"/>
  <c r="O22" i="131" s="1"/>
  <c r="J23" i="125"/>
  <c r="J25" i="125" s="1"/>
  <c r="P20" i="125"/>
  <c r="P23" i="125" s="1"/>
  <c r="P25" i="125" s="1"/>
  <c r="O25" i="131" s="1"/>
  <c r="O29" i="131" s="1"/>
  <c r="N68" i="162" l="1"/>
  <c r="O24" i="162" s="1"/>
  <c r="S23" i="162"/>
  <c r="U23" i="162" s="1"/>
  <c r="K16" i="146" s="1"/>
  <c r="P17" i="158"/>
  <c r="M13" i="146"/>
  <c r="F17" i="159"/>
  <c r="J13" i="159"/>
  <c r="R13" i="159"/>
  <c r="F28" i="159"/>
  <c r="M12" i="146"/>
  <c r="R31" i="158"/>
  <c r="O31" i="131"/>
  <c r="R20" i="126"/>
  <c r="F20" i="150" s="1"/>
  <c r="F23" i="126"/>
  <c r="F25" i="126" s="1"/>
  <c r="J20" i="126"/>
  <c r="R20" i="150" l="1"/>
  <c r="J20" i="150"/>
  <c r="F23" i="150"/>
  <c r="F25" i="150" s="1"/>
  <c r="P24" i="162"/>
  <c r="R24" i="162" s="1"/>
  <c r="S24" i="162" s="1"/>
  <c r="U24" i="162" s="1"/>
  <c r="L16" i="146" s="1"/>
  <c r="R17" i="159"/>
  <c r="F13" i="160"/>
  <c r="L25" i="162"/>
  <c r="M25" i="162" s="1"/>
  <c r="N25" i="162" s="1"/>
  <c r="L69" i="162"/>
  <c r="M69" i="162" s="1"/>
  <c r="J17" i="159"/>
  <c r="P13" i="159"/>
  <c r="F31" i="159"/>
  <c r="R28" i="159"/>
  <c r="R23" i="126"/>
  <c r="R25" i="126" s="1"/>
  <c r="P11" i="131"/>
  <c r="P20" i="126"/>
  <c r="P23" i="126" s="1"/>
  <c r="P25" i="126" s="1"/>
  <c r="P25" i="131" s="1"/>
  <c r="J23" i="126"/>
  <c r="J25" i="126" s="1"/>
  <c r="J23" i="150" l="1"/>
  <c r="J25" i="150" s="1"/>
  <c r="P20" i="150"/>
  <c r="P23" i="150" s="1"/>
  <c r="P25" i="150" s="1"/>
  <c r="E25" i="146" s="1"/>
  <c r="E29" i="146" s="1"/>
  <c r="D25" i="146"/>
  <c r="D29" i="146" s="1"/>
  <c r="Q25" i="131"/>
  <c r="Q29" i="131" s="1"/>
  <c r="F20" i="151"/>
  <c r="R23" i="150"/>
  <c r="R25" i="150" s="1"/>
  <c r="E11" i="146"/>
  <c r="E14" i="146" s="1"/>
  <c r="E18" i="146" s="1"/>
  <c r="E22" i="146" s="1"/>
  <c r="N69" i="162"/>
  <c r="O25" i="162" s="1"/>
  <c r="P17" i="159"/>
  <c r="N13" i="146"/>
  <c r="J13" i="160"/>
  <c r="F17" i="160"/>
  <c r="R13" i="160"/>
  <c r="P14" i="131"/>
  <c r="P18" i="131" s="1"/>
  <c r="P22" i="131" s="1"/>
  <c r="D11" i="146"/>
  <c r="R31" i="159"/>
  <c r="N12" i="146"/>
  <c r="F28" i="160"/>
  <c r="Q11" i="131"/>
  <c r="Q14" i="131" s="1"/>
  <c r="P29" i="131"/>
  <c r="Q18" i="131" l="1"/>
  <c r="Q22" i="131" s="1"/>
  <c r="Q31" i="131" s="1"/>
  <c r="E31" i="146"/>
  <c r="R20" i="151"/>
  <c r="F23" i="151"/>
  <c r="F25" i="151" s="1"/>
  <c r="J20" i="151"/>
  <c r="P25" i="162"/>
  <c r="R25" i="162" s="1"/>
  <c r="S25" i="162" s="1"/>
  <c r="U25" i="162" s="1"/>
  <c r="M16" i="146" s="1"/>
  <c r="P31" i="131"/>
  <c r="R17" i="160"/>
  <c r="F13" i="161"/>
  <c r="J17" i="160"/>
  <c r="P13" i="160"/>
  <c r="L70" i="162"/>
  <c r="M70" i="162" s="1"/>
  <c r="L26" i="162"/>
  <c r="M26" i="162" s="1"/>
  <c r="N26" i="162" s="1"/>
  <c r="D14" i="146"/>
  <c r="D18" i="146" s="1"/>
  <c r="D22" i="146" s="1"/>
  <c r="D31" i="146" s="1"/>
  <c r="R28" i="160"/>
  <c r="F31" i="160"/>
  <c r="P20" i="151" l="1"/>
  <c r="P23" i="151" s="1"/>
  <c r="P25" i="151" s="1"/>
  <c r="F25" i="146" s="1"/>
  <c r="F29" i="146" s="1"/>
  <c r="J23" i="151"/>
  <c r="J25" i="151" s="1"/>
  <c r="F20" i="152"/>
  <c r="R23" i="151"/>
  <c r="R25" i="151" s="1"/>
  <c r="F11" i="146"/>
  <c r="F14" i="146" s="1"/>
  <c r="F18" i="146" s="1"/>
  <c r="F22" i="146" s="1"/>
  <c r="N70" i="162"/>
  <c r="O26" i="162" s="1"/>
  <c r="J13" i="161"/>
  <c r="F17" i="161"/>
  <c r="R13" i="161"/>
  <c r="F13" i="171" s="1"/>
  <c r="P17" i="160"/>
  <c r="O13" i="146"/>
  <c r="R31" i="160"/>
  <c r="F28" i="161"/>
  <c r="O12" i="146"/>
  <c r="J13" i="171" l="1"/>
  <c r="F18" i="171"/>
  <c r="F28" i="171" s="1"/>
  <c r="R13" i="171"/>
  <c r="R18" i="171" s="1"/>
  <c r="F23" i="152"/>
  <c r="F25" i="152" s="1"/>
  <c r="J20" i="152"/>
  <c r="R20" i="152"/>
  <c r="F31" i="146"/>
  <c r="P26" i="162"/>
  <c r="R26" i="162" s="1"/>
  <c r="S26" i="162" s="1"/>
  <c r="U26" i="162" s="1"/>
  <c r="N16" i="146" s="1"/>
  <c r="L71" i="162"/>
  <c r="M71" i="162" s="1"/>
  <c r="L27" i="162"/>
  <c r="M27" i="162" s="1"/>
  <c r="N27" i="162" s="1"/>
  <c r="R17" i="161"/>
  <c r="J17" i="161"/>
  <c r="P13" i="161"/>
  <c r="P13" i="146" s="1"/>
  <c r="F31" i="161"/>
  <c r="R28" i="161"/>
  <c r="F31" i="171" s="1"/>
  <c r="V2" i="184" l="1"/>
  <c r="V5" i="184" s="1"/>
  <c r="R31" i="171"/>
  <c r="R28" i="171"/>
  <c r="F13" i="172"/>
  <c r="P13" i="171"/>
  <c r="N17" i="183" s="1"/>
  <c r="N61" i="183" s="1"/>
  <c r="J18" i="171"/>
  <c r="J28" i="171" s="1"/>
  <c r="R23" i="152"/>
  <c r="R25" i="152" s="1"/>
  <c r="F20" i="153"/>
  <c r="G11" i="146"/>
  <c r="J23" i="152"/>
  <c r="J25" i="152" s="1"/>
  <c r="P20" i="152"/>
  <c r="P23" i="152" s="1"/>
  <c r="P25" i="152" s="1"/>
  <c r="G25" i="146" s="1"/>
  <c r="G29" i="146" s="1"/>
  <c r="N71" i="162"/>
  <c r="O27" i="162" s="1"/>
  <c r="P17" i="161"/>
  <c r="R31" i="161"/>
  <c r="D12" i="167" s="1"/>
  <c r="P12" i="146"/>
  <c r="P18" i="171" l="1"/>
  <c r="F31" i="172"/>
  <c r="F18" i="172"/>
  <c r="F28" i="172" s="1"/>
  <c r="J13" i="172"/>
  <c r="R13" i="172"/>
  <c r="P28" i="171"/>
  <c r="Q13" i="146"/>
  <c r="D13" i="167"/>
  <c r="J20" i="153"/>
  <c r="F23" i="153"/>
  <c r="F25" i="153" s="1"/>
  <c r="R20" i="153"/>
  <c r="G14" i="146"/>
  <c r="G18" i="146" s="1"/>
  <c r="G22" i="146" s="1"/>
  <c r="G31" i="146" s="1"/>
  <c r="P27" i="162"/>
  <c r="R27" i="162" s="1"/>
  <c r="S27" i="162" s="1"/>
  <c r="U27" i="162" s="1"/>
  <c r="O16" i="146" s="1"/>
  <c r="L72" i="162"/>
  <c r="L28" i="162"/>
  <c r="Q12" i="146"/>
  <c r="R31" i="172" l="1"/>
  <c r="O17" i="183"/>
  <c r="R18" i="172"/>
  <c r="R28" i="172" s="1"/>
  <c r="F13" i="173"/>
  <c r="J18" i="172"/>
  <c r="J28" i="172" s="1"/>
  <c r="P13" i="172"/>
  <c r="N18" i="183" s="1"/>
  <c r="N62" i="183" s="1"/>
  <c r="O61" i="183"/>
  <c r="E29" i="167"/>
  <c r="E14" i="167"/>
  <c r="R23" i="153"/>
  <c r="R25" i="153" s="1"/>
  <c r="F20" i="154"/>
  <c r="H11" i="146"/>
  <c r="J23" i="153"/>
  <c r="J25" i="153" s="1"/>
  <c r="P20" i="153"/>
  <c r="P23" i="153" s="1"/>
  <c r="P25" i="153" s="1"/>
  <c r="H25" i="146" s="1"/>
  <c r="H29" i="146" s="1"/>
  <c r="M28" i="162"/>
  <c r="L44" i="162"/>
  <c r="M72" i="162"/>
  <c r="N72" i="162" s="1"/>
  <c r="L88" i="162"/>
  <c r="P18" i="172" l="1"/>
  <c r="F31" i="173"/>
  <c r="R13" i="173"/>
  <c r="J13" i="173"/>
  <c r="F18" i="173"/>
  <c r="F28" i="173" s="1"/>
  <c r="P17" i="183"/>
  <c r="P61" i="183"/>
  <c r="P28" i="172"/>
  <c r="H14" i="146"/>
  <c r="H18" i="146" s="1"/>
  <c r="H22" i="146" s="1"/>
  <c r="H31" i="146" s="1"/>
  <c r="F23" i="154"/>
  <c r="F25" i="154" s="1"/>
  <c r="R20" i="154"/>
  <c r="J20" i="154"/>
  <c r="M88" i="162"/>
  <c r="N28" i="162"/>
  <c r="M44" i="162"/>
  <c r="F14" i="167" l="1"/>
  <c r="R31" i="173"/>
  <c r="O18" i="183"/>
  <c r="J18" i="173"/>
  <c r="J28" i="173" s="1"/>
  <c r="P13" i="173"/>
  <c r="N19" i="183" s="1"/>
  <c r="N63" i="183" s="1"/>
  <c r="F29" i="167"/>
  <c r="O62" i="183"/>
  <c r="Q17" i="183"/>
  <c r="R18" i="173"/>
  <c r="R28" i="173" s="1"/>
  <c r="F13" i="174"/>
  <c r="F20" i="155"/>
  <c r="R23" i="154"/>
  <c r="R25" i="154" s="1"/>
  <c r="I11" i="146"/>
  <c r="P20" i="154"/>
  <c r="P23" i="154" s="1"/>
  <c r="P25" i="154" s="1"/>
  <c r="I25" i="146" s="1"/>
  <c r="J23" i="154"/>
  <c r="J25" i="154" s="1"/>
  <c r="N44" i="162"/>
  <c r="O28" i="162"/>
  <c r="N88" i="162"/>
  <c r="P18" i="173" l="1"/>
  <c r="F31" i="174"/>
  <c r="F18" i="174"/>
  <c r="F28" i="174" s="1"/>
  <c r="J13" i="174"/>
  <c r="R13" i="174"/>
  <c r="P18" i="183"/>
  <c r="P28" i="173"/>
  <c r="R17" i="183"/>
  <c r="P62" i="183"/>
  <c r="I29" i="146"/>
  <c r="I14" i="146"/>
  <c r="I18" i="146" s="1"/>
  <c r="I22" i="146" s="1"/>
  <c r="R20" i="155"/>
  <c r="J20" i="155"/>
  <c r="F23" i="155"/>
  <c r="F25" i="155" s="1"/>
  <c r="P28" i="162"/>
  <c r="P44" i="162" s="1"/>
  <c r="O44" i="162"/>
  <c r="R31" i="174" l="1"/>
  <c r="G29" i="167"/>
  <c r="G14" i="167"/>
  <c r="F13" i="175"/>
  <c r="R18" i="174"/>
  <c r="R28" i="174" s="1"/>
  <c r="O19" i="183"/>
  <c r="P13" i="174"/>
  <c r="N20" i="183" s="1"/>
  <c r="N64" i="183" s="1"/>
  <c r="J18" i="174"/>
  <c r="J28" i="174" s="1"/>
  <c r="Q18" i="183"/>
  <c r="O63" i="183"/>
  <c r="I31" i="146"/>
  <c r="P20" i="155"/>
  <c r="P23" i="155" s="1"/>
  <c r="P25" i="155" s="1"/>
  <c r="J25" i="146" s="1"/>
  <c r="J23" i="155"/>
  <c r="J25" i="155" s="1"/>
  <c r="F20" i="156"/>
  <c r="R23" i="155"/>
  <c r="R25" i="155" s="1"/>
  <c r="J11" i="146"/>
  <c r="R28" i="162"/>
  <c r="P18" i="174" l="1"/>
  <c r="S28" i="162"/>
  <c r="U28" i="162" s="1"/>
  <c r="P16" i="146" s="1"/>
  <c r="Q16" i="146" s="1"/>
  <c r="T16" i="183"/>
  <c r="F31" i="175"/>
  <c r="R18" i="183"/>
  <c r="P28" i="174"/>
  <c r="P63" i="183"/>
  <c r="P19" i="183"/>
  <c r="J13" i="175"/>
  <c r="F18" i="175"/>
  <c r="F28" i="175" s="1"/>
  <c r="R13" i="175"/>
  <c r="J14" i="146"/>
  <c r="J18" i="146" s="1"/>
  <c r="J22" i="146" s="1"/>
  <c r="F23" i="156"/>
  <c r="F25" i="156" s="1"/>
  <c r="J20" i="156"/>
  <c r="R20" i="156"/>
  <c r="J29" i="146"/>
  <c r="R44" i="162"/>
  <c r="H14" i="167" l="1"/>
  <c r="W16" i="183"/>
  <c r="D16" i="167" s="1"/>
  <c r="T17" i="183"/>
  <c r="U17" i="183" s="1"/>
  <c r="R31" i="175"/>
  <c r="O64" i="183"/>
  <c r="F13" i="176"/>
  <c r="R18" i="175"/>
  <c r="R28" i="175" s="1"/>
  <c r="Q19" i="183"/>
  <c r="H29" i="167"/>
  <c r="P13" i="175"/>
  <c r="N21" i="183" s="1"/>
  <c r="N65" i="183" s="1"/>
  <c r="J18" i="175"/>
  <c r="J28" i="175" s="1"/>
  <c r="O20" i="183"/>
  <c r="R23" i="156"/>
  <c r="R25" i="156" s="1"/>
  <c r="F20" i="157"/>
  <c r="K11" i="146"/>
  <c r="J23" i="156"/>
  <c r="J25" i="156" s="1"/>
  <c r="P20" i="156"/>
  <c r="P23" i="156" s="1"/>
  <c r="P25" i="156" s="1"/>
  <c r="K25" i="146" s="1"/>
  <c r="J31" i="146"/>
  <c r="T18" i="183" l="1"/>
  <c r="U18" i="183" s="1"/>
  <c r="F31" i="176"/>
  <c r="W17" i="183"/>
  <c r="E16" i="167" s="1"/>
  <c r="E18" i="167" s="1"/>
  <c r="E22" i="167" s="1"/>
  <c r="E31" i="167" s="1"/>
  <c r="P20" i="183"/>
  <c r="R19" i="183"/>
  <c r="P64" i="183"/>
  <c r="P18" i="175"/>
  <c r="F18" i="176"/>
  <c r="F28" i="176" s="1"/>
  <c r="R13" i="176"/>
  <c r="J13" i="176"/>
  <c r="K29" i="146"/>
  <c r="K14" i="146"/>
  <c r="K18" i="146" s="1"/>
  <c r="K22" i="146" s="1"/>
  <c r="J20" i="157"/>
  <c r="R20" i="157"/>
  <c r="F23" i="157"/>
  <c r="F25" i="157" s="1"/>
  <c r="T19" i="183" l="1"/>
  <c r="U19" i="183" s="1"/>
  <c r="W18" i="183"/>
  <c r="F16" i="167" s="1"/>
  <c r="F18" i="167" s="1"/>
  <c r="F22" i="167" s="1"/>
  <c r="F31" i="167" s="1"/>
  <c r="R31" i="176"/>
  <c r="Q20" i="183"/>
  <c r="P13" i="176"/>
  <c r="N22" i="183" s="1"/>
  <c r="N66" i="183" s="1"/>
  <c r="J18" i="176"/>
  <c r="J28" i="176" s="1"/>
  <c r="R18" i="176"/>
  <c r="R28" i="176" s="1"/>
  <c r="F13" i="177"/>
  <c r="P28" i="175"/>
  <c r="I14" i="167"/>
  <c r="K31" i="146"/>
  <c r="R23" i="157"/>
  <c r="R25" i="157" s="1"/>
  <c r="F20" i="158"/>
  <c r="L11" i="146"/>
  <c r="L14" i="146" s="1"/>
  <c r="L18" i="146" s="1"/>
  <c r="L22" i="146" s="1"/>
  <c r="P20" i="157"/>
  <c r="P23" i="157" s="1"/>
  <c r="P25" i="157" s="1"/>
  <c r="L25" i="146" s="1"/>
  <c r="J23" i="157"/>
  <c r="J25" i="157" s="1"/>
  <c r="P18" i="176" l="1"/>
  <c r="F31" i="177"/>
  <c r="W19" i="183"/>
  <c r="O21" i="183"/>
  <c r="F18" i="177"/>
  <c r="F28" i="177" s="1"/>
  <c r="J13" i="177"/>
  <c r="R13" i="177"/>
  <c r="O66" i="183"/>
  <c r="P66" i="183" s="1"/>
  <c r="Q22" i="183" s="1"/>
  <c r="R22" i="183" s="1"/>
  <c r="P28" i="176"/>
  <c r="O22" i="183"/>
  <c r="P22" i="183" s="1"/>
  <c r="I29" i="167"/>
  <c r="O65" i="183"/>
  <c r="R20" i="183"/>
  <c r="T20" i="183" s="1"/>
  <c r="L29" i="146"/>
  <c r="L31" i="146" s="1"/>
  <c r="J20" i="158"/>
  <c r="F23" i="158"/>
  <c r="F25" i="158" s="1"/>
  <c r="R20" i="158"/>
  <c r="J29" i="167" l="1"/>
  <c r="J14" i="167"/>
  <c r="R31" i="177"/>
  <c r="G16" i="167"/>
  <c r="G18" i="167" s="1"/>
  <c r="G22" i="167" s="1"/>
  <c r="G31" i="167" s="1"/>
  <c r="P13" i="177"/>
  <c r="N23" i="183" s="1"/>
  <c r="N67" i="183" s="1"/>
  <c r="J18" i="177"/>
  <c r="J28" i="177" s="1"/>
  <c r="R18" i="177"/>
  <c r="R28" i="177" s="1"/>
  <c r="F13" i="178"/>
  <c r="U20" i="183"/>
  <c r="P65" i="183"/>
  <c r="P21" i="183"/>
  <c r="J23" i="158"/>
  <c r="J25" i="158" s="1"/>
  <c r="P20" i="158"/>
  <c r="P23" i="158" s="1"/>
  <c r="P25" i="158" s="1"/>
  <c r="M25" i="146" s="1"/>
  <c r="R23" i="158"/>
  <c r="R25" i="158" s="1"/>
  <c r="F20" i="159"/>
  <c r="M11" i="146"/>
  <c r="M14" i="146" s="1"/>
  <c r="M18" i="146" s="1"/>
  <c r="M22" i="146" s="1"/>
  <c r="P18" i="177" l="1"/>
  <c r="F31" i="178"/>
  <c r="W20" i="183"/>
  <c r="Q21" i="183"/>
  <c r="R13" i="178"/>
  <c r="F18" i="178"/>
  <c r="F28" i="178" s="1"/>
  <c r="J13" i="178"/>
  <c r="P28" i="177"/>
  <c r="K29" i="167" s="1"/>
  <c r="O67" i="183"/>
  <c r="P67" i="183" s="1"/>
  <c r="Q23" i="183" s="1"/>
  <c r="R23" i="183" s="1"/>
  <c r="O23" i="183"/>
  <c r="P23" i="183" s="1"/>
  <c r="J20" i="159"/>
  <c r="F23" i="159"/>
  <c r="F25" i="159" s="1"/>
  <c r="R20" i="159"/>
  <c r="M29" i="146"/>
  <c r="M31" i="146" s="1"/>
  <c r="K14" i="167" l="1"/>
  <c r="R31" i="178"/>
  <c r="H16" i="167"/>
  <c r="H18" i="167" s="1"/>
  <c r="H22" i="167" s="1"/>
  <c r="H31" i="167" s="1"/>
  <c r="J18" i="178"/>
  <c r="J28" i="178" s="1"/>
  <c r="P13" i="178"/>
  <c r="N24" i="183" s="1"/>
  <c r="N68" i="183" s="1"/>
  <c r="F13" i="179"/>
  <c r="R18" i="178"/>
  <c r="R28" i="178" s="1"/>
  <c r="R21" i="183"/>
  <c r="T21" i="183" s="1"/>
  <c r="R23" i="159"/>
  <c r="R25" i="159" s="1"/>
  <c r="F20" i="160"/>
  <c r="N11" i="146"/>
  <c r="N14" i="146" s="1"/>
  <c r="N18" i="146" s="1"/>
  <c r="N22" i="146" s="1"/>
  <c r="J23" i="159"/>
  <c r="J25" i="159" s="1"/>
  <c r="P20" i="159"/>
  <c r="P23" i="159" s="1"/>
  <c r="P25" i="159" s="1"/>
  <c r="N25" i="146" s="1"/>
  <c r="N29" i="146" s="1"/>
  <c r="F31" i="179" l="1"/>
  <c r="J13" i="179"/>
  <c r="R13" i="179"/>
  <c r="F18" i="179"/>
  <c r="F28" i="179" s="1"/>
  <c r="U21" i="183"/>
  <c r="T22" i="183"/>
  <c r="P18" i="178"/>
  <c r="N31" i="146"/>
  <c r="F23" i="160"/>
  <c r="F25" i="160" s="1"/>
  <c r="R20" i="160"/>
  <c r="J20" i="160"/>
  <c r="R31" i="179" l="1"/>
  <c r="W21" i="183"/>
  <c r="F13" i="180"/>
  <c r="R18" i="179"/>
  <c r="R28" i="179" s="1"/>
  <c r="O24" i="183"/>
  <c r="P24" i="183" s="1"/>
  <c r="O68" i="183"/>
  <c r="P68" i="183" s="1"/>
  <c r="Q24" i="183" s="1"/>
  <c r="R24" i="183" s="1"/>
  <c r="P28" i="178"/>
  <c r="L29" i="167" s="1"/>
  <c r="J18" i="179"/>
  <c r="J28" i="179" s="1"/>
  <c r="P13" i="179"/>
  <c r="N25" i="183" s="1"/>
  <c r="N69" i="183" s="1"/>
  <c r="T23" i="183"/>
  <c r="U23" i="183" s="1"/>
  <c r="U22" i="183"/>
  <c r="L14" i="167"/>
  <c r="P20" i="160"/>
  <c r="P23" i="160" s="1"/>
  <c r="P25" i="160" s="1"/>
  <c r="O25" i="146" s="1"/>
  <c r="O29" i="146" s="1"/>
  <c r="J23" i="160"/>
  <c r="J25" i="160" s="1"/>
  <c r="F20" i="161"/>
  <c r="R23" i="160"/>
  <c r="R25" i="160" s="1"/>
  <c r="O11" i="146"/>
  <c r="O14" i="146" s="1"/>
  <c r="O18" i="146" s="1"/>
  <c r="O22" i="146" s="1"/>
  <c r="P18" i="179" l="1"/>
  <c r="F31" i="180"/>
  <c r="W22" i="183"/>
  <c r="W23" i="183" s="1"/>
  <c r="K16" i="167" s="1"/>
  <c r="K18" i="167" s="1"/>
  <c r="K22" i="167" s="1"/>
  <c r="K31" i="167" s="1"/>
  <c r="I16" i="167"/>
  <c r="I18" i="167" s="1"/>
  <c r="I22" i="167" s="1"/>
  <c r="I31" i="167" s="1"/>
  <c r="T24" i="183"/>
  <c r="O69" i="183"/>
  <c r="P69" i="183" s="1"/>
  <c r="Q25" i="183" s="1"/>
  <c r="R25" i="183" s="1"/>
  <c r="P28" i="179"/>
  <c r="M29" i="167" s="1"/>
  <c r="O25" i="183"/>
  <c r="P25" i="183" s="1"/>
  <c r="J13" i="180"/>
  <c r="F18" i="180"/>
  <c r="F28" i="180" s="1"/>
  <c r="R13" i="180"/>
  <c r="O31" i="146"/>
  <c r="F23" i="161"/>
  <c r="F25" i="161" s="1"/>
  <c r="J20" i="161"/>
  <c r="R20" i="161"/>
  <c r="M14" i="167" l="1"/>
  <c r="R31" i="180"/>
  <c r="J16" i="167"/>
  <c r="J18" i="167" s="1"/>
  <c r="J22" i="167" s="1"/>
  <c r="J31" i="167" s="1"/>
  <c r="F13" i="181"/>
  <c r="R18" i="180"/>
  <c r="R28" i="180" s="1"/>
  <c r="T25" i="183"/>
  <c r="U24" i="183"/>
  <c r="J18" i="180"/>
  <c r="J28" i="180" s="1"/>
  <c r="P13" i="180"/>
  <c r="N26" i="183" s="1"/>
  <c r="N70" i="183" s="1"/>
  <c r="R23" i="161"/>
  <c r="R25" i="161" s="1"/>
  <c r="P11" i="146"/>
  <c r="D11" i="167" s="1"/>
  <c r="P20" i="161"/>
  <c r="P23" i="161" s="1"/>
  <c r="P25" i="161" s="1"/>
  <c r="P25" i="146" s="1"/>
  <c r="D25" i="167" s="1"/>
  <c r="D29" i="167" s="1"/>
  <c r="J23" i="161"/>
  <c r="J25" i="161" s="1"/>
  <c r="P18" i="180" l="1"/>
  <c r="O26" i="183" s="1"/>
  <c r="P26" i="183" s="1"/>
  <c r="F31" i="181"/>
  <c r="F36" i="181" s="1"/>
  <c r="W24" i="183"/>
  <c r="D14" i="167"/>
  <c r="D18" i="167" s="1"/>
  <c r="D22" i="167" s="1"/>
  <c r="D31" i="167" s="1"/>
  <c r="U25" i="183"/>
  <c r="F18" i="181"/>
  <c r="F28" i="181" s="1"/>
  <c r="R13" i="181"/>
  <c r="O11" i="167" s="1"/>
  <c r="J13" i="181"/>
  <c r="P29" i="146"/>
  <c r="Q25" i="146"/>
  <c r="Q29" i="146" s="1"/>
  <c r="P14" i="146"/>
  <c r="P18" i="146" s="1"/>
  <c r="P22" i="146" s="1"/>
  <c r="Q11" i="146"/>
  <c r="Q14" i="146" s="1"/>
  <c r="Q18" i="146" s="1"/>
  <c r="Q22" i="146" s="1"/>
  <c r="O70" i="183" l="1"/>
  <c r="P70" i="183" s="1"/>
  <c r="Q26" i="183" s="1"/>
  <c r="R26" i="183" s="1"/>
  <c r="P28" i="180"/>
  <c r="N29" i="167" s="1"/>
  <c r="R31" i="181"/>
  <c r="W25" i="183"/>
  <c r="M16" i="167" s="1"/>
  <c r="M18" i="167" s="1"/>
  <c r="M22" i="167" s="1"/>
  <c r="M31" i="167" s="1"/>
  <c r="L16" i="167"/>
  <c r="L18" i="167" s="1"/>
  <c r="L22" i="167" s="1"/>
  <c r="L31" i="167" s="1"/>
  <c r="P13" i="181"/>
  <c r="J18" i="181"/>
  <c r="J28" i="181" s="1"/>
  <c r="N14" i="167"/>
  <c r="F13" i="182"/>
  <c r="R13" i="182" s="1"/>
  <c r="P11" i="167" s="1"/>
  <c r="R18" i="181"/>
  <c r="R28" i="181" s="1"/>
  <c r="Q31" i="146"/>
  <c r="P31" i="146"/>
  <c r="N27" i="183" l="1"/>
  <c r="N71" i="183" s="1"/>
  <c r="O13" i="167"/>
  <c r="O25" i="167"/>
  <c r="O12" i="167"/>
  <c r="R36" i="181"/>
  <c r="T26" i="183"/>
  <c r="U26" i="183" s="1"/>
  <c r="W26" i="183" s="1"/>
  <c r="P18" i="181"/>
  <c r="P28" i="181" s="1"/>
  <c r="F31" i="182"/>
  <c r="F36" i="182" s="1"/>
  <c r="O71" i="183"/>
  <c r="P71" i="183" s="1"/>
  <c r="Q27" i="183" s="1"/>
  <c r="R27" i="183" s="1"/>
  <c r="O27" i="183"/>
  <c r="P27" i="183" s="1"/>
  <c r="J13" i="182"/>
  <c r="F18" i="182"/>
  <c r="F28" i="182" s="1"/>
  <c r="O29" i="167" l="1"/>
  <c r="O14" i="167"/>
  <c r="R31" i="182"/>
  <c r="T27" i="183"/>
  <c r="U27" i="183" s="1"/>
  <c r="N16" i="167"/>
  <c r="N18" i="167" s="1"/>
  <c r="N22" i="167" s="1"/>
  <c r="N31" i="167" s="1"/>
  <c r="R18" i="182"/>
  <c r="P13" i="182"/>
  <c r="J18" i="182"/>
  <c r="J28" i="182" s="1"/>
  <c r="P12" i="167" l="1"/>
  <c r="R36" i="182"/>
  <c r="N28" i="183"/>
  <c r="N72" i="183" s="1"/>
  <c r="P25" i="167"/>
  <c r="P13" i="167"/>
  <c r="Q13" i="167" s="1"/>
  <c r="P18" i="182"/>
  <c r="P28" i="182" s="1"/>
  <c r="R28" i="182"/>
  <c r="V6" i="184"/>
  <c r="V7" i="184" s="1"/>
  <c r="Q12" i="167"/>
  <c r="W27" i="183"/>
  <c r="Q11" i="167"/>
  <c r="O16" i="167" l="1"/>
  <c r="O18" i="167" s="1"/>
  <c r="O22" i="167" s="1"/>
  <c r="O31" i="167" s="1"/>
  <c r="Q14" i="167"/>
  <c r="P14" i="167"/>
  <c r="P29" i="167"/>
  <c r="Q25" i="167"/>
  <c r="Q29" i="167" s="1"/>
  <c r="O72" i="183"/>
  <c r="N88" i="183"/>
  <c r="O28" i="183"/>
  <c r="N44" i="183"/>
  <c r="P28" i="183" l="1"/>
  <c r="O44" i="183"/>
  <c r="P72" i="183"/>
  <c r="O88" i="183"/>
  <c r="Q28" i="183" l="1"/>
  <c r="P88" i="183"/>
  <c r="P44" i="183"/>
  <c r="R28" i="183" l="1"/>
  <c r="Q44" i="183"/>
  <c r="R44" i="183" l="1"/>
  <c r="T28" i="183"/>
  <c r="U28" i="183" l="1"/>
  <c r="T44" i="183"/>
  <c r="W28" i="183" l="1"/>
  <c r="P16" i="167" s="1"/>
  <c r="Q16" i="167" l="1"/>
  <c r="Q18" i="167" s="1"/>
  <c r="Q22" i="167" s="1"/>
  <c r="Q31" i="167" s="1"/>
  <c r="E12" i="135" s="1"/>
  <c r="O13" i="135" s="1"/>
  <c r="P18" i="167"/>
  <c r="P22" i="167" s="1"/>
  <c r="P31" i="167" s="1"/>
  <c r="E11" i="135" l="1"/>
  <c r="G11" i="135" s="1"/>
  <c r="I11" i="135" s="1"/>
  <c r="E9" i="135"/>
  <c r="G9" i="135" s="1"/>
  <c r="I9" i="135" s="1"/>
  <c r="E10" i="135"/>
  <c r="G10" i="135" s="1"/>
  <c r="I10" i="1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4" authorId="0" shapeId="0" xr:uid="{94F6CAC0-0A7B-43C1-81C4-DED0891F22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TMPPENPRS in-service May20.  May additions based on GLT Day 4 report for Dec19 CWIP plus 2020 forecasted spend through May20.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4" authorId="0" shapeId="0" xr:uid="{2218A7FC-4081-4F81-9CB8-68860D9868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TMPPENBLN and TMPPRSPIC in-service Oct20.  October additions based on GLT Day 4 report for Dec19 CWIP plus 2020 forecasted spend through Oct20.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5" authorId="0" shapeId="0" xr:uid="{41263710-702C-4CFB-A3D1-07BFB6229D2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reassigned fom CCSO419 to project 414000001 per Tax Dept review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3F00-000001000000}">
      <text>
        <r>
          <rPr>
            <sz val="9"/>
            <color indexed="81"/>
            <rFont val="Tahoma"/>
            <family val="2"/>
          </rPr>
          <t>"Main-Distribution Capex" on "Cap&amp;OpEx 2017" tab</t>
        </r>
      </text>
    </comment>
    <comment ref="C8" authorId="0" shapeId="0" xr:uid="{00000000-0006-0000-3F00-000002000000}">
      <text>
        <r>
          <rPr>
            <sz val="9"/>
            <color indexed="81"/>
            <rFont val="Tahoma"/>
            <family val="2"/>
          </rPr>
          <t>"Customer Service Capex" on "Cap&amp;OpEx 2017"tab</t>
        </r>
      </text>
    </comment>
    <comment ref="C15" authorId="0" shapeId="0" xr:uid="{00000000-0006-0000-3F00-000003000000}">
      <text>
        <r>
          <rPr>
            <sz val="9"/>
            <color indexed="81"/>
            <rFont val="Tahoma"/>
            <family val="2"/>
          </rPr>
          <t>"Riser Capex" on "Cap&amp;OpEx 2017" tab</t>
        </r>
      </text>
    </comment>
    <comment ref="C17" authorId="0" shapeId="0" xr:uid="{00000000-0006-0000-3F00-000004000000}">
      <text>
        <r>
          <rPr>
            <sz val="9"/>
            <color indexed="81"/>
            <rFont val="Tahoma"/>
            <family val="2"/>
          </rPr>
          <t>"Service Line Capex" on "Cap&amp;OpEx 2017" Tab</t>
        </r>
      </text>
    </comment>
    <comment ref="C23" authorId="0" shapeId="0" xr:uid="{00000000-0006-0000-3F00-000005000000}">
      <text>
        <r>
          <rPr>
            <sz val="9"/>
            <color indexed="81"/>
            <rFont val="Tahoma"/>
            <family val="2"/>
          </rPr>
          <t>"Main-Transmission Capex" on "Cap&amp;OpEx 2017" tab</t>
        </r>
      </text>
    </comment>
    <comment ref="C26" authorId="0" shapeId="0" xr:uid="{00000000-0006-0000-3F00-000006000000}">
      <text>
        <r>
          <rPr>
            <sz val="9"/>
            <color indexed="81"/>
            <rFont val="Tahoma"/>
            <family val="2"/>
          </rPr>
          <t>"Main-Distribution Cost of Removal" on "Cap&amp;OpEx 2017" tab</t>
        </r>
      </text>
    </comment>
    <comment ref="C29" authorId="0" shapeId="0" xr:uid="{00000000-0006-0000-3F00-000007000000}">
      <text>
        <r>
          <rPr>
            <sz val="9"/>
            <color indexed="81"/>
            <rFont val="Tahoma"/>
            <family val="2"/>
          </rPr>
          <t>"Service Line Cost of Removal" on "Cap&amp;OpEx 2017 tab"</t>
        </r>
      </text>
    </comment>
  </commentList>
</comments>
</file>

<file path=xl/sharedStrings.xml><?xml version="1.0" encoding="utf-8"?>
<sst xmlns="http://schemas.openxmlformats.org/spreadsheetml/2006/main" count="6121" uniqueCount="626">
  <si>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</si>
  <si>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</si>
  <si>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</si>
  <si>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</si>
  <si>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</si>
  <si>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</si>
  <si>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</si>
  <si>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</si>
  <si>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</si>
  <si>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</si>
  <si>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</si>
  <si>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</si>
  <si>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</si>
  <si>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</si>
  <si>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</si>
  <si>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</si>
  <si>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</si>
  <si>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</si>
  <si>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</si>
  <si>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</si>
  <si>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</si>
  <si>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</si>
  <si>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</si>
  <si>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</si>
  <si>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</si>
  <si>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</si>
  <si>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</si>
  <si>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</si>
  <si>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</si>
  <si>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</si>
  <si>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</si>
  <si>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</si>
  <si>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</si>
  <si>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</si>
  <si>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Tax</t>
  </si>
  <si>
    <t>Cost</t>
  </si>
  <si>
    <t>of</t>
  </si>
  <si>
    <t>Removal</t>
  </si>
  <si>
    <t>Book</t>
  </si>
  <si>
    <t>Difference</t>
  </si>
  <si>
    <t>Deferred</t>
  </si>
  <si>
    <t>Accumulated</t>
  </si>
  <si>
    <t>Taxes</t>
  </si>
  <si>
    <t>Tax Depreciation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</si>
  <si>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</si>
  <si>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</si>
  <si>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</si>
  <si>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</si>
  <si>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</si>
  <si>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</si>
  <si>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</si>
  <si>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</si>
  <si>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</si>
  <si>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</si>
  <si>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</si>
  <si>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</si>
  <si>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</si>
  <si>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</si>
  <si>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</si>
  <si>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</si>
  <si>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</si>
  <si>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and</t>
  </si>
  <si>
    <t>Services-Lines</t>
  </si>
  <si>
    <t>Services-Risers</t>
  </si>
  <si>
    <t>Allocation Percent</t>
  </si>
  <si>
    <t>Number of Bills</t>
  </si>
  <si>
    <t>Line No.</t>
  </si>
  <si>
    <t>LOUISVILLE GAS AND ELECTRIC COMPANY</t>
  </si>
  <si>
    <t>RATE OF RETURN</t>
  </si>
  <si>
    <t>TOTAL</t>
  </si>
  <si>
    <t>20-year</t>
  </si>
  <si>
    <t>15-year</t>
  </si>
  <si>
    <t>Service Line Retirements</t>
  </si>
  <si>
    <t>Riser Retirements</t>
  </si>
  <si>
    <t>Repairs</t>
  </si>
  <si>
    <t>CLASS ALLOCATION AND BILL IMPACT</t>
  </si>
  <si>
    <t>TAX DEPRECIATION</t>
  </si>
  <si>
    <t>Adjusted for</t>
  </si>
  <si>
    <t>Income Taxes</t>
  </si>
  <si>
    <t>REVENUE REQUIREMENT</t>
  </si>
  <si>
    <t>Service Line Capex</t>
  </si>
  <si>
    <t>Riser Capex</t>
  </si>
  <si>
    <t xml:space="preserve">     Gas Plant Investment</t>
  </si>
  <si>
    <t>Service Line Cost of Removal</t>
  </si>
  <si>
    <t>Riser Cost of Removal</t>
  </si>
  <si>
    <t xml:space="preserve">     Cost of Removal</t>
  </si>
  <si>
    <t>Jan</t>
  </si>
  <si>
    <t>Feb</t>
  </si>
  <si>
    <t>May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</si>
  <si>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</si>
  <si>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</si>
  <si>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</si>
  <si>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</si>
  <si>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</si>
  <si>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</si>
  <si>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</si>
  <si>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</si>
  <si>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</si>
  <si>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</si>
  <si>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</si>
  <si>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</si>
  <si>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</si>
  <si>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</si>
  <si>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</si>
  <si>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</si>
  <si>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</si>
  <si>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</si>
  <si>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</si>
  <si>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</si>
  <si>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Project</t>
  </si>
  <si>
    <t>Project Desc</t>
  </si>
  <si>
    <t>Sept</t>
  </si>
  <si>
    <t>Investment</t>
  </si>
  <si>
    <t>107001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</si>
  <si>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</si>
  <si>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</si>
  <si>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</si>
  <si>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</si>
  <si>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</si>
  <si>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</si>
  <si>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CNBCS419</t>
  </si>
  <si>
    <t>NB CUST SRV LINE &amp; GAS RISER</t>
  </si>
  <si>
    <t>CNBCS421</t>
  </si>
  <si>
    <t>DLSMR414</t>
  </si>
  <si>
    <t>DWNTWN LRG SCALE MAIN</t>
  </si>
  <si>
    <t>GASRSR414</t>
  </si>
  <si>
    <t>LSMR414</t>
  </si>
  <si>
    <t>Large Scale Main Replacements</t>
  </si>
  <si>
    <t>PMR414</t>
  </si>
  <si>
    <t>Priority Main Replacement</t>
  </si>
  <si>
    <t>RRCS419G</t>
  </si>
  <si>
    <t>REP CO GAS SERV 419</t>
  </si>
  <si>
    <t>RRCS421</t>
  </si>
  <si>
    <t>Serv Line Repl-Muldraugh</t>
  </si>
  <si>
    <t>Total Investment</t>
  </si>
  <si>
    <t>108799</t>
  </si>
  <si>
    <t>Total Removal</t>
  </si>
  <si>
    <t>organization</t>
  </si>
  <si>
    <t>expenditure_org</t>
  </si>
  <si>
    <t>account</t>
  </si>
  <si>
    <t>expenditure_type</t>
  </si>
  <si>
    <t>project</t>
  </si>
  <si>
    <t>task</t>
  </si>
  <si>
    <t>year</t>
  </si>
  <si>
    <t>total</t>
  </si>
  <si>
    <t>003385</t>
  </si>
  <si>
    <t>880110</t>
  </si>
  <si>
    <t>0301</t>
  </si>
  <si>
    <t>CUSTUNLO</t>
  </si>
  <si>
    <t>GAS SER UNLOC</t>
  </si>
  <si>
    <t>004190</t>
  </si>
  <si>
    <t>892110</t>
  </si>
  <si>
    <t>OCSOM419</t>
  </si>
  <si>
    <t>BUDGET</t>
  </si>
  <si>
    <t>004210</t>
  </si>
  <si>
    <t>OCSOM421</t>
  </si>
  <si>
    <t>004485</t>
  </si>
  <si>
    <t>ORCSO419</t>
  </si>
  <si>
    <t>0111</t>
  </si>
  <si>
    <t>0752</t>
  </si>
  <si>
    <t>Revenue Requirement</t>
  </si>
  <si>
    <t>CAPITAL AND OPERATING COSTS</t>
  </si>
  <si>
    <t>Customer Service Capex</t>
  </si>
  <si>
    <t>Services-Customer Lines</t>
  </si>
  <si>
    <t>Monthly</t>
  </si>
  <si>
    <t>Total Revenue Requirement</t>
  </si>
  <si>
    <t>(a)</t>
  </si>
  <si>
    <t>(b)</t>
  </si>
  <si>
    <t>(c)</t>
  </si>
  <si>
    <t>GAS SERVICE RISER REPL &amp; CSO</t>
  </si>
  <si>
    <t>887110</t>
  </si>
  <si>
    <t>139084</t>
  </si>
  <si>
    <t>887COS</t>
  </si>
  <si>
    <t>004470</t>
  </si>
  <si>
    <t>0101</t>
  </si>
  <si>
    <t>0751</t>
  </si>
  <si>
    <t>874110</t>
  </si>
  <si>
    <t>(d)</t>
  </si>
  <si>
    <t>Property Taxes</t>
  </si>
  <si>
    <t>Reserve Retirements</t>
  </si>
  <si>
    <t xml:space="preserve">     Total Retirements</t>
  </si>
  <si>
    <t>Federal Deferred</t>
  </si>
  <si>
    <t>State Deferred</t>
  </si>
  <si>
    <t>@ 35%</t>
  </si>
  <si>
    <t>@ 6%</t>
  </si>
  <si>
    <t>Bonus</t>
  </si>
  <si>
    <t>Page 2</t>
  </si>
  <si>
    <t xml:space="preserve">Federal Benefit </t>
  </si>
  <si>
    <t>of State</t>
  </si>
  <si>
    <t>Deferred Tax</t>
  </si>
  <si>
    <t>on</t>
  </si>
  <si>
    <t>MACRS   Tax Rate</t>
  </si>
  <si>
    <t>AMR414</t>
  </si>
  <si>
    <t>ALDYL-A MAIN REPLACEMENT</t>
  </si>
  <si>
    <t>Total 2017</t>
  </si>
  <si>
    <t>0304</t>
  </si>
  <si>
    <t>880COS</t>
  </si>
  <si>
    <t>892COS</t>
  </si>
  <si>
    <t>874COS</t>
  </si>
  <si>
    <t>878110</t>
  </si>
  <si>
    <t>878COS</t>
  </si>
  <si>
    <t>879110</t>
  </si>
  <si>
    <t>879COS</t>
  </si>
  <si>
    <t>004480</t>
  </si>
  <si>
    <t>(1)</t>
  </si>
  <si>
    <t>(2)</t>
  </si>
  <si>
    <t>(9)</t>
  </si>
  <si>
    <t>(10)</t>
  </si>
  <si>
    <t>(11)</t>
  </si>
  <si>
    <t>(12)</t>
  </si>
  <si>
    <t>(13)</t>
  </si>
  <si>
    <t>(14)</t>
  </si>
  <si>
    <t>(15)</t>
  </si>
  <si>
    <t>(e)</t>
  </si>
  <si>
    <t>JULY 2017 BOOK DEPRECIATION</t>
  </si>
  <si>
    <t>AUGUST 2017 BOOK DEPRECIATION</t>
  </si>
  <si>
    <t>SEPTEMBER 2017 BOOK DEPRECIATION</t>
  </si>
  <si>
    <t>OCTOBER 2017 BOOK DEPRECIATION</t>
  </si>
  <si>
    <t>DECEMBER 2017 BOOK DEPRECIATION</t>
  </si>
  <si>
    <t>NB INST CUST SERV LINE &amp; RSR</t>
  </si>
  <si>
    <t>TLR414</t>
  </si>
  <si>
    <t>TRANSMISSION LINE REPLACE</t>
  </si>
  <si>
    <t>*NEW PROGRAM</t>
  </si>
  <si>
    <t>CRSS414</t>
  </si>
  <si>
    <t>REPLACE STEEL SERVICE LINES</t>
  </si>
  <si>
    <t>Total 2018</t>
  </si>
  <si>
    <t>Total 2019</t>
  </si>
  <si>
    <t>NOVEMBER 2017 BOOK DEPRECIATION</t>
  </si>
  <si>
    <t>(f)</t>
  </si>
  <si>
    <t>2012 20-year additions at MACRS Year 6 tax rate (0.052850)</t>
  </si>
  <si>
    <t>2013 20-year additions at MACRS Year 5 tax rate (0.057130)</t>
  </si>
  <si>
    <t>2014 20-year additions at MACRS Year 4 tax rate (0.061770)</t>
  </si>
  <si>
    <t>2015 20-year additions at MACRS Year 3 tax rate (0.066770)</t>
  </si>
  <si>
    <t>2016 20-year additions at MACRS Year 2 tax rate (0.072190)</t>
  </si>
  <si>
    <t>2017 20-year additions at MACRS Year 1 tax rate (0.037500) plus repairs</t>
  </si>
  <si>
    <t>2017 20-year additions at MACRS Year 1 tax rate (0.037500) plus Repairs</t>
  </si>
  <si>
    <t>Prorated Accumulated</t>
  </si>
  <si>
    <t>Change</t>
  </si>
  <si>
    <t>ADIT</t>
  </si>
  <si>
    <t>Proration</t>
  </si>
  <si>
    <t>Rate Schedule - Transmission</t>
  </si>
  <si>
    <t>Rate Schedule - Distribution</t>
  </si>
  <si>
    <t>Jul - Dec 2017</t>
  </si>
  <si>
    <t>Jul-Dec</t>
  </si>
  <si>
    <t>1/184</t>
  </si>
  <si>
    <t>32/184</t>
  </si>
  <si>
    <t>62/184</t>
  </si>
  <si>
    <t>93/184</t>
  </si>
  <si>
    <t>123/184</t>
  </si>
  <si>
    <t>154/184</t>
  </si>
  <si>
    <t>Main-Distribution Capex</t>
  </si>
  <si>
    <t>Main-Transmission Capex</t>
  </si>
  <si>
    <t>Main-Distribution Retirements</t>
  </si>
  <si>
    <t>Main-Distribution Cost of Removal</t>
  </si>
  <si>
    <t>2017 Forecast Case No. 2016-00383</t>
  </si>
  <si>
    <t>ANNUAL ADJUSTMENT TO THE GAS LINE TRACKER</t>
  </si>
  <si>
    <t>Monthly Rate Per Bill</t>
  </si>
  <si>
    <t>Rate Per Mcf</t>
  </si>
  <si>
    <t>Mcf</t>
  </si>
  <si>
    <t>Net Monthly Rate Per Bill Reflecting     True-up</t>
  </si>
  <si>
    <t>JANUARY 2018 BOOK DEPRECIATION</t>
  </si>
  <si>
    <t>Mar</t>
  </si>
  <si>
    <t>Apr</t>
  </si>
  <si>
    <t>Jun</t>
  </si>
  <si>
    <t>FEBRUARY 2018 BOOK DEPRECIATION</t>
  </si>
  <si>
    <t>MARCH 2018 BOOK DEPRECIATION</t>
  </si>
  <si>
    <t>APRIL 2018 BOOK DEPRECIATION</t>
  </si>
  <si>
    <t>MAY 2018 BOOK DEPRECIATION</t>
  </si>
  <si>
    <t>JUNE 2018 BOOK DEPRECIATION</t>
  </si>
  <si>
    <t>JULY 2018 BOOK DEPRECIATION</t>
  </si>
  <si>
    <t>AUGUST 2018 BOOK DEPRECIATION</t>
  </si>
  <si>
    <t>SEPTEMBER 2018 BOOK DEPRECIATION</t>
  </si>
  <si>
    <t>OCTOBER 2018 BOOK DEPRECIATION</t>
  </si>
  <si>
    <t>NOVEMBER 2018 BOOK DEPRECIATION</t>
  </si>
  <si>
    <t>DECEMBER 2018 BOOK DEPRECIATION</t>
  </si>
  <si>
    <t>Gas Line Tracker</t>
  </si>
  <si>
    <t>Capital by Month</t>
  </si>
  <si>
    <t>2018 from Working Forecast (0+12) with TMP IP Estimate</t>
  </si>
  <si>
    <t>compute_0002</t>
  </si>
  <si>
    <t>bud_description</t>
  </si>
  <si>
    <t>01_Jan</t>
  </si>
  <si>
    <t>02_Feb</t>
  </si>
  <si>
    <t>03_Mar</t>
  </si>
  <si>
    <t>04_Apr</t>
  </si>
  <si>
    <t>05_May</t>
  </si>
  <si>
    <t>06_Jun</t>
  </si>
  <si>
    <t>07_Jul</t>
  </si>
  <si>
    <t>08_Aug</t>
  </si>
  <si>
    <t>09_Sep</t>
  </si>
  <si>
    <t>10_Oct</t>
  </si>
  <si>
    <t>11_Nov</t>
  </si>
  <si>
    <t>12_Dec</t>
  </si>
  <si>
    <t>Sum of total</t>
  </si>
  <si>
    <t>PPLBCW: TOTAL CONSTRUCTION WORK IN PROGRESS</t>
  </si>
  <si>
    <t>BLMR414</t>
  </si>
  <si>
    <t>Beltline Main Replacement</t>
  </si>
  <si>
    <t>CNBCS4485</t>
  </si>
  <si>
    <t>INST CUST SRV - MAGNOLIA</t>
  </si>
  <si>
    <t>CRCST419</t>
  </si>
  <si>
    <t>RELOCATING CO OWNED SERV</t>
  </si>
  <si>
    <t>CRCST421</t>
  </si>
  <si>
    <t>Relo Co Owned Services-4210</t>
  </si>
  <si>
    <t>CRCST4485</t>
  </si>
  <si>
    <t>RELOC CO OWNED SRV-4485</t>
  </si>
  <si>
    <t>CTPDC419</t>
  </si>
  <si>
    <t>REPL CUST OWNED SRV LINES</t>
  </si>
  <si>
    <t>CTPDC421</t>
  </si>
  <si>
    <t>REPL CUST OWNED SRV-MULD</t>
  </si>
  <si>
    <t>CTPDC4485</t>
  </si>
  <si>
    <t>REPL CUST OWNED SRV-MAGNOL</t>
  </si>
  <si>
    <t>GASRSR419</t>
  </si>
  <si>
    <t>Gas Service Riser Repl &amp; CSO</t>
  </si>
  <si>
    <t>NBGRSR419</t>
  </si>
  <si>
    <t>NEW BUS GAS RISER 419</t>
  </si>
  <si>
    <t>RRCS4485</t>
  </si>
  <si>
    <t>Serv Line Repl-Magnolia</t>
  </si>
  <si>
    <t>RSRSR419</t>
  </si>
  <si>
    <t>REP GAS SERV RISERS 419</t>
  </si>
  <si>
    <t>TMPPENBLN</t>
  </si>
  <si>
    <t>TMP PENILE-BLANTON LN</t>
  </si>
  <si>
    <t>TMPPENPRS</t>
  </si>
  <si>
    <t>TMP PENILE-PRESTON</t>
  </si>
  <si>
    <t>TMPPRSPIC</t>
  </si>
  <si>
    <t>TMP PRESTON-PICCADILLY</t>
  </si>
  <si>
    <t>TMPPROP1</t>
  </si>
  <si>
    <t>TMP PROPERTY PENILE-BLANTON</t>
  </si>
  <si>
    <t>PPLBCW: TOTAL CONSTRUCTION WORK IN PROGRESS Total</t>
  </si>
  <si>
    <t>PPLBRS: TOTAL REMOVAL SPEND</t>
  </si>
  <si>
    <t>PPLBRS: TOTAL REMOVAL SPEND Total</t>
  </si>
  <si>
    <t>Grand Total</t>
  </si>
  <si>
    <t>Main-Transmission Cost of Removal</t>
  </si>
  <si>
    <t>Main-Transmission Retirements</t>
  </si>
  <si>
    <t>month_01_jan</t>
  </si>
  <si>
    <t>month_02_feb</t>
  </si>
  <si>
    <t>month_03_mar</t>
  </si>
  <si>
    <t>month_04_apr</t>
  </si>
  <si>
    <t>month_05_may</t>
  </si>
  <si>
    <t>month_06_jun</t>
  </si>
  <si>
    <t>month_07_jul</t>
  </si>
  <si>
    <t>month_08_aug</t>
  </si>
  <si>
    <t>month_09_sep</t>
  </si>
  <si>
    <t>month_10_oct</t>
  </si>
  <si>
    <t>month_11_nov</t>
  </si>
  <si>
    <t>month_12_dec</t>
  </si>
  <si>
    <t>0670</t>
  </si>
  <si>
    <t>MTRCLEAR</t>
  </si>
  <si>
    <t>0456</t>
  </si>
  <si>
    <t>0786</t>
  </si>
  <si>
    <t>@ 21%</t>
  </si>
  <si>
    <t>Year*</t>
  </si>
  <si>
    <t>RRCS421G</t>
  </si>
  <si>
    <t>Replacement</t>
  </si>
  <si>
    <t>NB</t>
  </si>
  <si>
    <t>UPDATED FOR 2017 ACTUALS</t>
  </si>
  <si>
    <t>2018 20-year additions at MACRS Year 1 tax rate (0.037500) plus repairs</t>
  </si>
  <si>
    <t>2017 20-year additions at MACRS Year 2 tax rate (0.072190) plus repairs</t>
  </si>
  <si>
    <t>2018 20-year additions at MACRS Year 1 tax rate (0.037500) plus Repairs</t>
  </si>
  <si>
    <t>2017 20-year additions at MACRS Year 2 tax rate (0.072190) plus Repairs</t>
  </si>
  <si>
    <t>1/365</t>
  </si>
  <si>
    <t>32/365</t>
  </si>
  <si>
    <t>154/365</t>
  </si>
  <si>
    <t>123/365</t>
  </si>
  <si>
    <t>93/365</t>
  </si>
  <si>
    <t>62/365</t>
  </si>
  <si>
    <t>185/365</t>
  </si>
  <si>
    <t>335/365</t>
  </si>
  <si>
    <t>307/365</t>
  </si>
  <si>
    <t>276/365</t>
  </si>
  <si>
    <t>246/365</t>
  </si>
  <si>
    <t>215/365</t>
  </si>
  <si>
    <t>LOUISVILLE GAS &amp; ELECTRIC COMPANY</t>
  </si>
  <si>
    <t>Supporting Calculations for the</t>
  </si>
  <si>
    <t>GLT Adjustment Clause</t>
  </si>
  <si>
    <t>True-up of the Actual Costs</t>
  </si>
  <si>
    <t>GLT (Over)/Under Recovery Calculation</t>
  </si>
  <si>
    <t>Distribution</t>
  </si>
  <si>
    <t>(A)</t>
  </si>
  <si>
    <t>(B)</t>
  </si>
  <si>
    <t>(C)</t>
  </si>
  <si>
    <t>(D)</t>
  </si>
  <si>
    <t>(E)</t>
  </si>
  <si>
    <t>(F)</t>
  </si>
  <si>
    <t>Expense Month</t>
  </si>
  <si>
    <t>Collections / (Refunds) for Prior Year</t>
  </si>
  <si>
    <t>Adjusted Revenue Requirement</t>
  </si>
  <si>
    <t>Billed GLT Revenues</t>
  </si>
  <si>
    <t>Unbilled GLT Revenues</t>
  </si>
  <si>
    <t>Total (Over)/Under Collection</t>
  </si>
  <si>
    <t>A + B</t>
  </si>
  <si>
    <t>C - D - E</t>
  </si>
  <si>
    <t>Transmission</t>
  </si>
  <si>
    <t>(G)</t>
  </si>
  <si>
    <t>(H)</t>
  </si>
  <si>
    <t>(I)</t>
  </si>
  <si>
    <t>(J)</t>
  </si>
  <si>
    <t>(K)</t>
  </si>
  <si>
    <t>(L)</t>
  </si>
  <si>
    <t>G + H</t>
  </si>
  <si>
    <t>I - J - K</t>
  </si>
  <si>
    <t>GLT Calculation of Revenue Requirement</t>
  </si>
  <si>
    <t>End of Month Net Assets on which to Recover</t>
  </si>
  <si>
    <t>YTD Average Net  GLT Assets</t>
  </si>
  <si>
    <t>YTD Average Net Assets Applied to Year</t>
  </si>
  <si>
    <t>YTD Average Net Assets Applied to Year / 12</t>
  </si>
  <si>
    <t>Return on Net Assets</t>
  </si>
  <si>
    <t>Operating Expenses (OE)</t>
  </si>
  <si>
    <t>Collections / (Refunds) for Prior Years</t>
  </si>
  <si>
    <t>C / 12</t>
  </si>
  <si>
    <t>D x E</t>
  </si>
  <si>
    <t>F + G</t>
  </si>
  <si>
    <t>H + I</t>
  </si>
  <si>
    <t>N/A</t>
  </si>
  <si>
    <t>(M)</t>
  </si>
  <si>
    <t>(N)</t>
  </si>
  <si>
    <t>(O)</t>
  </si>
  <si>
    <t>(P)</t>
  </si>
  <si>
    <t>(Q)</t>
  </si>
  <si>
    <t>(R)</t>
  </si>
  <si>
    <t>(S)</t>
  </si>
  <si>
    <t>(T)</t>
  </si>
  <si>
    <t>M / 12</t>
  </si>
  <si>
    <t>N x O</t>
  </si>
  <si>
    <t>P + Q</t>
  </si>
  <si>
    <t>R + S</t>
  </si>
  <si>
    <t>GLT Calculation of Net Assets</t>
  </si>
  <si>
    <t>End of Month</t>
  </si>
  <si>
    <t>Expense</t>
  </si>
  <si>
    <t>Rate Base - Gross</t>
  </si>
  <si>
    <t>Acc. Depreciation</t>
  </si>
  <si>
    <t>Deferred Tax on</t>
  </si>
  <si>
    <t>Retirements from</t>
  </si>
  <si>
    <t>Net Assets on which</t>
  </si>
  <si>
    <t>(RB)</t>
  </si>
  <si>
    <t>(AD)</t>
  </si>
  <si>
    <t>(CoR)</t>
  </si>
  <si>
    <t>GLT RB &amp; CoR</t>
  </si>
  <si>
    <t>Base Rates</t>
  </si>
  <si>
    <t>on Retirements</t>
  </si>
  <si>
    <t>to Recover</t>
  </si>
  <si>
    <t>A + B + C + D - E - F - G</t>
  </si>
  <si>
    <t>I + J + K + L - M - N - O</t>
  </si>
  <si>
    <t>GLT Calculation of Operating Expenses</t>
  </si>
  <si>
    <t>Incremental</t>
  </si>
  <si>
    <t>Operating</t>
  </si>
  <si>
    <t>O&amp;M</t>
  </si>
  <si>
    <t>Savings from</t>
  </si>
  <si>
    <t>Property Tax</t>
  </si>
  <si>
    <t>Expenses</t>
  </si>
  <si>
    <t>(OE)</t>
  </si>
  <si>
    <t>A + B + C + D</t>
  </si>
  <si>
    <t>F + G + H + I</t>
  </si>
  <si>
    <t>Forecast Filing</t>
  </si>
  <si>
    <t>Residential Gas Service - Rates RGS, VFD</t>
  </si>
  <si>
    <t>Industrial Gas Service - Rates IGS, AAGS, DGGS</t>
  </si>
  <si>
    <t>Firm Transportation Service - Rates FT, LGDS</t>
  </si>
  <si>
    <t>Gas Plant Investment - Distribution</t>
  </si>
  <si>
    <t>Mains - Distribution</t>
  </si>
  <si>
    <t>bonus</t>
  </si>
  <si>
    <t>repairs</t>
  </si>
  <si>
    <t>transmission property tax</t>
  </si>
  <si>
    <t>Property Taxes - Distribution</t>
  </si>
  <si>
    <t>Property Taxes - Transmission</t>
  </si>
  <si>
    <t>Gas Plant Investment - Transmission CWIP</t>
  </si>
  <si>
    <t>Class Allocation and Bill Impact Summary</t>
  </si>
  <si>
    <t>Net Monthly Rate per Mcf Reflecting     True-up</t>
  </si>
  <si>
    <t>Exhibit 2</t>
  </si>
  <si>
    <t>Exhibit 1</t>
  </si>
  <si>
    <t>Tariff Sheet</t>
  </si>
  <si>
    <t>Exhibit 3</t>
  </si>
  <si>
    <t>Exhibit 4</t>
  </si>
  <si>
    <t>Note * - 2019 Year amounts based upon thirteen-month average (December 2018 - December 2019).</t>
  </si>
  <si>
    <t>JANUARY 2019 BOOK DEPRECIATION</t>
  </si>
  <si>
    <t>FEBRUARY 2019 BOOK DEPRECIATION</t>
  </si>
  <si>
    <t>MARCH 2019 BOOK DEPRECIATION</t>
  </si>
  <si>
    <t>APRIL 2019 BOOK DEPRECIATION</t>
  </si>
  <si>
    <t>MAY 2019 BOOK DEPRECIATION</t>
  </si>
  <si>
    <t>JUNE 2019 BOOK DEPRECIATION</t>
  </si>
  <si>
    <t>JULY 2019 BOOK DEPRECIATION</t>
  </si>
  <si>
    <t>AUGUST 2019 BOOK DEPRECIATION</t>
  </si>
  <si>
    <t>SEPTEMBER 2019 BOOK DEPRECIATION</t>
  </si>
  <si>
    <t>OCTOBER 2019 BOOK DEPRECIATION</t>
  </si>
  <si>
    <t>NOVEMBER 2019 BOOK DEPRECIATION</t>
  </si>
  <si>
    <t>DECEMBER 2019 BOOK DEPRECIATION</t>
  </si>
  <si>
    <t>forecast version</t>
  </si>
  <si>
    <t>414000001</t>
  </si>
  <si>
    <t>REPLACE STEEL SERVICES 2019</t>
  </si>
  <si>
    <t>TMPPROP2</t>
  </si>
  <si>
    <t>TMP PROPERTY PENILE-PRESTON</t>
  </si>
  <si>
    <t>108901</t>
  </si>
  <si>
    <t>2019 20-year additions at MACRS Year 1 tax rate (0.037500) plus repairs</t>
  </si>
  <si>
    <t>2018 20-year additions at MACRS Year 2 tax rate (0.072190) plus repairs</t>
  </si>
  <si>
    <t>2017 20-year additions at MACRS Year 3 tax rate (0.066770) plus repairs</t>
  </si>
  <si>
    <t>ORCSO421</t>
  </si>
  <si>
    <t>RML</t>
  </si>
  <si>
    <t>ORCSO4485</t>
  </si>
  <si>
    <t>UPDATED FOR ACTUALS</t>
  </si>
  <si>
    <t>Commercial Gas Service - Rates CGS, SGSS</t>
  </si>
  <si>
    <t>@ 5%</t>
  </si>
  <si>
    <t>Revenue Requirement (Over)/Under Collection</t>
  </si>
  <si>
    <t>2019 from the Approved 2019 BP</t>
  </si>
  <si>
    <t>2019 BP- NO AMS</t>
  </si>
  <si>
    <t>@ 24.95%</t>
  </si>
  <si>
    <t>Note * - 2018 Rate Base Year amounts based upon thirteen-month average (December 2017 - December 2018).</t>
  </si>
  <si>
    <t xml:space="preserve">2020 - Forecasted </t>
  </si>
  <si>
    <t>2019 - (Over)/Under recovery</t>
  </si>
  <si>
    <t>2019 True-up Monthly Rate Per Bill</t>
  </si>
  <si>
    <t>2019 Recovery True-up Rate Per Mcf</t>
  </si>
  <si>
    <t>Total Forecasted Revenue in Case No. 2018-00295</t>
  </si>
  <si>
    <t>Start of Period Rate Base, 12/18</t>
  </si>
  <si>
    <t>Twelve-Month Period Beginning January 1, 2020</t>
  </si>
  <si>
    <t>and Ending December 31, 2020</t>
  </si>
  <si>
    <t>asset_id</t>
  </si>
  <si>
    <t>company</t>
  </si>
  <si>
    <t>depr_group</t>
  </si>
  <si>
    <t>utility_account</t>
  </si>
  <si>
    <t>gl_account</t>
  </si>
  <si>
    <t>month_number</t>
  </si>
  <si>
    <t>act_work_order_number</t>
  </si>
  <si>
    <t>activity_quantity</t>
  </si>
  <si>
    <t>activity_cost</t>
  </si>
  <si>
    <t>average_cost</t>
  </si>
  <si>
    <t>second_financial_cost</t>
  </si>
  <si>
    <t>2LOUISVILLE GAS &amp; ELECTRIC COMPANY</t>
  </si>
  <si>
    <t>LGE-237620-Gas Line Tracker - Mains</t>
  </si>
  <si>
    <t>G376.20-GLT Mains</t>
  </si>
  <si>
    <t>106 - CCNC - PowerPlant</t>
  </si>
  <si>
    <t>101 - Plant In Service - PowerPlant</t>
  </si>
  <si>
    <t>DLSMR414-GLT</t>
  </si>
  <si>
    <t>LSMR414-GLT</t>
  </si>
  <si>
    <t>PMR414-GLT</t>
  </si>
  <si>
    <t>LGE-238020-Gas Line Tracker Service</t>
  </si>
  <si>
    <t>G380.20-GLT Services</t>
  </si>
  <si>
    <t>CCSO419-GLT</t>
  </si>
  <si>
    <t>CCSO421-GLT</t>
  </si>
  <si>
    <t>CCSO4485-GLT</t>
  </si>
  <si>
    <t>CNBCS419-GLT</t>
  </si>
  <si>
    <t>CNBCS421-GLT</t>
  </si>
  <si>
    <t>CNBCS4485-GLT</t>
  </si>
  <si>
    <t>CONVERSION</t>
  </si>
  <si>
    <t>CRSS414-GLT</t>
  </si>
  <si>
    <t>RRCS419G-GLT</t>
  </si>
  <si>
    <t>RRCS421-GLT</t>
  </si>
  <si>
    <t>Twelve-Month Period Beginning January 1, 2019</t>
  </si>
  <si>
    <t>and Ending December 31, 2019</t>
  </si>
  <si>
    <t>Note:  Capital structure and cost rates pursuant to Case No. 2018-00295.</t>
  </si>
  <si>
    <t>Proposed GLT Transmission Rate Effective May 1, 2020</t>
  </si>
  <si>
    <t>Note * - 2020 Year amounts based upon thirteen-month average (December 2019 - December 2020).</t>
  </si>
  <si>
    <t>Proposed GLT Distribution Rate Effective May 1, 2020</t>
  </si>
  <si>
    <t>JANUARY 2020 BOOK DEPRECIATION</t>
  </si>
  <si>
    <t>FEBRUARY 2020 BOOK DEPRECIATION</t>
  </si>
  <si>
    <t>MARCH 2020 BOOK DEPRECIATION</t>
  </si>
  <si>
    <t>APRIL 2020 BOOK DEPRECIATION</t>
  </si>
  <si>
    <t>MAY 2020 BOOK DEPRECIATION</t>
  </si>
  <si>
    <t>JUNE 2020 BOOK DEPRECIATION</t>
  </si>
  <si>
    <t>JULY 2020 BOOK DEPRECIATION</t>
  </si>
  <si>
    <t>AUGUST 2020 BOOK DEPRECIATION</t>
  </si>
  <si>
    <t>SEPTEMBER 2020 BOOK DEPRECIATION</t>
  </si>
  <si>
    <t>OCTOBER 2020 BOOK DEPRECIATION</t>
  </si>
  <si>
    <t>NOVEMBER 2020 BOOK DEPRECIATION</t>
  </si>
  <si>
    <t>DECEMBER 2020 BOOK DEPRECIATION</t>
  </si>
  <si>
    <t>2020 20-year additions at MACRS Year 1 tax rate (0.037500) plus repairs</t>
  </si>
  <si>
    <t>As of December 2019</t>
  </si>
  <si>
    <t>1/366</t>
  </si>
  <si>
    <t>307/366</t>
  </si>
  <si>
    <t>276/366</t>
  </si>
  <si>
    <t>246/366</t>
  </si>
  <si>
    <t>215/366</t>
  </si>
  <si>
    <t>185/366</t>
  </si>
  <si>
    <t>154/366</t>
  </si>
  <si>
    <t>123/366</t>
  </si>
  <si>
    <t>93/366</t>
  </si>
  <si>
    <t>62/366</t>
  </si>
  <si>
    <t>32/366</t>
  </si>
  <si>
    <t>336/366</t>
  </si>
  <si>
    <t>REPLACE STEEL SERVICES 2020</t>
  </si>
  <si>
    <t>TMPMAG-2</t>
  </si>
  <si>
    <t>TMPMCR-2</t>
  </si>
  <si>
    <t>TMP: Mill Creek Repl GLT</t>
  </si>
  <si>
    <t>TMPWKA-2</t>
  </si>
  <si>
    <t>TMPWKB-2</t>
  </si>
  <si>
    <t>0512</t>
  </si>
  <si>
    <t>2020</t>
  </si>
  <si>
    <t>004385</t>
  </si>
  <si>
    <t>863110</t>
  </si>
  <si>
    <t>GLTILI</t>
  </si>
  <si>
    <t>NEWTOOL</t>
  </si>
  <si>
    <t>End of Month Net Assets from 2019.12 OU File</t>
  </si>
  <si>
    <t>End of Month Net Assets from 2018.12 OU File</t>
  </si>
  <si>
    <t>2019 Monthly Rate</t>
  </si>
  <si>
    <t>2019 Net Monthly Rate</t>
  </si>
  <si>
    <t>Net Monthly Rate per Mcf Without New Projects</t>
  </si>
  <si>
    <t>increase</t>
  </si>
  <si>
    <t>distribution property tax</t>
  </si>
  <si>
    <t>In-service</t>
  </si>
  <si>
    <t>Mains - Transmission</t>
  </si>
  <si>
    <t>2020 In-service</t>
  </si>
  <si>
    <t>12/19 Dist In-service</t>
  </si>
  <si>
    <t>12/19 Trans CWIP</t>
  </si>
  <si>
    <t>12/20 Total In-service</t>
  </si>
  <si>
    <t>check</t>
  </si>
  <si>
    <t>202012 Bk Depr</t>
  </si>
  <si>
    <t>distribution O&amp;M</t>
  </si>
  <si>
    <t>transmission O&amp;M</t>
  </si>
  <si>
    <t>Incremental O&amp;M - Distribution</t>
  </si>
  <si>
    <t>Incremental O&amp;M - Transmission</t>
  </si>
  <si>
    <t>XM</t>
  </si>
  <si>
    <t>Gas Plant Investment - Transmission</t>
  </si>
  <si>
    <t>REVENUE REQUIREMENT - TRANSMISSION</t>
  </si>
  <si>
    <t>REVENUE REQUIREMENT - DISTRIBUTION</t>
  </si>
  <si>
    <t>TAX DEPRECIATION - TRANSMISSION</t>
  </si>
  <si>
    <t>TAX DEPRECIATION - DISTRIBUTION</t>
  </si>
  <si>
    <t>new XM (remove if CN 2019-00301 not approved prior to filing)</t>
  </si>
  <si>
    <t>Customer Service Cost of Removal</t>
  </si>
  <si>
    <t>Customer Service Retirements</t>
  </si>
  <si>
    <t>Applied to</t>
  </si>
  <si>
    <t>In Service</t>
  </si>
  <si>
    <t>Year #</t>
  </si>
  <si>
    <t>2017 20-year additions at MACRS Year 4 tax rate (0.061770)</t>
  </si>
  <si>
    <t>2018 20-year additions at MACRS Year 3 tax rate (0.066770)</t>
  </si>
  <si>
    <t>2019 20-year additions at MACRS Year 2 tax rate (0.072190)</t>
  </si>
  <si>
    <t>MACRS Tax</t>
  </si>
  <si>
    <t>Depr Rates</t>
  </si>
  <si>
    <t>GLT</t>
  </si>
  <si>
    <t>$'s</t>
  </si>
  <si>
    <t>Transmission Mains</t>
  </si>
  <si>
    <t>Steel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</si>
</sst>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  <numFmt numFmtId="172" formatCode="&quot;$&quot;#,##0.0000_);\(&quot;$&quot;#,##0.0000\)"/>
    <numFmt numFmtId="173" formatCode="_(* #,##0_);_(* \(#,##0\);_(* &quot;0&quot;_);_(@_)"/>
    <numFmt numFmtId="174" formatCode="[$-409]mmmm\ d\,\ yyyy;@"/>
    <numFmt numFmtId="175" formatCode="mmmm\ yyyy"/>
    <numFmt numFmtId="176" formatCode="mmm\-yyyy"/>
    <numFmt numFmtId="177" formatCode="_(&quot;$&quot;* #,##0_);_(&quot;$&quot;* \(#,##0\);_(&quot;$&quot;* 0_);_(@_)"/>
    <numFmt numFmtId="178" formatCode="_(&quot;$&quot;* #,##0.00_);_(&quot;$&quot;* \(#,##0.00\);_(&quot;$&quot;* 0.00_);_(@_)"/>
    <numFmt numFmtId="179" formatCode="0.000%"/>
    <numFmt numFmtId="180" formatCode="_(* &quot;$&quot;#,##0_);_(* \(&quot;$&quot;#,##0\);_(* &quot;$0&quot;_);_(@_)"/>
    <numFmt numFmtId="181" formatCode="00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1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trike/>
      <sz val="16"/>
      <name val="Cambria"/>
      <family val="1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  <font>
      <sz val="12"/>
      <color rgb="FF0070C0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0" fontId="3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0" fontId="3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0" fontId="3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0" fontId="3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0" fontId="3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0" fontId="3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0" fontId="3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0" fontId="3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0" fontId="3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0" fontId="3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0" fontId="3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0" fontId="3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29" fillId="4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29" fillId="4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29" fillId="4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29" fillId="3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29" fillId="4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29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29" fillId="5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29" fillId="4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29" fillId="4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29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29" fillId="4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29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1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5" fillId="56" borderId="18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6" fillId="57" borderId="19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0" fontId="38" fillId="58" borderId="0">
      <alignment horizontal="left"/>
    </xf>
    <xf numFmtId="0" fontId="39" fillId="58" borderId="0">
      <alignment horizontal="right"/>
    </xf>
    <xf numFmtId="0" fontId="40" fillId="56" borderId="0">
      <alignment horizontal="center"/>
    </xf>
    <xf numFmtId="0" fontId="39" fillId="58" borderId="0">
      <alignment horizontal="right"/>
    </xf>
    <xf numFmtId="0" fontId="41" fillId="56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0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0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0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0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0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2" fontId="7" fillId="0" borderId="0" applyFont="0" applyFill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49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4" fillId="0" borderId="21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8" fillId="0" borderId="23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1" fillId="0" borderId="25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2" fillId="43" borderId="18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0" fontId="38" fillId="58" borderId="0">
      <alignment horizontal="left"/>
    </xf>
    <xf numFmtId="0" fontId="64" fillId="56" borderId="0">
      <alignment horizontal="left"/>
    </xf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7" fillId="0" borderId="27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70" fillId="4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7" fillId="0" borderId="0"/>
    <xf numFmtId="0" fontId="3" fillId="0" borderId="0"/>
    <xf numFmtId="0" fontId="3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28" fillId="0" borderId="0"/>
    <xf numFmtId="169" fontId="7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28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28" fillId="0" borderId="0"/>
    <xf numFmtId="169" fontId="28" fillId="0" borderId="0"/>
    <xf numFmtId="169" fontId="7" fillId="0" borderId="0"/>
    <xf numFmtId="0" fontId="42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28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0" fontId="6" fillId="38" borderId="28" applyNumberFormat="0" applyFont="0" applyAlignment="0" applyProtection="0"/>
    <xf numFmtId="169" fontId="72" fillId="8" borderId="14" applyNumberFormat="0" applyFont="0" applyAlignment="0" applyProtection="0"/>
    <xf numFmtId="0" fontId="27" fillId="8" borderId="14" applyNumberFormat="0" applyFont="0" applyAlignment="0" applyProtection="0"/>
    <xf numFmtId="0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0" fontId="6" fillId="38" borderId="28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3" fillId="56" borderId="29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4" fontId="75" fillId="59" borderId="0">
      <alignment horizontal="right"/>
    </xf>
    <xf numFmtId="0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0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0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0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43" borderId="0">
      <alignment horizontal="center"/>
    </xf>
    <xf numFmtId="49" fontId="78" fillId="56" borderId="0">
      <alignment horizontal="center"/>
    </xf>
    <xf numFmtId="0" fontId="39" fillId="58" borderId="0">
      <alignment horizontal="center"/>
    </xf>
    <xf numFmtId="0" fontId="39" fillId="58" borderId="0">
      <alignment horizontal="centerContinuous"/>
    </xf>
    <xf numFmtId="0" fontId="79" fillId="56" borderId="0">
      <alignment horizontal="left"/>
    </xf>
    <xf numFmtId="49" fontId="79" fillId="56" borderId="0">
      <alignment horizontal="center"/>
    </xf>
    <xf numFmtId="0" fontId="38" fillId="58" borderId="0">
      <alignment horizontal="left"/>
    </xf>
    <xf numFmtId="49" fontId="79" fillId="56" borderId="0">
      <alignment horizontal="left"/>
    </xf>
    <xf numFmtId="0" fontId="38" fillId="58" borderId="0">
      <alignment horizontal="centerContinuous"/>
    </xf>
    <xf numFmtId="0" fontId="38" fillId="58" borderId="0">
      <alignment horizontal="right"/>
    </xf>
    <xf numFmtId="49" fontId="64" fillId="56" borderId="0">
      <alignment horizontal="left"/>
    </xf>
    <xf numFmtId="0" fontId="39" fillId="58" borderId="0">
      <alignment horizontal="right"/>
    </xf>
    <xf numFmtId="0" fontId="79" fillId="40" borderId="0">
      <alignment horizontal="center"/>
    </xf>
    <xf numFmtId="0" fontId="80" fillId="4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7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3" fillId="0" borderId="33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7" fillId="0" borderId="32" applyNumberFormat="0" applyFont="0" applyFill="0" applyAlignment="0" applyProtection="0"/>
    <xf numFmtId="169" fontId="7" fillId="0" borderId="32" applyNumberFormat="0" applyFon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7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0" fontId="85" fillId="56" borderId="0">
      <alignment horizontal="center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2" fillId="0" borderId="0"/>
    <xf numFmtId="174" fontId="108" fillId="0" borderId="0"/>
    <xf numFmtId="0" fontId="4" fillId="0" borderId="0"/>
    <xf numFmtId="0" fontId="4" fillId="0" borderId="0"/>
    <xf numFmtId="0" fontId="1" fillId="0" borderId="0"/>
    <xf numFmtId="43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" fillId="0" borderId="0"/>
    <xf numFmtId="174" fontId="4" fillId="0" borderId="0"/>
  </cellStyleXfs>
  <cellXfs count="555">
    <xf numFmtId="0" fontId="0" fillId="0" borderId="0" xfId="0"/>
    <xf numFmtId="10" fontId="6" fillId="0" borderId="0" xfId="3" applyNumberFormat="1" applyFont="1" applyFill="1" applyAlignment="1">
      <alignment horizontal="center"/>
    </xf>
    <xf numFmtId="0" fontId="8" fillId="0" borderId="0" xfId="0" applyFont="1"/>
    <xf numFmtId="37" fontId="0" fillId="0" borderId="0" xfId="0" applyNumberFormat="1" applyFill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90" fillId="0" borderId="0" xfId="0" quotePrefix="1" applyFont="1" applyAlignment="1">
      <alignment horizontal="left"/>
    </xf>
    <xf numFmtId="0" fontId="90" fillId="0" borderId="0" xfId="0" applyFont="1"/>
    <xf numFmtId="0" fontId="5" fillId="0" borderId="0" xfId="0" applyFont="1" applyAlignment="1">
      <alignment horizontal="center"/>
    </xf>
    <xf numFmtId="0" fontId="94" fillId="0" borderId="0" xfId="0" applyFont="1" applyFill="1" applyBorder="1"/>
    <xf numFmtId="0" fontId="91" fillId="0" borderId="0" xfId="0" applyFont="1" applyFill="1" applyBorder="1"/>
    <xf numFmtId="6" fontId="91" fillId="0" borderId="0" xfId="0" applyNumberFormat="1" applyFont="1" applyFill="1" applyBorder="1" applyAlignment="1">
      <alignment horizontal="center"/>
    </xf>
    <xf numFmtId="0" fontId="91" fillId="0" borderId="0" xfId="0" quotePrefix="1" applyFont="1" applyFill="1" applyBorder="1" applyAlignment="1">
      <alignment horizontal="center"/>
    </xf>
    <xf numFmtId="165" fontId="94" fillId="0" borderId="0" xfId="2" applyNumberFormat="1" applyFont="1" applyFill="1" applyBorder="1"/>
    <xf numFmtId="165" fontId="94" fillId="0" borderId="0" xfId="2" applyNumberFormat="1" applyFont="1" applyFill="1" applyBorder="1" applyProtection="1"/>
    <xf numFmtId="6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/>
    <xf numFmtId="0" fontId="92" fillId="0" borderId="0" xfId="0" applyFont="1" applyFill="1" applyBorder="1" applyAlignment="1">
      <alignment horizontal="center"/>
    </xf>
    <xf numFmtId="0" fontId="92" fillId="0" borderId="0" xfId="0" quotePrefix="1" applyFont="1" applyFill="1" applyBorder="1" applyAlignment="1">
      <alignment horizontal="center"/>
    </xf>
    <xf numFmtId="0" fontId="93" fillId="0" borderId="0" xfId="0" applyFont="1" applyFill="1" applyBorder="1"/>
    <xf numFmtId="165" fontId="93" fillId="0" borderId="0" xfId="2" applyNumberFormat="1" applyFont="1" applyFill="1" applyBorder="1"/>
    <xf numFmtId="165" fontId="93" fillId="0" borderId="0" xfId="2" applyNumberFormat="1" applyFont="1" applyFill="1" applyBorder="1" applyProtection="1"/>
    <xf numFmtId="0" fontId="6" fillId="0" borderId="0" xfId="0" applyFont="1" applyFill="1"/>
    <xf numFmtId="164" fontId="45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0" fontId="94" fillId="0" borderId="0" xfId="0" applyFont="1" applyFill="1" applyAlignment="1">
      <alignment horizontal="left"/>
    </xf>
    <xf numFmtId="0" fontId="94" fillId="0" borderId="0" xfId="0" applyFont="1" applyFill="1"/>
    <xf numFmtId="0" fontId="94" fillId="0" borderId="0" xfId="0" applyFont="1" applyFill="1" applyAlignment="1">
      <alignment horizontal="center"/>
    </xf>
    <xf numFmtId="5" fontId="88" fillId="0" borderId="0" xfId="0" applyNumberFormat="1" applyFont="1" applyFill="1"/>
    <xf numFmtId="5" fontId="88" fillId="0" borderId="1" xfId="0" applyNumberFormat="1" applyFont="1" applyFill="1" applyBorder="1"/>
    <xf numFmtId="5" fontId="88" fillId="0" borderId="0" xfId="0" applyNumberFormat="1" applyFont="1" applyFill="1" applyBorder="1"/>
    <xf numFmtId="164" fontId="94" fillId="0" borderId="0" xfId="1" applyNumberFormat="1" applyFont="1" applyFill="1"/>
    <xf numFmtId="10" fontId="94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89" fillId="0" borderId="0" xfId="0" applyFont="1" applyFill="1" applyAlignment="1"/>
    <xf numFmtId="165" fontId="0" fillId="0" borderId="0" xfId="2" applyNumberFormat="1" applyFont="1" applyFill="1" applyBorder="1"/>
    <xf numFmtId="0" fontId="8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5" fontId="0" fillId="0" borderId="0" xfId="0" applyNumberFormat="1" applyFill="1"/>
    <xf numFmtId="164" fontId="94" fillId="0" borderId="0" xfId="1" applyNumberFormat="1" applyFont="1" applyFill="1" applyBorder="1"/>
    <xf numFmtId="0" fontId="97" fillId="0" borderId="0" xfId="0" applyFont="1" applyFill="1" applyBorder="1" applyAlignment="1">
      <alignment horizontal="center" wrapText="1"/>
    </xf>
    <xf numFmtId="0" fontId="97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4" fontId="45" fillId="0" borderId="0" xfId="0" applyNumberFormat="1" applyFont="1" applyFill="1" applyBorder="1"/>
    <xf numFmtId="0" fontId="45" fillId="0" borderId="0" xfId="0" applyFont="1" applyFill="1"/>
    <xf numFmtId="0" fontId="97" fillId="0" borderId="0" xfId="0" applyFont="1" applyFill="1"/>
    <xf numFmtId="0" fontId="97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 wrapText="1"/>
    </xf>
    <xf numFmtId="0" fontId="97" fillId="0" borderId="1" xfId="0" quotePrefix="1" applyFont="1" applyFill="1" applyBorder="1" applyAlignment="1">
      <alignment horizontal="center"/>
    </xf>
    <xf numFmtId="167" fontId="45" fillId="0" borderId="0" xfId="0" applyNumberFormat="1" applyFont="1" applyFill="1" applyAlignment="1">
      <alignment horizontal="center"/>
    </xf>
    <xf numFmtId="167" fontId="45" fillId="0" borderId="0" xfId="0" applyNumberFormat="1" applyFont="1" applyFill="1"/>
    <xf numFmtId="0" fontId="45" fillId="0" borderId="0" xfId="0" applyFont="1" applyFill="1" applyAlignment="1">
      <alignment horizontal="center"/>
    </xf>
    <xf numFmtId="0" fontId="45" fillId="0" borderId="0" xfId="0" quotePrefix="1" applyFont="1" applyFill="1"/>
    <xf numFmtId="168" fontId="45" fillId="0" borderId="0" xfId="0" applyNumberFormat="1" applyFont="1" applyFill="1"/>
    <xf numFmtId="43" fontId="45" fillId="0" borderId="0" xfId="0" applyNumberFormat="1" applyFont="1" applyFill="1"/>
    <xf numFmtId="0" fontId="6" fillId="0" borderId="0" xfId="0" applyFont="1" applyFill="1" applyAlignment="1">
      <alignment horizontal="right"/>
    </xf>
    <xf numFmtId="3" fontId="0" fillId="0" borderId="0" xfId="0" applyNumberFormat="1" applyFill="1" applyBorder="1"/>
    <xf numFmtId="0" fontId="5" fillId="0" borderId="0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10" fontId="6" fillId="0" borderId="0" xfId="0" applyNumberFormat="1" applyFont="1" applyFill="1"/>
    <xf numFmtId="10" fontId="6" fillId="0" borderId="0" xfId="3" applyNumberFormat="1" applyFont="1" applyFill="1"/>
    <xf numFmtId="0" fontId="6" fillId="0" borderId="0" xfId="0" quotePrefix="1" applyFont="1" applyFill="1" applyAlignment="1">
      <alignment horizontal="left"/>
    </xf>
    <xf numFmtId="0" fontId="93" fillId="0" borderId="0" xfId="0" applyFont="1" applyFill="1"/>
    <xf numFmtId="37" fontId="91" fillId="0" borderId="0" xfId="0" applyNumberFormat="1" applyFont="1" applyFill="1"/>
    <xf numFmtId="0" fontId="95" fillId="0" borderId="0" xfId="0" applyFont="1" applyFill="1" applyAlignment="1">
      <alignment horizontal="center"/>
    </xf>
    <xf numFmtId="0" fontId="95" fillId="0" borderId="0" xfId="0" quotePrefix="1" applyFont="1" applyFill="1" applyBorder="1" applyAlignment="1">
      <alignment horizontal="center"/>
    </xf>
    <xf numFmtId="167" fontId="91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left"/>
    </xf>
    <xf numFmtId="0" fontId="94" fillId="0" borderId="0" xfId="0" quotePrefix="1" applyFont="1" applyFill="1" applyAlignment="1">
      <alignment horizontal="left"/>
    </xf>
    <xf numFmtId="0" fontId="94" fillId="0" borderId="0" xfId="0" quotePrefix="1" applyFont="1" applyFill="1" applyAlignment="1">
      <alignment horizontal="center"/>
    </xf>
    <xf numFmtId="164" fontId="94" fillId="0" borderId="0" xfId="0" applyNumberFormat="1" applyFont="1" applyFill="1"/>
    <xf numFmtId="166" fontId="94" fillId="0" borderId="0" xfId="3" applyNumberFormat="1" applyFont="1" applyFill="1"/>
    <xf numFmtId="164" fontId="93" fillId="0" borderId="0" xfId="0" applyNumberFormat="1" applyFont="1" applyFill="1"/>
    <xf numFmtId="0" fontId="96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7" fillId="0" borderId="1" xfId="0" applyFont="1" applyFill="1" applyBorder="1" applyAlignment="1">
      <alignment horizontal="center"/>
    </xf>
    <xf numFmtId="5" fontId="0" fillId="0" borderId="0" xfId="0" applyNumberFormat="1" applyFill="1" applyBorder="1"/>
    <xf numFmtId="0" fontId="5" fillId="0" borderId="0" xfId="0" quotePrefix="1" applyFont="1" applyAlignment="1">
      <alignment horizontal="center"/>
    </xf>
    <xf numFmtId="0" fontId="91" fillId="0" borderId="0" xfId="0" applyFont="1" applyFill="1" applyAlignment="1">
      <alignment horizontal="center"/>
    </xf>
    <xf numFmtId="0" fontId="97" fillId="0" borderId="1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64" fontId="45" fillId="0" borderId="0" xfId="0" quotePrefix="1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2" fillId="0" borderId="0" xfId="0" quotePrefix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/>
    </xf>
    <xf numFmtId="0" fontId="91" fillId="60" borderId="0" xfId="0" applyFont="1" applyFill="1" applyBorder="1" applyAlignment="1">
      <alignment horizontal="center"/>
    </xf>
    <xf numFmtId="0" fontId="95" fillId="60" borderId="0" xfId="0" quotePrefix="1" applyFont="1" applyFill="1" applyBorder="1" applyAlignment="1">
      <alignment horizontal="center"/>
    </xf>
    <xf numFmtId="164" fontId="94" fillId="60" borderId="0" xfId="1" applyNumberFormat="1" applyFont="1" applyFill="1" applyBorder="1"/>
    <xf numFmtId="10" fontId="94" fillId="60" borderId="1" xfId="0" applyNumberFormat="1" applyFont="1" applyFill="1" applyBorder="1"/>
    <xf numFmtId="0" fontId="91" fillId="60" borderId="36" xfId="0" applyFont="1" applyFill="1" applyBorder="1" applyAlignment="1">
      <alignment horizontal="center"/>
    </xf>
    <xf numFmtId="0" fontId="91" fillId="60" borderId="30" xfId="0" applyFont="1" applyFill="1" applyBorder="1" applyAlignment="1">
      <alignment horizontal="center"/>
    </xf>
    <xf numFmtId="0" fontId="95" fillId="60" borderId="36" xfId="0" quotePrefix="1" applyFont="1" applyFill="1" applyBorder="1" applyAlignment="1">
      <alignment horizontal="center"/>
    </xf>
    <xf numFmtId="0" fontId="95" fillId="60" borderId="30" xfId="0" quotePrefix="1" applyFont="1" applyFill="1" applyBorder="1" applyAlignment="1">
      <alignment horizontal="center"/>
    </xf>
    <xf numFmtId="167" fontId="91" fillId="60" borderId="36" xfId="0" applyNumberFormat="1" applyFont="1" applyFill="1" applyBorder="1" applyAlignment="1">
      <alignment horizontal="center"/>
    </xf>
    <xf numFmtId="167" fontId="91" fillId="60" borderId="0" xfId="0" applyNumberFormat="1" applyFont="1" applyFill="1" applyBorder="1" applyAlignment="1">
      <alignment horizontal="center"/>
    </xf>
    <xf numFmtId="167" fontId="91" fillId="60" borderId="30" xfId="0" applyNumberFormat="1" applyFont="1" applyFill="1" applyBorder="1" applyAlignment="1">
      <alignment horizontal="center"/>
    </xf>
    <xf numFmtId="0" fontId="94" fillId="60" borderId="36" xfId="0" applyFont="1" applyFill="1" applyBorder="1"/>
    <xf numFmtId="0" fontId="94" fillId="60" borderId="0" xfId="0" applyFont="1" applyFill="1" applyBorder="1"/>
    <xf numFmtId="0" fontId="94" fillId="60" borderId="30" xfId="0" applyFont="1" applyFill="1" applyBorder="1"/>
    <xf numFmtId="164" fontId="94" fillId="60" borderId="36" xfId="1" applyNumberFormat="1" applyFont="1" applyFill="1" applyBorder="1"/>
    <xf numFmtId="164" fontId="94" fillId="60" borderId="30" xfId="1" applyNumberFormat="1" applyFont="1" applyFill="1" applyBorder="1"/>
    <xf numFmtId="10" fontId="94" fillId="60" borderId="37" xfId="0" applyNumberFormat="1" applyFont="1" applyFill="1" applyBorder="1"/>
    <xf numFmtId="10" fontId="94" fillId="60" borderId="38" xfId="0" applyNumberFormat="1" applyFont="1" applyFill="1" applyBorder="1"/>
    <xf numFmtId="43" fontId="94" fillId="60" borderId="36" xfId="0" applyNumberFormat="1" applyFont="1" applyFill="1" applyBorder="1"/>
    <xf numFmtId="0" fontId="91" fillId="0" borderId="36" xfId="0" applyFont="1" applyFill="1" applyBorder="1" applyAlignment="1">
      <alignment horizontal="center"/>
    </xf>
    <xf numFmtId="0" fontId="91" fillId="0" borderId="30" xfId="0" applyFont="1" applyFill="1" applyBorder="1" applyAlignment="1">
      <alignment horizontal="center"/>
    </xf>
    <xf numFmtId="0" fontId="95" fillId="0" borderId="36" xfId="0" quotePrefix="1" applyFont="1" applyFill="1" applyBorder="1" applyAlignment="1">
      <alignment horizontal="center"/>
    </xf>
    <xf numFmtId="0" fontId="95" fillId="0" borderId="30" xfId="0" quotePrefix="1" applyFont="1" applyFill="1" applyBorder="1" applyAlignment="1">
      <alignment horizontal="center"/>
    </xf>
    <xf numFmtId="167" fontId="91" fillId="0" borderId="36" xfId="0" applyNumberFormat="1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/>
    </xf>
    <xf numFmtId="167" fontId="91" fillId="0" borderId="30" xfId="0" applyNumberFormat="1" applyFont="1" applyFill="1" applyBorder="1" applyAlignment="1">
      <alignment horizontal="center"/>
    </xf>
    <xf numFmtId="0" fontId="94" fillId="0" borderId="36" xfId="0" applyFont="1" applyFill="1" applyBorder="1"/>
    <xf numFmtId="0" fontId="94" fillId="0" borderId="30" xfId="0" applyFont="1" applyFill="1" applyBorder="1"/>
    <xf numFmtId="164" fontId="94" fillId="0" borderId="36" xfId="1" applyNumberFormat="1" applyFont="1" applyFill="1" applyBorder="1"/>
    <xf numFmtId="164" fontId="94" fillId="0" borderId="30" xfId="1" applyNumberFormat="1" applyFont="1" applyFill="1" applyBorder="1"/>
    <xf numFmtId="10" fontId="94" fillId="0" borderId="37" xfId="0" applyNumberFormat="1" applyFont="1" applyFill="1" applyBorder="1"/>
    <xf numFmtId="10" fontId="94" fillId="0" borderId="38" xfId="0" applyNumberFormat="1" applyFont="1" applyFill="1" applyBorder="1"/>
    <xf numFmtId="0" fontId="102" fillId="0" borderId="0" xfId="0" applyFont="1" applyFill="1" applyAlignment="1">
      <alignment horizontal="left"/>
    </xf>
    <xf numFmtId="0" fontId="102" fillId="0" borderId="0" xfId="0" applyFont="1" applyFill="1"/>
    <xf numFmtId="164" fontId="102" fillId="0" borderId="0" xfId="0" applyNumberFormat="1" applyFont="1" applyFill="1"/>
    <xf numFmtId="0" fontId="91" fillId="0" borderId="34" xfId="0" applyFont="1" applyFill="1" applyBorder="1" applyAlignment="1">
      <alignment horizontal="center"/>
    </xf>
    <xf numFmtId="0" fontId="91" fillId="0" borderId="6" xfId="0" applyFont="1" applyFill="1" applyBorder="1" applyAlignment="1">
      <alignment horizontal="center"/>
    </xf>
    <xf numFmtId="0" fontId="91" fillId="0" borderId="35" xfId="0" applyFont="1" applyFill="1" applyBorder="1" applyAlignment="1">
      <alignment horizontal="center"/>
    </xf>
    <xf numFmtId="0" fontId="91" fillId="61" borderId="34" xfId="0" applyFont="1" applyFill="1" applyBorder="1" applyAlignment="1">
      <alignment horizontal="center"/>
    </xf>
    <xf numFmtId="0" fontId="91" fillId="61" borderId="6" xfId="0" applyFont="1" applyFill="1" applyBorder="1" applyAlignment="1">
      <alignment horizontal="center"/>
    </xf>
    <xf numFmtId="0" fontId="91" fillId="61" borderId="35" xfId="0" applyFont="1" applyFill="1" applyBorder="1" applyAlignment="1">
      <alignment horizontal="center"/>
    </xf>
    <xf numFmtId="0" fontId="95" fillId="61" borderId="36" xfId="0" quotePrefix="1" applyFont="1" applyFill="1" applyBorder="1" applyAlignment="1">
      <alignment horizontal="center"/>
    </xf>
    <xf numFmtId="0" fontId="95" fillId="61" borderId="0" xfId="0" quotePrefix="1" applyFont="1" applyFill="1" applyBorder="1" applyAlignment="1">
      <alignment horizontal="center"/>
    </xf>
    <xf numFmtId="0" fontId="95" fillId="61" borderId="30" xfId="0" quotePrefix="1" applyFont="1" applyFill="1" applyBorder="1" applyAlignment="1">
      <alignment horizontal="center"/>
    </xf>
    <xf numFmtId="167" fontId="91" fillId="61" borderId="36" xfId="0" applyNumberFormat="1" applyFont="1" applyFill="1" applyBorder="1" applyAlignment="1">
      <alignment horizontal="center"/>
    </xf>
    <xf numFmtId="167" fontId="91" fillId="61" borderId="0" xfId="0" applyNumberFormat="1" applyFont="1" applyFill="1" applyBorder="1" applyAlignment="1">
      <alignment horizontal="center"/>
    </xf>
    <xf numFmtId="167" fontId="91" fillId="61" borderId="30" xfId="0" applyNumberFormat="1" applyFont="1" applyFill="1" applyBorder="1" applyAlignment="1">
      <alignment horizontal="center"/>
    </xf>
    <xf numFmtId="0" fontId="94" fillId="61" borderId="36" xfId="0" applyFont="1" applyFill="1" applyBorder="1"/>
    <xf numFmtId="0" fontId="94" fillId="61" borderId="0" xfId="0" applyFont="1" applyFill="1" applyBorder="1"/>
    <xf numFmtId="0" fontId="94" fillId="61" borderId="30" xfId="0" applyFont="1" applyFill="1" applyBorder="1"/>
    <xf numFmtId="164" fontId="94" fillId="61" borderId="36" xfId="1" applyNumberFormat="1" applyFont="1" applyFill="1" applyBorder="1"/>
    <xf numFmtId="164" fontId="94" fillId="61" borderId="0" xfId="1" applyNumberFormat="1" applyFont="1" applyFill="1" applyBorder="1"/>
    <xf numFmtId="164" fontId="94" fillId="61" borderId="30" xfId="1" applyNumberFormat="1" applyFont="1" applyFill="1" applyBorder="1"/>
    <xf numFmtId="10" fontId="94" fillId="61" borderId="37" xfId="0" applyNumberFormat="1" applyFont="1" applyFill="1" applyBorder="1"/>
    <xf numFmtId="10" fontId="94" fillId="61" borderId="1" xfId="0" applyNumberFormat="1" applyFont="1" applyFill="1" applyBorder="1"/>
    <xf numFmtId="10" fontId="94" fillId="61" borderId="38" xfId="0" applyNumberFormat="1" applyFont="1" applyFill="1" applyBorder="1"/>
    <xf numFmtId="43" fontId="94" fillId="61" borderId="36" xfId="0" applyNumberFormat="1" applyFont="1" applyFill="1" applyBorder="1"/>
    <xf numFmtId="0" fontId="45" fillId="0" borderId="0" xfId="0" applyFont="1" applyFill="1" applyBorder="1" applyAlignment="1">
      <alignment horizontal="right"/>
    </xf>
    <xf numFmtId="0" fontId="101" fillId="0" borderId="0" xfId="0" applyFont="1" applyFill="1" applyBorder="1"/>
    <xf numFmtId="43" fontId="97" fillId="0" borderId="0" xfId="0" applyNumberFormat="1" applyFont="1" applyFill="1" applyAlignment="1">
      <alignment horizontal="center"/>
    </xf>
    <xf numFmtId="164" fontId="45" fillId="0" borderId="0" xfId="1" applyNumberFormat="1" applyFont="1" applyFill="1"/>
    <xf numFmtId="0" fontId="94" fillId="0" borderId="0" xfId="0" quotePrefix="1" applyFont="1" applyFill="1" applyBorder="1" applyAlignment="1">
      <alignment horizontal="center"/>
    </xf>
    <xf numFmtId="0" fontId="94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/>
    </xf>
    <xf numFmtId="0" fontId="96" fillId="0" borderId="0" xfId="0" quotePrefix="1" applyFont="1" applyFill="1" applyBorder="1" applyAlignment="1">
      <alignment horizontal="left"/>
    </xf>
    <xf numFmtId="0" fontId="93" fillId="0" borderId="0" xfId="0" quotePrefix="1" applyFont="1" applyFill="1" applyBorder="1" applyAlignment="1">
      <alignment horizontal="left"/>
    </xf>
    <xf numFmtId="44" fontId="93" fillId="0" borderId="0" xfId="2" applyFont="1" applyFill="1" applyBorder="1"/>
    <xf numFmtId="164" fontId="93" fillId="0" borderId="0" xfId="0" applyNumberFormat="1" applyFont="1" applyFill="1" applyBorder="1"/>
    <xf numFmtId="0" fontId="93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left"/>
    </xf>
    <xf numFmtId="5" fontId="93" fillId="0" borderId="0" xfId="0" applyNumberFormat="1" applyFont="1" applyFill="1" applyBorder="1"/>
    <xf numFmtId="0" fontId="92" fillId="0" borderId="0" xfId="0" quotePrefix="1" applyFont="1" applyFill="1" applyBorder="1" applyAlignment="1">
      <alignment horizontal="left"/>
    </xf>
    <xf numFmtId="167" fontId="92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164" fontId="93" fillId="0" borderId="0" xfId="1" applyNumberFormat="1" applyFont="1" applyFill="1" applyBorder="1"/>
    <xf numFmtId="10" fontId="93" fillId="0" borderId="0" xfId="0" applyNumberFormat="1" applyFont="1" applyFill="1" applyBorder="1"/>
    <xf numFmtId="166" fontId="93" fillId="0" borderId="0" xfId="3" applyNumberFormat="1" applyFont="1" applyFill="1" applyBorder="1"/>
    <xf numFmtId="164" fontId="93" fillId="0" borderId="0" xfId="5" applyNumberFormat="1" applyFont="1" applyFill="1" applyBorder="1" applyAlignment="1">
      <alignment horizontal="left"/>
    </xf>
    <xf numFmtId="0" fontId="91" fillId="0" borderId="0" xfId="0" quotePrefix="1" applyFont="1" applyFill="1" applyAlignment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9" fillId="0" borderId="0" xfId="0" applyFont="1" applyFill="1"/>
    <xf numFmtId="3" fontId="0" fillId="0" borderId="0" xfId="0" applyNumberFormat="1" applyFill="1"/>
    <xf numFmtId="0" fontId="100" fillId="0" borderId="0" xfId="0" applyFont="1" applyFill="1"/>
    <xf numFmtId="3" fontId="0" fillId="0" borderId="1" xfId="0" applyNumberFormat="1" applyFill="1" applyBorder="1"/>
    <xf numFmtId="3" fontId="8" fillId="0" borderId="0" xfId="0" applyNumberFormat="1" applyFont="1" applyFill="1"/>
    <xf numFmtId="0" fontId="0" fillId="0" borderId="0" xfId="0" applyFill="1" applyBorder="1"/>
    <xf numFmtId="0" fontId="5" fillId="0" borderId="0" xfId="0" quotePrefix="1" applyFont="1" applyAlignment="1">
      <alignment horizontal="center"/>
    </xf>
    <xf numFmtId="0" fontId="97" fillId="0" borderId="1" xfId="0" applyFont="1" applyFill="1" applyBorder="1" applyAlignment="1">
      <alignment horizontal="center"/>
    </xf>
    <xf numFmtId="0" fontId="6" fillId="0" borderId="1" xfId="0" applyFont="1" applyFill="1" applyBorder="1"/>
    <xf numFmtId="10" fontId="6" fillId="0" borderId="1" xfId="3" applyNumberFormat="1" applyFont="1" applyFill="1" applyBorder="1"/>
    <xf numFmtId="1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89" fillId="0" borderId="0" xfId="0" applyFont="1" applyFill="1" applyAlignment="1">
      <alignment horizontal="centerContinuous"/>
    </xf>
    <xf numFmtId="0" fontId="91" fillId="0" borderId="0" xfId="0" quotePrefix="1" applyFont="1" applyFill="1" applyAlignment="1">
      <alignment horizontal="centerContinuous"/>
    </xf>
    <xf numFmtId="0" fontId="91" fillId="0" borderId="0" xfId="0" applyFont="1" applyFill="1" applyAlignment="1">
      <alignment horizontal="centerContinuous"/>
    </xf>
    <xf numFmtId="0" fontId="89" fillId="0" borderId="0" xfId="0" quotePrefix="1" applyFont="1" applyAlignment="1">
      <alignment horizontal="centerContinuous"/>
    </xf>
    <xf numFmtId="0" fontId="97" fillId="0" borderId="1" xfId="0" applyFont="1" applyFill="1" applyBorder="1" applyAlignment="1">
      <alignment horizontal="centerContinuous"/>
    </xf>
    <xf numFmtId="0" fontId="89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4" applyFont="1"/>
    <xf numFmtId="0" fontId="4" fillId="0" borderId="0" xfId="4"/>
    <xf numFmtId="0" fontId="104" fillId="63" borderId="39" xfId="4" applyFont="1" applyFill="1" applyBorder="1"/>
    <xf numFmtId="0" fontId="104" fillId="0" borderId="39" xfId="4" applyFont="1" applyBorder="1"/>
    <xf numFmtId="37" fontId="104" fillId="0" borderId="39" xfId="4" applyNumberFormat="1" applyFont="1" applyBorder="1"/>
    <xf numFmtId="0" fontId="104" fillId="0" borderId="0" xfId="4" applyFont="1"/>
    <xf numFmtId="37" fontId="4" fillId="0" borderId="0" xfId="4" applyNumberFormat="1"/>
    <xf numFmtId="37" fontId="4" fillId="0" borderId="0" xfId="4" applyNumberFormat="1" applyFill="1"/>
    <xf numFmtId="0" fontId="104" fillId="0" borderId="40" xfId="4" applyFont="1" applyBorder="1"/>
    <xf numFmtId="37" fontId="104" fillId="0" borderId="40" xfId="4" applyNumberFormat="1" applyFont="1" applyBorder="1"/>
    <xf numFmtId="0" fontId="104" fillId="63" borderId="41" xfId="4" applyFont="1" applyFill="1" applyBorder="1"/>
    <xf numFmtId="37" fontId="104" fillId="63" borderId="41" xfId="4" applyNumberFormat="1" applyFont="1" applyFill="1" applyBorder="1"/>
    <xf numFmtId="0" fontId="4" fillId="0" borderId="0" xfId="4" applyAlignment="1">
      <alignment horizontal="right"/>
    </xf>
    <xf numFmtId="37" fontId="4" fillId="0" borderId="0" xfId="4" applyNumberFormat="1" applyFill="1" applyBorder="1"/>
    <xf numFmtId="0" fontId="4" fillId="64" borderId="0" xfId="4" applyFill="1"/>
    <xf numFmtId="0" fontId="104" fillId="64" borderId="0" xfId="4" applyFont="1" applyFill="1"/>
    <xf numFmtId="0" fontId="4" fillId="65" borderId="0" xfId="4" applyFill="1"/>
    <xf numFmtId="0" fontId="104" fillId="65" borderId="0" xfId="4" applyFont="1" applyFill="1"/>
    <xf numFmtId="0" fontId="4" fillId="66" borderId="0" xfId="4" applyFill="1"/>
    <xf numFmtId="0" fontId="104" fillId="66" borderId="0" xfId="4" applyFont="1" applyFill="1"/>
    <xf numFmtId="0" fontId="4" fillId="62" borderId="0" xfId="4" applyFill="1"/>
    <xf numFmtId="0" fontId="104" fillId="62" borderId="0" xfId="4" applyFont="1" applyFill="1"/>
    <xf numFmtId="37" fontId="4" fillId="62" borderId="0" xfId="4" applyNumberFormat="1" applyFill="1"/>
    <xf numFmtId="0" fontId="4" fillId="60" borderId="0" xfId="4" applyFill="1"/>
    <xf numFmtId="0" fontId="104" fillId="60" borderId="0" xfId="4" applyFont="1" applyFill="1"/>
    <xf numFmtId="0" fontId="4" fillId="0" borderId="1" xfId="4" applyBorder="1"/>
    <xf numFmtId="0" fontId="91" fillId="0" borderId="0" xfId="0" applyFont="1" applyFill="1" applyAlignment="1">
      <alignment horizontal="center"/>
    </xf>
    <xf numFmtId="0" fontId="97" fillId="0" borderId="1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Continuous"/>
    </xf>
    <xf numFmtId="0" fontId="94" fillId="0" borderId="2" xfId="0" applyFont="1" applyFill="1" applyBorder="1" applyAlignment="1">
      <alignment horizontal="centerContinuous"/>
    </xf>
    <xf numFmtId="0" fontId="91" fillId="0" borderId="2" xfId="0" applyFont="1" applyFill="1" applyBorder="1" applyAlignment="1">
      <alignment horizontal="centerContinuous"/>
    </xf>
    <xf numFmtId="0" fontId="91" fillId="0" borderId="17" xfId="0" applyFont="1" applyFill="1" applyBorder="1" applyAlignment="1">
      <alignment horizontal="centerContinuous"/>
    </xf>
    <xf numFmtId="43" fontId="94" fillId="0" borderId="36" xfId="0" applyNumberFormat="1" applyFont="1" applyFill="1" applyBorder="1"/>
    <xf numFmtId="173" fontId="45" fillId="0" borderId="0" xfId="0" applyNumberFormat="1" applyFont="1" applyFill="1"/>
    <xf numFmtId="0" fontId="97" fillId="0" borderId="1" xfId="0" applyFont="1" applyFill="1" applyBorder="1" applyAlignment="1">
      <alignment horizontal="center"/>
    </xf>
    <xf numFmtId="0" fontId="0" fillId="69" borderId="0" xfId="0" applyFill="1"/>
    <xf numFmtId="0" fontId="0" fillId="66" borderId="0" xfId="0" applyFill="1"/>
    <xf numFmtId="0" fontId="4" fillId="66" borderId="0" xfId="0" applyFont="1" applyFill="1"/>
    <xf numFmtId="0" fontId="106" fillId="66" borderId="0" xfId="0" applyFont="1" applyFill="1"/>
    <xf numFmtId="0" fontId="0" fillId="70" borderId="0" xfId="0" applyFill="1"/>
    <xf numFmtId="0" fontId="106" fillId="70" borderId="0" xfId="0" applyFont="1" applyFill="1"/>
    <xf numFmtId="0" fontId="0" fillId="71" borderId="0" xfId="0" applyFill="1"/>
    <xf numFmtId="0" fontId="0" fillId="68" borderId="0" xfId="0" applyFill="1"/>
    <xf numFmtId="3" fontId="4" fillId="0" borderId="1" xfId="0" applyNumberFormat="1" applyFont="1" applyFill="1" applyBorder="1"/>
    <xf numFmtId="0" fontId="0" fillId="67" borderId="0" xfId="0" applyFill="1"/>
    <xf numFmtId="0" fontId="107" fillId="0" borderId="0" xfId="0" applyFont="1" applyFill="1"/>
    <xf numFmtId="0" fontId="45" fillId="0" borderId="1" xfId="0" applyFont="1" applyFill="1" applyBorder="1"/>
    <xf numFmtId="0" fontId="45" fillId="72" borderId="0" xfId="0" applyFont="1" applyFill="1"/>
    <xf numFmtId="37" fontId="4" fillId="68" borderId="0" xfId="4" applyNumberFormat="1" applyFill="1"/>
    <xf numFmtId="173" fontId="45" fillId="0" borderId="0" xfId="0" quotePrefix="1" applyNumberFormat="1" applyFont="1" applyFill="1" applyAlignment="1">
      <alignment horizontal="center"/>
    </xf>
    <xf numFmtId="37" fontId="4" fillId="67" borderId="0" xfId="4" applyNumberFormat="1" applyFill="1"/>
    <xf numFmtId="3" fontId="0" fillId="72" borderId="0" xfId="0" applyNumberFormat="1" applyFill="1"/>
    <xf numFmtId="3" fontId="0" fillId="73" borderId="0" xfId="0" applyNumberFormat="1" applyFill="1"/>
    <xf numFmtId="3" fontId="0" fillId="73" borderId="1" xfId="0" applyNumberFormat="1" applyFill="1" applyBorder="1"/>
    <xf numFmtId="0" fontId="5" fillId="0" borderId="0" xfId="0" quotePrefix="1" applyFont="1" applyAlignment="1"/>
    <xf numFmtId="174" fontId="108" fillId="0" borderId="0" xfId="2387"/>
    <xf numFmtId="0" fontId="45" fillId="59" borderId="0" xfId="2388" applyFont="1" applyFill="1"/>
    <xf numFmtId="0" fontId="6" fillId="59" borderId="0" xfId="2388" applyFont="1" applyFill="1"/>
    <xf numFmtId="0" fontId="89" fillId="0" borderId="0" xfId="2389" applyFont="1" applyAlignment="1">
      <alignment horizontal="centerContinuous"/>
    </xf>
    <xf numFmtId="0" fontId="89" fillId="0" borderId="0" xfId="2389" quotePrefix="1" applyFont="1" applyAlignment="1">
      <alignment horizontal="centerContinuous"/>
    </xf>
    <xf numFmtId="0" fontId="91" fillId="0" borderId="0" xfId="2389" quotePrefix="1" applyFont="1" applyAlignment="1">
      <alignment horizontal="center"/>
    </xf>
    <xf numFmtId="0" fontId="91" fillId="0" borderId="0" xfId="2389" applyFont="1" applyAlignment="1">
      <alignment horizontal="center"/>
    </xf>
    <xf numFmtId="0" fontId="91" fillId="0" borderId="0" xfId="2389" applyFont="1" applyAlignment="1">
      <alignment horizontal="left"/>
    </xf>
    <xf numFmtId="0" fontId="94" fillId="0" borderId="0" xfId="2389" applyFont="1" applyAlignment="1">
      <alignment horizontal="center"/>
    </xf>
    <xf numFmtId="164" fontId="5" fillId="0" borderId="1" xfId="2391" applyNumberFormat="1" applyFont="1" applyBorder="1" applyAlignment="1">
      <alignment horizontal="center" vertical="center" wrapText="1"/>
    </xf>
    <xf numFmtId="164" fontId="5" fillId="0" borderId="1" xfId="2391" applyNumberFormat="1" applyFont="1" applyFill="1" applyBorder="1" applyAlignment="1">
      <alignment horizontal="center" vertical="center" wrapText="1"/>
    </xf>
    <xf numFmtId="164" fontId="5" fillId="0" borderId="1" xfId="2391" quotePrefix="1" applyNumberFormat="1" applyFont="1" applyBorder="1" applyAlignment="1">
      <alignment horizontal="center" vertical="center" wrapText="1"/>
    </xf>
    <xf numFmtId="164" fontId="5" fillId="0" borderId="1" xfId="2391" quotePrefix="1" applyNumberFormat="1" applyFont="1" applyFill="1" applyBorder="1" applyAlignment="1">
      <alignment horizontal="center" vertical="center" wrapText="1"/>
    </xf>
    <xf numFmtId="0" fontId="5" fillId="0" borderId="0" xfId="2389" applyFont="1" applyAlignment="1">
      <alignment horizontal="center"/>
    </xf>
    <xf numFmtId="164" fontId="6" fillId="0" borderId="0" xfId="2391" applyNumberFormat="1" applyFont="1" applyAlignment="1">
      <alignment horizontal="center"/>
    </xf>
    <xf numFmtId="164" fontId="5" fillId="0" borderId="0" xfId="2391" quotePrefix="1" applyNumberFormat="1" applyFont="1" applyAlignment="1">
      <alignment horizontal="center" wrapText="1"/>
    </xf>
    <xf numFmtId="164" fontId="5" fillId="0" borderId="0" xfId="2391" applyNumberFormat="1" applyFont="1" applyAlignment="1">
      <alignment horizontal="center" wrapText="1"/>
    </xf>
    <xf numFmtId="164" fontId="6" fillId="0" borderId="0" xfId="2391" applyNumberFormat="1" applyFont="1" applyAlignment="1">
      <alignment horizontal="center" wrapText="1"/>
    </xf>
    <xf numFmtId="164" fontId="6" fillId="0" borderId="0" xfId="2391" applyNumberFormat="1" applyFont="1" applyFill="1" applyAlignment="1">
      <alignment horizontal="center" wrapText="1"/>
    </xf>
    <xf numFmtId="174" fontId="45" fillId="0" borderId="0" xfId="2387" applyFont="1"/>
    <xf numFmtId="0" fontId="5" fillId="0" borderId="0" xfId="2389" applyFont="1" applyAlignment="1">
      <alignment horizontal="left"/>
    </xf>
    <xf numFmtId="0" fontId="6" fillId="0" borderId="0" xfId="2389" applyFont="1" applyAlignment="1">
      <alignment horizontal="center"/>
    </xf>
    <xf numFmtId="164" fontId="6" fillId="0" borderId="0" xfId="2391" applyNumberFormat="1" applyFont="1" applyAlignment="1">
      <alignment horizontal="left"/>
    </xf>
    <xf numFmtId="10" fontId="6" fillId="0" borderId="0" xfId="2392" applyNumberFormat="1" applyFont="1" applyBorder="1"/>
    <xf numFmtId="5" fontId="6" fillId="0" borderId="0" xfId="2391" applyNumberFormat="1" applyFont="1"/>
    <xf numFmtId="7" fontId="6" fillId="0" borderId="0" xfId="2391" applyNumberFormat="1" applyFont="1"/>
    <xf numFmtId="7" fontId="6" fillId="0" borderId="0" xfId="2391" applyNumberFormat="1" applyFont="1" applyFill="1"/>
    <xf numFmtId="10" fontId="6" fillId="0" borderId="1" xfId="2392" applyNumberFormat="1" applyFont="1" applyBorder="1"/>
    <xf numFmtId="5" fontId="6" fillId="0" borderId="1" xfId="2391" applyNumberFormat="1" applyFont="1" applyFill="1" applyBorder="1"/>
    <xf numFmtId="0" fontId="6" fillId="0" borderId="4" xfId="2389" applyFont="1" applyBorder="1" applyAlignment="1">
      <alignment horizontal="center"/>
    </xf>
    <xf numFmtId="164" fontId="5" fillId="0" borderId="4" xfId="2391" applyNumberFormat="1" applyFont="1" applyBorder="1" applyAlignment="1">
      <alignment horizontal="left"/>
    </xf>
    <xf numFmtId="5" fontId="6" fillId="0" borderId="3" xfId="2391" applyNumberFormat="1" applyFont="1" applyBorder="1"/>
    <xf numFmtId="10" fontId="6" fillId="0" borderId="3" xfId="2392" applyNumberFormat="1" applyFont="1" applyBorder="1"/>
    <xf numFmtId="164" fontId="6" fillId="0" borderId="3" xfId="2391" applyNumberFormat="1" applyFont="1" applyBorder="1"/>
    <xf numFmtId="164" fontId="6" fillId="0" borderId="0" xfId="2391" applyNumberFormat="1" applyFont="1" applyBorder="1"/>
    <xf numFmtId="7" fontId="6" fillId="0" borderId="0" xfId="2391" applyNumberFormat="1" applyFont="1" applyBorder="1"/>
    <xf numFmtId="164" fontId="5" fillId="0" borderId="0" xfId="2391" quotePrefix="1" applyNumberFormat="1" applyFont="1" applyBorder="1" applyAlignment="1">
      <alignment horizontal="center" vertical="center" wrapText="1"/>
    </xf>
    <xf numFmtId="164" fontId="5" fillId="0" borderId="0" xfId="2391" applyNumberFormat="1" applyFont="1" applyBorder="1" applyAlignment="1">
      <alignment horizontal="center" vertical="center" wrapText="1"/>
    </xf>
    <xf numFmtId="164" fontId="5" fillId="0" borderId="0" xfId="2391" applyNumberFormat="1" applyFont="1" applyFill="1" applyBorder="1" applyAlignment="1">
      <alignment horizontal="center" vertical="center" wrapText="1"/>
    </xf>
    <xf numFmtId="5" fontId="6" fillId="0" borderId="0" xfId="2390" applyNumberFormat="1" applyFont="1" applyFill="1"/>
    <xf numFmtId="172" fontId="6" fillId="0" borderId="0" xfId="2391" applyNumberFormat="1" applyFont="1"/>
    <xf numFmtId="164" fontId="5" fillId="0" borderId="0" xfId="2391" applyNumberFormat="1" applyFont="1" applyFill="1" applyAlignment="1">
      <alignment horizontal="center" wrapText="1"/>
    </xf>
    <xf numFmtId="7" fontId="6" fillId="0" borderId="0" xfId="2391" applyNumberFormat="1" applyFont="1" applyAlignment="1">
      <alignment horizontal="center" wrapText="1"/>
    </xf>
    <xf numFmtId="5" fontId="6" fillId="0" borderId="0" xfId="2391" applyNumberFormat="1" applyFont="1" applyFill="1"/>
    <xf numFmtId="39" fontId="45" fillId="0" borderId="0" xfId="2387" applyNumberFormat="1" applyFont="1"/>
    <xf numFmtId="5" fontId="6" fillId="0" borderId="0" xfId="2391" applyNumberFormat="1" applyFont="1" applyBorder="1"/>
    <xf numFmtId="173" fontId="6" fillId="0" borderId="0" xfId="2391" applyNumberFormat="1" applyFont="1" applyFill="1" applyBorder="1"/>
    <xf numFmtId="5" fontId="6" fillId="0" borderId="1" xfId="2390" applyNumberFormat="1" applyFont="1" applyFill="1" applyBorder="1"/>
    <xf numFmtId="5" fontId="6" fillId="0" borderId="1" xfId="2391" applyNumberFormat="1" applyFont="1" applyBorder="1"/>
    <xf numFmtId="173" fontId="6" fillId="0" borderId="1" xfId="2391" applyNumberFormat="1" applyFont="1" applyFill="1" applyBorder="1"/>
    <xf numFmtId="174" fontId="5" fillId="0" borderId="0" xfId="2387" applyFont="1" applyFill="1" applyAlignment="1">
      <alignment horizontal="centerContinuous"/>
    </xf>
    <xf numFmtId="174" fontId="45" fillId="0" borderId="0" xfId="2387" applyFont="1" applyFill="1" applyAlignment="1">
      <alignment horizontal="centerContinuous"/>
    </xf>
    <xf numFmtId="174" fontId="45" fillId="0" borderId="0" xfId="2387" applyFont="1" applyAlignment="1">
      <alignment horizontal="centerContinuous"/>
    </xf>
    <xf numFmtId="175" fontId="5" fillId="0" borderId="0" xfId="2387" quotePrefix="1" applyNumberFormat="1" applyFont="1" applyAlignment="1">
      <alignment horizontal="centerContinuous"/>
    </xf>
    <xf numFmtId="174" fontId="45" fillId="0" borderId="0" xfId="2387" applyFont="1" applyFill="1"/>
    <xf numFmtId="174" fontId="5" fillId="0" borderId="1" xfId="2387" applyFont="1" applyFill="1" applyBorder="1" applyAlignment="1">
      <alignment horizontal="center"/>
    </xf>
    <xf numFmtId="174" fontId="45" fillId="0" borderId="1" xfId="2387" quotePrefix="1" applyFont="1" applyFill="1" applyBorder="1" applyAlignment="1">
      <alignment horizontal="center"/>
    </xf>
    <xf numFmtId="174" fontId="6" fillId="0" borderId="2" xfId="2387" applyFont="1" applyFill="1" applyBorder="1" applyAlignment="1">
      <alignment horizontal="center"/>
    </xf>
    <xf numFmtId="174" fontId="6" fillId="0" borderId="2" xfId="2387" quotePrefix="1" applyFont="1" applyFill="1" applyBorder="1" applyAlignment="1">
      <alignment horizontal="center"/>
    </xf>
    <xf numFmtId="174" fontId="6" fillId="0" borderId="0" xfId="2387" applyFont="1" applyFill="1"/>
    <xf numFmtId="177" fontId="6" fillId="0" borderId="0" xfId="2387" quotePrefix="1" applyNumberFormat="1" applyFont="1" applyFill="1"/>
    <xf numFmtId="177" fontId="6" fillId="0" borderId="6" xfId="2387" quotePrefix="1" applyNumberFormat="1" applyFont="1" applyFill="1" applyBorder="1"/>
    <xf numFmtId="176" fontId="6" fillId="0" borderId="0" xfId="2387" applyNumberFormat="1" applyFont="1" applyFill="1" applyBorder="1" applyAlignment="1">
      <alignment horizontal="center"/>
    </xf>
    <xf numFmtId="177" fontId="6" fillId="0" borderId="0" xfId="2387" quotePrefix="1" applyNumberFormat="1" applyFont="1" applyFill="1" applyBorder="1"/>
    <xf numFmtId="176" fontId="6" fillId="0" borderId="1" xfId="2387" applyNumberFormat="1" applyFont="1" applyFill="1" applyBorder="1" applyAlignment="1">
      <alignment horizontal="center"/>
    </xf>
    <xf numFmtId="177" fontId="6" fillId="0" borderId="1" xfId="2387" quotePrefix="1" applyNumberFormat="1" applyFont="1" applyFill="1" applyBorder="1"/>
    <xf numFmtId="177" fontId="6" fillId="0" borderId="0" xfId="2387" applyNumberFormat="1" applyFont="1" applyFill="1"/>
    <xf numFmtId="177" fontId="6" fillId="0" borderId="0" xfId="2387" applyNumberFormat="1" applyFont="1" applyFill="1" applyAlignment="1">
      <alignment horizontal="right"/>
    </xf>
    <xf numFmtId="177" fontId="5" fillId="0" borderId="4" xfId="2387" quotePrefix="1" applyNumberFormat="1" applyFont="1" applyFill="1" applyBorder="1"/>
    <xf numFmtId="174" fontId="26" fillId="0" borderId="0" xfId="2387" applyFont="1" applyFill="1" applyAlignment="1">
      <alignment horizontal="left"/>
    </xf>
    <xf numFmtId="174" fontId="99" fillId="0" borderId="0" xfId="2387" applyFont="1" applyFill="1"/>
    <xf numFmtId="176" fontId="6" fillId="0" borderId="6" xfId="2387" applyNumberFormat="1" applyFont="1" applyFill="1" applyBorder="1" applyAlignment="1">
      <alignment horizontal="center"/>
    </xf>
    <xf numFmtId="174" fontId="45" fillId="0" borderId="0" xfId="2387" applyFont="1" applyAlignment="1">
      <alignment horizontal="center"/>
    </xf>
    <xf numFmtId="174" fontId="45" fillId="0" borderId="0" xfId="2387" applyFont="1" applyFill="1" applyAlignment="1">
      <alignment horizontal="center"/>
    </xf>
    <xf numFmtId="174" fontId="45" fillId="0" borderId="0" xfId="2387" quotePrefix="1" applyFont="1" applyFill="1" applyBorder="1" applyAlignment="1">
      <alignment horizontal="center"/>
    </xf>
    <xf numFmtId="174" fontId="5" fillId="0" borderId="0" xfId="2387" applyFont="1" applyFill="1" applyAlignment="1">
      <alignment horizontal="center"/>
    </xf>
    <xf numFmtId="174" fontId="6" fillId="0" borderId="1" xfId="2387" quotePrefix="1" applyFont="1" applyFill="1" applyBorder="1" applyAlignment="1">
      <alignment horizontal="center"/>
    </xf>
    <xf numFmtId="174" fontId="6" fillId="0" borderId="0" xfId="2387" applyFont="1"/>
    <xf numFmtId="174" fontId="6" fillId="0" borderId="2" xfId="2394" quotePrefix="1" applyFont="1" applyFill="1" applyBorder="1" applyAlignment="1">
      <alignment horizontal="center"/>
    </xf>
    <xf numFmtId="174" fontId="6" fillId="0" borderId="2" xfId="2394" applyFont="1" applyFill="1" applyBorder="1" applyAlignment="1">
      <alignment horizontal="center"/>
    </xf>
    <xf numFmtId="176" fontId="6" fillId="0" borderId="0" xfId="2387" applyNumberFormat="1" applyFont="1" applyFill="1" applyAlignment="1"/>
    <xf numFmtId="177" fontId="6" fillId="0" borderId="0" xfId="2387" quotePrefix="1" applyNumberFormat="1" applyFont="1" applyFill="1" applyAlignment="1">
      <alignment horizontal="center"/>
    </xf>
    <xf numFmtId="176" fontId="6" fillId="0" borderId="0" xfId="2387" applyNumberFormat="1" applyFont="1" applyFill="1" applyAlignment="1">
      <alignment horizontal="center"/>
    </xf>
    <xf numFmtId="10" fontId="6" fillId="0" borderId="0" xfId="3" quotePrefix="1" applyNumberFormat="1" applyFont="1" applyFill="1"/>
    <xf numFmtId="177" fontId="5" fillId="0" borderId="4" xfId="2387" applyNumberFormat="1" applyFont="1" applyFill="1" applyBorder="1"/>
    <xf numFmtId="176" fontId="45" fillId="0" borderId="0" xfId="2387" applyNumberFormat="1" applyFont="1" applyFill="1" applyAlignment="1">
      <alignment horizontal="center"/>
    </xf>
    <xf numFmtId="178" fontId="45" fillId="0" borderId="0" xfId="2387" quotePrefix="1" applyNumberFormat="1" applyFont="1" applyFill="1"/>
    <xf numFmtId="179" fontId="45" fillId="0" borderId="0" xfId="3" quotePrefix="1" applyNumberFormat="1" applyFont="1" applyFill="1"/>
    <xf numFmtId="44" fontId="45" fillId="0" borderId="0" xfId="2387" quotePrefix="1" applyNumberFormat="1" applyFont="1" applyFill="1"/>
    <xf numFmtId="174" fontId="26" fillId="0" borderId="0" xfId="2387" applyFont="1" applyFill="1" applyAlignment="1">
      <alignment horizontal="centerContinuous"/>
    </xf>
    <xf numFmtId="174" fontId="26" fillId="0" borderId="0" xfId="2387" applyFont="1"/>
    <xf numFmtId="174" fontId="26" fillId="0" borderId="0" xfId="2387" applyFont="1" applyFill="1"/>
    <xf numFmtId="174" fontId="26" fillId="0" borderId="0" xfId="2387" applyFont="1" applyAlignment="1">
      <alignment horizontal="center"/>
    </xf>
    <xf numFmtId="174" fontId="26" fillId="0" borderId="0" xfId="2387" applyFont="1" applyFill="1" applyAlignment="1">
      <alignment horizontal="center"/>
    </xf>
    <xf numFmtId="174" fontId="5" fillId="0" borderId="0" xfId="2387" applyFont="1"/>
    <xf numFmtId="174" fontId="5" fillId="0" borderId="0" xfId="2387" applyFont="1" applyAlignment="1">
      <alignment horizontal="center"/>
    </xf>
    <xf numFmtId="174" fontId="5" fillId="0" borderId="1" xfId="2387" applyFont="1" applyBorder="1" applyAlignment="1">
      <alignment horizontal="center"/>
    </xf>
    <xf numFmtId="174" fontId="6" fillId="0" borderId="1" xfId="2387" applyFont="1" applyBorder="1" applyAlignment="1">
      <alignment horizontal="center"/>
    </xf>
    <xf numFmtId="174" fontId="6" fillId="0" borderId="1" xfId="2394" quotePrefix="1" applyFont="1" applyFill="1" applyBorder="1" applyAlignment="1">
      <alignment horizontal="center"/>
    </xf>
    <xf numFmtId="174" fontId="5" fillId="0" borderId="0" xfId="2387" applyFont="1" applyAlignment="1">
      <alignment horizontal="centerContinuous"/>
    </xf>
    <xf numFmtId="174" fontId="6" fillId="0" borderId="2" xfId="2387" applyFont="1" applyBorder="1" applyAlignment="1">
      <alignment horizontal="center"/>
    </xf>
    <xf numFmtId="176" fontId="6" fillId="0" borderId="4" xfId="2387" applyNumberFormat="1" applyFont="1" applyFill="1" applyBorder="1" applyAlignment="1"/>
    <xf numFmtId="6" fontId="6" fillId="0" borderId="3" xfId="2391" applyNumberFormat="1" applyFont="1" applyFill="1" applyBorder="1"/>
    <xf numFmtId="5" fontId="6" fillId="0" borderId="3" xfId="2391" applyNumberFormat="1" applyFont="1" applyFill="1" applyBorder="1"/>
    <xf numFmtId="173" fontId="6" fillId="0" borderId="0" xfId="2391" applyNumberFormat="1" applyFont="1" applyBorder="1"/>
    <xf numFmtId="173" fontId="6" fillId="0" borderId="1" xfId="2391" applyNumberFormat="1" applyFont="1" applyBorder="1"/>
    <xf numFmtId="5" fontId="103" fillId="0" borderId="1" xfId="0" applyNumberFormat="1" applyFont="1" applyFill="1" applyBorder="1"/>
    <xf numFmtId="173" fontId="6" fillId="0" borderId="0" xfId="1" applyNumberFormat="1" applyFont="1" applyBorder="1"/>
    <xf numFmtId="173" fontId="6" fillId="0" borderId="1" xfId="1" applyNumberFormat="1" applyFont="1" applyBorder="1"/>
    <xf numFmtId="173" fontId="6" fillId="0" borderId="6" xfId="1" applyNumberFormat="1" applyFont="1" applyBorder="1"/>
    <xf numFmtId="173" fontId="6" fillId="0" borderId="3" xfId="1" applyNumberFormat="1" applyFont="1" applyBorder="1"/>
    <xf numFmtId="173" fontId="6" fillId="0" borderId="0" xfId="1" applyNumberFormat="1" applyFont="1"/>
    <xf numFmtId="173" fontId="6" fillId="0" borderId="0" xfId="1" applyNumberFormat="1" applyFont="1" applyFill="1" applyBorder="1"/>
    <xf numFmtId="173" fontId="6" fillId="0" borderId="1" xfId="1" applyNumberFormat="1" applyFont="1" applyFill="1" applyBorder="1"/>
    <xf numFmtId="173" fontId="94" fillId="0" borderId="0" xfId="0" applyNumberFormat="1" applyFont="1" applyFill="1" applyBorder="1"/>
    <xf numFmtId="5" fontId="103" fillId="0" borderId="0" xfId="0" applyNumberFormat="1" applyFont="1" applyFill="1" applyBorder="1"/>
    <xf numFmtId="5" fontId="103" fillId="0" borderId="0" xfId="0" applyNumberFormat="1" applyFont="1" applyFill="1"/>
    <xf numFmtId="180" fontId="94" fillId="0" borderId="36" xfId="1" applyNumberFormat="1" applyFont="1" applyFill="1" applyBorder="1"/>
    <xf numFmtId="180" fontId="94" fillId="0" borderId="0" xfId="1" applyNumberFormat="1" applyFont="1" applyFill="1" applyBorder="1"/>
    <xf numFmtId="180" fontId="94" fillId="0" borderId="30" xfId="1" applyNumberFormat="1" applyFont="1" applyFill="1" applyBorder="1"/>
    <xf numFmtId="180" fontId="109" fillId="0" borderId="36" xfId="1" applyNumberFormat="1" applyFont="1" applyFill="1" applyBorder="1"/>
    <xf numFmtId="180" fontId="109" fillId="0" borderId="0" xfId="1" applyNumberFormat="1" applyFont="1" applyFill="1" applyBorder="1"/>
    <xf numFmtId="180" fontId="109" fillId="0" borderId="37" xfId="1" applyNumberFormat="1" applyFont="1" applyFill="1" applyBorder="1"/>
    <xf numFmtId="180" fontId="109" fillId="0" borderId="1" xfId="1" applyNumberFormat="1" applyFont="1" applyFill="1" applyBorder="1"/>
    <xf numFmtId="180" fontId="94" fillId="0" borderId="38" xfId="1" applyNumberFormat="1" applyFont="1" applyFill="1" applyBorder="1"/>
    <xf numFmtId="180" fontId="94" fillId="0" borderId="37" xfId="1" applyNumberFormat="1" applyFont="1" applyFill="1" applyBorder="1"/>
    <xf numFmtId="180" fontId="94" fillId="0" borderId="1" xfId="1" applyNumberFormat="1" applyFont="1" applyFill="1" applyBorder="1"/>
    <xf numFmtId="180" fontId="94" fillId="0" borderId="16" xfId="1" applyNumberFormat="1" applyFont="1" applyFill="1" applyBorder="1"/>
    <xf numFmtId="180" fontId="94" fillId="0" borderId="2" xfId="1" applyNumberFormat="1" applyFont="1" applyFill="1" applyBorder="1"/>
    <xf numFmtId="180" fontId="94" fillId="0" borderId="17" xfId="1" applyNumberFormat="1" applyFont="1" applyFill="1" applyBorder="1"/>
    <xf numFmtId="180" fontId="94" fillId="61" borderId="16" xfId="1" applyNumberFormat="1" applyFont="1" applyFill="1" applyBorder="1"/>
    <xf numFmtId="180" fontId="94" fillId="61" borderId="2" xfId="1" applyNumberFormat="1" applyFont="1" applyFill="1" applyBorder="1"/>
    <xf numFmtId="180" fontId="94" fillId="61" borderId="17" xfId="1" applyNumberFormat="1" applyFont="1" applyFill="1" applyBorder="1"/>
    <xf numFmtId="180" fontId="94" fillId="61" borderId="36" xfId="1" applyNumberFormat="1" applyFont="1" applyFill="1" applyBorder="1"/>
    <xf numFmtId="180" fontId="94" fillId="61" borderId="0" xfId="1" applyNumberFormat="1" applyFont="1" applyFill="1" applyBorder="1"/>
    <xf numFmtId="180" fontId="94" fillId="61" borderId="30" xfId="1" applyNumberFormat="1" applyFont="1" applyFill="1" applyBorder="1"/>
    <xf numFmtId="180" fontId="94" fillId="61" borderId="37" xfId="1" applyNumberFormat="1" applyFont="1" applyFill="1" applyBorder="1"/>
    <xf numFmtId="180" fontId="94" fillId="61" borderId="1" xfId="1" applyNumberFormat="1" applyFont="1" applyFill="1" applyBorder="1"/>
    <xf numFmtId="180" fontId="94" fillId="61" borderId="38" xfId="1" applyNumberFormat="1" applyFont="1" applyFill="1" applyBorder="1"/>
    <xf numFmtId="180" fontId="94" fillId="60" borderId="36" xfId="1" applyNumberFormat="1" applyFont="1" applyFill="1" applyBorder="1"/>
    <xf numFmtId="180" fontId="94" fillId="60" borderId="0" xfId="1" applyNumberFormat="1" applyFont="1" applyFill="1" applyBorder="1"/>
    <xf numFmtId="180" fontId="94" fillId="60" borderId="30" xfId="1" applyNumberFormat="1" applyFont="1" applyFill="1" applyBorder="1"/>
    <xf numFmtId="180" fontId="94" fillId="60" borderId="37" xfId="1" applyNumberFormat="1" applyFont="1" applyFill="1" applyBorder="1"/>
    <xf numFmtId="180" fontId="94" fillId="60" borderId="1" xfId="1" applyNumberFormat="1" applyFont="1" applyFill="1" applyBorder="1"/>
    <xf numFmtId="180" fontId="94" fillId="60" borderId="38" xfId="1" applyNumberFormat="1" applyFont="1" applyFill="1" applyBorder="1"/>
    <xf numFmtId="180" fontId="94" fillId="60" borderId="37" xfId="0" applyNumberFormat="1" applyFont="1" applyFill="1" applyBorder="1"/>
    <xf numFmtId="180" fontId="94" fillId="60" borderId="1" xfId="0" applyNumberFormat="1" applyFont="1" applyFill="1" applyBorder="1"/>
    <xf numFmtId="180" fontId="94" fillId="60" borderId="38" xfId="0" applyNumberFormat="1" applyFont="1" applyFill="1" applyBorder="1"/>
    <xf numFmtId="180" fontId="94" fillId="0" borderId="37" xfId="0" applyNumberFormat="1" applyFont="1" applyFill="1" applyBorder="1"/>
    <xf numFmtId="180" fontId="94" fillId="0" borderId="1" xfId="0" applyNumberFormat="1" applyFont="1" applyFill="1" applyBorder="1"/>
    <xf numFmtId="180" fontId="94" fillId="0" borderId="38" xfId="0" applyNumberFormat="1" applyFont="1" applyFill="1" applyBorder="1"/>
    <xf numFmtId="180" fontId="94" fillId="60" borderId="16" xfId="0" applyNumberFormat="1" applyFont="1" applyFill="1" applyBorder="1"/>
    <xf numFmtId="180" fontId="94" fillId="60" borderId="2" xfId="0" applyNumberFormat="1" applyFont="1" applyFill="1" applyBorder="1"/>
    <xf numFmtId="180" fontId="94" fillId="60" borderId="17" xfId="0" applyNumberFormat="1" applyFont="1" applyFill="1" applyBorder="1"/>
    <xf numFmtId="180" fontId="94" fillId="0" borderId="16" xfId="0" applyNumberFormat="1" applyFont="1" applyFill="1" applyBorder="1"/>
    <xf numFmtId="180" fontId="94" fillId="0" borderId="2" xfId="0" applyNumberFormat="1" applyFont="1" applyFill="1" applyBorder="1"/>
    <xf numFmtId="180" fontId="94" fillId="0" borderId="17" xfId="0" applyNumberFormat="1" applyFont="1" applyFill="1" applyBorder="1"/>
    <xf numFmtId="180" fontId="94" fillId="0" borderId="34" xfId="1" applyNumberFormat="1" applyFont="1" applyFill="1" applyBorder="1"/>
    <xf numFmtId="0" fontId="0" fillId="74" borderId="0" xfId="0" applyFill="1"/>
    <xf numFmtId="173" fontId="103" fillId="0" borderId="0" xfId="1" applyNumberFormat="1" applyFont="1"/>
    <xf numFmtId="0" fontId="5" fillId="0" borderId="0" xfId="0" applyFont="1" applyFill="1" applyAlignment="1">
      <alignment horizontal="centerContinuous"/>
    </xf>
    <xf numFmtId="174" fontId="6" fillId="0" borderId="0" xfId="2387" applyFont="1" applyFill="1" applyAlignment="1">
      <alignment horizontal="centerContinuous"/>
    </xf>
    <xf numFmtId="0" fontId="5" fillId="59" borderId="0" xfId="2388" applyFont="1" applyFill="1" applyAlignment="1">
      <alignment horizontal="center"/>
    </xf>
    <xf numFmtId="0" fontId="5" fillId="59" borderId="0" xfId="2388" applyFont="1" applyFill="1" applyAlignment="1"/>
    <xf numFmtId="0" fontId="5" fillId="59" borderId="0" xfId="2388" applyFont="1" applyFill="1" applyAlignment="1">
      <alignment horizontal="centerContinuous"/>
    </xf>
    <xf numFmtId="0" fontId="45" fillId="59" borderId="0" xfId="2388" applyFont="1" applyFill="1" applyAlignment="1">
      <alignment horizontal="centerContinuous"/>
    </xf>
    <xf numFmtId="0" fontId="97" fillId="0" borderId="1" xfId="0" applyFont="1" applyFill="1" applyBorder="1" applyAlignment="1">
      <alignment horizontal="center"/>
    </xf>
    <xf numFmtId="0" fontId="97" fillId="0" borderId="1" xfId="0" applyFont="1" applyFill="1" applyBorder="1" applyAlignment="1">
      <alignment horizontal="center"/>
    </xf>
    <xf numFmtId="37" fontId="0" fillId="0" borderId="0" xfId="0" applyNumberFormat="1"/>
    <xf numFmtId="0" fontId="0" fillId="62" borderId="0" xfId="0" applyFill="1"/>
    <xf numFmtId="0" fontId="0" fillId="65" borderId="0" xfId="0" applyFill="1"/>
    <xf numFmtId="0" fontId="0" fillId="64" borderId="0" xfId="0" applyFill="1"/>
    <xf numFmtId="0" fontId="0" fillId="60" borderId="0" xfId="0" applyFill="1"/>
    <xf numFmtId="37" fontId="0" fillId="68" borderId="0" xfId="0" applyNumberFormat="1" applyFill="1"/>
    <xf numFmtId="37" fontId="0" fillId="67" borderId="0" xfId="0" applyNumberFormat="1" applyFill="1"/>
    <xf numFmtId="0" fontId="0" fillId="75" borderId="0" xfId="0" applyFill="1"/>
    <xf numFmtId="5" fontId="6" fillId="0" borderId="1" xfId="0" applyNumberFormat="1" applyFont="1" applyFill="1" applyBorder="1"/>
    <xf numFmtId="0" fontId="4" fillId="72" borderId="0" xfId="4" applyFill="1"/>
    <xf numFmtId="0" fontId="8" fillId="72" borderId="0" xfId="4" applyFont="1" applyFill="1"/>
    <xf numFmtId="0" fontId="5" fillId="0" borderId="1" xfId="0" quotePrefix="1" applyFont="1" applyFill="1" applyBorder="1" applyAlignment="1">
      <alignment horizontal="center"/>
    </xf>
    <xf numFmtId="164" fontId="4" fillId="0" borderId="0" xfId="1" applyNumberFormat="1" applyFill="1"/>
    <xf numFmtId="164" fontId="5" fillId="0" borderId="0" xfId="2391" quotePrefix="1" applyNumberFormat="1" applyFont="1" applyFill="1" applyAlignment="1">
      <alignment horizontal="center" wrapText="1"/>
    </xf>
    <xf numFmtId="37" fontId="0" fillId="0" borderId="16" xfId="0" applyNumberFormat="1" applyBorder="1"/>
    <xf numFmtId="37" fontId="0" fillId="0" borderId="2" xfId="0" applyNumberFormat="1" applyBorder="1"/>
    <xf numFmtId="37" fontId="0" fillId="0" borderId="17" xfId="0" applyNumberFormat="1" applyBorder="1"/>
    <xf numFmtId="0" fontId="0" fillId="0" borderId="43" xfId="0" applyBorder="1"/>
    <xf numFmtId="37" fontId="0" fillId="0" borderId="44" xfId="0" applyNumberFormat="1" applyBorder="1"/>
    <xf numFmtId="37" fontId="0" fillId="0" borderId="42" xfId="0" applyNumberFormat="1" applyBorder="1"/>
    <xf numFmtId="37" fontId="0" fillId="0" borderId="43" xfId="0" applyNumberFormat="1" applyBorder="1"/>
    <xf numFmtId="0" fontId="97" fillId="0" borderId="1" xfId="0" applyFont="1" applyFill="1" applyBorder="1" applyAlignment="1">
      <alignment horizontal="center"/>
    </xf>
    <xf numFmtId="181" fontId="0" fillId="0" borderId="0" xfId="0" applyNumberFormat="1"/>
    <xf numFmtId="37" fontId="0" fillId="0" borderId="45" xfId="0" applyNumberFormat="1" applyBorder="1"/>
    <xf numFmtId="37" fontId="0" fillId="0" borderId="0" xfId="0" applyNumberFormat="1" applyFill="1" applyBorder="1"/>
    <xf numFmtId="49" fontId="0" fillId="62" borderId="0" xfId="0" applyNumberFormat="1" applyFill="1"/>
    <xf numFmtId="0" fontId="4" fillId="62" borderId="0" xfId="0" applyFont="1" applyFill="1"/>
    <xf numFmtId="0" fontId="4" fillId="60" borderId="0" xfId="0" applyFont="1" applyFill="1"/>
    <xf numFmtId="164" fontId="4" fillId="0" borderId="0" xfId="4" applyNumberFormat="1"/>
    <xf numFmtId="164" fontId="4" fillId="0" borderId="1" xfId="1" applyNumberFormat="1" applyFill="1" applyBorder="1"/>
    <xf numFmtId="0" fontId="4" fillId="0" borderId="0" xfId="0" applyFont="1"/>
    <xf numFmtId="5" fontId="6" fillId="0" borderId="0" xfId="0" applyNumberFormat="1" applyFont="1" applyFill="1"/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5" fontId="6" fillId="0" borderId="0" xfId="0" applyNumberFormat="1" applyFont="1" applyFill="1" applyBorder="1"/>
    <xf numFmtId="0" fontId="0" fillId="76" borderId="0" xfId="0" applyFill="1"/>
    <xf numFmtId="0" fontId="97" fillId="0" borderId="1" xfId="0" applyFont="1" applyFill="1" applyBorder="1" applyAlignment="1">
      <alignment horizontal="center"/>
    </xf>
    <xf numFmtId="173" fontId="6" fillId="0" borderId="0" xfId="0" applyNumberFormat="1" applyFont="1"/>
    <xf numFmtId="0" fontId="94" fillId="0" borderId="0" xfId="2390" applyFont="1"/>
    <xf numFmtId="0" fontId="6" fillId="0" borderId="0" xfId="2390" applyFont="1"/>
    <xf numFmtId="0" fontId="6" fillId="0" borderId="0" xfId="2390" applyFont="1" applyAlignment="1">
      <alignment horizontal="center" vertical="center" wrapText="1"/>
    </xf>
    <xf numFmtId="5" fontId="6" fillId="0" borderId="0" xfId="5" applyNumberFormat="1" applyFont="1" applyFill="1"/>
    <xf numFmtId="173" fontId="6" fillId="0" borderId="0" xfId="2391" applyNumberFormat="1" applyFont="1" applyFill="1"/>
    <xf numFmtId="5" fontId="6" fillId="0" borderId="1" xfId="5" applyNumberFormat="1" applyFont="1" applyFill="1" applyBorder="1"/>
    <xf numFmtId="0" fontId="6" fillId="0" borderId="0" xfId="2390" applyFont="1" applyFill="1"/>
    <xf numFmtId="7" fontId="6" fillId="0" borderId="0" xfId="2390" applyNumberFormat="1" applyFont="1"/>
    <xf numFmtId="9" fontId="6" fillId="0" borderId="0" xfId="3" applyFont="1"/>
    <xf numFmtId="172" fontId="6" fillId="0" borderId="0" xfId="2390" applyNumberFormat="1" applyFont="1"/>
    <xf numFmtId="174" fontId="45" fillId="0" borderId="0" xfId="2387" applyFont="1" applyFill="1" applyAlignment="1">
      <alignment horizontal="left"/>
    </xf>
    <xf numFmtId="10" fontId="6" fillId="0" borderId="1" xfId="3" quotePrefix="1" applyNumberFormat="1" applyFont="1" applyFill="1" applyBorder="1"/>
    <xf numFmtId="174" fontId="4" fillId="0" borderId="0" xfId="2387" applyFont="1" applyFill="1"/>
    <xf numFmtId="174" fontId="4" fillId="0" borderId="0" xfId="2387" applyFont="1"/>
    <xf numFmtId="1" fontId="4" fillId="0" borderId="0" xfId="2387" applyNumberFormat="1" applyFont="1"/>
    <xf numFmtId="0" fontId="4" fillId="0" borderId="0" xfId="0" applyFont="1" applyFill="1"/>
    <xf numFmtId="37" fontId="47" fillId="0" borderId="0" xfId="0" applyNumberFormat="1" applyFont="1" applyFill="1"/>
    <xf numFmtId="10" fontId="4" fillId="0" borderId="0" xfId="0" applyNumberFormat="1" applyFont="1" applyFill="1"/>
    <xf numFmtId="10" fontId="47" fillId="0" borderId="0" xfId="0" applyNumberFormat="1" applyFont="1" applyFill="1"/>
    <xf numFmtId="179" fontId="6" fillId="0" borderId="1" xfId="3" applyNumberFormat="1" applyFont="1" applyFill="1" applyBorder="1"/>
    <xf numFmtId="37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2" applyNumberFormat="1" applyFont="1" applyFill="1" applyBorder="1"/>
    <xf numFmtId="5" fontId="4" fillId="0" borderId="0" xfId="0" applyNumberFormat="1" applyFont="1" applyFill="1"/>
    <xf numFmtId="5" fontId="4" fillId="0" borderId="0" xfId="0" applyNumberFormat="1" applyFont="1" applyFill="1" applyBorder="1"/>
    <xf numFmtId="0" fontId="100" fillId="0" borderId="0" xfId="0" applyFont="1" applyFill="1" applyAlignment="1">
      <alignment horizontal="center"/>
    </xf>
    <xf numFmtId="0" fontId="103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5" fontId="100" fillId="0" borderId="0" xfId="0" applyNumberFormat="1" applyFont="1" applyFill="1" applyBorder="1"/>
    <xf numFmtId="5" fontId="100" fillId="0" borderId="0" xfId="0" applyNumberFormat="1" applyFont="1" applyFill="1"/>
    <xf numFmtId="0" fontId="103" fillId="0" borderId="0" xfId="0" applyFont="1" applyAlignment="1">
      <alignment horizontal="center"/>
    </xf>
    <xf numFmtId="0" fontId="103" fillId="0" borderId="0" xfId="0" applyFont="1"/>
    <xf numFmtId="173" fontId="103" fillId="0" borderId="0" xfId="1" applyNumberFormat="1" applyFont="1" applyBorder="1"/>
    <xf numFmtId="10" fontId="103" fillId="0" borderId="0" xfId="3" applyNumberFormat="1" applyFont="1" applyFill="1" applyAlignment="1">
      <alignment horizontal="center"/>
    </xf>
    <xf numFmtId="173" fontId="103" fillId="0" borderId="0" xfId="1" applyNumberFormat="1" applyFont="1" applyFill="1" applyBorder="1"/>
    <xf numFmtId="0" fontId="103" fillId="0" borderId="0" xfId="0" quotePrefix="1" applyFont="1" applyAlignment="1">
      <alignment horizontal="left"/>
    </xf>
    <xf numFmtId="173" fontId="103" fillId="0" borderId="1" xfId="1" applyNumberFormat="1" applyFont="1" applyBorder="1"/>
    <xf numFmtId="173" fontId="103" fillId="0" borderId="1" xfId="1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quotePrefix="1" applyFont="1" applyBorder="1" applyAlignment="1">
      <alignment horizontal="left"/>
    </xf>
    <xf numFmtId="10" fontId="6" fillId="0" borderId="0" xfId="3" applyNumberFormat="1" applyFont="1" applyFill="1" applyBorder="1" applyAlignment="1">
      <alignment horizontal="center"/>
    </xf>
    <xf numFmtId="173" fontId="103" fillId="0" borderId="6" xfId="1" applyNumberFormat="1" applyFont="1" applyBorder="1"/>
    <xf numFmtId="0" fontId="111" fillId="0" borderId="0" xfId="0" applyFont="1" applyFill="1" applyAlignment="1">
      <alignment horizontal="center"/>
    </xf>
    <xf numFmtId="0" fontId="101" fillId="0" borderId="0" xfId="0" applyFont="1" applyFill="1"/>
    <xf numFmtId="0" fontId="4" fillId="0" borderId="0" xfId="2389"/>
    <xf numFmtId="17" fontId="4" fillId="0" borderId="0" xfId="2389" applyNumberFormat="1"/>
    <xf numFmtId="17" fontId="4" fillId="0" borderId="0" xfId="2389" applyNumberFormat="1" applyAlignment="1">
      <alignment horizontal="right"/>
    </xf>
    <xf numFmtId="165" fontId="0" fillId="0" borderId="0" xfId="2" applyNumberFormat="1" applyFont="1"/>
    <xf numFmtId="165" fontId="4" fillId="0" borderId="0" xfId="2389" applyNumberFormat="1"/>
    <xf numFmtId="165" fontId="4" fillId="0" borderId="6" xfId="2389" applyNumberFormat="1" applyBorder="1"/>
    <xf numFmtId="180" fontId="4" fillId="0" borderId="0" xfId="0" applyNumberFormat="1" applyFont="1"/>
    <xf numFmtId="5" fontId="112" fillId="0" borderId="0" xfId="0" applyNumberFormat="1" applyFont="1" applyFill="1"/>
    <xf numFmtId="5" fontId="112" fillId="0" borderId="0" xfId="0" applyNumberFormat="1" applyFont="1" applyFill="1" applyBorder="1"/>
    <xf numFmtId="5" fontId="112" fillId="0" borderId="1" xfId="0" applyNumberFormat="1" applyFont="1" applyFill="1" applyBorder="1"/>
    <xf numFmtId="0" fontId="88" fillId="0" borderId="0" xfId="0" applyFont="1" applyAlignment="1">
      <alignment horizontal="center"/>
    </xf>
    <xf numFmtId="0" fontId="113" fillId="0" borderId="0" xfId="0" applyFont="1"/>
    <xf numFmtId="173" fontId="88" fillId="0" borderId="3" xfId="1" applyNumberFormat="1" applyFont="1" applyBorder="1"/>
    <xf numFmtId="0" fontId="88" fillId="0" borderId="0" xfId="0" applyFont="1"/>
    <xf numFmtId="173" fontId="112" fillId="0" borderId="0" xfId="1" applyNumberFormat="1" applyFont="1" applyFill="1" applyBorder="1"/>
    <xf numFmtId="173" fontId="112" fillId="0" borderId="1" xfId="1" applyNumberFormat="1" applyFont="1" applyFill="1" applyBorder="1"/>
    <xf numFmtId="173" fontId="112" fillId="0" borderId="0" xfId="1" applyNumberFormat="1" applyFont="1"/>
    <xf numFmtId="173" fontId="88" fillId="0" borderId="0" xfId="1" applyNumberFormat="1" applyFont="1" applyFill="1" applyBorder="1"/>
    <xf numFmtId="173" fontId="112" fillId="0" borderId="0" xfId="1" applyNumberFormat="1" applyFont="1" applyBorder="1"/>
    <xf numFmtId="173" fontId="112" fillId="0" borderId="1" xfId="1" applyNumberFormat="1" applyFont="1" applyBorder="1"/>
    <xf numFmtId="0" fontId="114" fillId="0" borderId="0" xfId="0" applyFont="1" applyFill="1" applyAlignment="1">
      <alignment horizontal="center" wrapText="1"/>
    </xf>
    <xf numFmtId="0" fontId="114" fillId="0" borderId="0" xfId="0" applyFont="1" applyFill="1" applyAlignment="1">
      <alignment horizontal="center"/>
    </xf>
    <xf numFmtId="0" fontId="114" fillId="0" borderId="1" xfId="0" applyFont="1" applyFill="1" applyBorder="1" applyAlignment="1">
      <alignment horizontal="center"/>
    </xf>
    <xf numFmtId="167" fontId="115" fillId="0" borderId="0" xfId="0" applyNumberFormat="1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15" fillId="0" borderId="0" xfId="0" applyFont="1" applyFill="1"/>
    <xf numFmtId="164" fontId="115" fillId="0" borderId="0" xfId="1" applyNumberFormat="1" applyFont="1" applyFill="1"/>
    <xf numFmtId="0" fontId="5" fillId="59" borderId="0" xfId="2388" applyFont="1" applyFill="1" applyAlignment="1">
      <alignment horizontal="center"/>
    </xf>
    <xf numFmtId="174" fontId="5" fillId="0" borderId="6" xfId="2387" applyFont="1" applyFill="1" applyBorder="1" applyAlignment="1">
      <alignment horizontal="center" vertical="center" wrapText="1"/>
    </xf>
    <xf numFmtId="174" fontId="5" fillId="0" borderId="0" xfId="2387" applyFont="1" applyFill="1" applyAlignment="1">
      <alignment horizontal="center" vertical="center" wrapText="1"/>
    </xf>
    <xf numFmtId="174" fontId="5" fillId="0" borderId="1" xfId="2387" applyFont="1" applyFill="1" applyBorder="1" applyAlignment="1">
      <alignment horizontal="center" vertical="center" wrapText="1"/>
    </xf>
    <xf numFmtId="174" fontId="5" fillId="0" borderId="0" xfId="2387" applyFont="1" applyFill="1" applyBorder="1" applyAlignment="1">
      <alignment horizontal="center" vertical="center" wrapText="1"/>
    </xf>
    <xf numFmtId="174" fontId="5" fillId="0" borderId="6" xfId="2387" applyFont="1" applyBorder="1" applyAlignment="1">
      <alignment horizontal="center" vertical="center" wrapText="1"/>
    </xf>
    <xf numFmtId="174" fontId="5" fillId="0" borderId="0" xfId="2387" applyFont="1" applyBorder="1" applyAlignment="1">
      <alignment horizontal="center" vertical="center" wrapText="1"/>
    </xf>
    <xf numFmtId="174" fontId="5" fillId="0" borderId="1" xfId="2387" applyFont="1" applyBorder="1" applyAlignment="1">
      <alignment horizontal="center" vertical="center" wrapText="1"/>
    </xf>
    <xf numFmtId="0" fontId="91" fillId="0" borderId="0" xfId="0" quotePrefix="1" applyFont="1" applyFill="1" applyBorder="1" applyAlignment="1">
      <alignment horizontal="center" vertical="center"/>
    </xf>
    <xf numFmtId="0" fontId="91" fillId="60" borderId="16" xfId="0" applyFont="1" applyFill="1" applyBorder="1" applyAlignment="1">
      <alignment horizontal="center"/>
    </xf>
    <xf numFmtId="0" fontId="91" fillId="60" borderId="2" xfId="0" applyFont="1" applyFill="1" applyBorder="1" applyAlignment="1">
      <alignment horizontal="center"/>
    </xf>
    <xf numFmtId="0" fontId="91" fillId="60" borderId="17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91" fillId="0" borderId="2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0" fontId="94" fillId="61" borderId="16" xfId="0" applyFont="1" applyFill="1" applyBorder="1" applyAlignment="1">
      <alignment horizontal="center"/>
    </xf>
    <xf numFmtId="0" fontId="94" fillId="61" borderId="2" xfId="0" applyFont="1" applyFill="1" applyBorder="1" applyAlignment="1">
      <alignment horizontal="center"/>
    </xf>
    <xf numFmtId="0" fontId="94" fillId="61" borderId="17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97" fillId="0" borderId="1" xfId="0" applyFont="1" applyFill="1" applyBorder="1" applyAlignment="1">
      <alignment horizontal="center"/>
    </xf>
  </cellXfs>
  <cellStyles count="2395">
    <cellStyle name="20% - Accent1 10" xfId="12" xr:uid="{00000000-0005-0000-0000-000000000000}"/>
    <cellStyle name="20% - Accent1 11" xfId="13" xr:uid="{00000000-0005-0000-0000-000001000000}"/>
    <cellStyle name="20% - Accent1 12" xfId="14" xr:uid="{00000000-0005-0000-0000-000002000000}"/>
    <cellStyle name="20% - Accent1 13" xfId="15" xr:uid="{00000000-0005-0000-0000-000003000000}"/>
    <cellStyle name="20% - Accent1 14" xfId="16" xr:uid="{00000000-0005-0000-0000-000004000000}"/>
    <cellStyle name="20% - Accent1 15" xfId="17" xr:uid="{00000000-0005-0000-0000-000005000000}"/>
    <cellStyle name="20% - Accent1 15 2" xfId="18" xr:uid="{00000000-0005-0000-0000-000006000000}"/>
    <cellStyle name="20% - Accent1 15 3" xfId="19" xr:uid="{00000000-0005-0000-0000-000007000000}"/>
    <cellStyle name="20% - Accent1 15 4" xfId="20" xr:uid="{00000000-0005-0000-0000-000008000000}"/>
    <cellStyle name="20% - Accent1 15 5" xfId="21" xr:uid="{00000000-0005-0000-0000-000009000000}"/>
    <cellStyle name="20% - Accent1 16" xfId="22" xr:uid="{00000000-0005-0000-0000-00000A000000}"/>
    <cellStyle name="20% - Accent1 16 2" xfId="23" xr:uid="{00000000-0005-0000-0000-00000B000000}"/>
    <cellStyle name="20% - Accent1 16 3" xfId="24" xr:uid="{00000000-0005-0000-0000-00000C000000}"/>
    <cellStyle name="20% - Accent1 16 4" xfId="25" xr:uid="{00000000-0005-0000-0000-00000D000000}"/>
    <cellStyle name="20% - Accent1 16 5" xfId="26" xr:uid="{00000000-0005-0000-0000-00000E000000}"/>
    <cellStyle name="20% - Accent1 17" xfId="27" xr:uid="{00000000-0005-0000-0000-00000F000000}"/>
    <cellStyle name="20% - Accent1 17 2" xfId="28" xr:uid="{00000000-0005-0000-0000-000010000000}"/>
    <cellStyle name="20% - Accent1 17 3" xfId="29" xr:uid="{00000000-0005-0000-0000-000011000000}"/>
    <cellStyle name="20% - Accent1 17 4" xfId="30" xr:uid="{00000000-0005-0000-0000-000012000000}"/>
    <cellStyle name="20% - Accent1 17 5" xfId="31" xr:uid="{00000000-0005-0000-0000-000013000000}"/>
    <cellStyle name="20% - Accent1 18" xfId="32" xr:uid="{00000000-0005-0000-0000-000014000000}"/>
    <cellStyle name="20% - Accent1 19" xfId="33" xr:uid="{00000000-0005-0000-0000-000015000000}"/>
    <cellStyle name="20% - Accent1 2" xfId="34" xr:uid="{00000000-0005-0000-0000-000016000000}"/>
    <cellStyle name="20% - Accent1 2 10" xfId="35" xr:uid="{00000000-0005-0000-0000-000017000000}"/>
    <cellStyle name="20% - Accent1 2 2" xfId="36" xr:uid="{00000000-0005-0000-0000-000018000000}"/>
    <cellStyle name="20% - Accent1 2 2 2" xfId="37" xr:uid="{00000000-0005-0000-0000-000019000000}"/>
    <cellStyle name="20% - Accent1 2 2 2 2" xfId="38" xr:uid="{00000000-0005-0000-0000-00001A000000}"/>
    <cellStyle name="20% - Accent1 2 2 2 2 2" xfId="39" xr:uid="{00000000-0005-0000-0000-00001B000000}"/>
    <cellStyle name="20% - Accent1 2 2 2 2 3" xfId="40" xr:uid="{00000000-0005-0000-0000-00001C000000}"/>
    <cellStyle name="20% - Accent1 2 2 2 3" xfId="41" xr:uid="{00000000-0005-0000-0000-00001D000000}"/>
    <cellStyle name="20% - Accent1 2 2 2 4" xfId="42" xr:uid="{00000000-0005-0000-0000-00001E000000}"/>
    <cellStyle name="20% - Accent1 2 2 2 5" xfId="43" xr:uid="{00000000-0005-0000-0000-00001F000000}"/>
    <cellStyle name="20% - Accent1 2 2 2 6" xfId="44" xr:uid="{00000000-0005-0000-0000-000020000000}"/>
    <cellStyle name="20% - Accent1 2 2 3" xfId="45" xr:uid="{00000000-0005-0000-0000-000021000000}"/>
    <cellStyle name="20% - Accent1 2 2 4" xfId="46" xr:uid="{00000000-0005-0000-0000-000022000000}"/>
    <cellStyle name="20% - Accent1 2 2 5" xfId="47" xr:uid="{00000000-0005-0000-0000-000023000000}"/>
    <cellStyle name="20% - Accent1 2 2 6" xfId="48" xr:uid="{00000000-0005-0000-0000-000024000000}"/>
    <cellStyle name="20% - Accent1 2 3" xfId="49" xr:uid="{00000000-0005-0000-0000-000025000000}"/>
    <cellStyle name="20% - Accent1 2 4" xfId="50" xr:uid="{00000000-0005-0000-0000-000026000000}"/>
    <cellStyle name="20% - Accent1 2 5" xfId="51" xr:uid="{00000000-0005-0000-0000-000027000000}"/>
    <cellStyle name="20% - Accent1 2 6" xfId="52" xr:uid="{00000000-0005-0000-0000-000028000000}"/>
    <cellStyle name="20% - Accent1 2 7" xfId="53" xr:uid="{00000000-0005-0000-0000-000029000000}"/>
    <cellStyle name="20% - Accent1 2 8" xfId="54" xr:uid="{00000000-0005-0000-0000-00002A000000}"/>
    <cellStyle name="20% - Accent1 2 9" xfId="55" xr:uid="{00000000-0005-0000-0000-00002B000000}"/>
    <cellStyle name="20% - Accent1 20" xfId="56" xr:uid="{00000000-0005-0000-0000-00002C000000}"/>
    <cellStyle name="20% - Accent1 21" xfId="57" xr:uid="{00000000-0005-0000-0000-00002D000000}"/>
    <cellStyle name="20% - Accent1 22" xfId="58" xr:uid="{00000000-0005-0000-0000-00002E000000}"/>
    <cellStyle name="20% - Accent1 23" xfId="59" xr:uid="{00000000-0005-0000-0000-00002F000000}"/>
    <cellStyle name="20% - Accent1 24" xfId="60" xr:uid="{00000000-0005-0000-0000-000030000000}"/>
    <cellStyle name="20% - Accent1 25" xfId="61" xr:uid="{00000000-0005-0000-0000-000031000000}"/>
    <cellStyle name="20% - Accent1 26" xfId="62" xr:uid="{00000000-0005-0000-0000-000032000000}"/>
    <cellStyle name="20% - Accent1 27" xfId="63" xr:uid="{00000000-0005-0000-0000-000033000000}"/>
    <cellStyle name="20% - Accent1 28" xfId="64" xr:uid="{00000000-0005-0000-0000-000034000000}"/>
    <cellStyle name="20% - Accent1 29" xfId="65" xr:uid="{00000000-0005-0000-0000-000035000000}"/>
    <cellStyle name="20% - Accent1 3" xfId="66" xr:uid="{00000000-0005-0000-0000-000036000000}"/>
    <cellStyle name="20% - Accent1 30" xfId="67" xr:uid="{00000000-0005-0000-0000-000037000000}"/>
    <cellStyle name="20% - Accent1 31" xfId="68" xr:uid="{00000000-0005-0000-0000-000038000000}"/>
    <cellStyle name="20% - Accent1 32" xfId="69" xr:uid="{00000000-0005-0000-0000-000039000000}"/>
    <cellStyle name="20% - Accent1 33" xfId="70" xr:uid="{00000000-0005-0000-0000-00003A000000}"/>
    <cellStyle name="20% - Accent1 34" xfId="71" xr:uid="{00000000-0005-0000-0000-00003B000000}"/>
    <cellStyle name="20% - Accent1 35" xfId="72" xr:uid="{00000000-0005-0000-0000-00003C000000}"/>
    <cellStyle name="20% - Accent1 36" xfId="73" xr:uid="{00000000-0005-0000-0000-00003D000000}"/>
    <cellStyle name="20% - Accent1 4" xfId="74" xr:uid="{00000000-0005-0000-0000-00003E000000}"/>
    <cellStyle name="20% - Accent1 5" xfId="75" xr:uid="{00000000-0005-0000-0000-00003F000000}"/>
    <cellStyle name="20% - Accent1 6" xfId="76" xr:uid="{00000000-0005-0000-0000-000040000000}"/>
    <cellStyle name="20% - Accent1 7" xfId="77" xr:uid="{00000000-0005-0000-0000-000041000000}"/>
    <cellStyle name="20% - Accent1 8" xfId="78" xr:uid="{00000000-0005-0000-0000-000042000000}"/>
    <cellStyle name="20% - Accent1 9" xfId="79" xr:uid="{00000000-0005-0000-0000-000043000000}"/>
    <cellStyle name="20% - Accent2 10" xfId="80" xr:uid="{00000000-0005-0000-0000-000044000000}"/>
    <cellStyle name="20% - Accent2 11" xfId="81" xr:uid="{00000000-0005-0000-0000-000045000000}"/>
    <cellStyle name="20% - Accent2 12" xfId="82" xr:uid="{00000000-0005-0000-0000-000046000000}"/>
    <cellStyle name="20% - Accent2 13" xfId="83" xr:uid="{00000000-0005-0000-0000-000047000000}"/>
    <cellStyle name="20% - Accent2 14" xfId="84" xr:uid="{00000000-0005-0000-0000-000048000000}"/>
    <cellStyle name="20% - Accent2 15" xfId="85" xr:uid="{00000000-0005-0000-0000-000049000000}"/>
    <cellStyle name="20% - Accent2 15 2" xfId="86" xr:uid="{00000000-0005-0000-0000-00004A000000}"/>
    <cellStyle name="20% - Accent2 15 3" xfId="87" xr:uid="{00000000-0005-0000-0000-00004B000000}"/>
    <cellStyle name="20% - Accent2 15 4" xfId="88" xr:uid="{00000000-0005-0000-0000-00004C000000}"/>
    <cellStyle name="20% - Accent2 15 5" xfId="89" xr:uid="{00000000-0005-0000-0000-00004D000000}"/>
    <cellStyle name="20% - Accent2 16" xfId="90" xr:uid="{00000000-0005-0000-0000-00004E000000}"/>
    <cellStyle name="20% - Accent2 16 2" xfId="91" xr:uid="{00000000-0005-0000-0000-00004F000000}"/>
    <cellStyle name="20% - Accent2 16 3" xfId="92" xr:uid="{00000000-0005-0000-0000-000050000000}"/>
    <cellStyle name="20% - Accent2 16 4" xfId="93" xr:uid="{00000000-0005-0000-0000-000051000000}"/>
    <cellStyle name="20% - Accent2 16 5" xfId="94" xr:uid="{00000000-0005-0000-0000-000052000000}"/>
    <cellStyle name="20% - Accent2 17" xfId="95" xr:uid="{00000000-0005-0000-0000-000053000000}"/>
    <cellStyle name="20% - Accent2 17 2" xfId="96" xr:uid="{00000000-0005-0000-0000-000054000000}"/>
    <cellStyle name="20% - Accent2 17 3" xfId="97" xr:uid="{00000000-0005-0000-0000-000055000000}"/>
    <cellStyle name="20% - Accent2 17 4" xfId="98" xr:uid="{00000000-0005-0000-0000-000056000000}"/>
    <cellStyle name="20% - Accent2 17 5" xfId="99" xr:uid="{00000000-0005-0000-0000-000057000000}"/>
    <cellStyle name="20% - Accent2 18" xfId="100" xr:uid="{00000000-0005-0000-0000-000058000000}"/>
    <cellStyle name="20% - Accent2 19" xfId="101" xr:uid="{00000000-0005-0000-0000-000059000000}"/>
    <cellStyle name="20% - Accent2 2" xfId="102" xr:uid="{00000000-0005-0000-0000-00005A000000}"/>
    <cellStyle name="20% - Accent2 2 10" xfId="103" xr:uid="{00000000-0005-0000-0000-00005B000000}"/>
    <cellStyle name="20% - Accent2 2 2" xfId="104" xr:uid="{00000000-0005-0000-0000-00005C000000}"/>
    <cellStyle name="20% - Accent2 2 2 2" xfId="105" xr:uid="{00000000-0005-0000-0000-00005D000000}"/>
    <cellStyle name="20% - Accent2 2 2 2 2" xfId="106" xr:uid="{00000000-0005-0000-0000-00005E000000}"/>
    <cellStyle name="20% - Accent2 2 2 2 2 2" xfId="107" xr:uid="{00000000-0005-0000-0000-00005F000000}"/>
    <cellStyle name="20% - Accent2 2 2 2 2 3" xfId="108" xr:uid="{00000000-0005-0000-0000-000060000000}"/>
    <cellStyle name="20% - Accent2 2 2 2 3" xfId="109" xr:uid="{00000000-0005-0000-0000-000061000000}"/>
    <cellStyle name="20% - Accent2 2 2 2 4" xfId="110" xr:uid="{00000000-0005-0000-0000-000062000000}"/>
    <cellStyle name="20% - Accent2 2 2 2 5" xfId="111" xr:uid="{00000000-0005-0000-0000-000063000000}"/>
    <cellStyle name="20% - Accent2 2 2 2 6" xfId="112" xr:uid="{00000000-0005-0000-0000-000064000000}"/>
    <cellStyle name="20% - Accent2 2 2 3" xfId="113" xr:uid="{00000000-0005-0000-0000-000065000000}"/>
    <cellStyle name="20% - Accent2 2 2 4" xfId="114" xr:uid="{00000000-0005-0000-0000-000066000000}"/>
    <cellStyle name="20% - Accent2 2 2 5" xfId="115" xr:uid="{00000000-0005-0000-0000-000067000000}"/>
    <cellStyle name="20% - Accent2 2 2 6" xfId="116" xr:uid="{00000000-0005-0000-0000-000068000000}"/>
    <cellStyle name="20% - Accent2 2 3" xfId="117" xr:uid="{00000000-0005-0000-0000-000069000000}"/>
    <cellStyle name="20% - Accent2 2 4" xfId="118" xr:uid="{00000000-0005-0000-0000-00006A000000}"/>
    <cellStyle name="20% - Accent2 2 5" xfId="119" xr:uid="{00000000-0005-0000-0000-00006B000000}"/>
    <cellStyle name="20% - Accent2 2 6" xfId="120" xr:uid="{00000000-0005-0000-0000-00006C000000}"/>
    <cellStyle name="20% - Accent2 2 7" xfId="121" xr:uid="{00000000-0005-0000-0000-00006D000000}"/>
    <cellStyle name="20% - Accent2 2 8" xfId="122" xr:uid="{00000000-0005-0000-0000-00006E000000}"/>
    <cellStyle name="20% - Accent2 2 9" xfId="123" xr:uid="{00000000-0005-0000-0000-00006F000000}"/>
    <cellStyle name="20% - Accent2 20" xfId="124" xr:uid="{00000000-0005-0000-0000-000070000000}"/>
    <cellStyle name="20% - Accent2 21" xfId="125" xr:uid="{00000000-0005-0000-0000-000071000000}"/>
    <cellStyle name="20% - Accent2 22" xfId="126" xr:uid="{00000000-0005-0000-0000-000072000000}"/>
    <cellStyle name="20% - Accent2 23" xfId="127" xr:uid="{00000000-0005-0000-0000-000073000000}"/>
    <cellStyle name="20% - Accent2 24" xfId="128" xr:uid="{00000000-0005-0000-0000-000074000000}"/>
    <cellStyle name="20% - Accent2 25" xfId="129" xr:uid="{00000000-0005-0000-0000-000075000000}"/>
    <cellStyle name="20% - Accent2 26" xfId="130" xr:uid="{00000000-0005-0000-0000-000076000000}"/>
    <cellStyle name="20% - Accent2 27" xfId="131" xr:uid="{00000000-0005-0000-0000-000077000000}"/>
    <cellStyle name="20% - Accent2 28" xfId="132" xr:uid="{00000000-0005-0000-0000-000078000000}"/>
    <cellStyle name="20% - Accent2 29" xfId="133" xr:uid="{00000000-0005-0000-0000-000079000000}"/>
    <cellStyle name="20% - Accent2 3" xfId="134" xr:uid="{00000000-0005-0000-0000-00007A000000}"/>
    <cellStyle name="20% - Accent2 30" xfId="135" xr:uid="{00000000-0005-0000-0000-00007B000000}"/>
    <cellStyle name="20% - Accent2 31" xfId="136" xr:uid="{00000000-0005-0000-0000-00007C000000}"/>
    <cellStyle name="20% - Accent2 32" xfId="137" xr:uid="{00000000-0005-0000-0000-00007D000000}"/>
    <cellStyle name="20% - Accent2 33" xfId="138" xr:uid="{00000000-0005-0000-0000-00007E000000}"/>
    <cellStyle name="20% - Accent2 34" xfId="139" xr:uid="{00000000-0005-0000-0000-00007F000000}"/>
    <cellStyle name="20% - Accent2 35" xfId="140" xr:uid="{00000000-0005-0000-0000-000080000000}"/>
    <cellStyle name="20% - Accent2 36" xfId="141" xr:uid="{00000000-0005-0000-0000-000081000000}"/>
    <cellStyle name="20% - Accent2 4" xfId="142" xr:uid="{00000000-0005-0000-0000-000082000000}"/>
    <cellStyle name="20% - Accent2 5" xfId="143" xr:uid="{00000000-0005-0000-0000-000083000000}"/>
    <cellStyle name="20% - Accent2 6" xfId="144" xr:uid="{00000000-0005-0000-0000-000084000000}"/>
    <cellStyle name="20% - Accent2 7" xfId="145" xr:uid="{00000000-0005-0000-0000-000085000000}"/>
    <cellStyle name="20% - Accent2 8" xfId="146" xr:uid="{00000000-0005-0000-0000-000086000000}"/>
    <cellStyle name="20% - Accent2 9" xfId="147" xr:uid="{00000000-0005-0000-0000-000087000000}"/>
    <cellStyle name="20% - Accent3 10" xfId="148" xr:uid="{00000000-0005-0000-0000-000088000000}"/>
    <cellStyle name="20% - Accent3 11" xfId="149" xr:uid="{00000000-0005-0000-0000-000089000000}"/>
    <cellStyle name="20% - Accent3 12" xfId="150" xr:uid="{00000000-0005-0000-0000-00008A000000}"/>
    <cellStyle name="20% - Accent3 13" xfId="151" xr:uid="{00000000-0005-0000-0000-00008B000000}"/>
    <cellStyle name="20% - Accent3 14" xfId="152" xr:uid="{00000000-0005-0000-0000-00008C000000}"/>
    <cellStyle name="20% - Accent3 15" xfId="153" xr:uid="{00000000-0005-0000-0000-00008D000000}"/>
    <cellStyle name="20% - Accent3 15 2" xfId="154" xr:uid="{00000000-0005-0000-0000-00008E000000}"/>
    <cellStyle name="20% - Accent3 15 3" xfId="155" xr:uid="{00000000-0005-0000-0000-00008F000000}"/>
    <cellStyle name="20% - Accent3 15 4" xfId="156" xr:uid="{00000000-0005-0000-0000-000090000000}"/>
    <cellStyle name="20% - Accent3 15 5" xfId="157" xr:uid="{00000000-0005-0000-0000-000091000000}"/>
    <cellStyle name="20% - Accent3 16" xfId="158" xr:uid="{00000000-0005-0000-0000-000092000000}"/>
    <cellStyle name="20% - Accent3 16 2" xfId="159" xr:uid="{00000000-0005-0000-0000-000093000000}"/>
    <cellStyle name="20% - Accent3 16 3" xfId="160" xr:uid="{00000000-0005-0000-0000-000094000000}"/>
    <cellStyle name="20% - Accent3 16 4" xfId="161" xr:uid="{00000000-0005-0000-0000-000095000000}"/>
    <cellStyle name="20% - Accent3 16 5" xfId="162" xr:uid="{00000000-0005-0000-0000-000096000000}"/>
    <cellStyle name="20% - Accent3 17" xfId="163" xr:uid="{00000000-0005-0000-0000-000097000000}"/>
    <cellStyle name="20% - Accent3 17 2" xfId="164" xr:uid="{00000000-0005-0000-0000-000098000000}"/>
    <cellStyle name="20% - Accent3 17 3" xfId="165" xr:uid="{00000000-0005-0000-0000-000099000000}"/>
    <cellStyle name="20% - Accent3 17 4" xfId="166" xr:uid="{00000000-0005-0000-0000-00009A000000}"/>
    <cellStyle name="20% - Accent3 17 5" xfId="167" xr:uid="{00000000-0005-0000-0000-00009B000000}"/>
    <cellStyle name="20% - Accent3 18" xfId="168" xr:uid="{00000000-0005-0000-0000-00009C000000}"/>
    <cellStyle name="20% - Accent3 19" xfId="169" xr:uid="{00000000-0005-0000-0000-00009D000000}"/>
    <cellStyle name="20% - Accent3 2" xfId="170" xr:uid="{00000000-0005-0000-0000-00009E000000}"/>
    <cellStyle name="20% - Accent3 2 10" xfId="171" xr:uid="{00000000-0005-0000-0000-00009F000000}"/>
    <cellStyle name="20% - Accent3 2 2" xfId="172" xr:uid="{00000000-0005-0000-0000-0000A0000000}"/>
    <cellStyle name="20% - Accent3 2 2 2" xfId="173" xr:uid="{00000000-0005-0000-0000-0000A1000000}"/>
    <cellStyle name="20% - Accent3 2 2 2 2" xfId="174" xr:uid="{00000000-0005-0000-0000-0000A2000000}"/>
    <cellStyle name="20% - Accent3 2 2 2 2 2" xfId="175" xr:uid="{00000000-0005-0000-0000-0000A3000000}"/>
    <cellStyle name="20% - Accent3 2 2 2 2 3" xfId="176" xr:uid="{00000000-0005-0000-0000-0000A4000000}"/>
    <cellStyle name="20% - Accent3 2 2 2 3" xfId="177" xr:uid="{00000000-0005-0000-0000-0000A5000000}"/>
    <cellStyle name="20% - Accent3 2 2 2 4" xfId="178" xr:uid="{00000000-0005-0000-0000-0000A6000000}"/>
    <cellStyle name="20% - Accent3 2 2 2 5" xfId="179" xr:uid="{00000000-0005-0000-0000-0000A7000000}"/>
    <cellStyle name="20% - Accent3 2 2 2 6" xfId="180" xr:uid="{00000000-0005-0000-0000-0000A8000000}"/>
    <cellStyle name="20% - Accent3 2 2 3" xfId="181" xr:uid="{00000000-0005-0000-0000-0000A9000000}"/>
    <cellStyle name="20% - Accent3 2 2 4" xfId="182" xr:uid="{00000000-0005-0000-0000-0000AA000000}"/>
    <cellStyle name="20% - Accent3 2 2 5" xfId="183" xr:uid="{00000000-0005-0000-0000-0000AB000000}"/>
    <cellStyle name="20% - Accent3 2 2 6" xfId="184" xr:uid="{00000000-0005-0000-0000-0000AC000000}"/>
    <cellStyle name="20% - Accent3 2 3" xfId="185" xr:uid="{00000000-0005-0000-0000-0000AD000000}"/>
    <cellStyle name="20% - Accent3 2 4" xfId="186" xr:uid="{00000000-0005-0000-0000-0000AE000000}"/>
    <cellStyle name="20% - Accent3 2 5" xfId="187" xr:uid="{00000000-0005-0000-0000-0000AF000000}"/>
    <cellStyle name="20% - Accent3 2 6" xfId="188" xr:uid="{00000000-0005-0000-0000-0000B0000000}"/>
    <cellStyle name="20% - Accent3 2 7" xfId="189" xr:uid="{00000000-0005-0000-0000-0000B1000000}"/>
    <cellStyle name="20% - Accent3 2 8" xfId="190" xr:uid="{00000000-0005-0000-0000-0000B2000000}"/>
    <cellStyle name="20% - Accent3 2 9" xfId="191" xr:uid="{00000000-0005-0000-0000-0000B3000000}"/>
    <cellStyle name="20% - Accent3 20" xfId="192" xr:uid="{00000000-0005-0000-0000-0000B4000000}"/>
    <cellStyle name="20% - Accent3 21" xfId="193" xr:uid="{00000000-0005-0000-0000-0000B5000000}"/>
    <cellStyle name="20% - Accent3 22" xfId="194" xr:uid="{00000000-0005-0000-0000-0000B6000000}"/>
    <cellStyle name="20% - Accent3 23" xfId="195" xr:uid="{00000000-0005-0000-0000-0000B7000000}"/>
    <cellStyle name="20% - Accent3 24" xfId="196" xr:uid="{00000000-0005-0000-0000-0000B8000000}"/>
    <cellStyle name="20% - Accent3 25" xfId="197" xr:uid="{00000000-0005-0000-0000-0000B9000000}"/>
    <cellStyle name="20% - Accent3 26" xfId="198" xr:uid="{00000000-0005-0000-0000-0000BA000000}"/>
    <cellStyle name="20% - Accent3 27" xfId="199" xr:uid="{00000000-0005-0000-0000-0000BB000000}"/>
    <cellStyle name="20% - Accent3 28" xfId="200" xr:uid="{00000000-0005-0000-0000-0000BC000000}"/>
    <cellStyle name="20% - Accent3 29" xfId="201" xr:uid="{00000000-0005-0000-0000-0000BD000000}"/>
    <cellStyle name="20% - Accent3 3" xfId="202" xr:uid="{00000000-0005-0000-0000-0000BE000000}"/>
    <cellStyle name="20% - Accent3 30" xfId="203" xr:uid="{00000000-0005-0000-0000-0000BF000000}"/>
    <cellStyle name="20% - Accent3 31" xfId="204" xr:uid="{00000000-0005-0000-0000-0000C0000000}"/>
    <cellStyle name="20% - Accent3 32" xfId="205" xr:uid="{00000000-0005-0000-0000-0000C1000000}"/>
    <cellStyle name="20% - Accent3 33" xfId="206" xr:uid="{00000000-0005-0000-0000-0000C2000000}"/>
    <cellStyle name="20% - Accent3 34" xfId="207" xr:uid="{00000000-0005-0000-0000-0000C3000000}"/>
    <cellStyle name="20% - Accent3 35" xfId="208" xr:uid="{00000000-0005-0000-0000-0000C4000000}"/>
    <cellStyle name="20% - Accent3 36" xfId="209" xr:uid="{00000000-0005-0000-0000-0000C5000000}"/>
    <cellStyle name="20% - Accent3 4" xfId="210" xr:uid="{00000000-0005-0000-0000-0000C6000000}"/>
    <cellStyle name="20% - Accent3 5" xfId="211" xr:uid="{00000000-0005-0000-0000-0000C7000000}"/>
    <cellStyle name="20% - Accent3 6" xfId="212" xr:uid="{00000000-0005-0000-0000-0000C8000000}"/>
    <cellStyle name="20% - Accent3 7" xfId="213" xr:uid="{00000000-0005-0000-0000-0000C9000000}"/>
    <cellStyle name="20% - Accent3 8" xfId="214" xr:uid="{00000000-0005-0000-0000-0000CA000000}"/>
    <cellStyle name="20% - Accent3 9" xfId="215" xr:uid="{00000000-0005-0000-0000-0000CB000000}"/>
    <cellStyle name="20% - Accent4 10" xfId="216" xr:uid="{00000000-0005-0000-0000-0000CC000000}"/>
    <cellStyle name="20% - Accent4 11" xfId="217" xr:uid="{00000000-0005-0000-0000-0000CD000000}"/>
    <cellStyle name="20% - Accent4 12" xfId="218" xr:uid="{00000000-0005-0000-0000-0000CE000000}"/>
    <cellStyle name="20% - Accent4 13" xfId="219" xr:uid="{00000000-0005-0000-0000-0000CF000000}"/>
    <cellStyle name="20% - Accent4 14" xfId="220" xr:uid="{00000000-0005-0000-0000-0000D0000000}"/>
    <cellStyle name="20% - Accent4 15" xfId="221" xr:uid="{00000000-0005-0000-0000-0000D1000000}"/>
    <cellStyle name="20% - Accent4 15 2" xfId="222" xr:uid="{00000000-0005-0000-0000-0000D2000000}"/>
    <cellStyle name="20% - Accent4 15 3" xfId="223" xr:uid="{00000000-0005-0000-0000-0000D3000000}"/>
    <cellStyle name="20% - Accent4 15 4" xfId="224" xr:uid="{00000000-0005-0000-0000-0000D4000000}"/>
    <cellStyle name="20% - Accent4 15 5" xfId="225" xr:uid="{00000000-0005-0000-0000-0000D5000000}"/>
    <cellStyle name="20% - Accent4 16" xfId="226" xr:uid="{00000000-0005-0000-0000-0000D6000000}"/>
    <cellStyle name="20% - Accent4 16 2" xfId="227" xr:uid="{00000000-0005-0000-0000-0000D7000000}"/>
    <cellStyle name="20% - Accent4 16 3" xfId="228" xr:uid="{00000000-0005-0000-0000-0000D8000000}"/>
    <cellStyle name="20% - Accent4 16 4" xfId="229" xr:uid="{00000000-0005-0000-0000-0000D9000000}"/>
    <cellStyle name="20% - Accent4 16 5" xfId="230" xr:uid="{00000000-0005-0000-0000-0000DA000000}"/>
    <cellStyle name="20% - Accent4 17" xfId="231" xr:uid="{00000000-0005-0000-0000-0000DB000000}"/>
    <cellStyle name="20% - Accent4 17 2" xfId="232" xr:uid="{00000000-0005-0000-0000-0000DC000000}"/>
    <cellStyle name="20% - Accent4 17 3" xfId="233" xr:uid="{00000000-0005-0000-0000-0000DD000000}"/>
    <cellStyle name="20% - Accent4 17 4" xfId="234" xr:uid="{00000000-0005-0000-0000-0000DE000000}"/>
    <cellStyle name="20% - Accent4 17 5" xfId="235" xr:uid="{00000000-0005-0000-0000-0000DF000000}"/>
    <cellStyle name="20% - Accent4 18" xfId="236" xr:uid="{00000000-0005-0000-0000-0000E0000000}"/>
    <cellStyle name="20% - Accent4 19" xfId="237" xr:uid="{00000000-0005-0000-0000-0000E1000000}"/>
    <cellStyle name="20% - Accent4 2" xfId="238" xr:uid="{00000000-0005-0000-0000-0000E2000000}"/>
    <cellStyle name="20% - Accent4 2 10" xfId="239" xr:uid="{00000000-0005-0000-0000-0000E3000000}"/>
    <cellStyle name="20% - Accent4 2 2" xfId="240" xr:uid="{00000000-0005-0000-0000-0000E4000000}"/>
    <cellStyle name="20% - Accent4 2 2 2" xfId="241" xr:uid="{00000000-0005-0000-0000-0000E5000000}"/>
    <cellStyle name="20% - Accent4 2 2 2 2" xfId="242" xr:uid="{00000000-0005-0000-0000-0000E6000000}"/>
    <cellStyle name="20% - Accent4 2 2 2 2 2" xfId="243" xr:uid="{00000000-0005-0000-0000-0000E7000000}"/>
    <cellStyle name="20% - Accent4 2 2 2 2 3" xfId="244" xr:uid="{00000000-0005-0000-0000-0000E8000000}"/>
    <cellStyle name="20% - Accent4 2 2 2 3" xfId="245" xr:uid="{00000000-0005-0000-0000-0000E9000000}"/>
    <cellStyle name="20% - Accent4 2 2 2 4" xfId="246" xr:uid="{00000000-0005-0000-0000-0000EA000000}"/>
    <cellStyle name="20% - Accent4 2 2 2 5" xfId="247" xr:uid="{00000000-0005-0000-0000-0000EB000000}"/>
    <cellStyle name="20% - Accent4 2 2 2 6" xfId="248" xr:uid="{00000000-0005-0000-0000-0000EC000000}"/>
    <cellStyle name="20% - Accent4 2 2 3" xfId="249" xr:uid="{00000000-0005-0000-0000-0000ED000000}"/>
    <cellStyle name="20% - Accent4 2 2 4" xfId="250" xr:uid="{00000000-0005-0000-0000-0000EE000000}"/>
    <cellStyle name="20% - Accent4 2 2 5" xfId="251" xr:uid="{00000000-0005-0000-0000-0000EF000000}"/>
    <cellStyle name="20% - Accent4 2 2 6" xfId="252" xr:uid="{00000000-0005-0000-0000-0000F0000000}"/>
    <cellStyle name="20% - Accent4 2 3" xfId="253" xr:uid="{00000000-0005-0000-0000-0000F1000000}"/>
    <cellStyle name="20% - Accent4 2 4" xfId="254" xr:uid="{00000000-0005-0000-0000-0000F2000000}"/>
    <cellStyle name="20% - Accent4 2 5" xfId="255" xr:uid="{00000000-0005-0000-0000-0000F3000000}"/>
    <cellStyle name="20% - Accent4 2 6" xfId="256" xr:uid="{00000000-0005-0000-0000-0000F4000000}"/>
    <cellStyle name="20% - Accent4 2 7" xfId="257" xr:uid="{00000000-0005-0000-0000-0000F5000000}"/>
    <cellStyle name="20% - Accent4 2 8" xfId="258" xr:uid="{00000000-0005-0000-0000-0000F6000000}"/>
    <cellStyle name="20% - Accent4 2 9" xfId="259" xr:uid="{00000000-0005-0000-0000-0000F7000000}"/>
    <cellStyle name="20% - Accent4 20" xfId="260" xr:uid="{00000000-0005-0000-0000-0000F8000000}"/>
    <cellStyle name="20% - Accent4 21" xfId="261" xr:uid="{00000000-0005-0000-0000-0000F9000000}"/>
    <cellStyle name="20% - Accent4 22" xfId="262" xr:uid="{00000000-0005-0000-0000-0000FA000000}"/>
    <cellStyle name="20% - Accent4 23" xfId="263" xr:uid="{00000000-0005-0000-0000-0000FB000000}"/>
    <cellStyle name="20% - Accent4 24" xfId="264" xr:uid="{00000000-0005-0000-0000-0000FC000000}"/>
    <cellStyle name="20% - Accent4 25" xfId="265" xr:uid="{00000000-0005-0000-0000-0000FD000000}"/>
    <cellStyle name="20% - Accent4 26" xfId="266" xr:uid="{00000000-0005-0000-0000-0000FE000000}"/>
    <cellStyle name="20% - Accent4 27" xfId="267" xr:uid="{00000000-0005-0000-0000-0000FF000000}"/>
    <cellStyle name="20% - Accent4 28" xfId="268" xr:uid="{00000000-0005-0000-0000-000000010000}"/>
    <cellStyle name="20% - Accent4 29" xfId="269" xr:uid="{00000000-0005-0000-0000-000001010000}"/>
    <cellStyle name="20% - Accent4 3" xfId="270" xr:uid="{00000000-0005-0000-0000-000002010000}"/>
    <cellStyle name="20% - Accent4 30" xfId="271" xr:uid="{00000000-0005-0000-0000-000003010000}"/>
    <cellStyle name="20% - Accent4 31" xfId="272" xr:uid="{00000000-0005-0000-0000-000004010000}"/>
    <cellStyle name="20% - Accent4 32" xfId="273" xr:uid="{00000000-0005-0000-0000-000005010000}"/>
    <cellStyle name="20% - Accent4 33" xfId="274" xr:uid="{00000000-0005-0000-0000-000006010000}"/>
    <cellStyle name="20% - Accent4 34" xfId="275" xr:uid="{00000000-0005-0000-0000-000007010000}"/>
    <cellStyle name="20% - Accent4 35" xfId="276" xr:uid="{00000000-0005-0000-0000-000008010000}"/>
    <cellStyle name="20% - Accent4 36" xfId="277" xr:uid="{00000000-0005-0000-0000-000009010000}"/>
    <cellStyle name="20% - Accent4 4" xfId="278" xr:uid="{00000000-0005-0000-0000-00000A010000}"/>
    <cellStyle name="20% - Accent4 5" xfId="279" xr:uid="{00000000-0005-0000-0000-00000B010000}"/>
    <cellStyle name="20% - Accent4 6" xfId="280" xr:uid="{00000000-0005-0000-0000-00000C010000}"/>
    <cellStyle name="20% - Accent4 7" xfId="281" xr:uid="{00000000-0005-0000-0000-00000D010000}"/>
    <cellStyle name="20% - Accent4 8" xfId="282" xr:uid="{00000000-0005-0000-0000-00000E010000}"/>
    <cellStyle name="20% - Accent4 9" xfId="283" xr:uid="{00000000-0005-0000-0000-00000F010000}"/>
    <cellStyle name="20% - Accent5 10" xfId="284" xr:uid="{00000000-0005-0000-0000-000010010000}"/>
    <cellStyle name="20% - Accent5 11" xfId="285" xr:uid="{00000000-0005-0000-0000-000011010000}"/>
    <cellStyle name="20% - Accent5 12" xfId="286" xr:uid="{00000000-0005-0000-0000-000012010000}"/>
    <cellStyle name="20% - Accent5 13" xfId="287" xr:uid="{00000000-0005-0000-0000-000013010000}"/>
    <cellStyle name="20% - Accent5 14" xfId="288" xr:uid="{00000000-0005-0000-0000-000014010000}"/>
    <cellStyle name="20% - Accent5 15" xfId="289" xr:uid="{00000000-0005-0000-0000-000015010000}"/>
    <cellStyle name="20% - Accent5 15 2" xfId="290" xr:uid="{00000000-0005-0000-0000-000016010000}"/>
    <cellStyle name="20% - Accent5 15 3" xfId="291" xr:uid="{00000000-0005-0000-0000-000017010000}"/>
    <cellStyle name="20% - Accent5 15 4" xfId="292" xr:uid="{00000000-0005-0000-0000-000018010000}"/>
    <cellStyle name="20% - Accent5 15 5" xfId="293" xr:uid="{00000000-0005-0000-0000-000019010000}"/>
    <cellStyle name="20% - Accent5 16" xfId="294" xr:uid="{00000000-0005-0000-0000-00001A010000}"/>
    <cellStyle name="20% - Accent5 16 2" xfId="295" xr:uid="{00000000-0005-0000-0000-00001B010000}"/>
    <cellStyle name="20% - Accent5 16 3" xfId="296" xr:uid="{00000000-0005-0000-0000-00001C010000}"/>
    <cellStyle name="20% - Accent5 16 4" xfId="297" xr:uid="{00000000-0005-0000-0000-00001D010000}"/>
    <cellStyle name="20% - Accent5 16 5" xfId="298" xr:uid="{00000000-0005-0000-0000-00001E010000}"/>
    <cellStyle name="20% - Accent5 17" xfId="299" xr:uid="{00000000-0005-0000-0000-00001F010000}"/>
    <cellStyle name="20% - Accent5 17 2" xfId="300" xr:uid="{00000000-0005-0000-0000-000020010000}"/>
    <cellStyle name="20% - Accent5 17 3" xfId="301" xr:uid="{00000000-0005-0000-0000-000021010000}"/>
    <cellStyle name="20% - Accent5 17 4" xfId="302" xr:uid="{00000000-0005-0000-0000-000022010000}"/>
    <cellStyle name="20% - Accent5 17 5" xfId="303" xr:uid="{00000000-0005-0000-0000-000023010000}"/>
    <cellStyle name="20% - Accent5 18" xfId="304" xr:uid="{00000000-0005-0000-0000-000024010000}"/>
    <cellStyle name="20% - Accent5 19" xfId="305" xr:uid="{00000000-0005-0000-0000-000025010000}"/>
    <cellStyle name="20% - Accent5 2" xfId="306" xr:uid="{00000000-0005-0000-0000-000026010000}"/>
    <cellStyle name="20% - Accent5 2 10" xfId="307" xr:uid="{00000000-0005-0000-0000-000027010000}"/>
    <cellStyle name="20% - Accent5 2 2" xfId="308" xr:uid="{00000000-0005-0000-0000-000028010000}"/>
    <cellStyle name="20% - Accent5 2 2 2" xfId="309" xr:uid="{00000000-0005-0000-0000-000029010000}"/>
    <cellStyle name="20% - Accent5 2 2 2 2" xfId="310" xr:uid="{00000000-0005-0000-0000-00002A010000}"/>
    <cellStyle name="20% - Accent5 2 2 2 2 2" xfId="311" xr:uid="{00000000-0005-0000-0000-00002B010000}"/>
    <cellStyle name="20% - Accent5 2 2 2 2 3" xfId="312" xr:uid="{00000000-0005-0000-0000-00002C010000}"/>
    <cellStyle name="20% - Accent5 2 2 2 3" xfId="313" xr:uid="{00000000-0005-0000-0000-00002D010000}"/>
    <cellStyle name="20% - Accent5 2 2 2 4" xfId="314" xr:uid="{00000000-0005-0000-0000-00002E010000}"/>
    <cellStyle name="20% - Accent5 2 2 2 5" xfId="315" xr:uid="{00000000-0005-0000-0000-00002F010000}"/>
    <cellStyle name="20% - Accent5 2 2 2 6" xfId="316" xr:uid="{00000000-0005-0000-0000-000030010000}"/>
    <cellStyle name="20% - Accent5 2 2 3" xfId="317" xr:uid="{00000000-0005-0000-0000-000031010000}"/>
    <cellStyle name="20% - Accent5 2 2 4" xfId="318" xr:uid="{00000000-0005-0000-0000-000032010000}"/>
    <cellStyle name="20% - Accent5 2 2 5" xfId="319" xr:uid="{00000000-0005-0000-0000-000033010000}"/>
    <cellStyle name="20% - Accent5 2 2 6" xfId="320" xr:uid="{00000000-0005-0000-0000-000034010000}"/>
    <cellStyle name="20% - Accent5 2 3" xfId="321" xr:uid="{00000000-0005-0000-0000-000035010000}"/>
    <cellStyle name="20% - Accent5 2 4" xfId="322" xr:uid="{00000000-0005-0000-0000-000036010000}"/>
    <cellStyle name="20% - Accent5 2 5" xfId="323" xr:uid="{00000000-0005-0000-0000-000037010000}"/>
    <cellStyle name="20% - Accent5 2 6" xfId="324" xr:uid="{00000000-0005-0000-0000-000038010000}"/>
    <cellStyle name="20% - Accent5 2 7" xfId="325" xr:uid="{00000000-0005-0000-0000-000039010000}"/>
    <cellStyle name="20% - Accent5 2 8" xfId="326" xr:uid="{00000000-0005-0000-0000-00003A010000}"/>
    <cellStyle name="20% - Accent5 2 9" xfId="327" xr:uid="{00000000-0005-0000-0000-00003B010000}"/>
    <cellStyle name="20% - Accent5 20" xfId="328" xr:uid="{00000000-0005-0000-0000-00003C010000}"/>
    <cellStyle name="20% - Accent5 21" xfId="329" xr:uid="{00000000-0005-0000-0000-00003D010000}"/>
    <cellStyle name="20% - Accent5 22" xfId="330" xr:uid="{00000000-0005-0000-0000-00003E010000}"/>
    <cellStyle name="20% - Accent5 23" xfId="331" xr:uid="{00000000-0005-0000-0000-00003F010000}"/>
    <cellStyle name="20% - Accent5 24" xfId="332" xr:uid="{00000000-0005-0000-0000-000040010000}"/>
    <cellStyle name="20% - Accent5 25" xfId="333" xr:uid="{00000000-0005-0000-0000-000041010000}"/>
    <cellStyle name="20% - Accent5 26" xfId="334" xr:uid="{00000000-0005-0000-0000-000042010000}"/>
    <cellStyle name="20% - Accent5 27" xfId="335" xr:uid="{00000000-0005-0000-0000-000043010000}"/>
    <cellStyle name="20% - Accent5 28" xfId="336" xr:uid="{00000000-0005-0000-0000-000044010000}"/>
    <cellStyle name="20% - Accent5 29" xfId="337" xr:uid="{00000000-0005-0000-0000-000045010000}"/>
    <cellStyle name="20% - Accent5 3" xfId="338" xr:uid="{00000000-0005-0000-0000-000046010000}"/>
    <cellStyle name="20% - Accent5 30" xfId="339" xr:uid="{00000000-0005-0000-0000-000047010000}"/>
    <cellStyle name="20% - Accent5 31" xfId="340" xr:uid="{00000000-0005-0000-0000-000048010000}"/>
    <cellStyle name="20% - Accent5 32" xfId="341" xr:uid="{00000000-0005-0000-0000-000049010000}"/>
    <cellStyle name="20% - Accent5 33" xfId="342" xr:uid="{00000000-0005-0000-0000-00004A010000}"/>
    <cellStyle name="20% - Accent5 34" xfId="343" xr:uid="{00000000-0005-0000-0000-00004B010000}"/>
    <cellStyle name="20% - Accent5 35" xfId="344" xr:uid="{00000000-0005-0000-0000-00004C010000}"/>
    <cellStyle name="20% - Accent5 36" xfId="345" xr:uid="{00000000-0005-0000-0000-00004D010000}"/>
    <cellStyle name="20% - Accent5 4" xfId="346" xr:uid="{00000000-0005-0000-0000-00004E010000}"/>
    <cellStyle name="20% - Accent5 5" xfId="347" xr:uid="{00000000-0005-0000-0000-00004F010000}"/>
    <cellStyle name="20% - Accent5 6" xfId="348" xr:uid="{00000000-0005-0000-0000-000050010000}"/>
    <cellStyle name="20% - Accent5 7" xfId="349" xr:uid="{00000000-0005-0000-0000-000051010000}"/>
    <cellStyle name="20% - Accent5 8" xfId="350" xr:uid="{00000000-0005-0000-0000-000052010000}"/>
    <cellStyle name="20% - Accent5 9" xfId="351" xr:uid="{00000000-0005-0000-0000-000053010000}"/>
    <cellStyle name="20% - Accent6 10" xfId="352" xr:uid="{00000000-0005-0000-0000-000054010000}"/>
    <cellStyle name="20% - Accent6 11" xfId="353" xr:uid="{00000000-0005-0000-0000-000055010000}"/>
    <cellStyle name="20% - Accent6 12" xfId="354" xr:uid="{00000000-0005-0000-0000-000056010000}"/>
    <cellStyle name="20% - Accent6 13" xfId="355" xr:uid="{00000000-0005-0000-0000-000057010000}"/>
    <cellStyle name="20% - Accent6 14" xfId="356" xr:uid="{00000000-0005-0000-0000-000058010000}"/>
    <cellStyle name="20% - Accent6 15" xfId="357" xr:uid="{00000000-0005-0000-0000-000059010000}"/>
    <cellStyle name="20% - Accent6 15 2" xfId="358" xr:uid="{00000000-0005-0000-0000-00005A010000}"/>
    <cellStyle name="20% - Accent6 15 3" xfId="359" xr:uid="{00000000-0005-0000-0000-00005B010000}"/>
    <cellStyle name="20% - Accent6 15 4" xfId="360" xr:uid="{00000000-0005-0000-0000-00005C010000}"/>
    <cellStyle name="20% - Accent6 15 5" xfId="361" xr:uid="{00000000-0005-0000-0000-00005D010000}"/>
    <cellStyle name="20% - Accent6 16" xfId="362" xr:uid="{00000000-0005-0000-0000-00005E010000}"/>
    <cellStyle name="20% - Accent6 16 2" xfId="363" xr:uid="{00000000-0005-0000-0000-00005F010000}"/>
    <cellStyle name="20% - Accent6 16 3" xfId="364" xr:uid="{00000000-0005-0000-0000-000060010000}"/>
    <cellStyle name="20% - Accent6 16 4" xfId="365" xr:uid="{00000000-0005-0000-0000-000061010000}"/>
    <cellStyle name="20% - Accent6 16 5" xfId="366" xr:uid="{00000000-0005-0000-0000-000062010000}"/>
    <cellStyle name="20% - Accent6 17" xfId="367" xr:uid="{00000000-0005-0000-0000-000063010000}"/>
    <cellStyle name="20% - Accent6 17 2" xfId="368" xr:uid="{00000000-0005-0000-0000-000064010000}"/>
    <cellStyle name="20% - Accent6 17 3" xfId="369" xr:uid="{00000000-0005-0000-0000-000065010000}"/>
    <cellStyle name="20% - Accent6 17 4" xfId="370" xr:uid="{00000000-0005-0000-0000-000066010000}"/>
    <cellStyle name="20% - Accent6 17 5" xfId="371" xr:uid="{00000000-0005-0000-0000-000067010000}"/>
    <cellStyle name="20% - Accent6 18" xfId="372" xr:uid="{00000000-0005-0000-0000-000068010000}"/>
    <cellStyle name="20% - Accent6 19" xfId="373" xr:uid="{00000000-0005-0000-0000-000069010000}"/>
    <cellStyle name="20% - Accent6 2" xfId="374" xr:uid="{00000000-0005-0000-0000-00006A010000}"/>
    <cellStyle name="20% - Accent6 2 10" xfId="375" xr:uid="{00000000-0005-0000-0000-00006B010000}"/>
    <cellStyle name="20% - Accent6 2 2" xfId="376" xr:uid="{00000000-0005-0000-0000-00006C010000}"/>
    <cellStyle name="20% - Accent6 2 2 2" xfId="377" xr:uid="{00000000-0005-0000-0000-00006D010000}"/>
    <cellStyle name="20% - Accent6 2 2 2 2" xfId="378" xr:uid="{00000000-0005-0000-0000-00006E010000}"/>
    <cellStyle name="20% - Accent6 2 2 2 2 2" xfId="379" xr:uid="{00000000-0005-0000-0000-00006F010000}"/>
    <cellStyle name="20% - Accent6 2 2 2 2 3" xfId="380" xr:uid="{00000000-0005-0000-0000-000070010000}"/>
    <cellStyle name="20% - Accent6 2 2 2 3" xfId="381" xr:uid="{00000000-0005-0000-0000-000071010000}"/>
    <cellStyle name="20% - Accent6 2 2 2 4" xfId="382" xr:uid="{00000000-0005-0000-0000-000072010000}"/>
    <cellStyle name="20% - Accent6 2 2 2 5" xfId="383" xr:uid="{00000000-0005-0000-0000-000073010000}"/>
    <cellStyle name="20% - Accent6 2 2 2 6" xfId="384" xr:uid="{00000000-0005-0000-0000-000074010000}"/>
    <cellStyle name="20% - Accent6 2 2 3" xfId="385" xr:uid="{00000000-0005-0000-0000-000075010000}"/>
    <cellStyle name="20% - Accent6 2 2 4" xfId="386" xr:uid="{00000000-0005-0000-0000-000076010000}"/>
    <cellStyle name="20% - Accent6 2 2 5" xfId="387" xr:uid="{00000000-0005-0000-0000-000077010000}"/>
    <cellStyle name="20% - Accent6 2 2 6" xfId="388" xr:uid="{00000000-0005-0000-0000-000078010000}"/>
    <cellStyle name="20% - Accent6 2 3" xfId="389" xr:uid="{00000000-0005-0000-0000-000079010000}"/>
    <cellStyle name="20% - Accent6 2 4" xfId="390" xr:uid="{00000000-0005-0000-0000-00007A010000}"/>
    <cellStyle name="20% - Accent6 2 5" xfId="391" xr:uid="{00000000-0005-0000-0000-00007B010000}"/>
    <cellStyle name="20% - Accent6 2 6" xfId="392" xr:uid="{00000000-0005-0000-0000-00007C010000}"/>
    <cellStyle name="20% - Accent6 2 7" xfId="393" xr:uid="{00000000-0005-0000-0000-00007D010000}"/>
    <cellStyle name="20% - Accent6 2 8" xfId="394" xr:uid="{00000000-0005-0000-0000-00007E010000}"/>
    <cellStyle name="20% - Accent6 2 9" xfId="395" xr:uid="{00000000-0005-0000-0000-00007F010000}"/>
    <cellStyle name="20% - Accent6 20" xfId="396" xr:uid="{00000000-0005-0000-0000-000080010000}"/>
    <cellStyle name="20% - Accent6 21" xfId="397" xr:uid="{00000000-0005-0000-0000-000081010000}"/>
    <cellStyle name="20% - Accent6 22" xfId="398" xr:uid="{00000000-0005-0000-0000-000082010000}"/>
    <cellStyle name="20% - Accent6 23" xfId="399" xr:uid="{00000000-0005-0000-0000-000083010000}"/>
    <cellStyle name="20% - Accent6 24" xfId="400" xr:uid="{00000000-0005-0000-0000-000084010000}"/>
    <cellStyle name="20% - Accent6 25" xfId="401" xr:uid="{00000000-0005-0000-0000-000085010000}"/>
    <cellStyle name="20% - Accent6 26" xfId="402" xr:uid="{00000000-0005-0000-0000-000086010000}"/>
    <cellStyle name="20% - Accent6 27" xfId="403" xr:uid="{00000000-0005-0000-0000-000087010000}"/>
    <cellStyle name="20% - Accent6 28" xfId="404" xr:uid="{00000000-0005-0000-0000-000088010000}"/>
    <cellStyle name="20% - Accent6 29" xfId="405" xr:uid="{00000000-0005-0000-0000-000089010000}"/>
    <cellStyle name="20% - Accent6 3" xfId="406" xr:uid="{00000000-0005-0000-0000-00008A010000}"/>
    <cellStyle name="20% - Accent6 30" xfId="407" xr:uid="{00000000-0005-0000-0000-00008B010000}"/>
    <cellStyle name="20% - Accent6 31" xfId="408" xr:uid="{00000000-0005-0000-0000-00008C010000}"/>
    <cellStyle name="20% - Accent6 32" xfId="409" xr:uid="{00000000-0005-0000-0000-00008D010000}"/>
    <cellStyle name="20% - Accent6 33" xfId="410" xr:uid="{00000000-0005-0000-0000-00008E010000}"/>
    <cellStyle name="20% - Accent6 34" xfId="411" xr:uid="{00000000-0005-0000-0000-00008F010000}"/>
    <cellStyle name="20% - Accent6 35" xfId="412" xr:uid="{00000000-0005-0000-0000-000090010000}"/>
    <cellStyle name="20% - Accent6 36" xfId="413" xr:uid="{00000000-0005-0000-0000-000091010000}"/>
    <cellStyle name="20% - Accent6 4" xfId="414" xr:uid="{00000000-0005-0000-0000-000092010000}"/>
    <cellStyle name="20% - Accent6 5" xfId="415" xr:uid="{00000000-0005-0000-0000-000093010000}"/>
    <cellStyle name="20% - Accent6 6" xfId="416" xr:uid="{00000000-0005-0000-0000-000094010000}"/>
    <cellStyle name="20% - Accent6 7" xfId="417" xr:uid="{00000000-0005-0000-0000-000095010000}"/>
    <cellStyle name="20% - Accent6 8" xfId="418" xr:uid="{00000000-0005-0000-0000-000096010000}"/>
    <cellStyle name="20% - Accent6 9" xfId="419" xr:uid="{00000000-0005-0000-0000-000097010000}"/>
    <cellStyle name="40% - Accent1 10" xfId="420" xr:uid="{00000000-0005-0000-0000-000098010000}"/>
    <cellStyle name="40% - Accent1 11" xfId="421" xr:uid="{00000000-0005-0000-0000-000099010000}"/>
    <cellStyle name="40% - Accent1 12" xfId="422" xr:uid="{00000000-0005-0000-0000-00009A010000}"/>
    <cellStyle name="40% - Accent1 13" xfId="423" xr:uid="{00000000-0005-0000-0000-00009B010000}"/>
    <cellStyle name="40% - Accent1 14" xfId="424" xr:uid="{00000000-0005-0000-0000-00009C010000}"/>
    <cellStyle name="40% - Accent1 15" xfId="425" xr:uid="{00000000-0005-0000-0000-00009D010000}"/>
    <cellStyle name="40% - Accent1 15 2" xfId="426" xr:uid="{00000000-0005-0000-0000-00009E010000}"/>
    <cellStyle name="40% - Accent1 15 3" xfId="427" xr:uid="{00000000-0005-0000-0000-00009F010000}"/>
    <cellStyle name="40% - Accent1 15 4" xfId="428" xr:uid="{00000000-0005-0000-0000-0000A0010000}"/>
    <cellStyle name="40% - Accent1 15 5" xfId="429" xr:uid="{00000000-0005-0000-0000-0000A1010000}"/>
    <cellStyle name="40% - Accent1 16" xfId="430" xr:uid="{00000000-0005-0000-0000-0000A2010000}"/>
    <cellStyle name="40% - Accent1 16 2" xfId="431" xr:uid="{00000000-0005-0000-0000-0000A3010000}"/>
    <cellStyle name="40% - Accent1 16 3" xfId="432" xr:uid="{00000000-0005-0000-0000-0000A4010000}"/>
    <cellStyle name="40% - Accent1 16 4" xfId="433" xr:uid="{00000000-0005-0000-0000-0000A5010000}"/>
    <cellStyle name="40% - Accent1 16 5" xfId="434" xr:uid="{00000000-0005-0000-0000-0000A6010000}"/>
    <cellStyle name="40% - Accent1 17" xfId="435" xr:uid="{00000000-0005-0000-0000-0000A7010000}"/>
    <cellStyle name="40% - Accent1 17 2" xfId="436" xr:uid="{00000000-0005-0000-0000-0000A8010000}"/>
    <cellStyle name="40% - Accent1 17 3" xfId="437" xr:uid="{00000000-0005-0000-0000-0000A9010000}"/>
    <cellStyle name="40% - Accent1 17 4" xfId="438" xr:uid="{00000000-0005-0000-0000-0000AA010000}"/>
    <cellStyle name="40% - Accent1 17 5" xfId="439" xr:uid="{00000000-0005-0000-0000-0000AB010000}"/>
    <cellStyle name="40% - Accent1 18" xfId="440" xr:uid="{00000000-0005-0000-0000-0000AC010000}"/>
    <cellStyle name="40% - Accent1 19" xfId="441" xr:uid="{00000000-0005-0000-0000-0000AD010000}"/>
    <cellStyle name="40% - Accent1 2" xfId="442" xr:uid="{00000000-0005-0000-0000-0000AE010000}"/>
    <cellStyle name="40% - Accent1 2 10" xfId="443" xr:uid="{00000000-0005-0000-0000-0000AF010000}"/>
    <cellStyle name="40% - Accent1 2 2" xfId="444" xr:uid="{00000000-0005-0000-0000-0000B0010000}"/>
    <cellStyle name="40% - Accent1 2 2 2" xfId="445" xr:uid="{00000000-0005-0000-0000-0000B1010000}"/>
    <cellStyle name="40% - Accent1 2 2 2 2" xfId="446" xr:uid="{00000000-0005-0000-0000-0000B2010000}"/>
    <cellStyle name="40% - Accent1 2 2 2 2 2" xfId="447" xr:uid="{00000000-0005-0000-0000-0000B3010000}"/>
    <cellStyle name="40% - Accent1 2 2 2 2 3" xfId="448" xr:uid="{00000000-0005-0000-0000-0000B4010000}"/>
    <cellStyle name="40% - Accent1 2 2 2 3" xfId="449" xr:uid="{00000000-0005-0000-0000-0000B5010000}"/>
    <cellStyle name="40% - Accent1 2 2 2 4" xfId="450" xr:uid="{00000000-0005-0000-0000-0000B6010000}"/>
    <cellStyle name="40% - Accent1 2 2 2 5" xfId="451" xr:uid="{00000000-0005-0000-0000-0000B7010000}"/>
    <cellStyle name="40% - Accent1 2 2 2 6" xfId="452" xr:uid="{00000000-0005-0000-0000-0000B8010000}"/>
    <cellStyle name="40% - Accent1 2 2 3" xfId="453" xr:uid="{00000000-0005-0000-0000-0000B9010000}"/>
    <cellStyle name="40% - Accent1 2 2 4" xfId="454" xr:uid="{00000000-0005-0000-0000-0000BA010000}"/>
    <cellStyle name="40% - Accent1 2 2 5" xfId="455" xr:uid="{00000000-0005-0000-0000-0000BB010000}"/>
    <cellStyle name="40% - Accent1 2 2 6" xfId="456" xr:uid="{00000000-0005-0000-0000-0000BC010000}"/>
    <cellStyle name="40% - Accent1 2 3" xfId="457" xr:uid="{00000000-0005-0000-0000-0000BD010000}"/>
    <cellStyle name="40% - Accent1 2 4" xfId="458" xr:uid="{00000000-0005-0000-0000-0000BE010000}"/>
    <cellStyle name="40% - Accent1 2 5" xfId="459" xr:uid="{00000000-0005-0000-0000-0000BF010000}"/>
    <cellStyle name="40% - Accent1 2 6" xfId="460" xr:uid="{00000000-0005-0000-0000-0000C0010000}"/>
    <cellStyle name="40% - Accent1 2 7" xfId="461" xr:uid="{00000000-0005-0000-0000-0000C1010000}"/>
    <cellStyle name="40% - Accent1 2 8" xfId="462" xr:uid="{00000000-0005-0000-0000-0000C2010000}"/>
    <cellStyle name="40% - Accent1 2 9" xfId="463" xr:uid="{00000000-0005-0000-0000-0000C3010000}"/>
    <cellStyle name="40% - Accent1 20" xfId="464" xr:uid="{00000000-0005-0000-0000-0000C4010000}"/>
    <cellStyle name="40% - Accent1 21" xfId="465" xr:uid="{00000000-0005-0000-0000-0000C5010000}"/>
    <cellStyle name="40% - Accent1 22" xfId="466" xr:uid="{00000000-0005-0000-0000-0000C6010000}"/>
    <cellStyle name="40% - Accent1 23" xfId="467" xr:uid="{00000000-0005-0000-0000-0000C7010000}"/>
    <cellStyle name="40% - Accent1 24" xfId="468" xr:uid="{00000000-0005-0000-0000-0000C8010000}"/>
    <cellStyle name="40% - Accent1 25" xfId="469" xr:uid="{00000000-0005-0000-0000-0000C9010000}"/>
    <cellStyle name="40% - Accent1 26" xfId="470" xr:uid="{00000000-0005-0000-0000-0000CA010000}"/>
    <cellStyle name="40% - Accent1 27" xfId="471" xr:uid="{00000000-0005-0000-0000-0000CB010000}"/>
    <cellStyle name="40% - Accent1 28" xfId="472" xr:uid="{00000000-0005-0000-0000-0000CC010000}"/>
    <cellStyle name="40% - Accent1 29" xfId="473" xr:uid="{00000000-0005-0000-0000-0000CD010000}"/>
    <cellStyle name="40% - Accent1 3" xfId="474" xr:uid="{00000000-0005-0000-0000-0000CE010000}"/>
    <cellStyle name="40% - Accent1 30" xfId="475" xr:uid="{00000000-0005-0000-0000-0000CF010000}"/>
    <cellStyle name="40% - Accent1 31" xfId="476" xr:uid="{00000000-0005-0000-0000-0000D0010000}"/>
    <cellStyle name="40% - Accent1 32" xfId="477" xr:uid="{00000000-0005-0000-0000-0000D1010000}"/>
    <cellStyle name="40% - Accent1 33" xfId="478" xr:uid="{00000000-0005-0000-0000-0000D2010000}"/>
    <cellStyle name="40% - Accent1 34" xfId="479" xr:uid="{00000000-0005-0000-0000-0000D3010000}"/>
    <cellStyle name="40% - Accent1 35" xfId="480" xr:uid="{00000000-0005-0000-0000-0000D4010000}"/>
    <cellStyle name="40% - Accent1 36" xfId="481" xr:uid="{00000000-0005-0000-0000-0000D5010000}"/>
    <cellStyle name="40% - Accent1 4" xfId="482" xr:uid="{00000000-0005-0000-0000-0000D6010000}"/>
    <cellStyle name="40% - Accent1 5" xfId="483" xr:uid="{00000000-0005-0000-0000-0000D7010000}"/>
    <cellStyle name="40% - Accent1 6" xfId="484" xr:uid="{00000000-0005-0000-0000-0000D8010000}"/>
    <cellStyle name="40% - Accent1 7" xfId="485" xr:uid="{00000000-0005-0000-0000-0000D9010000}"/>
    <cellStyle name="40% - Accent1 8" xfId="486" xr:uid="{00000000-0005-0000-0000-0000DA010000}"/>
    <cellStyle name="40% - Accent1 9" xfId="487" xr:uid="{00000000-0005-0000-0000-0000DB010000}"/>
    <cellStyle name="40% - Accent2 10" xfId="488" xr:uid="{00000000-0005-0000-0000-0000DC010000}"/>
    <cellStyle name="40% - Accent2 11" xfId="489" xr:uid="{00000000-0005-0000-0000-0000DD010000}"/>
    <cellStyle name="40% - Accent2 12" xfId="490" xr:uid="{00000000-0005-0000-0000-0000DE010000}"/>
    <cellStyle name="40% - Accent2 13" xfId="491" xr:uid="{00000000-0005-0000-0000-0000DF010000}"/>
    <cellStyle name="40% - Accent2 14" xfId="492" xr:uid="{00000000-0005-0000-0000-0000E0010000}"/>
    <cellStyle name="40% - Accent2 15" xfId="493" xr:uid="{00000000-0005-0000-0000-0000E1010000}"/>
    <cellStyle name="40% - Accent2 15 2" xfId="494" xr:uid="{00000000-0005-0000-0000-0000E2010000}"/>
    <cellStyle name="40% - Accent2 15 3" xfId="495" xr:uid="{00000000-0005-0000-0000-0000E3010000}"/>
    <cellStyle name="40% - Accent2 15 4" xfId="496" xr:uid="{00000000-0005-0000-0000-0000E4010000}"/>
    <cellStyle name="40% - Accent2 15 5" xfId="497" xr:uid="{00000000-0005-0000-0000-0000E5010000}"/>
    <cellStyle name="40% - Accent2 16" xfId="498" xr:uid="{00000000-0005-0000-0000-0000E6010000}"/>
    <cellStyle name="40% - Accent2 16 2" xfId="499" xr:uid="{00000000-0005-0000-0000-0000E7010000}"/>
    <cellStyle name="40% - Accent2 16 3" xfId="500" xr:uid="{00000000-0005-0000-0000-0000E8010000}"/>
    <cellStyle name="40% - Accent2 16 4" xfId="501" xr:uid="{00000000-0005-0000-0000-0000E9010000}"/>
    <cellStyle name="40% - Accent2 16 5" xfId="502" xr:uid="{00000000-0005-0000-0000-0000EA010000}"/>
    <cellStyle name="40% - Accent2 17" xfId="503" xr:uid="{00000000-0005-0000-0000-0000EB010000}"/>
    <cellStyle name="40% - Accent2 17 2" xfId="504" xr:uid="{00000000-0005-0000-0000-0000EC010000}"/>
    <cellStyle name="40% - Accent2 17 3" xfId="505" xr:uid="{00000000-0005-0000-0000-0000ED010000}"/>
    <cellStyle name="40% - Accent2 17 4" xfId="506" xr:uid="{00000000-0005-0000-0000-0000EE010000}"/>
    <cellStyle name="40% - Accent2 17 5" xfId="507" xr:uid="{00000000-0005-0000-0000-0000EF010000}"/>
    <cellStyle name="40% - Accent2 18" xfId="508" xr:uid="{00000000-0005-0000-0000-0000F0010000}"/>
    <cellStyle name="40% - Accent2 19" xfId="509" xr:uid="{00000000-0005-0000-0000-0000F1010000}"/>
    <cellStyle name="40% - Accent2 2" xfId="510" xr:uid="{00000000-0005-0000-0000-0000F2010000}"/>
    <cellStyle name="40% - Accent2 2 10" xfId="511" xr:uid="{00000000-0005-0000-0000-0000F3010000}"/>
    <cellStyle name="40% - Accent2 2 2" xfId="512" xr:uid="{00000000-0005-0000-0000-0000F4010000}"/>
    <cellStyle name="40% - Accent2 2 2 2" xfId="513" xr:uid="{00000000-0005-0000-0000-0000F5010000}"/>
    <cellStyle name="40% - Accent2 2 2 2 2" xfId="514" xr:uid="{00000000-0005-0000-0000-0000F6010000}"/>
    <cellStyle name="40% - Accent2 2 2 2 2 2" xfId="515" xr:uid="{00000000-0005-0000-0000-0000F7010000}"/>
    <cellStyle name="40% - Accent2 2 2 2 2 3" xfId="516" xr:uid="{00000000-0005-0000-0000-0000F8010000}"/>
    <cellStyle name="40% - Accent2 2 2 2 3" xfId="517" xr:uid="{00000000-0005-0000-0000-0000F9010000}"/>
    <cellStyle name="40% - Accent2 2 2 2 4" xfId="518" xr:uid="{00000000-0005-0000-0000-0000FA010000}"/>
    <cellStyle name="40% - Accent2 2 2 2 5" xfId="519" xr:uid="{00000000-0005-0000-0000-0000FB010000}"/>
    <cellStyle name="40% - Accent2 2 2 2 6" xfId="520" xr:uid="{00000000-0005-0000-0000-0000FC010000}"/>
    <cellStyle name="40% - Accent2 2 2 3" xfId="521" xr:uid="{00000000-0005-0000-0000-0000FD010000}"/>
    <cellStyle name="40% - Accent2 2 2 4" xfId="522" xr:uid="{00000000-0005-0000-0000-0000FE010000}"/>
    <cellStyle name="40% - Accent2 2 2 5" xfId="523" xr:uid="{00000000-0005-0000-0000-0000FF010000}"/>
    <cellStyle name="40% - Accent2 2 2 6" xfId="524" xr:uid="{00000000-0005-0000-0000-000000020000}"/>
    <cellStyle name="40% - Accent2 2 3" xfId="525" xr:uid="{00000000-0005-0000-0000-000001020000}"/>
    <cellStyle name="40% - Accent2 2 4" xfId="526" xr:uid="{00000000-0005-0000-0000-000002020000}"/>
    <cellStyle name="40% - Accent2 2 5" xfId="527" xr:uid="{00000000-0005-0000-0000-000003020000}"/>
    <cellStyle name="40% - Accent2 2 6" xfId="528" xr:uid="{00000000-0005-0000-0000-000004020000}"/>
    <cellStyle name="40% - Accent2 2 7" xfId="529" xr:uid="{00000000-0005-0000-0000-000005020000}"/>
    <cellStyle name="40% - Accent2 2 8" xfId="530" xr:uid="{00000000-0005-0000-0000-000006020000}"/>
    <cellStyle name="40% - Accent2 2 9" xfId="531" xr:uid="{00000000-0005-0000-0000-000007020000}"/>
    <cellStyle name="40% - Accent2 20" xfId="532" xr:uid="{00000000-0005-0000-0000-000008020000}"/>
    <cellStyle name="40% - Accent2 21" xfId="533" xr:uid="{00000000-0005-0000-0000-000009020000}"/>
    <cellStyle name="40% - Accent2 22" xfId="534" xr:uid="{00000000-0005-0000-0000-00000A020000}"/>
    <cellStyle name="40% - Accent2 23" xfId="535" xr:uid="{00000000-0005-0000-0000-00000B020000}"/>
    <cellStyle name="40% - Accent2 24" xfId="536" xr:uid="{00000000-0005-0000-0000-00000C020000}"/>
    <cellStyle name="40% - Accent2 25" xfId="537" xr:uid="{00000000-0005-0000-0000-00000D020000}"/>
    <cellStyle name="40% - Accent2 26" xfId="538" xr:uid="{00000000-0005-0000-0000-00000E020000}"/>
    <cellStyle name="40% - Accent2 27" xfId="539" xr:uid="{00000000-0005-0000-0000-00000F020000}"/>
    <cellStyle name="40% - Accent2 28" xfId="540" xr:uid="{00000000-0005-0000-0000-000010020000}"/>
    <cellStyle name="40% - Accent2 29" xfId="541" xr:uid="{00000000-0005-0000-0000-000011020000}"/>
    <cellStyle name="40% - Accent2 3" xfId="542" xr:uid="{00000000-0005-0000-0000-000012020000}"/>
    <cellStyle name="40% - Accent2 30" xfId="543" xr:uid="{00000000-0005-0000-0000-000013020000}"/>
    <cellStyle name="40% - Accent2 31" xfId="544" xr:uid="{00000000-0005-0000-0000-000014020000}"/>
    <cellStyle name="40% - Accent2 32" xfId="545" xr:uid="{00000000-0005-0000-0000-000015020000}"/>
    <cellStyle name="40% - Accent2 33" xfId="546" xr:uid="{00000000-0005-0000-0000-000016020000}"/>
    <cellStyle name="40% - Accent2 34" xfId="547" xr:uid="{00000000-0005-0000-0000-000017020000}"/>
    <cellStyle name="40% - Accent2 35" xfId="548" xr:uid="{00000000-0005-0000-0000-000018020000}"/>
    <cellStyle name="40% - Accent2 36" xfId="549" xr:uid="{00000000-0005-0000-0000-000019020000}"/>
    <cellStyle name="40% - Accent2 4" xfId="550" xr:uid="{00000000-0005-0000-0000-00001A020000}"/>
    <cellStyle name="40% - Accent2 5" xfId="551" xr:uid="{00000000-0005-0000-0000-00001B020000}"/>
    <cellStyle name="40% - Accent2 6" xfId="552" xr:uid="{00000000-0005-0000-0000-00001C020000}"/>
    <cellStyle name="40% - Accent2 7" xfId="553" xr:uid="{00000000-0005-0000-0000-00001D020000}"/>
    <cellStyle name="40% - Accent2 8" xfId="554" xr:uid="{00000000-0005-0000-0000-00001E020000}"/>
    <cellStyle name="40% - Accent2 9" xfId="555" xr:uid="{00000000-0005-0000-0000-00001F020000}"/>
    <cellStyle name="40% - Accent3 10" xfId="556" xr:uid="{00000000-0005-0000-0000-000020020000}"/>
    <cellStyle name="40% - Accent3 11" xfId="557" xr:uid="{00000000-0005-0000-0000-000021020000}"/>
    <cellStyle name="40% - Accent3 12" xfId="558" xr:uid="{00000000-0005-0000-0000-000022020000}"/>
    <cellStyle name="40% - Accent3 13" xfId="559" xr:uid="{00000000-0005-0000-0000-000023020000}"/>
    <cellStyle name="40% - Accent3 14" xfId="560" xr:uid="{00000000-0005-0000-0000-000024020000}"/>
    <cellStyle name="40% - Accent3 15" xfId="561" xr:uid="{00000000-0005-0000-0000-000025020000}"/>
    <cellStyle name="40% - Accent3 15 2" xfId="562" xr:uid="{00000000-0005-0000-0000-000026020000}"/>
    <cellStyle name="40% - Accent3 15 3" xfId="563" xr:uid="{00000000-0005-0000-0000-000027020000}"/>
    <cellStyle name="40% - Accent3 15 4" xfId="564" xr:uid="{00000000-0005-0000-0000-000028020000}"/>
    <cellStyle name="40% - Accent3 15 5" xfId="565" xr:uid="{00000000-0005-0000-0000-000029020000}"/>
    <cellStyle name="40% - Accent3 16" xfId="566" xr:uid="{00000000-0005-0000-0000-00002A020000}"/>
    <cellStyle name="40% - Accent3 16 2" xfId="567" xr:uid="{00000000-0005-0000-0000-00002B020000}"/>
    <cellStyle name="40% - Accent3 16 3" xfId="568" xr:uid="{00000000-0005-0000-0000-00002C020000}"/>
    <cellStyle name="40% - Accent3 16 4" xfId="569" xr:uid="{00000000-0005-0000-0000-00002D020000}"/>
    <cellStyle name="40% - Accent3 16 5" xfId="570" xr:uid="{00000000-0005-0000-0000-00002E020000}"/>
    <cellStyle name="40% - Accent3 17" xfId="571" xr:uid="{00000000-0005-0000-0000-00002F020000}"/>
    <cellStyle name="40% - Accent3 17 2" xfId="572" xr:uid="{00000000-0005-0000-0000-000030020000}"/>
    <cellStyle name="40% - Accent3 17 3" xfId="573" xr:uid="{00000000-0005-0000-0000-000031020000}"/>
    <cellStyle name="40% - Accent3 17 4" xfId="574" xr:uid="{00000000-0005-0000-0000-000032020000}"/>
    <cellStyle name="40% - Accent3 17 5" xfId="575" xr:uid="{00000000-0005-0000-0000-000033020000}"/>
    <cellStyle name="40% - Accent3 18" xfId="576" xr:uid="{00000000-0005-0000-0000-000034020000}"/>
    <cellStyle name="40% - Accent3 19" xfId="577" xr:uid="{00000000-0005-0000-0000-000035020000}"/>
    <cellStyle name="40% - Accent3 2" xfId="578" xr:uid="{00000000-0005-0000-0000-000036020000}"/>
    <cellStyle name="40% - Accent3 2 10" xfId="579" xr:uid="{00000000-0005-0000-0000-000037020000}"/>
    <cellStyle name="40% - Accent3 2 2" xfId="580" xr:uid="{00000000-0005-0000-0000-000038020000}"/>
    <cellStyle name="40% - Accent3 2 2 2" xfId="581" xr:uid="{00000000-0005-0000-0000-000039020000}"/>
    <cellStyle name="40% - Accent3 2 2 2 2" xfId="582" xr:uid="{00000000-0005-0000-0000-00003A020000}"/>
    <cellStyle name="40% - Accent3 2 2 2 2 2" xfId="583" xr:uid="{00000000-0005-0000-0000-00003B020000}"/>
    <cellStyle name="40% - Accent3 2 2 2 2 3" xfId="584" xr:uid="{00000000-0005-0000-0000-00003C020000}"/>
    <cellStyle name="40% - Accent3 2 2 2 3" xfId="585" xr:uid="{00000000-0005-0000-0000-00003D020000}"/>
    <cellStyle name="40% - Accent3 2 2 2 4" xfId="586" xr:uid="{00000000-0005-0000-0000-00003E020000}"/>
    <cellStyle name="40% - Accent3 2 2 2 5" xfId="587" xr:uid="{00000000-0005-0000-0000-00003F020000}"/>
    <cellStyle name="40% - Accent3 2 2 2 6" xfId="588" xr:uid="{00000000-0005-0000-0000-000040020000}"/>
    <cellStyle name="40% - Accent3 2 2 3" xfId="589" xr:uid="{00000000-0005-0000-0000-000041020000}"/>
    <cellStyle name="40% - Accent3 2 2 4" xfId="590" xr:uid="{00000000-0005-0000-0000-000042020000}"/>
    <cellStyle name="40% - Accent3 2 2 5" xfId="591" xr:uid="{00000000-0005-0000-0000-000043020000}"/>
    <cellStyle name="40% - Accent3 2 2 6" xfId="592" xr:uid="{00000000-0005-0000-0000-000044020000}"/>
    <cellStyle name="40% - Accent3 2 3" xfId="593" xr:uid="{00000000-0005-0000-0000-000045020000}"/>
    <cellStyle name="40% - Accent3 2 4" xfId="594" xr:uid="{00000000-0005-0000-0000-000046020000}"/>
    <cellStyle name="40% - Accent3 2 5" xfId="595" xr:uid="{00000000-0005-0000-0000-000047020000}"/>
    <cellStyle name="40% - Accent3 2 6" xfId="596" xr:uid="{00000000-0005-0000-0000-000048020000}"/>
    <cellStyle name="40% - Accent3 2 7" xfId="597" xr:uid="{00000000-0005-0000-0000-000049020000}"/>
    <cellStyle name="40% - Accent3 2 8" xfId="598" xr:uid="{00000000-0005-0000-0000-00004A020000}"/>
    <cellStyle name="40% - Accent3 2 9" xfId="599" xr:uid="{00000000-0005-0000-0000-00004B020000}"/>
    <cellStyle name="40% - Accent3 20" xfId="600" xr:uid="{00000000-0005-0000-0000-00004C020000}"/>
    <cellStyle name="40% - Accent3 21" xfId="601" xr:uid="{00000000-0005-0000-0000-00004D020000}"/>
    <cellStyle name="40% - Accent3 22" xfId="602" xr:uid="{00000000-0005-0000-0000-00004E020000}"/>
    <cellStyle name="40% - Accent3 23" xfId="603" xr:uid="{00000000-0005-0000-0000-00004F020000}"/>
    <cellStyle name="40% - Accent3 24" xfId="604" xr:uid="{00000000-0005-0000-0000-000050020000}"/>
    <cellStyle name="40% - Accent3 25" xfId="605" xr:uid="{00000000-0005-0000-0000-000051020000}"/>
    <cellStyle name="40% - Accent3 26" xfId="606" xr:uid="{00000000-0005-0000-0000-000052020000}"/>
    <cellStyle name="40% - Accent3 27" xfId="607" xr:uid="{00000000-0005-0000-0000-000053020000}"/>
    <cellStyle name="40% - Accent3 28" xfId="608" xr:uid="{00000000-0005-0000-0000-000054020000}"/>
    <cellStyle name="40% - Accent3 29" xfId="609" xr:uid="{00000000-0005-0000-0000-000055020000}"/>
    <cellStyle name="40% - Accent3 3" xfId="610" xr:uid="{00000000-0005-0000-0000-000056020000}"/>
    <cellStyle name="40% - Accent3 30" xfId="611" xr:uid="{00000000-0005-0000-0000-000057020000}"/>
    <cellStyle name="40% - Accent3 31" xfId="612" xr:uid="{00000000-0005-0000-0000-000058020000}"/>
    <cellStyle name="40% - Accent3 32" xfId="613" xr:uid="{00000000-0005-0000-0000-000059020000}"/>
    <cellStyle name="40% - Accent3 33" xfId="614" xr:uid="{00000000-0005-0000-0000-00005A020000}"/>
    <cellStyle name="40% - Accent3 34" xfId="615" xr:uid="{00000000-0005-0000-0000-00005B020000}"/>
    <cellStyle name="40% - Accent3 35" xfId="616" xr:uid="{00000000-0005-0000-0000-00005C020000}"/>
    <cellStyle name="40% - Accent3 36" xfId="617" xr:uid="{00000000-0005-0000-0000-00005D020000}"/>
    <cellStyle name="40% - Accent3 4" xfId="618" xr:uid="{00000000-0005-0000-0000-00005E020000}"/>
    <cellStyle name="40% - Accent3 5" xfId="619" xr:uid="{00000000-0005-0000-0000-00005F020000}"/>
    <cellStyle name="40% - Accent3 6" xfId="620" xr:uid="{00000000-0005-0000-0000-000060020000}"/>
    <cellStyle name="40% - Accent3 7" xfId="621" xr:uid="{00000000-0005-0000-0000-000061020000}"/>
    <cellStyle name="40% - Accent3 8" xfId="622" xr:uid="{00000000-0005-0000-0000-000062020000}"/>
    <cellStyle name="40% - Accent3 9" xfId="623" xr:uid="{00000000-0005-0000-0000-000063020000}"/>
    <cellStyle name="40% - Accent4 10" xfId="624" xr:uid="{00000000-0005-0000-0000-000064020000}"/>
    <cellStyle name="40% - Accent4 11" xfId="625" xr:uid="{00000000-0005-0000-0000-000065020000}"/>
    <cellStyle name="40% - Accent4 12" xfId="626" xr:uid="{00000000-0005-0000-0000-000066020000}"/>
    <cellStyle name="40% - Accent4 13" xfId="627" xr:uid="{00000000-0005-0000-0000-000067020000}"/>
    <cellStyle name="40% - Accent4 14" xfId="628" xr:uid="{00000000-0005-0000-0000-000068020000}"/>
    <cellStyle name="40% - Accent4 15" xfId="629" xr:uid="{00000000-0005-0000-0000-000069020000}"/>
    <cellStyle name="40% - Accent4 15 2" xfId="630" xr:uid="{00000000-0005-0000-0000-00006A020000}"/>
    <cellStyle name="40% - Accent4 15 3" xfId="631" xr:uid="{00000000-0005-0000-0000-00006B020000}"/>
    <cellStyle name="40% - Accent4 15 4" xfId="632" xr:uid="{00000000-0005-0000-0000-00006C020000}"/>
    <cellStyle name="40% - Accent4 15 5" xfId="633" xr:uid="{00000000-0005-0000-0000-00006D020000}"/>
    <cellStyle name="40% - Accent4 16" xfId="634" xr:uid="{00000000-0005-0000-0000-00006E020000}"/>
    <cellStyle name="40% - Accent4 16 2" xfId="635" xr:uid="{00000000-0005-0000-0000-00006F020000}"/>
    <cellStyle name="40% - Accent4 16 3" xfId="636" xr:uid="{00000000-0005-0000-0000-000070020000}"/>
    <cellStyle name="40% - Accent4 16 4" xfId="637" xr:uid="{00000000-0005-0000-0000-000071020000}"/>
    <cellStyle name="40% - Accent4 16 5" xfId="638" xr:uid="{00000000-0005-0000-0000-000072020000}"/>
    <cellStyle name="40% - Accent4 17" xfId="639" xr:uid="{00000000-0005-0000-0000-000073020000}"/>
    <cellStyle name="40% - Accent4 17 2" xfId="640" xr:uid="{00000000-0005-0000-0000-000074020000}"/>
    <cellStyle name="40% - Accent4 17 3" xfId="641" xr:uid="{00000000-0005-0000-0000-000075020000}"/>
    <cellStyle name="40% - Accent4 17 4" xfId="642" xr:uid="{00000000-0005-0000-0000-000076020000}"/>
    <cellStyle name="40% - Accent4 17 5" xfId="643" xr:uid="{00000000-0005-0000-0000-000077020000}"/>
    <cellStyle name="40% - Accent4 18" xfId="644" xr:uid="{00000000-0005-0000-0000-000078020000}"/>
    <cellStyle name="40% - Accent4 19" xfId="645" xr:uid="{00000000-0005-0000-0000-000079020000}"/>
    <cellStyle name="40% - Accent4 2" xfId="646" xr:uid="{00000000-0005-0000-0000-00007A020000}"/>
    <cellStyle name="40% - Accent4 2 10" xfId="647" xr:uid="{00000000-0005-0000-0000-00007B020000}"/>
    <cellStyle name="40% - Accent4 2 2" xfId="648" xr:uid="{00000000-0005-0000-0000-00007C020000}"/>
    <cellStyle name="40% - Accent4 2 2 2" xfId="649" xr:uid="{00000000-0005-0000-0000-00007D020000}"/>
    <cellStyle name="40% - Accent4 2 2 2 2" xfId="650" xr:uid="{00000000-0005-0000-0000-00007E020000}"/>
    <cellStyle name="40% - Accent4 2 2 2 2 2" xfId="651" xr:uid="{00000000-0005-0000-0000-00007F020000}"/>
    <cellStyle name="40% - Accent4 2 2 2 2 3" xfId="652" xr:uid="{00000000-0005-0000-0000-000080020000}"/>
    <cellStyle name="40% - Accent4 2 2 2 3" xfId="653" xr:uid="{00000000-0005-0000-0000-000081020000}"/>
    <cellStyle name="40% - Accent4 2 2 2 4" xfId="654" xr:uid="{00000000-0005-0000-0000-000082020000}"/>
    <cellStyle name="40% - Accent4 2 2 2 5" xfId="655" xr:uid="{00000000-0005-0000-0000-000083020000}"/>
    <cellStyle name="40% - Accent4 2 2 2 6" xfId="656" xr:uid="{00000000-0005-0000-0000-000084020000}"/>
    <cellStyle name="40% - Accent4 2 2 3" xfId="657" xr:uid="{00000000-0005-0000-0000-000085020000}"/>
    <cellStyle name="40% - Accent4 2 2 4" xfId="658" xr:uid="{00000000-0005-0000-0000-000086020000}"/>
    <cellStyle name="40% - Accent4 2 2 5" xfId="659" xr:uid="{00000000-0005-0000-0000-000087020000}"/>
    <cellStyle name="40% - Accent4 2 2 6" xfId="660" xr:uid="{00000000-0005-0000-0000-000088020000}"/>
    <cellStyle name="40% - Accent4 2 3" xfId="661" xr:uid="{00000000-0005-0000-0000-000089020000}"/>
    <cellStyle name="40% - Accent4 2 4" xfId="662" xr:uid="{00000000-0005-0000-0000-00008A020000}"/>
    <cellStyle name="40% - Accent4 2 5" xfId="663" xr:uid="{00000000-0005-0000-0000-00008B020000}"/>
    <cellStyle name="40% - Accent4 2 6" xfId="664" xr:uid="{00000000-0005-0000-0000-00008C020000}"/>
    <cellStyle name="40% - Accent4 2 7" xfId="665" xr:uid="{00000000-0005-0000-0000-00008D020000}"/>
    <cellStyle name="40% - Accent4 2 8" xfId="666" xr:uid="{00000000-0005-0000-0000-00008E020000}"/>
    <cellStyle name="40% - Accent4 2 9" xfId="667" xr:uid="{00000000-0005-0000-0000-00008F020000}"/>
    <cellStyle name="40% - Accent4 20" xfId="668" xr:uid="{00000000-0005-0000-0000-000090020000}"/>
    <cellStyle name="40% - Accent4 21" xfId="669" xr:uid="{00000000-0005-0000-0000-000091020000}"/>
    <cellStyle name="40% - Accent4 22" xfId="670" xr:uid="{00000000-0005-0000-0000-000092020000}"/>
    <cellStyle name="40% - Accent4 23" xfId="671" xr:uid="{00000000-0005-0000-0000-000093020000}"/>
    <cellStyle name="40% - Accent4 24" xfId="672" xr:uid="{00000000-0005-0000-0000-000094020000}"/>
    <cellStyle name="40% - Accent4 25" xfId="673" xr:uid="{00000000-0005-0000-0000-000095020000}"/>
    <cellStyle name="40% - Accent4 26" xfId="674" xr:uid="{00000000-0005-0000-0000-000096020000}"/>
    <cellStyle name="40% - Accent4 27" xfId="675" xr:uid="{00000000-0005-0000-0000-000097020000}"/>
    <cellStyle name="40% - Accent4 28" xfId="676" xr:uid="{00000000-0005-0000-0000-000098020000}"/>
    <cellStyle name="40% - Accent4 29" xfId="677" xr:uid="{00000000-0005-0000-0000-000099020000}"/>
    <cellStyle name="40% - Accent4 3" xfId="678" xr:uid="{00000000-0005-0000-0000-00009A020000}"/>
    <cellStyle name="40% - Accent4 30" xfId="679" xr:uid="{00000000-0005-0000-0000-00009B020000}"/>
    <cellStyle name="40% - Accent4 31" xfId="680" xr:uid="{00000000-0005-0000-0000-00009C020000}"/>
    <cellStyle name="40% - Accent4 32" xfId="681" xr:uid="{00000000-0005-0000-0000-00009D020000}"/>
    <cellStyle name="40% - Accent4 33" xfId="682" xr:uid="{00000000-0005-0000-0000-00009E020000}"/>
    <cellStyle name="40% - Accent4 34" xfId="683" xr:uid="{00000000-0005-0000-0000-00009F020000}"/>
    <cellStyle name="40% - Accent4 35" xfId="684" xr:uid="{00000000-0005-0000-0000-0000A0020000}"/>
    <cellStyle name="40% - Accent4 36" xfId="685" xr:uid="{00000000-0005-0000-0000-0000A1020000}"/>
    <cellStyle name="40% - Accent4 4" xfId="686" xr:uid="{00000000-0005-0000-0000-0000A2020000}"/>
    <cellStyle name="40% - Accent4 5" xfId="687" xr:uid="{00000000-0005-0000-0000-0000A3020000}"/>
    <cellStyle name="40% - Accent4 6" xfId="688" xr:uid="{00000000-0005-0000-0000-0000A4020000}"/>
    <cellStyle name="40% - Accent4 7" xfId="689" xr:uid="{00000000-0005-0000-0000-0000A5020000}"/>
    <cellStyle name="40% - Accent4 8" xfId="690" xr:uid="{00000000-0005-0000-0000-0000A6020000}"/>
    <cellStyle name="40% - Accent4 9" xfId="691" xr:uid="{00000000-0005-0000-0000-0000A7020000}"/>
    <cellStyle name="40% - Accent5 10" xfId="692" xr:uid="{00000000-0005-0000-0000-0000A8020000}"/>
    <cellStyle name="40% - Accent5 11" xfId="693" xr:uid="{00000000-0005-0000-0000-0000A9020000}"/>
    <cellStyle name="40% - Accent5 12" xfId="694" xr:uid="{00000000-0005-0000-0000-0000AA020000}"/>
    <cellStyle name="40% - Accent5 13" xfId="695" xr:uid="{00000000-0005-0000-0000-0000AB020000}"/>
    <cellStyle name="40% - Accent5 14" xfId="696" xr:uid="{00000000-0005-0000-0000-0000AC020000}"/>
    <cellStyle name="40% - Accent5 15" xfId="697" xr:uid="{00000000-0005-0000-0000-0000AD020000}"/>
    <cellStyle name="40% - Accent5 15 2" xfId="698" xr:uid="{00000000-0005-0000-0000-0000AE020000}"/>
    <cellStyle name="40% - Accent5 15 3" xfId="699" xr:uid="{00000000-0005-0000-0000-0000AF020000}"/>
    <cellStyle name="40% - Accent5 15 4" xfId="700" xr:uid="{00000000-0005-0000-0000-0000B0020000}"/>
    <cellStyle name="40% - Accent5 15 5" xfId="701" xr:uid="{00000000-0005-0000-0000-0000B1020000}"/>
    <cellStyle name="40% - Accent5 16" xfId="702" xr:uid="{00000000-0005-0000-0000-0000B2020000}"/>
    <cellStyle name="40% - Accent5 16 2" xfId="703" xr:uid="{00000000-0005-0000-0000-0000B3020000}"/>
    <cellStyle name="40% - Accent5 16 3" xfId="704" xr:uid="{00000000-0005-0000-0000-0000B4020000}"/>
    <cellStyle name="40% - Accent5 16 4" xfId="705" xr:uid="{00000000-0005-0000-0000-0000B5020000}"/>
    <cellStyle name="40% - Accent5 16 5" xfId="706" xr:uid="{00000000-0005-0000-0000-0000B6020000}"/>
    <cellStyle name="40% - Accent5 17" xfId="707" xr:uid="{00000000-0005-0000-0000-0000B7020000}"/>
    <cellStyle name="40% - Accent5 17 2" xfId="708" xr:uid="{00000000-0005-0000-0000-0000B8020000}"/>
    <cellStyle name="40% - Accent5 17 3" xfId="709" xr:uid="{00000000-0005-0000-0000-0000B9020000}"/>
    <cellStyle name="40% - Accent5 17 4" xfId="710" xr:uid="{00000000-0005-0000-0000-0000BA020000}"/>
    <cellStyle name="40% - Accent5 17 5" xfId="711" xr:uid="{00000000-0005-0000-0000-0000BB020000}"/>
    <cellStyle name="40% - Accent5 18" xfId="712" xr:uid="{00000000-0005-0000-0000-0000BC020000}"/>
    <cellStyle name="40% - Accent5 19" xfId="713" xr:uid="{00000000-0005-0000-0000-0000BD020000}"/>
    <cellStyle name="40% - Accent5 2" xfId="714" xr:uid="{00000000-0005-0000-0000-0000BE020000}"/>
    <cellStyle name="40% - Accent5 2 10" xfId="715" xr:uid="{00000000-0005-0000-0000-0000BF020000}"/>
    <cellStyle name="40% - Accent5 2 2" xfId="716" xr:uid="{00000000-0005-0000-0000-0000C0020000}"/>
    <cellStyle name="40% - Accent5 2 2 2" xfId="717" xr:uid="{00000000-0005-0000-0000-0000C1020000}"/>
    <cellStyle name="40% - Accent5 2 2 2 2" xfId="718" xr:uid="{00000000-0005-0000-0000-0000C2020000}"/>
    <cellStyle name="40% - Accent5 2 2 2 2 2" xfId="719" xr:uid="{00000000-0005-0000-0000-0000C3020000}"/>
    <cellStyle name="40% - Accent5 2 2 2 2 3" xfId="720" xr:uid="{00000000-0005-0000-0000-0000C4020000}"/>
    <cellStyle name="40% - Accent5 2 2 2 3" xfId="721" xr:uid="{00000000-0005-0000-0000-0000C5020000}"/>
    <cellStyle name="40% - Accent5 2 2 2 4" xfId="722" xr:uid="{00000000-0005-0000-0000-0000C6020000}"/>
    <cellStyle name="40% - Accent5 2 2 2 5" xfId="723" xr:uid="{00000000-0005-0000-0000-0000C7020000}"/>
    <cellStyle name="40% - Accent5 2 2 2 6" xfId="724" xr:uid="{00000000-0005-0000-0000-0000C8020000}"/>
    <cellStyle name="40% - Accent5 2 2 3" xfId="725" xr:uid="{00000000-0005-0000-0000-0000C9020000}"/>
    <cellStyle name="40% - Accent5 2 2 4" xfId="726" xr:uid="{00000000-0005-0000-0000-0000CA020000}"/>
    <cellStyle name="40% - Accent5 2 2 5" xfId="727" xr:uid="{00000000-0005-0000-0000-0000CB020000}"/>
    <cellStyle name="40% - Accent5 2 2 6" xfId="728" xr:uid="{00000000-0005-0000-0000-0000CC020000}"/>
    <cellStyle name="40% - Accent5 2 3" xfId="729" xr:uid="{00000000-0005-0000-0000-0000CD020000}"/>
    <cellStyle name="40% - Accent5 2 4" xfId="730" xr:uid="{00000000-0005-0000-0000-0000CE020000}"/>
    <cellStyle name="40% - Accent5 2 5" xfId="731" xr:uid="{00000000-0005-0000-0000-0000CF020000}"/>
    <cellStyle name="40% - Accent5 2 6" xfId="732" xr:uid="{00000000-0005-0000-0000-0000D0020000}"/>
    <cellStyle name="40% - Accent5 2 7" xfId="733" xr:uid="{00000000-0005-0000-0000-0000D1020000}"/>
    <cellStyle name="40% - Accent5 2 8" xfId="734" xr:uid="{00000000-0005-0000-0000-0000D2020000}"/>
    <cellStyle name="40% - Accent5 2 9" xfId="735" xr:uid="{00000000-0005-0000-0000-0000D3020000}"/>
    <cellStyle name="40% - Accent5 20" xfId="736" xr:uid="{00000000-0005-0000-0000-0000D4020000}"/>
    <cellStyle name="40% - Accent5 21" xfId="737" xr:uid="{00000000-0005-0000-0000-0000D5020000}"/>
    <cellStyle name="40% - Accent5 22" xfId="738" xr:uid="{00000000-0005-0000-0000-0000D6020000}"/>
    <cellStyle name="40% - Accent5 23" xfId="739" xr:uid="{00000000-0005-0000-0000-0000D7020000}"/>
    <cellStyle name="40% - Accent5 24" xfId="740" xr:uid="{00000000-0005-0000-0000-0000D8020000}"/>
    <cellStyle name="40% - Accent5 25" xfId="741" xr:uid="{00000000-0005-0000-0000-0000D9020000}"/>
    <cellStyle name="40% - Accent5 26" xfId="742" xr:uid="{00000000-0005-0000-0000-0000DA020000}"/>
    <cellStyle name="40% - Accent5 27" xfId="743" xr:uid="{00000000-0005-0000-0000-0000DB020000}"/>
    <cellStyle name="40% - Accent5 28" xfId="744" xr:uid="{00000000-0005-0000-0000-0000DC020000}"/>
    <cellStyle name="40% - Accent5 29" xfId="745" xr:uid="{00000000-0005-0000-0000-0000DD020000}"/>
    <cellStyle name="40% - Accent5 3" xfId="746" xr:uid="{00000000-0005-0000-0000-0000DE020000}"/>
    <cellStyle name="40% - Accent5 30" xfId="747" xr:uid="{00000000-0005-0000-0000-0000DF020000}"/>
    <cellStyle name="40% - Accent5 31" xfId="748" xr:uid="{00000000-0005-0000-0000-0000E0020000}"/>
    <cellStyle name="40% - Accent5 32" xfId="749" xr:uid="{00000000-0005-0000-0000-0000E1020000}"/>
    <cellStyle name="40% - Accent5 33" xfId="750" xr:uid="{00000000-0005-0000-0000-0000E2020000}"/>
    <cellStyle name="40% - Accent5 34" xfId="751" xr:uid="{00000000-0005-0000-0000-0000E3020000}"/>
    <cellStyle name="40% - Accent5 35" xfId="752" xr:uid="{00000000-0005-0000-0000-0000E4020000}"/>
    <cellStyle name="40% - Accent5 36" xfId="753" xr:uid="{00000000-0005-0000-0000-0000E5020000}"/>
    <cellStyle name="40% - Accent5 4" xfId="754" xr:uid="{00000000-0005-0000-0000-0000E6020000}"/>
    <cellStyle name="40% - Accent5 5" xfId="755" xr:uid="{00000000-0005-0000-0000-0000E7020000}"/>
    <cellStyle name="40% - Accent5 6" xfId="756" xr:uid="{00000000-0005-0000-0000-0000E8020000}"/>
    <cellStyle name="40% - Accent5 7" xfId="757" xr:uid="{00000000-0005-0000-0000-0000E9020000}"/>
    <cellStyle name="40% - Accent5 8" xfId="758" xr:uid="{00000000-0005-0000-0000-0000EA020000}"/>
    <cellStyle name="40% - Accent5 9" xfId="759" xr:uid="{00000000-0005-0000-0000-0000EB020000}"/>
    <cellStyle name="40% - Accent6 10" xfId="760" xr:uid="{00000000-0005-0000-0000-0000EC020000}"/>
    <cellStyle name="40% - Accent6 11" xfId="761" xr:uid="{00000000-0005-0000-0000-0000ED020000}"/>
    <cellStyle name="40% - Accent6 12" xfId="762" xr:uid="{00000000-0005-0000-0000-0000EE020000}"/>
    <cellStyle name="40% - Accent6 13" xfId="763" xr:uid="{00000000-0005-0000-0000-0000EF020000}"/>
    <cellStyle name="40% - Accent6 14" xfId="764" xr:uid="{00000000-0005-0000-0000-0000F0020000}"/>
    <cellStyle name="40% - Accent6 15" xfId="765" xr:uid="{00000000-0005-0000-0000-0000F1020000}"/>
    <cellStyle name="40% - Accent6 15 2" xfId="766" xr:uid="{00000000-0005-0000-0000-0000F2020000}"/>
    <cellStyle name="40% - Accent6 15 3" xfId="767" xr:uid="{00000000-0005-0000-0000-0000F3020000}"/>
    <cellStyle name="40% - Accent6 15 4" xfId="768" xr:uid="{00000000-0005-0000-0000-0000F4020000}"/>
    <cellStyle name="40% - Accent6 15 5" xfId="769" xr:uid="{00000000-0005-0000-0000-0000F5020000}"/>
    <cellStyle name="40% - Accent6 16" xfId="770" xr:uid="{00000000-0005-0000-0000-0000F6020000}"/>
    <cellStyle name="40% - Accent6 16 2" xfId="771" xr:uid="{00000000-0005-0000-0000-0000F7020000}"/>
    <cellStyle name="40% - Accent6 16 3" xfId="772" xr:uid="{00000000-0005-0000-0000-0000F8020000}"/>
    <cellStyle name="40% - Accent6 16 4" xfId="773" xr:uid="{00000000-0005-0000-0000-0000F9020000}"/>
    <cellStyle name="40% - Accent6 16 5" xfId="774" xr:uid="{00000000-0005-0000-0000-0000FA020000}"/>
    <cellStyle name="40% - Accent6 17" xfId="775" xr:uid="{00000000-0005-0000-0000-0000FB020000}"/>
    <cellStyle name="40% - Accent6 17 2" xfId="776" xr:uid="{00000000-0005-0000-0000-0000FC020000}"/>
    <cellStyle name="40% - Accent6 17 3" xfId="777" xr:uid="{00000000-0005-0000-0000-0000FD020000}"/>
    <cellStyle name="40% - Accent6 17 4" xfId="778" xr:uid="{00000000-0005-0000-0000-0000FE020000}"/>
    <cellStyle name="40% - Accent6 17 5" xfId="779" xr:uid="{00000000-0005-0000-0000-0000FF020000}"/>
    <cellStyle name="40% - Accent6 18" xfId="780" xr:uid="{00000000-0005-0000-0000-000000030000}"/>
    <cellStyle name="40% - Accent6 19" xfId="781" xr:uid="{00000000-0005-0000-0000-000001030000}"/>
    <cellStyle name="40% - Accent6 2" xfId="782" xr:uid="{00000000-0005-0000-0000-000002030000}"/>
    <cellStyle name="40% - Accent6 2 10" xfId="783" xr:uid="{00000000-0005-0000-0000-000003030000}"/>
    <cellStyle name="40% - Accent6 2 2" xfId="784" xr:uid="{00000000-0005-0000-0000-000004030000}"/>
    <cellStyle name="40% - Accent6 2 2 2" xfId="785" xr:uid="{00000000-0005-0000-0000-000005030000}"/>
    <cellStyle name="40% - Accent6 2 2 2 2" xfId="786" xr:uid="{00000000-0005-0000-0000-000006030000}"/>
    <cellStyle name="40% - Accent6 2 2 2 2 2" xfId="787" xr:uid="{00000000-0005-0000-0000-000007030000}"/>
    <cellStyle name="40% - Accent6 2 2 2 2 3" xfId="788" xr:uid="{00000000-0005-0000-0000-000008030000}"/>
    <cellStyle name="40% - Accent6 2 2 2 3" xfId="789" xr:uid="{00000000-0005-0000-0000-000009030000}"/>
    <cellStyle name="40% - Accent6 2 2 2 4" xfId="790" xr:uid="{00000000-0005-0000-0000-00000A030000}"/>
    <cellStyle name="40% - Accent6 2 2 2 5" xfId="791" xr:uid="{00000000-0005-0000-0000-00000B030000}"/>
    <cellStyle name="40% - Accent6 2 2 2 6" xfId="792" xr:uid="{00000000-0005-0000-0000-00000C030000}"/>
    <cellStyle name="40% - Accent6 2 2 3" xfId="793" xr:uid="{00000000-0005-0000-0000-00000D030000}"/>
    <cellStyle name="40% - Accent6 2 2 4" xfId="794" xr:uid="{00000000-0005-0000-0000-00000E030000}"/>
    <cellStyle name="40% - Accent6 2 2 5" xfId="795" xr:uid="{00000000-0005-0000-0000-00000F030000}"/>
    <cellStyle name="40% - Accent6 2 2 6" xfId="796" xr:uid="{00000000-0005-0000-0000-000010030000}"/>
    <cellStyle name="40% - Accent6 2 3" xfId="797" xr:uid="{00000000-0005-0000-0000-000011030000}"/>
    <cellStyle name="40% - Accent6 2 4" xfId="798" xr:uid="{00000000-0005-0000-0000-000012030000}"/>
    <cellStyle name="40% - Accent6 2 5" xfId="799" xr:uid="{00000000-0005-0000-0000-000013030000}"/>
    <cellStyle name="40% - Accent6 2 6" xfId="800" xr:uid="{00000000-0005-0000-0000-000014030000}"/>
    <cellStyle name="40% - Accent6 2 7" xfId="801" xr:uid="{00000000-0005-0000-0000-000015030000}"/>
    <cellStyle name="40% - Accent6 2 8" xfId="802" xr:uid="{00000000-0005-0000-0000-000016030000}"/>
    <cellStyle name="40% - Accent6 2 9" xfId="803" xr:uid="{00000000-0005-0000-0000-000017030000}"/>
    <cellStyle name="40% - Accent6 20" xfId="804" xr:uid="{00000000-0005-0000-0000-000018030000}"/>
    <cellStyle name="40% - Accent6 21" xfId="805" xr:uid="{00000000-0005-0000-0000-000019030000}"/>
    <cellStyle name="40% - Accent6 22" xfId="806" xr:uid="{00000000-0005-0000-0000-00001A030000}"/>
    <cellStyle name="40% - Accent6 23" xfId="807" xr:uid="{00000000-0005-0000-0000-00001B030000}"/>
    <cellStyle name="40% - Accent6 24" xfId="808" xr:uid="{00000000-0005-0000-0000-00001C030000}"/>
    <cellStyle name="40% - Accent6 25" xfId="809" xr:uid="{00000000-0005-0000-0000-00001D030000}"/>
    <cellStyle name="40% - Accent6 26" xfId="810" xr:uid="{00000000-0005-0000-0000-00001E030000}"/>
    <cellStyle name="40% - Accent6 27" xfId="811" xr:uid="{00000000-0005-0000-0000-00001F030000}"/>
    <cellStyle name="40% - Accent6 28" xfId="812" xr:uid="{00000000-0005-0000-0000-000020030000}"/>
    <cellStyle name="40% - Accent6 29" xfId="813" xr:uid="{00000000-0005-0000-0000-000021030000}"/>
    <cellStyle name="40% - Accent6 3" xfId="814" xr:uid="{00000000-0005-0000-0000-000022030000}"/>
    <cellStyle name="40% - Accent6 30" xfId="815" xr:uid="{00000000-0005-0000-0000-000023030000}"/>
    <cellStyle name="40% - Accent6 31" xfId="816" xr:uid="{00000000-0005-0000-0000-000024030000}"/>
    <cellStyle name="40% - Accent6 32" xfId="817" xr:uid="{00000000-0005-0000-0000-000025030000}"/>
    <cellStyle name="40% - Accent6 33" xfId="818" xr:uid="{00000000-0005-0000-0000-000026030000}"/>
    <cellStyle name="40% - Accent6 34" xfId="819" xr:uid="{00000000-0005-0000-0000-000027030000}"/>
    <cellStyle name="40% - Accent6 35" xfId="820" xr:uid="{00000000-0005-0000-0000-000028030000}"/>
    <cellStyle name="40% - Accent6 36" xfId="821" xr:uid="{00000000-0005-0000-0000-000029030000}"/>
    <cellStyle name="40% - Accent6 4" xfId="822" xr:uid="{00000000-0005-0000-0000-00002A030000}"/>
    <cellStyle name="40% - Accent6 5" xfId="823" xr:uid="{00000000-0005-0000-0000-00002B030000}"/>
    <cellStyle name="40% - Accent6 6" xfId="824" xr:uid="{00000000-0005-0000-0000-00002C030000}"/>
    <cellStyle name="40% - Accent6 7" xfId="825" xr:uid="{00000000-0005-0000-0000-00002D030000}"/>
    <cellStyle name="40% - Accent6 8" xfId="826" xr:uid="{00000000-0005-0000-0000-00002E030000}"/>
    <cellStyle name="40% - Accent6 9" xfId="827" xr:uid="{00000000-0005-0000-0000-00002F030000}"/>
    <cellStyle name="60% - Accent1 10" xfId="828" xr:uid="{00000000-0005-0000-0000-000030030000}"/>
    <cellStyle name="60% - Accent1 11" xfId="829" xr:uid="{00000000-0005-0000-0000-000031030000}"/>
    <cellStyle name="60% - Accent1 12" xfId="830" xr:uid="{00000000-0005-0000-0000-000032030000}"/>
    <cellStyle name="60% - Accent1 13" xfId="831" xr:uid="{00000000-0005-0000-0000-000033030000}"/>
    <cellStyle name="60% - Accent1 14" xfId="832" xr:uid="{00000000-0005-0000-0000-000034030000}"/>
    <cellStyle name="60% - Accent1 15" xfId="833" xr:uid="{00000000-0005-0000-0000-000035030000}"/>
    <cellStyle name="60% - Accent1 16" xfId="834" xr:uid="{00000000-0005-0000-0000-000036030000}"/>
    <cellStyle name="60% - Accent1 17" xfId="835" xr:uid="{00000000-0005-0000-0000-000037030000}"/>
    <cellStyle name="60% - Accent1 18" xfId="836" xr:uid="{00000000-0005-0000-0000-000038030000}"/>
    <cellStyle name="60% - Accent1 19" xfId="837" xr:uid="{00000000-0005-0000-0000-000039030000}"/>
    <cellStyle name="60% - Accent1 2" xfId="838" xr:uid="{00000000-0005-0000-0000-00003A030000}"/>
    <cellStyle name="60% - Accent1 2 10" xfId="839" xr:uid="{00000000-0005-0000-0000-00003B030000}"/>
    <cellStyle name="60% - Accent1 2 2" xfId="840" xr:uid="{00000000-0005-0000-0000-00003C030000}"/>
    <cellStyle name="60% - Accent1 2 2 2" xfId="841" xr:uid="{00000000-0005-0000-0000-00003D030000}"/>
    <cellStyle name="60% - Accent1 2 2 2 2" xfId="842" xr:uid="{00000000-0005-0000-0000-00003E030000}"/>
    <cellStyle name="60% - Accent1 2 2 2 2 2" xfId="843" xr:uid="{00000000-0005-0000-0000-00003F030000}"/>
    <cellStyle name="60% - Accent1 2 2 2 2 3" xfId="844" xr:uid="{00000000-0005-0000-0000-000040030000}"/>
    <cellStyle name="60% - Accent1 2 2 2 3" xfId="845" xr:uid="{00000000-0005-0000-0000-000041030000}"/>
    <cellStyle name="60% - Accent1 2 2 2 4" xfId="846" xr:uid="{00000000-0005-0000-0000-000042030000}"/>
    <cellStyle name="60% - Accent1 2 2 2 5" xfId="847" xr:uid="{00000000-0005-0000-0000-000043030000}"/>
    <cellStyle name="60% - Accent1 2 2 2 6" xfId="848" xr:uid="{00000000-0005-0000-0000-000044030000}"/>
    <cellStyle name="60% - Accent1 2 2 3" xfId="849" xr:uid="{00000000-0005-0000-0000-000045030000}"/>
    <cellStyle name="60% - Accent1 2 2 4" xfId="850" xr:uid="{00000000-0005-0000-0000-000046030000}"/>
    <cellStyle name="60% - Accent1 2 2 5" xfId="851" xr:uid="{00000000-0005-0000-0000-000047030000}"/>
    <cellStyle name="60% - Accent1 2 2 6" xfId="852" xr:uid="{00000000-0005-0000-0000-000048030000}"/>
    <cellStyle name="60% - Accent1 2 3" xfId="853" xr:uid="{00000000-0005-0000-0000-000049030000}"/>
    <cellStyle name="60% - Accent1 2 4" xfId="854" xr:uid="{00000000-0005-0000-0000-00004A030000}"/>
    <cellStyle name="60% - Accent1 2 5" xfId="855" xr:uid="{00000000-0005-0000-0000-00004B030000}"/>
    <cellStyle name="60% - Accent1 2 6" xfId="856" xr:uid="{00000000-0005-0000-0000-00004C030000}"/>
    <cellStyle name="60% - Accent1 2 7" xfId="857" xr:uid="{00000000-0005-0000-0000-00004D030000}"/>
    <cellStyle name="60% - Accent1 2 8" xfId="858" xr:uid="{00000000-0005-0000-0000-00004E030000}"/>
    <cellStyle name="60% - Accent1 2 9" xfId="859" xr:uid="{00000000-0005-0000-0000-00004F030000}"/>
    <cellStyle name="60% - Accent1 20" xfId="860" xr:uid="{00000000-0005-0000-0000-000050030000}"/>
    <cellStyle name="60% - Accent1 21" xfId="861" xr:uid="{00000000-0005-0000-0000-000051030000}"/>
    <cellStyle name="60% - Accent1 22" xfId="862" xr:uid="{00000000-0005-0000-0000-000052030000}"/>
    <cellStyle name="60% - Accent1 23" xfId="863" xr:uid="{00000000-0005-0000-0000-000053030000}"/>
    <cellStyle name="60% - Accent1 3" xfId="864" xr:uid="{00000000-0005-0000-0000-000054030000}"/>
    <cellStyle name="60% - Accent1 4" xfId="865" xr:uid="{00000000-0005-0000-0000-000055030000}"/>
    <cellStyle name="60% - Accent1 5" xfId="866" xr:uid="{00000000-0005-0000-0000-000056030000}"/>
    <cellStyle name="60% - Accent1 6" xfId="867" xr:uid="{00000000-0005-0000-0000-000057030000}"/>
    <cellStyle name="60% - Accent1 7" xfId="868" xr:uid="{00000000-0005-0000-0000-000058030000}"/>
    <cellStyle name="60% - Accent1 8" xfId="869" xr:uid="{00000000-0005-0000-0000-000059030000}"/>
    <cellStyle name="60% - Accent1 9" xfId="870" xr:uid="{00000000-0005-0000-0000-00005A030000}"/>
    <cellStyle name="60% - Accent2 10" xfId="871" xr:uid="{00000000-0005-0000-0000-00005B030000}"/>
    <cellStyle name="60% - Accent2 11" xfId="872" xr:uid="{00000000-0005-0000-0000-00005C030000}"/>
    <cellStyle name="60% - Accent2 12" xfId="873" xr:uid="{00000000-0005-0000-0000-00005D030000}"/>
    <cellStyle name="60% - Accent2 13" xfId="874" xr:uid="{00000000-0005-0000-0000-00005E030000}"/>
    <cellStyle name="60% - Accent2 14" xfId="875" xr:uid="{00000000-0005-0000-0000-00005F030000}"/>
    <cellStyle name="60% - Accent2 15" xfId="876" xr:uid="{00000000-0005-0000-0000-000060030000}"/>
    <cellStyle name="60% - Accent2 16" xfId="877" xr:uid="{00000000-0005-0000-0000-000061030000}"/>
    <cellStyle name="60% - Accent2 17" xfId="878" xr:uid="{00000000-0005-0000-0000-000062030000}"/>
    <cellStyle name="60% - Accent2 18" xfId="879" xr:uid="{00000000-0005-0000-0000-000063030000}"/>
    <cellStyle name="60% - Accent2 19" xfId="880" xr:uid="{00000000-0005-0000-0000-000064030000}"/>
    <cellStyle name="60% - Accent2 2" xfId="881" xr:uid="{00000000-0005-0000-0000-000065030000}"/>
    <cellStyle name="60% - Accent2 2 10" xfId="882" xr:uid="{00000000-0005-0000-0000-000066030000}"/>
    <cellStyle name="60% - Accent2 2 2" xfId="883" xr:uid="{00000000-0005-0000-0000-000067030000}"/>
    <cellStyle name="60% - Accent2 2 2 2" xfId="884" xr:uid="{00000000-0005-0000-0000-000068030000}"/>
    <cellStyle name="60% - Accent2 2 2 2 2" xfId="885" xr:uid="{00000000-0005-0000-0000-000069030000}"/>
    <cellStyle name="60% - Accent2 2 2 2 2 2" xfId="886" xr:uid="{00000000-0005-0000-0000-00006A030000}"/>
    <cellStyle name="60% - Accent2 2 2 2 2 3" xfId="887" xr:uid="{00000000-0005-0000-0000-00006B030000}"/>
    <cellStyle name="60% - Accent2 2 2 2 3" xfId="888" xr:uid="{00000000-0005-0000-0000-00006C030000}"/>
    <cellStyle name="60% - Accent2 2 2 2 4" xfId="889" xr:uid="{00000000-0005-0000-0000-00006D030000}"/>
    <cellStyle name="60% - Accent2 2 2 2 5" xfId="890" xr:uid="{00000000-0005-0000-0000-00006E030000}"/>
    <cellStyle name="60% - Accent2 2 2 2 6" xfId="891" xr:uid="{00000000-0005-0000-0000-00006F030000}"/>
    <cellStyle name="60% - Accent2 2 2 3" xfId="892" xr:uid="{00000000-0005-0000-0000-000070030000}"/>
    <cellStyle name="60% - Accent2 2 2 4" xfId="893" xr:uid="{00000000-0005-0000-0000-000071030000}"/>
    <cellStyle name="60% - Accent2 2 2 5" xfId="894" xr:uid="{00000000-0005-0000-0000-000072030000}"/>
    <cellStyle name="60% - Accent2 2 2 6" xfId="895" xr:uid="{00000000-0005-0000-0000-000073030000}"/>
    <cellStyle name="60% - Accent2 2 3" xfId="896" xr:uid="{00000000-0005-0000-0000-000074030000}"/>
    <cellStyle name="60% - Accent2 2 4" xfId="897" xr:uid="{00000000-0005-0000-0000-000075030000}"/>
    <cellStyle name="60% - Accent2 2 5" xfId="898" xr:uid="{00000000-0005-0000-0000-000076030000}"/>
    <cellStyle name="60% - Accent2 2 6" xfId="899" xr:uid="{00000000-0005-0000-0000-000077030000}"/>
    <cellStyle name="60% - Accent2 2 7" xfId="900" xr:uid="{00000000-0005-0000-0000-000078030000}"/>
    <cellStyle name="60% - Accent2 2 8" xfId="901" xr:uid="{00000000-0005-0000-0000-000079030000}"/>
    <cellStyle name="60% - Accent2 2 9" xfId="902" xr:uid="{00000000-0005-0000-0000-00007A030000}"/>
    <cellStyle name="60% - Accent2 20" xfId="903" xr:uid="{00000000-0005-0000-0000-00007B030000}"/>
    <cellStyle name="60% - Accent2 21" xfId="904" xr:uid="{00000000-0005-0000-0000-00007C030000}"/>
    <cellStyle name="60% - Accent2 22" xfId="905" xr:uid="{00000000-0005-0000-0000-00007D030000}"/>
    <cellStyle name="60% - Accent2 23" xfId="906" xr:uid="{00000000-0005-0000-0000-00007E030000}"/>
    <cellStyle name="60% - Accent2 3" xfId="907" xr:uid="{00000000-0005-0000-0000-00007F030000}"/>
    <cellStyle name="60% - Accent2 4" xfId="908" xr:uid="{00000000-0005-0000-0000-000080030000}"/>
    <cellStyle name="60% - Accent2 5" xfId="909" xr:uid="{00000000-0005-0000-0000-000081030000}"/>
    <cellStyle name="60% - Accent2 6" xfId="910" xr:uid="{00000000-0005-0000-0000-000082030000}"/>
    <cellStyle name="60% - Accent2 7" xfId="911" xr:uid="{00000000-0005-0000-0000-000083030000}"/>
    <cellStyle name="60% - Accent2 8" xfId="912" xr:uid="{00000000-0005-0000-0000-000084030000}"/>
    <cellStyle name="60% - Accent2 9" xfId="913" xr:uid="{00000000-0005-0000-0000-000085030000}"/>
    <cellStyle name="60% - Accent3 10" xfId="914" xr:uid="{00000000-0005-0000-0000-000086030000}"/>
    <cellStyle name="60% - Accent3 11" xfId="915" xr:uid="{00000000-0005-0000-0000-000087030000}"/>
    <cellStyle name="60% - Accent3 12" xfId="916" xr:uid="{00000000-0005-0000-0000-000088030000}"/>
    <cellStyle name="60% - Accent3 13" xfId="917" xr:uid="{00000000-0005-0000-0000-000089030000}"/>
    <cellStyle name="60% - Accent3 14" xfId="918" xr:uid="{00000000-0005-0000-0000-00008A030000}"/>
    <cellStyle name="60% - Accent3 15" xfId="919" xr:uid="{00000000-0005-0000-0000-00008B030000}"/>
    <cellStyle name="60% - Accent3 16" xfId="920" xr:uid="{00000000-0005-0000-0000-00008C030000}"/>
    <cellStyle name="60% - Accent3 17" xfId="921" xr:uid="{00000000-0005-0000-0000-00008D030000}"/>
    <cellStyle name="60% - Accent3 18" xfId="922" xr:uid="{00000000-0005-0000-0000-00008E030000}"/>
    <cellStyle name="60% - Accent3 19" xfId="923" xr:uid="{00000000-0005-0000-0000-00008F030000}"/>
    <cellStyle name="60% - Accent3 2" xfId="924" xr:uid="{00000000-0005-0000-0000-000090030000}"/>
    <cellStyle name="60% - Accent3 2 10" xfId="925" xr:uid="{00000000-0005-0000-0000-000091030000}"/>
    <cellStyle name="60% - Accent3 2 2" xfId="926" xr:uid="{00000000-0005-0000-0000-000092030000}"/>
    <cellStyle name="60% - Accent3 2 2 2" xfId="927" xr:uid="{00000000-0005-0000-0000-000093030000}"/>
    <cellStyle name="60% - Accent3 2 2 2 2" xfId="928" xr:uid="{00000000-0005-0000-0000-000094030000}"/>
    <cellStyle name="60% - Accent3 2 2 2 2 2" xfId="929" xr:uid="{00000000-0005-0000-0000-000095030000}"/>
    <cellStyle name="60% - Accent3 2 2 2 2 3" xfId="930" xr:uid="{00000000-0005-0000-0000-000096030000}"/>
    <cellStyle name="60% - Accent3 2 2 2 3" xfId="931" xr:uid="{00000000-0005-0000-0000-000097030000}"/>
    <cellStyle name="60% - Accent3 2 2 2 4" xfId="932" xr:uid="{00000000-0005-0000-0000-000098030000}"/>
    <cellStyle name="60% - Accent3 2 2 2 5" xfId="933" xr:uid="{00000000-0005-0000-0000-000099030000}"/>
    <cellStyle name="60% - Accent3 2 2 2 6" xfId="934" xr:uid="{00000000-0005-0000-0000-00009A030000}"/>
    <cellStyle name="60% - Accent3 2 2 3" xfId="935" xr:uid="{00000000-0005-0000-0000-00009B030000}"/>
    <cellStyle name="60% - Accent3 2 2 4" xfId="936" xr:uid="{00000000-0005-0000-0000-00009C030000}"/>
    <cellStyle name="60% - Accent3 2 2 5" xfId="937" xr:uid="{00000000-0005-0000-0000-00009D030000}"/>
    <cellStyle name="60% - Accent3 2 2 6" xfId="938" xr:uid="{00000000-0005-0000-0000-00009E030000}"/>
    <cellStyle name="60% - Accent3 2 3" xfId="939" xr:uid="{00000000-0005-0000-0000-00009F030000}"/>
    <cellStyle name="60% - Accent3 2 4" xfId="940" xr:uid="{00000000-0005-0000-0000-0000A0030000}"/>
    <cellStyle name="60% - Accent3 2 5" xfId="941" xr:uid="{00000000-0005-0000-0000-0000A1030000}"/>
    <cellStyle name="60% - Accent3 2 6" xfId="942" xr:uid="{00000000-0005-0000-0000-0000A2030000}"/>
    <cellStyle name="60% - Accent3 2 7" xfId="943" xr:uid="{00000000-0005-0000-0000-0000A3030000}"/>
    <cellStyle name="60% - Accent3 2 8" xfId="944" xr:uid="{00000000-0005-0000-0000-0000A4030000}"/>
    <cellStyle name="60% - Accent3 2 9" xfId="945" xr:uid="{00000000-0005-0000-0000-0000A5030000}"/>
    <cellStyle name="60% - Accent3 20" xfId="946" xr:uid="{00000000-0005-0000-0000-0000A6030000}"/>
    <cellStyle name="60% - Accent3 21" xfId="947" xr:uid="{00000000-0005-0000-0000-0000A7030000}"/>
    <cellStyle name="60% - Accent3 22" xfId="948" xr:uid="{00000000-0005-0000-0000-0000A8030000}"/>
    <cellStyle name="60% - Accent3 23" xfId="949" xr:uid="{00000000-0005-0000-0000-0000A9030000}"/>
    <cellStyle name="60% - Accent3 3" xfId="950" xr:uid="{00000000-0005-0000-0000-0000AA030000}"/>
    <cellStyle name="60% - Accent3 4" xfId="951" xr:uid="{00000000-0005-0000-0000-0000AB030000}"/>
    <cellStyle name="60% - Accent3 5" xfId="952" xr:uid="{00000000-0005-0000-0000-0000AC030000}"/>
    <cellStyle name="60% - Accent3 6" xfId="953" xr:uid="{00000000-0005-0000-0000-0000AD030000}"/>
    <cellStyle name="60% - Accent3 7" xfId="954" xr:uid="{00000000-0005-0000-0000-0000AE030000}"/>
    <cellStyle name="60% - Accent3 8" xfId="955" xr:uid="{00000000-0005-0000-0000-0000AF030000}"/>
    <cellStyle name="60% - Accent3 9" xfId="956" xr:uid="{00000000-0005-0000-0000-0000B0030000}"/>
    <cellStyle name="60% - Accent4 10" xfId="957" xr:uid="{00000000-0005-0000-0000-0000B1030000}"/>
    <cellStyle name="60% - Accent4 11" xfId="958" xr:uid="{00000000-0005-0000-0000-0000B2030000}"/>
    <cellStyle name="60% - Accent4 12" xfId="959" xr:uid="{00000000-0005-0000-0000-0000B3030000}"/>
    <cellStyle name="60% - Accent4 13" xfId="960" xr:uid="{00000000-0005-0000-0000-0000B4030000}"/>
    <cellStyle name="60% - Accent4 14" xfId="961" xr:uid="{00000000-0005-0000-0000-0000B5030000}"/>
    <cellStyle name="60% - Accent4 15" xfId="962" xr:uid="{00000000-0005-0000-0000-0000B6030000}"/>
    <cellStyle name="60% - Accent4 16" xfId="963" xr:uid="{00000000-0005-0000-0000-0000B7030000}"/>
    <cellStyle name="60% - Accent4 17" xfId="964" xr:uid="{00000000-0005-0000-0000-0000B8030000}"/>
    <cellStyle name="60% - Accent4 18" xfId="965" xr:uid="{00000000-0005-0000-0000-0000B9030000}"/>
    <cellStyle name="60% - Accent4 19" xfId="966" xr:uid="{00000000-0005-0000-0000-0000BA030000}"/>
    <cellStyle name="60% - Accent4 2" xfId="967" xr:uid="{00000000-0005-0000-0000-0000BB030000}"/>
    <cellStyle name="60% - Accent4 2 10" xfId="968" xr:uid="{00000000-0005-0000-0000-0000BC030000}"/>
    <cellStyle name="60% - Accent4 2 2" xfId="969" xr:uid="{00000000-0005-0000-0000-0000BD030000}"/>
    <cellStyle name="60% - Accent4 2 2 2" xfId="970" xr:uid="{00000000-0005-0000-0000-0000BE030000}"/>
    <cellStyle name="60% - Accent4 2 2 2 2" xfId="971" xr:uid="{00000000-0005-0000-0000-0000BF030000}"/>
    <cellStyle name="60% - Accent4 2 2 2 2 2" xfId="972" xr:uid="{00000000-0005-0000-0000-0000C0030000}"/>
    <cellStyle name="60% - Accent4 2 2 2 2 3" xfId="973" xr:uid="{00000000-0005-0000-0000-0000C1030000}"/>
    <cellStyle name="60% - Accent4 2 2 2 3" xfId="974" xr:uid="{00000000-0005-0000-0000-0000C2030000}"/>
    <cellStyle name="60% - Accent4 2 2 2 4" xfId="975" xr:uid="{00000000-0005-0000-0000-0000C3030000}"/>
    <cellStyle name="60% - Accent4 2 2 2 5" xfId="976" xr:uid="{00000000-0005-0000-0000-0000C4030000}"/>
    <cellStyle name="60% - Accent4 2 2 2 6" xfId="977" xr:uid="{00000000-0005-0000-0000-0000C5030000}"/>
    <cellStyle name="60% - Accent4 2 2 3" xfId="978" xr:uid="{00000000-0005-0000-0000-0000C6030000}"/>
    <cellStyle name="60% - Accent4 2 2 4" xfId="979" xr:uid="{00000000-0005-0000-0000-0000C7030000}"/>
    <cellStyle name="60% - Accent4 2 2 5" xfId="980" xr:uid="{00000000-0005-0000-0000-0000C8030000}"/>
    <cellStyle name="60% - Accent4 2 2 6" xfId="981" xr:uid="{00000000-0005-0000-0000-0000C9030000}"/>
    <cellStyle name="60% - Accent4 2 3" xfId="982" xr:uid="{00000000-0005-0000-0000-0000CA030000}"/>
    <cellStyle name="60% - Accent4 2 4" xfId="983" xr:uid="{00000000-0005-0000-0000-0000CB030000}"/>
    <cellStyle name="60% - Accent4 2 5" xfId="984" xr:uid="{00000000-0005-0000-0000-0000CC030000}"/>
    <cellStyle name="60% - Accent4 2 6" xfId="985" xr:uid="{00000000-0005-0000-0000-0000CD030000}"/>
    <cellStyle name="60% - Accent4 2 7" xfId="986" xr:uid="{00000000-0005-0000-0000-0000CE030000}"/>
    <cellStyle name="60% - Accent4 2 8" xfId="987" xr:uid="{00000000-0005-0000-0000-0000CF030000}"/>
    <cellStyle name="60% - Accent4 2 9" xfId="988" xr:uid="{00000000-0005-0000-0000-0000D0030000}"/>
    <cellStyle name="60% - Accent4 20" xfId="989" xr:uid="{00000000-0005-0000-0000-0000D1030000}"/>
    <cellStyle name="60% - Accent4 21" xfId="990" xr:uid="{00000000-0005-0000-0000-0000D2030000}"/>
    <cellStyle name="60% - Accent4 22" xfId="991" xr:uid="{00000000-0005-0000-0000-0000D3030000}"/>
    <cellStyle name="60% - Accent4 23" xfId="992" xr:uid="{00000000-0005-0000-0000-0000D4030000}"/>
    <cellStyle name="60% - Accent4 3" xfId="993" xr:uid="{00000000-0005-0000-0000-0000D5030000}"/>
    <cellStyle name="60% - Accent4 4" xfId="994" xr:uid="{00000000-0005-0000-0000-0000D6030000}"/>
    <cellStyle name="60% - Accent4 5" xfId="995" xr:uid="{00000000-0005-0000-0000-0000D7030000}"/>
    <cellStyle name="60% - Accent4 6" xfId="996" xr:uid="{00000000-0005-0000-0000-0000D8030000}"/>
    <cellStyle name="60% - Accent4 7" xfId="997" xr:uid="{00000000-0005-0000-0000-0000D9030000}"/>
    <cellStyle name="60% - Accent4 8" xfId="998" xr:uid="{00000000-0005-0000-0000-0000DA030000}"/>
    <cellStyle name="60% - Accent4 9" xfId="999" xr:uid="{00000000-0005-0000-0000-0000DB030000}"/>
    <cellStyle name="60% - Accent5 10" xfId="1000" xr:uid="{00000000-0005-0000-0000-0000DC030000}"/>
    <cellStyle name="60% - Accent5 11" xfId="1001" xr:uid="{00000000-0005-0000-0000-0000DD030000}"/>
    <cellStyle name="60% - Accent5 12" xfId="1002" xr:uid="{00000000-0005-0000-0000-0000DE030000}"/>
    <cellStyle name="60% - Accent5 13" xfId="1003" xr:uid="{00000000-0005-0000-0000-0000DF030000}"/>
    <cellStyle name="60% - Accent5 14" xfId="1004" xr:uid="{00000000-0005-0000-0000-0000E0030000}"/>
    <cellStyle name="60% - Accent5 15" xfId="1005" xr:uid="{00000000-0005-0000-0000-0000E1030000}"/>
    <cellStyle name="60% - Accent5 16" xfId="1006" xr:uid="{00000000-0005-0000-0000-0000E2030000}"/>
    <cellStyle name="60% - Accent5 17" xfId="1007" xr:uid="{00000000-0005-0000-0000-0000E3030000}"/>
    <cellStyle name="60% - Accent5 18" xfId="1008" xr:uid="{00000000-0005-0000-0000-0000E4030000}"/>
    <cellStyle name="60% - Accent5 19" xfId="1009" xr:uid="{00000000-0005-0000-0000-0000E5030000}"/>
    <cellStyle name="60% - Accent5 2" xfId="1010" xr:uid="{00000000-0005-0000-0000-0000E6030000}"/>
    <cellStyle name="60% - Accent5 2 10" xfId="1011" xr:uid="{00000000-0005-0000-0000-0000E7030000}"/>
    <cellStyle name="60% - Accent5 2 2" xfId="1012" xr:uid="{00000000-0005-0000-0000-0000E8030000}"/>
    <cellStyle name="60% - Accent5 2 2 2" xfId="1013" xr:uid="{00000000-0005-0000-0000-0000E9030000}"/>
    <cellStyle name="60% - Accent5 2 2 2 2" xfId="1014" xr:uid="{00000000-0005-0000-0000-0000EA030000}"/>
    <cellStyle name="60% - Accent5 2 2 2 2 2" xfId="1015" xr:uid="{00000000-0005-0000-0000-0000EB030000}"/>
    <cellStyle name="60% - Accent5 2 2 2 2 3" xfId="1016" xr:uid="{00000000-0005-0000-0000-0000EC030000}"/>
    <cellStyle name="60% - Accent5 2 2 2 3" xfId="1017" xr:uid="{00000000-0005-0000-0000-0000ED030000}"/>
    <cellStyle name="60% - Accent5 2 2 2 4" xfId="1018" xr:uid="{00000000-0005-0000-0000-0000EE030000}"/>
    <cellStyle name="60% - Accent5 2 2 2 5" xfId="1019" xr:uid="{00000000-0005-0000-0000-0000EF030000}"/>
    <cellStyle name="60% - Accent5 2 2 2 6" xfId="1020" xr:uid="{00000000-0005-0000-0000-0000F0030000}"/>
    <cellStyle name="60% - Accent5 2 2 3" xfId="1021" xr:uid="{00000000-0005-0000-0000-0000F1030000}"/>
    <cellStyle name="60% - Accent5 2 2 4" xfId="1022" xr:uid="{00000000-0005-0000-0000-0000F2030000}"/>
    <cellStyle name="60% - Accent5 2 2 5" xfId="1023" xr:uid="{00000000-0005-0000-0000-0000F3030000}"/>
    <cellStyle name="60% - Accent5 2 2 6" xfId="1024" xr:uid="{00000000-0005-0000-0000-0000F4030000}"/>
    <cellStyle name="60% - Accent5 2 3" xfId="1025" xr:uid="{00000000-0005-0000-0000-0000F5030000}"/>
    <cellStyle name="60% - Accent5 2 4" xfId="1026" xr:uid="{00000000-0005-0000-0000-0000F6030000}"/>
    <cellStyle name="60% - Accent5 2 5" xfId="1027" xr:uid="{00000000-0005-0000-0000-0000F7030000}"/>
    <cellStyle name="60% - Accent5 2 6" xfId="1028" xr:uid="{00000000-0005-0000-0000-0000F8030000}"/>
    <cellStyle name="60% - Accent5 2 7" xfId="1029" xr:uid="{00000000-0005-0000-0000-0000F9030000}"/>
    <cellStyle name="60% - Accent5 2 8" xfId="1030" xr:uid="{00000000-0005-0000-0000-0000FA030000}"/>
    <cellStyle name="60% - Accent5 2 9" xfId="1031" xr:uid="{00000000-0005-0000-0000-0000FB030000}"/>
    <cellStyle name="60% - Accent5 20" xfId="1032" xr:uid="{00000000-0005-0000-0000-0000FC030000}"/>
    <cellStyle name="60% - Accent5 21" xfId="1033" xr:uid="{00000000-0005-0000-0000-0000FD030000}"/>
    <cellStyle name="60% - Accent5 22" xfId="1034" xr:uid="{00000000-0005-0000-0000-0000FE030000}"/>
    <cellStyle name="60% - Accent5 23" xfId="1035" xr:uid="{00000000-0005-0000-0000-0000FF030000}"/>
    <cellStyle name="60% - Accent5 3" xfId="1036" xr:uid="{00000000-0005-0000-0000-000000040000}"/>
    <cellStyle name="60% - Accent5 4" xfId="1037" xr:uid="{00000000-0005-0000-0000-000001040000}"/>
    <cellStyle name="60% - Accent5 5" xfId="1038" xr:uid="{00000000-0005-0000-0000-000002040000}"/>
    <cellStyle name="60% - Accent5 6" xfId="1039" xr:uid="{00000000-0005-0000-0000-000003040000}"/>
    <cellStyle name="60% - Accent5 7" xfId="1040" xr:uid="{00000000-0005-0000-0000-000004040000}"/>
    <cellStyle name="60% - Accent5 8" xfId="1041" xr:uid="{00000000-0005-0000-0000-000005040000}"/>
    <cellStyle name="60% - Accent5 9" xfId="1042" xr:uid="{00000000-0005-0000-0000-000006040000}"/>
    <cellStyle name="60% - Accent6 10" xfId="1043" xr:uid="{00000000-0005-0000-0000-000007040000}"/>
    <cellStyle name="60% - Accent6 11" xfId="1044" xr:uid="{00000000-0005-0000-0000-000008040000}"/>
    <cellStyle name="60% - Accent6 12" xfId="1045" xr:uid="{00000000-0005-0000-0000-000009040000}"/>
    <cellStyle name="60% - Accent6 13" xfId="1046" xr:uid="{00000000-0005-0000-0000-00000A040000}"/>
    <cellStyle name="60% - Accent6 14" xfId="1047" xr:uid="{00000000-0005-0000-0000-00000B040000}"/>
    <cellStyle name="60% - Accent6 15" xfId="1048" xr:uid="{00000000-0005-0000-0000-00000C040000}"/>
    <cellStyle name="60% - Accent6 16" xfId="1049" xr:uid="{00000000-0005-0000-0000-00000D040000}"/>
    <cellStyle name="60% - Accent6 17" xfId="1050" xr:uid="{00000000-0005-0000-0000-00000E040000}"/>
    <cellStyle name="60% - Accent6 18" xfId="1051" xr:uid="{00000000-0005-0000-0000-00000F040000}"/>
    <cellStyle name="60% - Accent6 19" xfId="1052" xr:uid="{00000000-0005-0000-0000-000010040000}"/>
    <cellStyle name="60% - Accent6 2" xfId="1053" xr:uid="{00000000-0005-0000-0000-000011040000}"/>
    <cellStyle name="60% - Accent6 2 10" xfId="1054" xr:uid="{00000000-0005-0000-0000-000012040000}"/>
    <cellStyle name="60% - Accent6 2 2" xfId="1055" xr:uid="{00000000-0005-0000-0000-000013040000}"/>
    <cellStyle name="60% - Accent6 2 2 2" xfId="1056" xr:uid="{00000000-0005-0000-0000-000014040000}"/>
    <cellStyle name="60% - Accent6 2 2 2 2" xfId="1057" xr:uid="{00000000-0005-0000-0000-000015040000}"/>
    <cellStyle name="60% - Accent6 2 2 2 2 2" xfId="1058" xr:uid="{00000000-0005-0000-0000-000016040000}"/>
    <cellStyle name="60% - Accent6 2 2 2 2 3" xfId="1059" xr:uid="{00000000-0005-0000-0000-000017040000}"/>
    <cellStyle name="60% - Accent6 2 2 2 3" xfId="1060" xr:uid="{00000000-0005-0000-0000-000018040000}"/>
    <cellStyle name="60% - Accent6 2 2 2 4" xfId="1061" xr:uid="{00000000-0005-0000-0000-000019040000}"/>
    <cellStyle name="60% - Accent6 2 2 2 5" xfId="1062" xr:uid="{00000000-0005-0000-0000-00001A040000}"/>
    <cellStyle name="60% - Accent6 2 2 2 6" xfId="1063" xr:uid="{00000000-0005-0000-0000-00001B040000}"/>
    <cellStyle name="60% - Accent6 2 2 3" xfId="1064" xr:uid="{00000000-0005-0000-0000-00001C040000}"/>
    <cellStyle name="60% - Accent6 2 2 4" xfId="1065" xr:uid="{00000000-0005-0000-0000-00001D040000}"/>
    <cellStyle name="60% - Accent6 2 2 5" xfId="1066" xr:uid="{00000000-0005-0000-0000-00001E040000}"/>
    <cellStyle name="60% - Accent6 2 2 6" xfId="1067" xr:uid="{00000000-0005-0000-0000-00001F040000}"/>
    <cellStyle name="60% - Accent6 2 3" xfId="1068" xr:uid="{00000000-0005-0000-0000-000020040000}"/>
    <cellStyle name="60% - Accent6 2 4" xfId="1069" xr:uid="{00000000-0005-0000-0000-000021040000}"/>
    <cellStyle name="60% - Accent6 2 5" xfId="1070" xr:uid="{00000000-0005-0000-0000-000022040000}"/>
    <cellStyle name="60% - Accent6 2 6" xfId="1071" xr:uid="{00000000-0005-0000-0000-000023040000}"/>
    <cellStyle name="60% - Accent6 2 7" xfId="1072" xr:uid="{00000000-0005-0000-0000-000024040000}"/>
    <cellStyle name="60% - Accent6 2 8" xfId="1073" xr:uid="{00000000-0005-0000-0000-000025040000}"/>
    <cellStyle name="60% - Accent6 2 9" xfId="1074" xr:uid="{00000000-0005-0000-0000-000026040000}"/>
    <cellStyle name="60% - Accent6 20" xfId="1075" xr:uid="{00000000-0005-0000-0000-000027040000}"/>
    <cellStyle name="60% - Accent6 21" xfId="1076" xr:uid="{00000000-0005-0000-0000-000028040000}"/>
    <cellStyle name="60% - Accent6 22" xfId="1077" xr:uid="{00000000-0005-0000-0000-000029040000}"/>
    <cellStyle name="60% - Accent6 23" xfId="1078" xr:uid="{00000000-0005-0000-0000-00002A040000}"/>
    <cellStyle name="60% - Accent6 3" xfId="1079" xr:uid="{00000000-0005-0000-0000-00002B040000}"/>
    <cellStyle name="60% - Accent6 4" xfId="1080" xr:uid="{00000000-0005-0000-0000-00002C040000}"/>
    <cellStyle name="60% - Accent6 5" xfId="1081" xr:uid="{00000000-0005-0000-0000-00002D040000}"/>
    <cellStyle name="60% - Accent6 6" xfId="1082" xr:uid="{00000000-0005-0000-0000-00002E040000}"/>
    <cellStyle name="60% - Accent6 7" xfId="1083" xr:uid="{00000000-0005-0000-0000-00002F040000}"/>
    <cellStyle name="60% - Accent6 8" xfId="1084" xr:uid="{00000000-0005-0000-0000-000030040000}"/>
    <cellStyle name="60% - Accent6 9" xfId="1085" xr:uid="{00000000-0005-0000-0000-000031040000}"/>
    <cellStyle name="Accent1 10" xfId="1086" xr:uid="{00000000-0005-0000-0000-000032040000}"/>
    <cellStyle name="Accent1 11" xfId="1087" xr:uid="{00000000-0005-0000-0000-000033040000}"/>
    <cellStyle name="Accent1 12" xfId="1088" xr:uid="{00000000-0005-0000-0000-000034040000}"/>
    <cellStyle name="Accent1 13" xfId="1089" xr:uid="{00000000-0005-0000-0000-000035040000}"/>
    <cellStyle name="Accent1 14" xfId="1090" xr:uid="{00000000-0005-0000-0000-000036040000}"/>
    <cellStyle name="Accent1 15" xfId="1091" xr:uid="{00000000-0005-0000-0000-000037040000}"/>
    <cellStyle name="Accent1 16" xfId="1092" xr:uid="{00000000-0005-0000-0000-000038040000}"/>
    <cellStyle name="Accent1 17" xfId="1093" xr:uid="{00000000-0005-0000-0000-000039040000}"/>
    <cellStyle name="Accent1 18" xfId="1094" xr:uid="{00000000-0005-0000-0000-00003A040000}"/>
    <cellStyle name="Accent1 19" xfId="1095" xr:uid="{00000000-0005-0000-0000-00003B040000}"/>
    <cellStyle name="Accent1 2" xfId="1096" xr:uid="{00000000-0005-0000-0000-00003C040000}"/>
    <cellStyle name="Accent1 2 10" xfId="1097" xr:uid="{00000000-0005-0000-0000-00003D040000}"/>
    <cellStyle name="Accent1 2 2" xfId="1098" xr:uid="{00000000-0005-0000-0000-00003E040000}"/>
    <cellStyle name="Accent1 2 2 2" xfId="1099" xr:uid="{00000000-0005-0000-0000-00003F040000}"/>
    <cellStyle name="Accent1 2 2 2 2" xfId="1100" xr:uid="{00000000-0005-0000-0000-000040040000}"/>
    <cellStyle name="Accent1 2 2 2 2 2" xfId="1101" xr:uid="{00000000-0005-0000-0000-000041040000}"/>
    <cellStyle name="Accent1 2 2 2 2 3" xfId="1102" xr:uid="{00000000-0005-0000-0000-000042040000}"/>
    <cellStyle name="Accent1 2 2 2 3" xfId="1103" xr:uid="{00000000-0005-0000-0000-000043040000}"/>
    <cellStyle name="Accent1 2 2 2 4" xfId="1104" xr:uid="{00000000-0005-0000-0000-000044040000}"/>
    <cellStyle name="Accent1 2 2 2 5" xfId="1105" xr:uid="{00000000-0005-0000-0000-000045040000}"/>
    <cellStyle name="Accent1 2 2 2 6" xfId="1106" xr:uid="{00000000-0005-0000-0000-000046040000}"/>
    <cellStyle name="Accent1 2 2 3" xfId="1107" xr:uid="{00000000-0005-0000-0000-000047040000}"/>
    <cellStyle name="Accent1 2 2 4" xfId="1108" xr:uid="{00000000-0005-0000-0000-000048040000}"/>
    <cellStyle name="Accent1 2 2 5" xfId="1109" xr:uid="{00000000-0005-0000-0000-000049040000}"/>
    <cellStyle name="Accent1 2 2 6" xfId="1110" xr:uid="{00000000-0005-0000-0000-00004A040000}"/>
    <cellStyle name="Accent1 2 3" xfId="1111" xr:uid="{00000000-0005-0000-0000-00004B040000}"/>
    <cellStyle name="Accent1 2 4" xfId="1112" xr:uid="{00000000-0005-0000-0000-00004C040000}"/>
    <cellStyle name="Accent1 2 5" xfId="1113" xr:uid="{00000000-0005-0000-0000-00004D040000}"/>
    <cellStyle name="Accent1 2 6" xfId="1114" xr:uid="{00000000-0005-0000-0000-00004E040000}"/>
    <cellStyle name="Accent1 2 7" xfId="1115" xr:uid="{00000000-0005-0000-0000-00004F040000}"/>
    <cellStyle name="Accent1 2 8" xfId="1116" xr:uid="{00000000-0005-0000-0000-000050040000}"/>
    <cellStyle name="Accent1 2 9" xfId="1117" xr:uid="{00000000-0005-0000-0000-000051040000}"/>
    <cellStyle name="Accent1 20" xfId="1118" xr:uid="{00000000-0005-0000-0000-000052040000}"/>
    <cellStyle name="Accent1 21" xfId="1119" xr:uid="{00000000-0005-0000-0000-000053040000}"/>
    <cellStyle name="Accent1 22" xfId="1120" xr:uid="{00000000-0005-0000-0000-000054040000}"/>
    <cellStyle name="Accent1 23" xfId="1121" xr:uid="{00000000-0005-0000-0000-000055040000}"/>
    <cellStyle name="Accent1 3" xfId="1122" xr:uid="{00000000-0005-0000-0000-000056040000}"/>
    <cellStyle name="Accent1 4" xfId="1123" xr:uid="{00000000-0005-0000-0000-000057040000}"/>
    <cellStyle name="Accent1 5" xfId="1124" xr:uid="{00000000-0005-0000-0000-000058040000}"/>
    <cellStyle name="Accent1 6" xfId="1125" xr:uid="{00000000-0005-0000-0000-000059040000}"/>
    <cellStyle name="Accent1 7" xfId="1126" xr:uid="{00000000-0005-0000-0000-00005A040000}"/>
    <cellStyle name="Accent1 8" xfId="1127" xr:uid="{00000000-0005-0000-0000-00005B040000}"/>
    <cellStyle name="Accent1 9" xfId="1128" xr:uid="{00000000-0005-0000-0000-00005C040000}"/>
    <cellStyle name="Accent2 10" xfId="1129" xr:uid="{00000000-0005-0000-0000-00005D040000}"/>
    <cellStyle name="Accent2 11" xfId="1130" xr:uid="{00000000-0005-0000-0000-00005E040000}"/>
    <cellStyle name="Accent2 12" xfId="1131" xr:uid="{00000000-0005-0000-0000-00005F040000}"/>
    <cellStyle name="Accent2 13" xfId="1132" xr:uid="{00000000-0005-0000-0000-000060040000}"/>
    <cellStyle name="Accent2 14" xfId="1133" xr:uid="{00000000-0005-0000-0000-000061040000}"/>
    <cellStyle name="Accent2 15" xfId="1134" xr:uid="{00000000-0005-0000-0000-000062040000}"/>
    <cellStyle name="Accent2 16" xfId="1135" xr:uid="{00000000-0005-0000-0000-000063040000}"/>
    <cellStyle name="Accent2 17" xfId="1136" xr:uid="{00000000-0005-0000-0000-000064040000}"/>
    <cellStyle name="Accent2 18" xfId="1137" xr:uid="{00000000-0005-0000-0000-000065040000}"/>
    <cellStyle name="Accent2 19" xfId="1138" xr:uid="{00000000-0005-0000-0000-000066040000}"/>
    <cellStyle name="Accent2 2" xfId="1139" xr:uid="{00000000-0005-0000-0000-000067040000}"/>
    <cellStyle name="Accent2 2 10" xfId="1140" xr:uid="{00000000-0005-0000-0000-000068040000}"/>
    <cellStyle name="Accent2 2 2" xfId="1141" xr:uid="{00000000-0005-0000-0000-000069040000}"/>
    <cellStyle name="Accent2 2 2 2" xfId="1142" xr:uid="{00000000-0005-0000-0000-00006A040000}"/>
    <cellStyle name="Accent2 2 2 2 2" xfId="1143" xr:uid="{00000000-0005-0000-0000-00006B040000}"/>
    <cellStyle name="Accent2 2 2 2 2 2" xfId="1144" xr:uid="{00000000-0005-0000-0000-00006C040000}"/>
    <cellStyle name="Accent2 2 2 2 2 3" xfId="1145" xr:uid="{00000000-0005-0000-0000-00006D040000}"/>
    <cellStyle name="Accent2 2 2 2 3" xfId="1146" xr:uid="{00000000-0005-0000-0000-00006E040000}"/>
    <cellStyle name="Accent2 2 2 2 4" xfId="1147" xr:uid="{00000000-0005-0000-0000-00006F040000}"/>
    <cellStyle name="Accent2 2 2 2 5" xfId="1148" xr:uid="{00000000-0005-0000-0000-000070040000}"/>
    <cellStyle name="Accent2 2 2 2 6" xfId="1149" xr:uid="{00000000-0005-0000-0000-000071040000}"/>
    <cellStyle name="Accent2 2 2 3" xfId="1150" xr:uid="{00000000-0005-0000-0000-000072040000}"/>
    <cellStyle name="Accent2 2 2 4" xfId="1151" xr:uid="{00000000-0005-0000-0000-000073040000}"/>
    <cellStyle name="Accent2 2 2 5" xfId="1152" xr:uid="{00000000-0005-0000-0000-000074040000}"/>
    <cellStyle name="Accent2 2 2 6" xfId="1153" xr:uid="{00000000-0005-0000-0000-000075040000}"/>
    <cellStyle name="Accent2 2 3" xfId="1154" xr:uid="{00000000-0005-0000-0000-000076040000}"/>
    <cellStyle name="Accent2 2 4" xfId="1155" xr:uid="{00000000-0005-0000-0000-000077040000}"/>
    <cellStyle name="Accent2 2 5" xfId="1156" xr:uid="{00000000-0005-0000-0000-000078040000}"/>
    <cellStyle name="Accent2 2 6" xfId="1157" xr:uid="{00000000-0005-0000-0000-000079040000}"/>
    <cellStyle name="Accent2 2 7" xfId="1158" xr:uid="{00000000-0005-0000-0000-00007A040000}"/>
    <cellStyle name="Accent2 2 8" xfId="1159" xr:uid="{00000000-0005-0000-0000-00007B040000}"/>
    <cellStyle name="Accent2 2 9" xfId="1160" xr:uid="{00000000-0005-0000-0000-00007C040000}"/>
    <cellStyle name="Accent2 20" xfId="1161" xr:uid="{00000000-0005-0000-0000-00007D040000}"/>
    <cellStyle name="Accent2 21" xfId="1162" xr:uid="{00000000-0005-0000-0000-00007E040000}"/>
    <cellStyle name="Accent2 22" xfId="1163" xr:uid="{00000000-0005-0000-0000-00007F040000}"/>
    <cellStyle name="Accent2 23" xfId="1164" xr:uid="{00000000-0005-0000-0000-000080040000}"/>
    <cellStyle name="Accent2 3" xfId="1165" xr:uid="{00000000-0005-0000-0000-000081040000}"/>
    <cellStyle name="Accent2 4" xfId="1166" xr:uid="{00000000-0005-0000-0000-000082040000}"/>
    <cellStyle name="Accent2 5" xfId="1167" xr:uid="{00000000-0005-0000-0000-000083040000}"/>
    <cellStyle name="Accent2 6" xfId="1168" xr:uid="{00000000-0005-0000-0000-000084040000}"/>
    <cellStyle name="Accent2 7" xfId="1169" xr:uid="{00000000-0005-0000-0000-000085040000}"/>
    <cellStyle name="Accent2 8" xfId="1170" xr:uid="{00000000-0005-0000-0000-000086040000}"/>
    <cellStyle name="Accent2 9" xfId="1171" xr:uid="{00000000-0005-0000-0000-000087040000}"/>
    <cellStyle name="Accent3 10" xfId="1172" xr:uid="{00000000-0005-0000-0000-000088040000}"/>
    <cellStyle name="Accent3 11" xfId="1173" xr:uid="{00000000-0005-0000-0000-000089040000}"/>
    <cellStyle name="Accent3 12" xfId="1174" xr:uid="{00000000-0005-0000-0000-00008A040000}"/>
    <cellStyle name="Accent3 13" xfId="1175" xr:uid="{00000000-0005-0000-0000-00008B040000}"/>
    <cellStyle name="Accent3 14" xfId="1176" xr:uid="{00000000-0005-0000-0000-00008C040000}"/>
    <cellStyle name="Accent3 15" xfId="1177" xr:uid="{00000000-0005-0000-0000-00008D040000}"/>
    <cellStyle name="Accent3 16" xfId="1178" xr:uid="{00000000-0005-0000-0000-00008E040000}"/>
    <cellStyle name="Accent3 17" xfId="1179" xr:uid="{00000000-0005-0000-0000-00008F040000}"/>
    <cellStyle name="Accent3 18" xfId="1180" xr:uid="{00000000-0005-0000-0000-000090040000}"/>
    <cellStyle name="Accent3 19" xfId="1181" xr:uid="{00000000-0005-0000-0000-000091040000}"/>
    <cellStyle name="Accent3 2" xfId="1182" xr:uid="{00000000-0005-0000-0000-000092040000}"/>
    <cellStyle name="Accent3 2 10" xfId="1183" xr:uid="{00000000-0005-0000-0000-000093040000}"/>
    <cellStyle name="Accent3 2 2" xfId="1184" xr:uid="{00000000-0005-0000-0000-000094040000}"/>
    <cellStyle name="Accent3 2 2 2" xfId="1185" xr:uid="{00000000-0005-0000-0000-000095040000}"/>
    <cellStyle name="Accent3 2 2 2 2" xfId="1186" xr:uid="{00000000-0005-0000-0000-000096040000}"/>
    <cellStyle name="Accent3 2 2 2 2 2" xfId="1187" xr:uid="{00000000-0005-0000-0000-000097040000}"/>
    <cellStyle name="Accent3 2 2 2 2 3" xfId="1188" xr:uid="{00000000-0005-0000-0000-000098040000}"/>
    <cellStyle name="Accent3 2 2 2 3" xfId="1189" xr:uid="{00000000-0005-0000-0000-000099040000}"/>
    <cellStyle name="Accent3 2 2 2 4" xfId="1190" xr:uid="{00000000-0005-0000-0000-00009A040000}"/>
    <cellStyle name="Accent3 2 2 2 5" xfId="1191" xr:uid="{00000000-0005-0000-0000-00009B040000}"/>
    <cellStyle name="Accent3 2 2 2 6" xfId="1192" xr:uid="{00000000-0005-0000-0000-00009C040000}"/>
    <cellStyle name="Accent3 2 2 3" xfId="1193" xr:uid="{00000000-0005-0000-0000-00009D040000}"/>
    <cellStyle name="Accent3 2 2 4" xfId="1194" xr:uid="{00000000-0005-0000-0000-00009E040000}"/>
    <cellStyle name="Accent3 2 2 5" xfId="1195" xr:uid="{00000000-0005-0000-0000-00009F040000}"/>
    <cellStyle name="Accent3 2 2 6" xfId="1196" xr:uid="{00000000-0005-0000-0000-0000A0040000}"/>
    <cellStyle name="Accent3 2 3" xfId="1197" xr:uid="{00000000-0005-0000-0000-0000A1040000}"/>
    <cellStyle name="Accent3 2 4" xfId="1198" xr:uid="{00000000-0005-0000-0000-0000A2040000}"/>
    <cellStyle name="Accent3 2 5" xfId="1199" xr:uid="{00000000-0005-0000-0000-0000A3040000}"/>
    <cellStyle name="Accent3 2 6" xfId="1200" xr:uid="{00000000-0005-0000-0000-0000A4040000}"/>
    <cellStyle name="Accent3 2 7" xfId="1201" xr:uid="{00000000-0005-0000-0000-0000A5040000}"/>
    <cellStyle name="Accent3 2 8" xfId="1202" xr:uid="{00000000-0005-0000-0000-0000A6040000}"/>
    <cellStyle name="Accent3 2 9" xfId="1203" xr:uid="{00000000-0005-0000-0000-0000A7040000}"/>
    <cellStyle name="Accent3 20" xfId="1204" xr:uid="{00000000-0005-0000-0000-0000A8040000}"/>
    <cellStyle name="Accent3 21" xfId="1205" xr:uid="{00000000-0005-0000-0000-0000A9040000}"/>
    <cellStyle name="Accent3 22" xfId="1206" xr:uid="{00000000-0005-0000-0000-0000AA040000}"/>
    <cellStyle name="Accent3 23" xfId="1207" xr:uid="{00000000-0005-0000-0000-0000AB040000}"/>
    <cellStyle name="Accent3 3" xfId="1208" xr:uid="{00000000-0005-0000-0000-0000AC040000}"/>
    <cellStyle name="Accent3 4" xfId="1209" xr:uid="{00000000-0005-0000-0000-0000AD040000}"/>
    <cellStyle name="Accent3 5" xfId="1210" xr:uid="{00000000-0005-0000-0000-0000AE040000}"/>
    <cellStyle name="Accent3 6" xfId="1211" xr:uid="{00000000-0005-0000-0000-0000AF040000}"/>
    <cellStyle name="Accent3 7" xfId="1212" xr:uid="{00000000-0005-0000-0000-0000B0040000}"/>
    <cellStyle name="Accent3 8" xfId="1213" xr:uid="{00000000-0005-0000-0000-0000B1040000}"/>
    <cellStyle name="Accent3 9" xfId="1214" xr:uid="{00000000-0005-0000-0000-0000B2040000}"/>
    <cellStyle name="Accent4 10" xfId="1215" xr:uid="{00000000-0005-0000-0000-0000B3040000}"/>
    <cellStyle name="Accent4 11" xfId="1216" xr:uid="{00000000-0005-0000-0000-0000B4040000}"/>
    <cellStyle name="Accent4 12" xfId="1217" xr:uid="{00000000-0005-0000-0000-0000B5040000}"/>
    <cellStyle name="Accent4 13" xfId="1218" xr:uid="{00000000-0005-0000-0000-0000B6040000}"/>
    <cellStyle name="Accent4 14" xfId="1219" xr:uid="{00000000-0005-0000-0000-0000B7040000}"/>
    <cellStyle name="Accent4 15" xfId="1220" xr:uid="{00000000-0005-0000-0000-0000B8040000}"/>
    <cellStyle name="Accent4 16" xfId="1221" xr:uid="{00000000-0005-0000-0000-0000B9040000}"/>
    <cellStyle name="Accent4 17" xfId="1222" xr:uid="{00000000-0005-0000-0000-0000BA040000}"/>
    <cellStyle name="Accent4 18" xfId="1223" xr:uid="{00000000-0005-0000-0000-0000BB040000}"/>
    <cellStyle name="Accent4 19" xfId="1224" xr:uid="{00000000-0005-0000-0000-0000BC040000}"/>
    <cellStyle name="Accent4 2" xfId="1225" xr:uid="{00000000-0005-0000-0000-0000BD040000}"/>
    <cellStyle name="Accent4 2 10" xfId="1226" xr:uid="{00000000-0005-0000-0000-0000BE040000}"/>
    <cellStyle name="Accent4 2 2" xfId="1227" xr:uid="{00000000-0005-0000-0000-0000BF040000}"/>
    <cellStyle name="Accent4 2 2 2" xfId="1228" xr:uid="{00000000-0005-0000-0000-0000C0040000}"/>
    <cellStyle name="Accent4 2 2 2 2" xfId="1229" xr:uid="{00000000-0005-0000-0000-0000C1040000}"/>
    <cellStyle name="Accent4 2 2 2 2 2" xfId="1230" xr:uid="{00000000-0005-0000-0000-0000C2040000}"/>
    <cellStyle name="Accent4 2 2 2 2 3" xfId="1231" xr:uid="{00000000-0005-0000-0000-0000C3040000}"/>
    <cellStyle name="Accent4 2 2 2 3" xfId="1232" xr:uid="{00000000-0005-0000-0000-0000C4040000}"/>
    <cellStyle name="Accent4 2 2 2 4" xfId="1233" xr:uid="{00000000-0005-0000-0000-0000C5040000}"/>
    <cellStyle name="Accent4 2 2 2 5" xfId="1234" xr:uid="{00000000-0005-0000-0000-0000C6040000}"/>
    <cellStyle name="Accent4 2 2 2 6" xfId="1235" xr:uid="{00000000-0005-0000-0000-0000C7040000}"/>
    <cellStyle name="Accent4 2 2 3" xfId="1236" xr:uid="{00000000-0005-0000-0000-0000C8040000}"/>
    <cellStyle name="Accent4 2 2 4" xfId="1237" xr:uid="{00000000-0005-0000-0000-0000C9040000}"/>
    <cellStyle name="Accent4 2 2 5" xfId="1238" xr:uid="{00000000-0005-0000-0000-0000CA040000}"/>
    <cellStyle name="Accent4 2 2 6" xfId="1239" xr:uid="{00000000-0005-0000-0000-0000CB040000}"/>
    <cellStyle name="Accent4 2 3" xfId="1240" xr:uid="{00000000-0005-0000-0000-0000CC040000}"/>
    <cellStyle name="Accent4 2 4" xfId="1241" xr:uid="{00000000-0005-0000-0000-0000CD040000}"/>
    <cellStyle name="Accent4 2 5" xfId="1242" xr:uid="{00000000-0005-0000-0000-0000CE040000}"/>
    <cellStyle name="Accent4 2 6" xfId="1243" xr:uid="{00000000-0005-0000-0000-0000CF040000}"/>
    <cellStyle name="Accent4 2 7" xfId="1244" xr:uid="{00000000-0005-0000-0000-0000D0040000}"/>
    <cellStyle name="Accent4 2 8" xfId="1245" xr:uid="{00000000-0005-0000-0000-0000D1040000}"/>
    <cellStyle name="Accent4 2 9" xfId="1246" xr:uid="{00000000-0005-0000-0000-0000D2040000}"/>
    <cellStyle name="Accent4 20" xfId="1247" xr:uid="{00000000-0005-0000-0000-0000D3040000}"/>
    <cellStyle name="Accent4 21" xfId="1248" xr:uid="{00000000-0005-0000-0000-0000D4040000}"/>
    <cellStyle name="Accent4 22" xfId="1249" xr:uid="{00000000-0005-0000-0000-0000D5040000}"/>
    <cellStyle name="Accent4 23" xfId="1250" xr:uid="{00000000-0005-0000-0000-0000D6040000}"/>
    <cellStyle name="Accent4 3" xfId="1251" xr:uid="{00000000-0005-0000-0000-0000D7040000}"/>
    <cellStyle name="Accent4 4" xfId="1252" xr:uid="{00000000-0005-0000-0000-0000D8040000}"/>
    <cellStyle name="Accent4 5" xfId="1253" xr:uid="{00000000-0005-0000-0000-0000D9040000}"/>
    <cellStyle name="Accent4 6" xfId="1254" xr:uid="{00000000-0005-0000-0000-0000DA040000}"/>
    <cellStyle name="Accent4 7" xfId="1255" xr:uid="{00000000-0005-0000-0000-0000DB040000}"/>
    <cellStyle name="Accent4 8" xfId="1256" xr:uid="{00000000-0005-0000-0000-0000DC040000}"/>
    <cellStyle name="Accent4 9" xfId="1257" xr:uid="{00000000-0005-0000-0000-0000DD040000}"/>
    <cellStyle name="Accent5 10" xfId="1258" xr:uid="{00000000-0005-0000-0000-0000DE040000}"/>
    <cellStyle name="Accent5 11" xfId="1259" xr:uid="{00000000-0005-0000-0000-0000DF040000}"/>
    <cellStyle name="Accent5 12" xfId="1260" xr:uid="{00000000-0005-0000-0000-0000E0040000}"/>
    <cellStyle name="Accent5 13" xfId="1261" xr:uid="{00000000-0005-0000-0000-0000E1040000}"/>
    <cellStyle name="Accent5 14" xfId="1262" xr:uid="{00000000-0005-0000-0000-0000E2040000}"/>
    <cellStyle name="Accent5 15" xfId="1263" xr:uid="{00000000-0005-0000-0000-0000E3040000}"/>
    <cellStyle name="Accent5 16" xfId="1264" xr:uid="{00000000-0005-0000-0000-0000E4040000}"/>
    <cellStyle name="Accent5 17" xfId="1265" xr:uid="{00000000-0005-0000-0000-0000E5040000}"/>
    <cellStyle name="Accent5 18" xfId="1266" xr:uid="{00000000-0005-0000-0000-0000E6040000}"/>
    <cellStyle name="Accent5 19" xfId="1267" xr:uid="{00000000-0005-0000-0000-0000E7040000}"/>
    <cellStyle name="Accent5 2" xfId="1268" xr:uid="{00000000-0005-0000-0000-0000E8040000}"/>
    <cellStyle name="Accent5 2 10" xfId="1269" xr:uid="{00000000-0005-0000-0000-0000E9040000}"/>
    <cellStyle name="Accent5 2 2" xfId="1270" xr:uid="{00000000-0005-0000-0000-0000EA040000}"/>
    <cellStyle name="Accent5 2 2 2" xfId="1271" xr:uid="{00000000-0005-0000-0000-0000EB040000}"/>
    <cellStyle name="Accent5 2 2 2 2" xfId="1272" xr:uid="{00000000-0005-0000-0000-0000EC040000}"/>
    <cellStyle name="Accent5 2 2 2 2 2" xfId="1273" xr:uid="{00000000-0005-0000-0000-0000ED040000}"/>
    <cellStyle name="Accent5 2 2 2 2 3" xfId="1274" xr:uid="{00000000-0005-0000-0000-0000EE040000}"/>
    <cellStyle name="Accent5 2 2 2 3" xfId="1275" xr:uid="{00000000-0005-0000-0000-0000EF040000}"/>
    <cellStyle name="Accent5 2 2 2 4" xfId="1276" xr:uid="{00000000-0005-0000-0000-0000F0040000}"/>
    <cellStyle name="Accent5 2 2 2 5" xfId="1277" xr:uid="{00000000-0005-0000-0000-0000F1040000}"/>
    <cellStyle name="Accent5 2 2 2 6" xfId="1278" xr:uid="{00000000-0005-0000-0000-0000F2040000}"/>
    <cellStyle name="Accent5 2 2 3" xfId="1279" xr:uid="{00000000-0005-0000-0000-0000F3040000}"/>
    <cellStyle name="Accent5 2 2 4" xfId="1280" xr:uid="{00000000-0005-0000-0000-0000F4040000}"/>
    <cellStyle name="Accent5 2 2 5" xfId="1281" xr:uid="{00000000-0005-0000-0000-0000F5040000}"/>
    <cellStyle name="Accent5 2 2 6" xfId="1282" xr:uid="{00000000-0005-0000-0000-0000F6040000}"/>
    <cellStyle name="Accent5 2 3" xfId="1283" xr:uid="{00000000-0005-0000-0000-0000F7040000}"/>
    <cellStyle name="Accent5 2 4" xfId="1284" xr:uid="{00000000-0005-0000-0000-0000F8040000}"/>
    <cellStyle name="Accent5 2 5" xfId="1285" xr:uid="{00000000-0005-0000-0000-0000F9040000}"/>
    <cellStyle name="Accent5 2 6" xfId="1286" xr:uid="{00000000-0005-0000-0000-0000FA040000}"/>
    <cellStyle name="Accent5 2 7" xfId="1287" xr:uid="{00000000-0005-0000-0000-0000FB040000}"/>
    <cellStyle name="Accent5 2 8" xfId="1288" xr:uid="{00000000-0005-0000-0000-0000FC040000}"/>
    <cellStyle name="Accent5 2 9" xfId="1289" xr:uid="{00000000-0005-0000-0000-0000FD040000}"/>
    <cellStyle name="Accent5 20" xfId="1290" xr:uid="{00000000-0005-0000-0000-0000FE040000}"/>
    <cellStyle name="Accent5 21" xfId="1291" xr:uid="{00000000-0005-0000-0000-0000FF040000}"/>
    <cellStyle name="Accent5 22" xfId="1292" xr:uid="{00000000-0005-0000-0000-000000050000}"/>
    <cellStyle name="Accent5 23" xfId="1293" xr:uid="{00000000-0005-0000-0000-000001050000}"/>
    <cellStyle name="Accent5 3" xfId="1294" xr:uid="{00000000-0005-0000-0000-000002050000}"/>
    <cellStyle name="Accent5 4" xfId="1295" xr:uid="{00000000-0005-0000-0000-000003050000}"/>
    <cellStyle name="Accent5 5" xfId="1296" xr:uid="{00000000-0005-0000-0000-000004050000}"/>
    <cellStyle name="Accent5 6" xfId="1297" xr:uid="{00000000-0005-0000-0000-000005050000}"/>
    <cellStyle name="Accent5 7" xfId="1298" xr:uid="{00000000-0005-0000-0000-000006050000}"/>
    <cellStyle name="Accent5 8" xfId="1299" xr:uid="{00000000-0005-0000-0000-000007050000}"/>
    <cellStyle name="Accent5 9" xfId="1300" xr:uid="{00000000-0005-0000-0000-000008050000}"/>
    <cellStyle name="Accent6 10" xfId="1301" xr:uid="{00000000-0005-0000-0000-000009050000}"/>
    <cellStyle name="Accent6 11" xfId="1302" xr:uid="{00000000-0005-0000-0000-00000A050000}"/>
    <cellStyle name="Accent6 12" xfId="1303" xr:uid="{00000000-0005-0000-0000-00000B050000}"/>
    <cellStyle name="Accent6 13" xfId="1304" xr:uid="{00000000-0005-0000-0000-00000C050000}"/>
    <cellStyle name="Accent6 14" xfId="1305" xr:uid="{00000000-0005-0000-0000-00000D050000}"/>
    <cellStyle name="Accent6 15" xfId="1306" xr:uid="{00000000-0005-0000-0000-00000E050000}"/>
    <cellStyle name="Accent6 16" xfId="1307" xr:uid="{00000000-0005-0000-0000-00000F050000}"/>
    <cellStyle name="Accent6 17" xfId="1308" xr:uid="{00000000-0005-0000-0000-000010050000}"/>
    <cellStyle name="Accent6 18" xfId="1309" xr:uid="{00000000-0005-0000-0000-000011050000}"/>
    <cellStyle name="Accent6 19" xfId="1310" xr:uid="{00000000-0005-0000-0000-000012050000}"/>
    <cellStyle name="Accent6 2" xfId="1311" xr:uid="{00000000-0005-0000-0000-000013050000}"/>
    <cellStyle name="Accent6 2 10" xfId="1312" xr:uid="{00000000-0005-0000-0000-000014050000}"/>
    <cellStyle name="Accent6 2 2" xfId="1313" xr:uid="{00000000-0005-0000-0000-000015050000}"/>
    <cellStyle name="Accent6 2 2 2" xfId="1314" xr:uid="{00000000-0005-0000-0000-000016050000}"/>
    <cellStyle name="Accent6 2 2 2 2" xfId="1315" xr:uid="{00000000-0005-0000-0000-000017050000}"/>
    <cellStyle name="Accent6 2 2 2 2 2" xfId="1316" xr:uid="{00000000-0005-0000-0000-000018050000}"/>
    <cellStyle name="Accent6 2 2 2 2 3" xfId="1317" xr:uid="{00000000-0005-0000-0000-000019050000}"/>
    <cellStyle name="Accent6 2 2 2 3" xfId="1318" xr:uid="{00000000-0005-0000-0000-00001A050000}"/>
    <cellStyle name="Accent6 2 2 2 4" xfId="1319" xr:uid="{00000000-0005-0000-0000-00001B050000}"/>
    <cellStyle name="Accent6 2 2 2 5" xfId="1320" xr:uid="{00000000-0005-0000-0000-00001C050000}"/>
    <cellStyle name="Accent6 2 2 2 6" xfId="1321" xr:uid="{00000000-0005-0000-0000-00001D050000}"/>
    <cellStyle name="Accent6 2 2 3" xfId="1322" xr:uid="{00000000-0005-0000-0000-00001E050000}"/>
    <cellStyle name="Accent6 2 2 4" xfId="1323" xr:uid="{00000000-0005-0000-0000-00001F050000}"/>
    <cellStyle name="Accent6 2 2 5" xfId="1324" xr:uid="{00000000-0005-0000-0000-000020050000}"/>
    <cellStyle name="Accent6 2 2 6" xfId="1325" xr:uid="{00000000-0005-0000-0000-000021050000}"/>
    <cellStyle name="Accent6 2 3" xfId="1326" xr:uid="{00000000-0005-0000-0000-000022050000}"/>
    <cellStyle name="Accent6 2 4" xfId="1327" xr:uid="{00000000-0005-0000-0000-000023050000}"/>
    <cellStyle name="Accent6 2 5" xfId="1328" xr:uid="{00000000-0005-0000-0000-000024050000}"/>
    <cellStyle name="Accent6 2 6" xfId="1329" xr:uid="{00000000-0005-0000-0000-000025050000}"/>
    <cellStyle name="Accent6 2 7" xfId="1330" xr:uid="{00000000-0005-0000-0000-000026050000}"/>
    <cellStyle name="Accent6 2 8" xfId="1331" xr:uid="{00000000-0005-0000-0000-000027050000}"/>
    <cellStyle name="Accent6 2 9" xfId="1332" xr:uid="{00000000-0005-0000-0000-000028050000}"/>
    <cellStyle name="Accent6 20" xfId="1333" xr:uid="{00000000-0005-0000-0000-000029050000}"/>
    <cellStyle name="Accent6 21" xfId="1334" xr:uid="{00000000-0005-0000-0000-00002A050000}"/>
    <cellStyle name="Accent6 22" xfId="1335" xr:uid="{00000000-0005-0000-0000-00002B050000}"/>
    <cellStyle name="Accent6 23" xfId="1336" xr:uid="{00000000-0005-0000-0000-00002C050000}"/>
    <cellStyle name="Accent6 3" xfId="1337" xr:uid="{00000000-0005-0000-0000-00002D050000}"/>
    <cellStyle name="Accent6 4" xfId="1338" xr:uid="{00000000-0005-0000-0000-00002E050000}"/>
    <cellStyle name="Accent6 5" xfId="1339" xr:uid="{00000000-0005-0000-0000-00002F050000}"/>
    <cellStyle name="Accent6 6" xfId="1340" xr:uid="{00000000-0005-0000-0000-000030050000}"/>
    <cellStyle name="Accent6 7" xfId="1341" xr:uid="{00000000-0005-0000-0000-000031050000}"/>
    <cellStyle name="Accent6 8" xfId="1342" xr:uid="{00000000-0005-0000-0000-000032050000}"/>
    <cellStyle name="Accent6 9" xfId="1343" xr:uid="{00000000-0005-0000-0000-000033050000}"/>
    <cellStyle name="Bad 10" xfId="1344" xr:uid="{00000000-0005-0000-0000-000034050000}"/>
    <cellStyle name="Bad 11" xfId="1345" xr:uid="{00000000-0005-0000-0000-000035050000}"/>
    <cellStyle name="Bad 12" xfId="1346" xr:uid="{00000000-0005-0000-0000-000036050000}"/>
    <cellStyle name="Bad 13" xfId="1347" xr:uid="{00000000-0005-0000-0000-000037050000}"/>
    <cellStyle name="Bad 14" xfId="1348" xr:uid="{00000000-0005-0000-0000-000038050000}"/>
    <cellStyle name="Bad 15" xfId="1349" xr:uid="{00000000-0005-0000-0000-000039050000}"/>
    <cellStyle name="Bad 16" xfId="1350" xr:uid="{00000000-0005-0000-0000-00003A050000}"/>
    <cellStyle name="Bad 17" xfId="1351" xr:uid="{00000000-0005-0000-0000-00003B050000}"/>
    <cellStyle name="Bad 18" xfId="1352" xr:uid="{00000000-0005-0000-0000-00003C050000}"/>
    <cellStyle name="Bad 19" xfId="1353" xr:uid="{00000000-0005-0000-0000-00003D050000}"/>
    <cellStyle name="Bad 2" xfId="1354" xr:uid="{00000000-0005-0000-0000-00003E050000}"/>
    <cellStyle name="Bad 2 10" xfId="1355" xr:uid="{00000000-0005-0000-0000-00003F050000}"/>
    <cellStyle name="Bad 2 2" xfId="1356" xr:uid="{00000000-0005-0000-0000-000040050000}"/>
    <cellStyle name="Bad 2 2 2" xfId="1357" xr:uid="{00000000-0005-0000-0000-000041050000}"/>
    <cellStyle name="Bad 2 2 2 2" xfId="1358" xr:uid="{00000000-0005-0000-0000-000042050000}"/>
    <cellStyle name="Bad 2 2 2 2 2" xfId="1359" xr:uid="{00000000-0005-0000-0000-000043050000}"/>
    <cellStyle name="Bad 2 2 2 2 3" xfId="1360" xr:uid="{00000000-0005-0000-0000-000044050000}"/>
    <cellStyle name="Bad 2 2 2 3" xfId="1361" xr:uid="{00000000-0005-0000-0000-000045050000}"/>
    <cellStyle name="Bad 2 2 2 4" xfId="1362" xr:uid="{00000000-0005-0000-0000-000046050000}"/>
    <cellStyle name="Bad 2 2 2 5" xfId="1363" xr:uid="{00000000-0005-0000-0000-000047050000}"/>
    <cellStyle name="Bad 2 2 2 6" xfId="1364" xr:uid="{00000000-0005-0000-0000-000048050000}"/>
    <cellStyle name="Bad 2 2 3" xfId="1365" xr:uid="{00000000-0005-0000-0000-000049050000}"/>
    <cellStyle name="Bad 2 2 4" xfId="1366" xr:uid="{00000000-0005-0000-0000-00004A050000}"/>
    <cellStyle name="Bad 2 2 5" xfId="1367" xr:uid="{00000000-0005-0000-0000-00004B050000}"/>
    <cellStyle name="Bad 2 2 6" xfId="1368" xr:uid="{00000000-0005-0000-0000-00004C050000}"/>
    <cellStyle name="Bad 2 3" xfId="1369" xr:uid="{00000000-0005-0000-0000-00004D050000}"/>
    <cellStyle name="Bad 2 4" xfId="1370" xr:uid="{00000000-0005-0000-0000-00004E050000}"/>
    <cellStyle name="Bad 2 5" xfId="1371" xr:uid="{00000000-0005-0000-0000-00004F050000}"/>
    <cellStyle name="Bad 2 6" xfId="1372" xr:uid="{00000000-0005-0000-0000-000050050000}"/>
    <cellStyle name="Bad 2 7" xfId="1373" xr:uid="{00000000-0005-0000-0000-000051050000}"/>
    <cellStyle name="Bad 2 8" xfId="1374" xr:uid="{00000000-0005-0000-0000-000052050000}"/>
    <cellStyle name="Bad 2 9" xfId="1375" xr:uid="{00000000-0005-0000-0000-000053050000}"/>
    <cellStyle name="Bad 20" xfId="1376" xr:uid="{00000000-0005-0000-0000-000054050000}"/>
    <cellStyle name="Bad 21" xfId="1377" xr:uid="{00000000-0005-0000-0000-000055050000}"/>
    <cellStyle name="Bad 22" xfId="1378" xr:uid="{00000000-0005-0000-0000-000056050000}"/>
    <cellStyle name="Bad 23" xfId="1379" xr:uid="{00000000-0005-0000-0000-000057050000}"/>
    <cellStyle name="Bad 3" xfId="1380" xr:uid="{00000000-0005-0000-0000-000058050000}"/>
    <cellStyle name="Bad 4" xfId="1381" xr:uid="{00000000-0005-0000-0000-000059050000}"/>
    <cellStyle name="Bad 5" xfId="1382" xr:uid="{00000000-0005-0000-0000-00005A050000}"/>
    <cellStyle name="Bad 6" xfId="1383" xr:uid="{00000000-0005-0000-0000-00005B050000}"/>
    <cellStyle name="Bad 7" xfId="1384" xr:uid="{00000000-0005-0000-0000-00005C050000}"/>
    <cellStyle name="Bad 8" xfId="1385" xr:uid="{00000000-0005-0000-0000-00005D050000}"/>
    <cellStyle name="Bad 9" xfId="1386" xr:uid="{00000000-0005-0000-0000-00005E050000}"/>
    <cellStyle name="Calculation 10" xfId="1387" xr:uid="{00000000-0005-0000-0000-00005F050000}"/>
    <cellStyle name="Calculation 11" xfId="1388" xr:uid="{00000000-0005-0000-0000-000060050000}"/>
    <cellStyle name="Calculation 12" xfId="1389" xr:uid="{00000000-0005-0000-0000-000061050000}"/>
    <cellStyle name="Calculation 13" xfId="1390" xr:uid="{00000000-0005-0000-0000-000062050000}"/>
    <cellStyle name="Calculation 14" xfId="1391" xr:uid="{00000000-0005-0000-0000-000063050000}"/>
    <cellStyle name="Calculation 15" xfId="1392" xr:uid="{00000000-0005-0000-0000-000064050000}"/>
    <cellStyle name="Calculation 16" xfId="1393" xr:uid="{00000000-0005-0000-0000-000065050000}"/>
    <cellStyle name="Calculation 17" xfId="1394" xr:uid="{00000000-0005-0000-0000-000066050000}"/>
    <cellStyle name="Calculation 18" xfId="1395" xr:uid="{00000000-0005-0000-0000-000067050000}"/>
    <cellStyle name="Calculation 19" xfId="1396" xr:uid="{00000000-0005-0000-0000-000068050000}"/>
    <cellStyle name="Calculation 2" xfId="1397" xr:uid="{00000000-0005-0000-0000-000069050000}"/>
    <cellStyle name="Calculation 2 10" xfId="1398" xr:uid="{00000000-0005-0000-0000-00006A050000}"/>
    <cellStyle name="Calculation 2 2" xfId="1399" xr:uid="{00000000-0005-0000-0000-00006B050000}"/>
    <cellStyle name="Calculation 2 2 2" xfId="1400" xr:uid="{00000000-0005-0000-0000-00006C050000}"/>
    <cellStyle name="Calculation 2 2 2 2" xfId="1401" xr:uid="{00000000-0005-0000-0000-00006D050000}"/>
    <cellStyle name="Calculation 2 2 2 2 2" xfId="1402" xr:uid="{00000000-0005-0000-0000-00006E050000}"/>
    <cellStyle name="Calculation 2 2 2 2 3" xfId="1403" xr:uid="{00000000-0005-0000-0000-00006F050000}"/>
    <cellStyle name="Calculation 2 2 2 3" xfId="1404" xr:uid="{00000000-0005-0000-0000-000070050000}"/>
    <cellStyle name="Calculation 2 2 2 4" xfId="1405" xr:uid="{00000000-0005-0000-0000-000071050000}"/>
    <cellStyle name="Calculation 2 2 2 5" xfId="1406" xr:uid="{00000000-0005-0000-0000-000072050000}"/>
    <cellStyle name="Calculation 2 2 2 6" xfId="1407" xr:uid="{00000000-0005-0000-0000-000073050000}"/>
    <cellStyle name="Calculation 2 2 3" xfId="1408" xr:uid="{00000000-0005-0000-0000-000074050000}"/>
    <cellStyle name="Calculation 2 2 4" xfId="1409" xr:uid="{00000000-0005-0000-0000-000075050000}"/>
    <cellStyle name="Calculation 2 2 5" xfId="1410" xr:uid="{00000000-0005-0000-0000-000076050000}"/>
    <cellStyle name="Calculation 2 2 6" xfId="1411" xr:uid="{00000000-0005-0000-0000-000077050000}"/>
    <cellStyle name="Calculation 2 3" xfId="1412" xr:uid="{00000000-0005-0000-0000-000078050000}"/>
    <cellStyle name="Calculation 2 4" xfId="1413" xr:uid="{00000000-0005-0000-0000-000079050000}"/>
    <cellStyle name="Calculation 2 5" xfId="1414" xr:uid="{00000000-0005-0000-0000-00007A050000}"/>
    <cellStyle name="Calculation 2 6" xfId="1415" xr:uid="{00000000-0005-0000-0000-00007B050000}"/>
    <cellStyle name="Calculation 2 7" xfId="1416" xr:uid="{00000000-0005-0000-0000-00007C050000}"/>
    <cellStyle name="Calculation 2 8" xfId="1417" xr:uid="{00000000-0005-0000-0000-00007D050000}"/>
    <cellStyle name="Calculation 2 9" xfId="1418" xr:uid="{00000000-0005-0000-0000-00007E050000}"/>
    <cellStyle name="Calculation 20" xfId="1419" xr:uid="{00000000-0005-0000-0000-00007F050000}"/>
    <cellStyle name="Calculation 21" xfId="1420" xr:uid="{00000000-0005-0000-0000-000080050000}"/>
    <cellStyle name="Calculation 22" xfId="1421" xr:uid="{00000000-0005-0000-0000-000081050000}"/>
    <cellStyle name="Calculation 23" xfId="1422" xr:uid="{00000000-0005-0000-0000-000082050000}"/>
    <cellStyle name="Calculation 3" xfId="1423" xr:uid="{00000000-0005-0000-0000-000083050000}"/>
    <cellStyle name="Calculation 4" xfId="1424" xr:uid="{00000000-0005-0000-0000-000084050000}"/>
    <cellStyle name="Calculation 5" xfId="1425" xr:uid="{00000000-0005-0000-0000-000085050000}"/>
    <cellStyle name="Calculation 6" xfId="1426" xr:uid="{00000000-0005-0000-0000-000086050000}"/>
    <cellStyle name="Calculation 7" xfId="1427" xr:uid="{00000000-0005-0000-0000-000087050000}"/>
    <cellStyle name="Calculation 8" xfId="1428" xr:uid="{00000000-0005-0000-0000-000088050000}"/>
    <cellStyle name="Calculation 9" xfId="1429" xr:uid="{00000000-0005-0000-0000-000089050000}"/>
    <cellStyle name="Check Cell 10" xfId="1430" xr:uid="{00000000-0005-0000-0000-00008A050000}"/>
    <cellStyle name="Check Cell 11" xfId="1431" xr:uid="{00000000-0005-0000-0000-00008B050000}"/>
    <cellStyle name="Check Cell 12" xfId="1432" xr:uid="{00000000-0005-0000-0000-00008C050000}"/>
    <cellStyle name="Check Cell 13" xfId="1433" xr:uid="{00000000-0005-0000-0000-00008D050000}"/>
    <cellStyle name="Check Cell 14" xfId="1434" xr:uid="{00000000-0005-0000-0000-00008E050000}"/>
    <cellStyle name="Check Cell 15" xfId="1435" xr:uid="{00000000-0005-0000-0000-00008F050000}"/>
    <cellStyle name="Check Cell 16" xfId="1436" xr:uid="{00000000-0005-0000-0000-000090050000}"/>
    <cellStyle name="Check Cell 17" xfId="1437" xr:uid="{00000000-0005-0000-0000-000091050000}"/>
    <cellStyle name="Check Cell 18" xfId="1438" xr:uid="{00000000-0005-0000-0000-000092050000}"/>
    <cellStyle name="Check Cell 19" xfId="1439" xr:uid="{00000000-0005-0000-0000-000093050000}"/>
    <cellStyle name="Check Cell 2" xfId="1440" xr:uid="{00000000-0005-0000-0000-000094050000}"/>
    <cellStyle name="Check Cell 2 10" xfId="1441" xr:uid="{00000000-0005-0000-0000-000095050000}"/>
    <cellStyle name="Check Cell 2 2" xfId="1442" xr:uid="{00000000-0005-0000-0000-000096050000}"/>
    <cellStyle name="Check Cell 2 2 2" xfId="1443" xr:uid="{00000000-0005-0000-0000-000097050000}"/>
    <cellStyle name="Check Cell 2 2 2 2" xfId="1444" xr:uid="{00000000-0005-0000-0000-000098050000}"/>
    <cellStyle name="Check Cell 2 2 2 2 2" xfId="1445" xr:uid="{00000000-0005-0000-0000-000099050000}"/>
    <cellStyle name="Check Cell 2 2 2 2 3" xfId="1446" xr:uid="{00000000-0005-0000-0000-00009A050000}"/>
    <cellStyle name="Check Cell 2 2 2 3" xfId="1447" xr:uid="{00000000-0005-0000-0000-00009B050000}"/>
    <cellStyle name="Check Cell 2 2 2 4" xfId="1448" xr:uid="{00000000-0005-0000-0000-00009C050000}"/>
    <cellStyle name="Check Cell 2 2 2 5" xfId="1449" xr:uid="{00000000-0005-0000-0000-00009D050000}"/>
    <cellStyle name="Check Cell 2 2 2 6" xfId="1450" xr:uid="{00000000-0005-0000-0000-00009E050000}"/>
    <cellStyle name="Check Cell 2 2 3" xfId="1451" xr:uid="{00000000-0005-0000-0000-00009F050000}"/>
    <cellStyle name="Check Cell 2 2 4" xfId="1452" xr:uid="{00000000-0005-0000-0000-0000A0050000}"/>
    <cellStyle name="Check Cell 2 2 5" xfId="1453" xr:uid="{00000000-0005-0000-0000-0000A1050000}"/>
    <cellStyle name="Check Cell 2 2 6" xfId="1454" xr:uid="{00000000-0005-0000-0000-0000A2050000}"/>
    <cellStyle name="Check Cell 2 3" xfId="1455" xr:uid="{00000000-0005-0000-0000-0000A3050000}"/>
    <cellStyle name="Check Cell 2 4" xfId="1456" xr:uid="{00000000-0005-0000-0000-0000A4050000}"/>
    <cellStyle name="Check Cell 2 5" xfId="1457" xr:uid="{00000000-0005-0000-0000-0000A5050000}"/>
    <cellStyle name="Check Cell 2 6" xfId="1458" xr:uid="{00000000-0005-0000-0000-0000A6050000}"/>
    <cellStyle name="Check Cell 2 7" xfId="1459" xr:uid="{00000000-0005-0000-0000-0000A7050000}"/>
    <cellStyle name="Check Cell 2 8" xfId="1460" xr:uid="{00000000-0005-0000-0000-0000A8050000}"/>
    <cellStyle name="Check Cell 2 9" xfId="1461" xr:uid="{00000000-0005-0000-0000-0000A9050000}"/>
    <cellStyle name="Check Cell 20" xfId="1462" xr:uid="{00000000-0005-0000-0000-0000AA050000}"/>
    <cellStyle name="Check Cell 21" xfId="1463" xr:uid="{00000000-0005-0000-0000-0000AB050000}"/>
    <cellStyle name="Check Cell 22" xfId="1464" xr:uid="{00000000-0005-0000-0000-0000AC050000}"/>
    <cellStyle name="Check Cell 23" xfId="1465" xr:uid="{00000000-0005-0000-0000-0000AD050000}"/>
    <cellStyle name="Check Cell 3" xfId="1466" xr:uid="{00000000-0005-0000-0000-0000AE050000}"/>
    <cellStyle name="Check Cell 4" xfId="1467" xr:uid="{00000000-0005-0000-0000-0000AF050000}"/>
    <cellStyle name="Check Cell 5" xfId="1468" xr:uid="{00000000-0005-0000-0000-0000B0050000}"/>
    <cellStyle name="Check Cell 6" xfId="1469" xr:uid="{00000000-0005-0000-0000-0000B1050000}"/>
    <cellStyle name="Check Cell 7" xfId="1470" xr:uid="{00000000-0005-0000-0000-0000B2050000}"/>
    <cellStyle name="Check Cell 8" xfId="1471" xr:uid="{00000000-0005-0000-0000-0000B3050000}"/>
    <cellStyle name="Check Cell 9" xfId="1472" xr:uid="{00000000-0005-0000-0000-0000B4050000}"/>
    <cellStyle name="ColumnAttributeAbovePrompt" xfId="1473" xr:uid="{00000000-0005-0000-0000-0000B5050000}"/>
    <cellStyle name="ColumnAttributePrompt" xfId="1474" xr:uid="{00000000-0005-0000-0000-0000B6050000}"/>
    <cellStyle name="ColumnAttributeValue" xfId="1475" xr:uid="{00000000-0005-0000-0000-0000B7050000}"/>
    <cellStyle name="ColumnHeadingPrompt" xfId="1476" xr:uid="{00000000-0005-0000-0000-0000B8050000}"/>
    <cellStyle name="ColumnHeadingValue" xfId="1477" xr:uid="{00000000-0005-0000-0000-0000B9050000}"/>
    <cellStyle name="Comma" xfId="1" builtinId="3"/>
    <cellStyle name="Comma 10" xfId="1478" xr:uid="{00000000-0005-0000-0000-0000BB050000}"/>
    <cellStyle name="Comma 11" xfId="1479" xr:uid="{00000000-0005-0000-0000-0000BC050000}"/>
    <cellStyle name="Comma 12" xfId="1480" xr:uid="{00000000-0005-0000-0000-0000BD050000}"/>
    <cellStyle name="Comma 13" xfId="1481" xr:uid="{00000000-0005-0000-0000-0000BE050000}"/>
    <cellStyle name="Comma 14" xfId="1482" xr:uid="{00000000-0005-0000-0000-0000BF050000}"/>
    <cellStyle name="Comma 15" xfId="1483" xr:uid="{00000000-0005-0000-0000-0000C0050000}"/>
    <cellStyle name="Comma 16" xfId="1484" xr:uid="{00000000-0005-0000-0000-0000C1050000}"/>
    <cellStyle name="Comma 17" xfId="1485" xr:uid="{00000000-0005-0000-0000-0000C2050000}"/>
    <cellStyle name="Comma 18" xfId="8" xr:uid="{00000000-0005-0000-0000-0000C3050000}"/>
    <cellStyle name="Comma 2" xfId="5" xr:uid="{00000000-0005-0000-0000-0000C4050000}"/>
    <cellStyle name="Comma 2 10" xfId="1486" xr:uid="{00000000-0005-0000-0000-0000C5050000}"/>
    <cellStyle name="Comma 2 11" xfId="1487" xr:uid="{00000000-0005-0000-0000-0000C6050000}"/>
    <cellStyle name="Comma 2 12" xfId="1488" xr:uid="{00000000-0005-0000-0000-0000C7050000}"/>
    <cellStyle name="Comma 2 13" xfId="1489" xr:uid="{00000000-0005-0000-0000-0000C8050000}"/>
    <cellStyle name="Comma 2 14" xfId="1490" xr:uid="{00000000-0005-0000-0000-0000C9050000}"/>
    <cellStyle name="Comma 2 15" xfId="1491" xr:uid="{00000000-0005-0000-0000-0000CA050000}"/>
    <cellStyle name="Comma 2 16" xfId="1492" xr:uid="{00000000-0005-0000-0000-0000CB050000}"/>
    <cellStyle name="Comma 2 17" xfId="1493" xr:uid="{00000000-0005-0000-0000-0000CC050000}"/>
    <cellStyle name="Comma 2 18" xfId="1494" xr:uid="{00000000-0005-0000-0000-0000CD050000}"/>
    <cellStyle name="Comma 2 19" xfId="1495" xr:uid="{00000000-0005-0000-0000-0000CE050000}"/>
    <cellStyle name="Comma 2 2" xfId="1496" xr:uid="{00000000-0005-0000-0000-0000CF050000}"/>
    <cellStyle name="Comma 2 20" xfId="1497" xr:uid="{00000000-0005-0000-0000-0000D0050000}"/>
    <cellStyle name="Comma 2 21" xfId="1498" xr:uid="{00000000-0005-0000-0000-0000D1050000}"/>
    <cellStyle name="Comma 2 22" xfId="1499" xr:uid="{00000000-0005-0000-0000-0000D2050000}"/>
    <cellStyle name="Comma 2 3" xfId="1500" xr:uid="{00000000-0005-0000-0000-0000D3050000}"/>
    <cellStyle name="Comma 2 4" xfId="1501" xr:uid="{00000000-0005-0000-0000-0000D4050000}"/>
    <cellStyle name="Comma 2 4 2" xfId="2391" xr:uid="{00000000-0005-0000-0000-0000D5050000}"/>
    <cellStyle name="Comma 2 5" xfId="1502" xr:uid="{00000000-0005-0000-0000-0000D6050000}"/>
    <cellStyle name="Comma 2 6" xfId="1503" xr:uid="{00000000-0005-0000-0000-0000D7050000}"/>
    <cellStyle name="Comma 2 7" xfId="1504" xr:uid="{00000000-0005-0000-0000-0000D8050000}"/>
    <cellStyle name="Comma 2 8" xfId="1505" xr:uid="{00000000-0005-0000-0000-0000D9050000}"/>
    <cellStyle name="Comma 2 9" xfId="1506" xr:uid="{00000000-0005-0000-0000-0000DA050000}"/>
    <cellStyle name="Comma 3" xfId="10" xr:uid="{00000000-0005-0000-0000-0000DB050000}"/>
    <cellStyle name="Comma 3 2" xfId="1507" xr:uid="{00000000-0005-0000-0000-0000DC050000}"/>
    <cellStyle name="Comma 3 3" xfId="1508" xr:uid="{00000000-0005-0000-0000-0000DD050000}"/>
    <cellStyle name="Comma 3 4" xfId="1509" xr:uid="{00000000-0005-0000-0000-0000DE050000}"/>
    <cellStyle name="Comma 3 5" xfId="1510" xr:uid="{00000000-0005-0000-0000-0000DF050000}"/>
    <cellStyle name="Comma 4" xfId="1511" xr:uid="{00000000-0005-0000-0000-0000E0050000}"/>
    <cellStyle name="Comma 4 2" xfId="1512" xr:uid="{00000000-0005-0000-0000-0000E1050000}"/>
    <cellStyle name="Comma 4 3" xfId="1513" xr:uid="{00000000-0005-0000-0000-0000E2050000}"/>
    <cellStyle name="Comma 4 4" xfId="1514" xr:uid="{00000000-0005-0000-0000-0000E3050000}"/>
    <cellStyle name="Comma 4 5" xfId="1515" xr:uid="{00000000-0005-0000-0000-0000E4050000}"/>
    <cellStyle name="Comma 5" xfId="1516" xr:uid="{00000000-0005-0000-0000-0000E5050000}"/>
    <cellStyle name="Comma 6" xfId="1517" xr:uid="{00000000-0005-0000-0000-0000E6050000}"/>
    <cellStyle name="Comma 7" xfId="1518" xr:uid="{00000000-0005-0000-0000-0000E7050000}"/>
    <cellStyle name="Comma 8" xfId="1519" xr:uid="{00000000-0005-0000-0000-0000E8050000}"/>
    <cellStyle name="Comma 9" xfId="1520" xr:uid="{00000000-0005-0000-0000-0000E9050000}"/>
    <cellStyle name="Comma0" xfId="1521" xr:uid="{00000000-0005-0000-0000-0000EA050000}"/>
    <cellStyle name="Currency" xfId="2" builtinId="4"/>
    <cellStyle name="Currency 2" xfId="11" xr:uid="{00000000-0005-0000-0000-0000EC050000}"/>
    <cellStyle name="Currency 2 2" xfId="1522" xr:uid="{00000000-0005-0000-0000-0000ED050000}"/>
    <cellStyle name="Currency 2 2 2" xfId="1523" xr:uid="{00000000-0005-0000-0000-0000EE050000}"/>
    <cellStyle name="Currency 2 2 3" xfId="1524" xr:uid="{00000000-0005-0000-0000-0000EF050000}"/>
    <cellStyle name="Currency 2 3" xfId="1525" xr:uid="{00000000-0005-0000-0000-0000F0050000}"/>
    <cellStyle name="Currency 2 4" xfId="1526" xr:uid="{00000000-0005-0000-0000-0000F1050000}"/>
    <cellStyle name="Currency 2 5" xfId="1527" xr:uid="{00000000-0005-0000-0000-0000F2050000}"/>
    <cellStyle name="Currency 2 6" xfId="1528" xr:uid="{00000000-0005-0000-0000-0000F3050000}"/>
    <cellStyle name="Currency 3" xfId="1529" xr:uid="{00000000-0005-0000-0000-0000F4050000}"/>
    <cellStyle name="Currency 3 2" xfId="1530" xr:uid="{00000000-0005-0000-0000-0000F5050000}"/>
    <cellStyle name="Currency 3 3" xfId="1531" xr:uid="{00000000-0005-0000-0000-0000F6050000}"/>
    <cellStyle name="Currency 3 4" xfId="1532" xr:uid="{00000000-0005-0000-0000-0000F7050000}"/>
    <cellStyle name="Currency 3 5" xfId="1533" xr:uid="{00000000-0005-0000-0000-0000F8050000}"/>
    <cellStyle name="Currency 4" xfId="1534" xr:uid="{00000000-0005-0000-0000-0000F9050000}"/>
    <cellStyle name="Currency 5" xfId="2384" xr:uid="{00000000-0005-0000-0000-0000FA050000}"/>
    <cellStyle name="Currency0" xfId="1535" xr:uid="{00000000-0005-0000-0000-0000FB050000}"/>
    <cellStyle name="Date" xfId="1536" xr:uid="{00000000-0005-0000-0000-0000FC050000}"/>
    <cellStyle name="Euro" xfId="1537" xr:uid="{00000000-0005-0000-0000-0000FD050000}"/>
    <cellStyle name="Explanatory Text 10" xfId="1538" xr:uid="{00000000-0005-0000-0000-0000FE050000}"/>
    <cellStyle name="Explanatory Text 11" xfId="1539" xr:uid="{00000000-0005-0000-0000-0000FF050000}"/>
    <cellStyle name="Explanatory Text 12" xfId="1540" xr:uid="{00000000-0005-0000-0000-000000060000}"/>
    <cellStyle name="Explanatory Text 13" xfId="1541" xr:uid="{00000000-0005-0000-0000-000001060000}"/>
    <cellStyle name="Explanatory Text 14" xfId="1542" xr:uid="{00000000-0005-0000-0000-000002060000}"/>
    <cellStyle name="Explanatory Text 15" xfId="1543" xr:uid="{00000000-0005-0000-0000-000003060000}"/>
    <cellStyle name="Explanatory Text 16" xfId="1544" xr:uid="{00000000-0005-0000-0000-000004060000}"/>
    <cellStyle name="Explanatory Text 17" xfId="1545" xr:uid="{00000000-0005-0000-0000-000005060000}"/>
    <cellStyle name="Explanatory Text 18" xfId="1546" xr:uid="{00000000-0005-0000-0000-000006060000}"/>
    <cellStyle name="Explanatory Text 19" xfId="1547" xr:uid="{00000000-0005-0000-0000-000007060000}"/>
    <cellStyle name="Explanatory Text 2" xfId="1548" xr:uid="{00000000-0005-0000-0000-000008060000}"/>
    <cellStyle name="Explanatory Text 2 10" xfId="1549" xr:uid="{00000000-0005-0000-0000-000009060000}"/>
    <cellStyle name="Explanatory Text 2 2" xfId="1550" xr:uid="{00000000-0005-0000-0000-00000A060000}"/>
    <cellStyle name="Explanatory Text 2 2 2" xfId="1551" xr:uid="{00000000-0005-0000-0000-00000B060000}"/>
    <cellStyle name="Explanatory Text 2 2 2 2" xfId="1552" xr:uid="{00000000-0005-0000-0000-00000C060000}"/>
    <cellStyle name="Explanatory Text 2 2 2 2 2" xfId="1553" xr:uid="{00000000-0005-0000-0000-00000D060000}"/>
    <cellStyle name="Explanatory Text 2 2 2 2 3" xfId="1554" xr:uid="{00000000-0005-0000-0000-00000E060000}"/>
    <cellStyle name="Explanatory Text 2 2 2 3" xfId="1555" xr:uid="{00000000-0005-0000-0000-00000F060000}"/>
    <cellStyle name="Explanatory Text 2 2 2 4" xfId="1556" xr:uid="{00000000-0005-0000-0000-000010060000}"/>
    <cellStyle name="Explanatory Text 2 2 2 5" xfId="1557" xr:uid="{00000000-0005-0000-0000-000011060000}"/>
    <cellStyle name="Explanatory Text 2 2 2 6" xfId="1558" xr:uid="{00000000-0005-0000-0000-000012060000}"/>
    <cellStyle name="Explanatory Text 2 2 3" xfId="1559" xr:uid="{00000000-0005-0000-0000-000013060000}"/>
    <cellStyle name="Explanatory Text 2 2 4" xfId="1560" xr:uid="{00000000-0005-0000-0000-000014060000}"/>
    <cellStyle name="Explanatory Text 2 2 5" xfId="1561" xr:uid="{00000000-0005-0000-0000-000015060000}"/>
    <cellStyle name="Explanatory Text 2 2 6" xfId="1562" xr:uid="{00000000-0005-0000-0000-000016060000}"/>
    <cellStyle name="Explanatory Text 2 3" xfId="1563" xr:uid="{00000000-0005-0000-0000-000017060000}"/>
    <cellStyle name="Explanatory Text 2 4" xfId="1564" xr:uid="{00000000-0005-0000-0000-000018060000}"/>
    <cellStyle name="Explanatory Text 2 5" xfId="1565" xr:uid="{00000000-0005-0000-0000-000019060000}"/>
    <cellStyle name="Explanatory Text 2 6" xfId="1566" xr:uid="{00000000-0005-0000-0000-00001A060000}"/>
    <cellStyle name="Explanatory Text 2 7" xfId="1567" xr:uid="{00000000-0005-0000-0000-00001B060000}"/>
    <cellStyle name="Explanatory Text 2 8" xfId="1568" xr:uid="{00000000-0005-0000-0000-00001C060000}"/>
    <cellStyle name="Explanatory Text 2 9" xfId="1569" xr:uid="{00000000-0005-0000-0000-00001D060000}"/>
    <cellStyle name="Explanatory Text 20" xfId="1570" xr:uid="{00000000-0005-0000-0000-00001E060000}"/>
    <cellStyle name="Explanatory Text 21" xfId="1571" xr:uid="{00000000-0005-0000-0000-00001F060000}"/>
    <cellStyle name="Explanatory Text 22" xfId="1572" xr:uid="{00000000-0005-0000-0000-000020060000}"/>
    <cellStyle name="Explanatory Text 23" xfId="1573" xr:uid="{00000000-0005-0000-0000-000021060000}"/>
    <cellStyle name="Explanatory Text 3" xfId="1574" xr:uid="{00000000-0005-0000-0000-000022060000}"/>
    <cellStyle name="Explanatory Text 4" xfId="1575" xr:uid="{00000000-0005-0000-0000-000023060000}"/>
    <cellStyle name="Explanatory Text 5" xfId="1576" xr:uid="{00000000-0005-0000-0000-000024060000}"/>
    <cellStyle name="Explanatory Text 6" xfId="1577" xr:uid="{00000000-0005-0000-0000-000025060000}"/>
    <cellStyle name="Explanatory Text 7" xfId="1578" xr:uid="{00000000-0005-0000-0000-000026060000}"/>
    <cellStyle name="Explanatory Text 8" xfId="1579" xr:uid="{00000000-0005-0000-0000-000027060000}"/>
    <cellStyle name="Explanatory Text 9" xfId="1580" xr:uid="{00000000-0005-0000-0000-000028060000}"/>
    <cellStyle name="F2" xfId="1581" xr:uid="{00000000-0005-0000-0000-000029060000}"/>
    <cellStyle name="F2 2" xfId="1582" xr:uid="{00000000-0005-0000-0000-00002A060000}"/>
    <cellStyle name="F2 3" xfId="1583" xr:uid="{00000000-0005-0000-0000-00002B060000}"/>
    <cellStyle name="F2 4" xfId="1584" xr:uid="{00000000-0005-0000-0000-00002C060000}"/>
    <cellStyle name="F2 5" xfId="1585" xr:uid="{00000000-0005-0000-0000-00002D060000}"/>
    <cellStyle name="F2 6" xfId="1586" xr:uid="{00000000-0005-0000-0000-00002E060000}"/>
    <cellStyle name="F2 7" xfId="1587" xr:uid="{00000000-0005-0000-0000-00002F060000}"/>
    <cellStyle name="F3" xfId="1588" xr:uid="{00000000-0005-0000-0000-000030060000}"/>
    <cellStyle name="F3 2" xfId="1589" xr:uid="{00000000-0005-0000-0000-000031060000}"/>
    <cellStyle name="F3 3" xfId="1590" xr:uid="{00000000-0005-0000-0000-000032060000}"/>
    <cellStyle name="F3 4" xfId="1591" xr:uid="{00000000-0005-0000-0000-000033060000}"/>
    <cellStyle name="F3 5" xfId="1592" xr:uid="{00000000-0005-0000-0000-000034060000}"/>
    <cellStyle name="F3 6" xfId="1593" xr:uid="{00000000-0005-0000-0000-000035060000}"/>
    <cellStyle name="F3 7" xfId="1594" xr:uid="{00000000-0005-0000-0000-000036060000}"/>
    <cellStyle name="F4" xfId="1595" xr:uid="{00000000-0005-0000-0000-000037060000}"/>
    <cellStyle name="F4 2" xfId="1596" xr:uid="{00000000-0005-0000-0000-000038060000}"/>
    <cellStyle name="F4 3" xfId="1597" xr:uid="{00000000-0005-0000-0000-000039060000}"/>
    <cellStyle name="F4 4" xfId="1598" xr:uid="{00000000-0005-0000-0000-00003A060000}"/>
    <cellStyle name="F4 5" xfId="1599" xr:uid="{00000000-0005-0000-0000-00003B060000}"/>
    <cellStyle name="F4 6" xfId="1600" xr:uid="{00000000-0005-0000-0000-00003C060000}"/>
    <cellStyle name="F4 7" xfId="1601" xr:uid="{00000000-0005-0000-0000-00003D060000}"/>
    <cellStyle name="F5" xfId="1602" xr:uid="{00000000-0005-0000-0000-00003E060000}"/>
    <cellStyle name="F5 2" xfId="1603" xr:uid="{00000000-0005-0000-0000-00003F060000}"/>
    <cellStyle name="F5 3" xfId="1604" xr:uid="{00000000-0005-0000-0000-000040060000}"/>
    <cellStyle name="F5 4" xfId="1605" xr:uid="{00000000-0005-0000-0000-000041060000}"/>
    <cellStyle name="F5 5" xfId="1606" xr:uid="{00000000-0005-0000-0000-000042060000}"/>
    <cellStyle name="F5 6" xfId="1607" xr:uid="{00000000-0005-0000-0000-000043060000}"/>
    <cellStyle name="F5 7" xfId="1608" xr:uid="{00000000-0005-0000-0000-000044060000}"/>
    <cellStyle name="F6" xfId="1609" xr:uid="{00000000-0005-0000-0000-000045060000}"/>
    <cellStyle name="F6 2" xfId="1610" xr:uid="{00000000-0005-0000-0000-000046060000}"/>
    <cellStyle name="F6 3" xfId="1611" xr:uid="{00000000-0005-0000-0000-000047060000}"/>
    <cellStyle name="F6 4" xfId="1612" xr:uid="{00000000-0005-0000-0000-000048060000}"/>
    <cellStyle name="F6 5" xfId="1613" xr:uid="{00000000-0005-0000-0000-000049060000}"/>
    <cellStyle name="F6 6" xfId="1614" xr:uid="{00000000-0005-0000-0000-00004A060000}"/>
    <cellStyle name="F6 7" xfId="1615" xr:uid="{00000000-0005-0000-0000-00004B060000}"/>
    <cellStyle name="F7" xfId="1616" xr:uid="{00000000-0005-0000-0000-00004C060000}"/>
    <cellStyle name="F7 2" xfId="1617" xr:uid="{00000000-0005-0000-0000-00004D060000}"/>
    <cellStyle name="F7 3" xfId="1618" xr:uid="{00000000-0005-0000-0000-00004E060000}"/>
    <cellStyle name="F7 4" xfId="1619" xr:uid="{00000000-0005-0000-0000-00004F060000}"/>
    <cellStyle name="F7 5" xfId="1620" xr:uid="{00000000-0005-0000-0000-000050060000}"/>
    <cellStyle name="F7 6" xfId="1621" xr:uid="{00000000-0005-0000-0000-000051060000}"/>
    <cellStyle name="F7 7" xfId="1622" xr:uid="{00000000-0005-0000-0000-000052060000}"/>
    <cellStyle name="F8" xfId="1623" xr:uid="{00000000-0005-0000-0000-000053060000}"/>
    <cellStyle name="F8 2" xfId="1624" xr:uid="{00000000-0005-0000-0000-000054060000}"/>
    <cellStyle name="F8 3" xfId="1625" xr:uid="{00000000-0005-0000-0000-000055060000}"/>
    <cellStyle name="F8 4" xfId="1626" xr:uid="{00000000-0005-0000-0000-000056060000}"/>
    <cellStyle name="F8 5" xfId="1627" xr:uid="{00000000-0005-0000-0000-000057060000}"/>
    <cellStyle name="F8 6" xfId="1628" xr:uid="{00000000-0005-0000-0000-000058060000}"/>
    <cellStyle name="F8 7" xfId="1629" xr:uid="{00000000-0005-0000-0000-000059060000}"/>
    <cellStyle name="Fixed" xfId="1630" xr:uid="{00000000-0005-0000-0000-00005A060000}"/>
    <cellStyle name="Good 10" xfId="1631" xr:uid="{00000000-0005-0000-0000-00005B060000}"/>
    <cellStyle name="Good 11" xfId="1632" xr:uid="{00000000-0005-0000-0000-00005C060000}"/>
    <cellStyle name="Good 12" xfId="1633" xr:uid="{00000000-0005-0000-0000-00005D060000}"/>
    <cellStyle name="Good 13" xfId="1634" xr:uid="{00000000-0005-0000-0000-00005E060000}"/>
    <cellStyle name="Good 14" xfId="1635" xr:uid="{00000000-0005-0000-0000-00005F060000}"/>
    <cellStyle name="Good 15" xfId="1636" xr:uid="{00000000-0005-0000-0000-000060060000}"/>
    <cellStyle name="Good 16" xfId="1637" xr:uid="{00000000-0005-0000-0000-000061060000}"/>
    <cellStyle name="Good 17" xfId="1638" xr:uid="{00000000-0005-0000-0000-000062060000}"/>
    <cellStyle name="Good 18" xfId="1639" xr:uid="{00000000-0005-0000-0000-000063060000}"/>
    <cellStyle name="Good 19" xfId="1640" xr:uid="{00000000-0005-0000-0000-000064060000}"/>
    <cellStyle name="Good 2" xfId="1641" xr:uid="{00000000-0005-0000-0000-000065060000}"/>
    <cellStyle name="Good 2 10" xfId="1642" xr:uid="{00000000-0005-0000-0000-000066060000}"/>
    <cellStyle name="Good 2 2" xfId="1643" xr:uid="{00000000-0005-0000-0000-000067060000}"/>
    <cellStyle name="Good 2 2 2" xfId="1644" xr:uid="{00000000-0005-0000-0000-000068060000}"/>
    <cellStyle name="Good 2 2 2 2" xfId="1645" xr:uid="{00000000-0005-0000-0000-000069060000}"/>
    <cellStyle name="Good 2 2 2 2 2" xfId="1646" xr:uid="{00000000-0005-0000-0000-00006A060000}"/>
    <cellStyle name="Good 2 2 2 2 3" xfId="1647" xr:uid="{00000000-0005-0000-0000-00006B060000}"/>
    <cellStyle name="Good 2 2 2 3" xfId="1648" xr:uid="{00000000-0005-0000-0000-00006C060000}"/>
    <cellStyle name="Good 2 2 2 4" xfId="1649" xr:uid="{00000000-0005-0000-0000-00006D060000}"/>
    <cellStyle name="Good 2 2 2 5" xfId="1650" xr:uid="{00000000-0005-0000-0000-00006E060000}"/>
    <cellStyle name="Good 2 2 2 6" xfId="1651" xr:uid="{00000000-0005-0000-0000-00006F060000}"/>
    <cellStyle name="Good 2 2 3" xfId="1652" xr:uid="{00000000-0005-0000-0000-000070060000}"/>
    <cellStyle name="Good 2 2 4" xfId="1653" xr:uid="{00000000-0005-0000-0000-000071060000}"/>
    <cellStyle name="Good 2 2 5" xfId="1654" xr:uid="{00000000-0005-0000-0000-000072060000}"/>
    <cellStyle name="Good 2 2 6" xfId="1655" xr:uid="{00000000-0005-0000-0000-000073060000}"/>
    <cellStyle name="Good 2 3" xfId="1656" xr:uid="{00000000-0005-0000-0000-000074060000}"/>
    <cellStyle name="Good 2 4" xfId="1657" xr:uid="{00000000-0005-0000-0000-000075060000}"/>
    <cellStyle name="Good 2 5" xfId="1658" xr:uid="{00000000-0005-0000-0000-000076060000}"/>
    <cellStyle name="Good 2 6" xfId="1659" xr:uid="{00000000-0005-0000-0000-000077060000}"/>
    <cellStyle name="Good 2 7" xfId="1660" xr:uid="{00000000-0005-0000-0000-000078060000}"/>
    <cellStyle name="Good 2 8" xfId="1661" xr:uid="{00000000-0005-0000-0000-000079060000}"/>
    <cellStyle name="Good 2 9" xfId="1662" xr:uid="{00000000-0005-0000-0000-00007A060000}"/>
    <cellStyle name="Good 20" xfId="1663" xr:uid="{00000000-0005-0000-0000-00007B060000}"/>
    <cellStyle name="Good 21" xfId="1664" xr:uid="{00000000-0005-0000-0000-00007C060000}"/>
    <cellStyle name="Good 22" xfId="1665" xr:uid="{00000000-0005-0000-0000-00007D060000}"/>
    <cellStyle name="Good 23" xfId="1666" xr:uid="{00000000-0005-0000-0000-00007E060000}"/>
    <cellStyle name="Good 3" xfId="1667" xr:uid="{00000000-0005-0000-0000-00007F060000}"/>
    <cellStyle name="Good 4" xfId="1668" xr:uid="{00000000-0005-0000-0000-000080060000}"/>
    <cellStyle name="Good 5" xfId="1669" xr:uid="{00000000-0005-0000-0000-000081060000}"/>
    <cellStyle name="Good 6" xfId="1670" xr:uid="{00000000-0005-0000-0000-000082060000}"/>
    <cellStyle name="Good 7" xfId="1671" xr:uid="{00000000-0005-0000-0000-000083060000}"/>
    <cellStyle name="Good 8" xfId="1672" xr:uid="{00000000-0005-0000-0000-000084060000}"/>
    <cellStyle name="Good 9" xfId="1673" xr:uid="{00000000-0005-0000-0000-000085060000}"/>
    <cellStyle name="Heading 1 10" xfId="1674" xr:uid="{00000000-0005-0000-0000-000086060000}"/>
    <cellStyle name="Heading 1 11" xfId="1675" xr:uid="{00000000-0005-0000-0000-000087060000}"/>
    <cellStyle name="Heading 1 12" xfId="1676" xr:uid="{00000000-0005-0000-0000-000088060000}"/>
    <cellStyle name="Heading 1 13" xfId="1677" xr:uid="{00000000-0005-0000-0000-000089060000}"/>
    <cellStyle name="Heading 1 14" xfId="1678" xr:uid="{00000000-0005-0000-0000-00008A060000}"/>
    <cellStyle name="Heading 1 15" xfId="1679" xr:uid="{00000000-0005-0000-0000-00008B060000}"/>
    <cellStyle name="Heading 1 16" xfId="1680" xr:uid="{00000000-0005-0000-0000-00008C060000}"/>
    <cellStyle name="Heading 1 17" xfId="1681" xr:uid="{00000000-0005-0000-0000-00008D060000}"/>
    <cellStyle name="Heading 1 18" xfId="1682" xr:uid="{00000000-0005-0000-0000-00008E060000}"/>
    <cellStyle name="Heading 1 19" xfId="1683" xr:uid="{00000000-0005-0000-0000-00008F060000}"/>
    <cellStyle name="Heading 1 2" xfId="1684" xr:uid="{00000000-0005-0000-0000-000090060000}"/>
    <cellStyle name="Heading 1 2 10" xfId="1685" xr:uid="{00000000-0005-0000-0000-000091060000}"/>
    <cellStyle name="Heading 1 2 2" xfId="1686" xr:uid="{00000000-0005-0000-0000-000092060000}"/>
    <cellStyle name="Heading 1 2 2 2" xfId="1687" xr:uid="{00000000-0005-0000-0000-000093060000}"/>
    <cellStyle name="Heading 1 2 2 2 2" xfId="1688" xr:uid="{00000000-0005-0000-0000-000094060000}"/>
    <cellStyle name="Heading 1 2 2 2 2 2" xfId="1689" xr:uid="{00000000-0005-0000-0000-000095060000}"/>
    <cellStyle name="Heading 1 2 2 2 2 3" xfId="1690" xr:uid="{00000000-0005-0000-0000-000096060000}"/>
    <cellStyle name="Heading 1 2 2 2 3" xfId="1691" xr:uid="{00000000-0005-0000-0000-000097060000}"/>
    <cellStyle name="Heading 1 2 2 2 4" xfId="1692" xr:uid="{00000000-0005-0000-0000-000098060000}"/>
    <cellStyle name="Heading 1 2 2 2 5" xfId="1693" xr:uid="{00000000-0005-0000-0000-000099060000}"/>
    <cellStyle name="Heading 1 2 2 2 6" xfId="1694" xr:uid="{00000000-0005-0000-0000-00009A060000}"/>
    <cellStyle name="Heading 1 2 2 3" xfId="1695" xr:uid="{00000000-0005-0000-0000-00009B060000}"/>
    <cellStyle name="Heading 1 2 2 4" xfId="1696" xr:uid="{00000000-0005-0000-0000-00009C060000}"/>
    <cellStyle name="Heading 1 2 2 5" xfId="1697" xr:uid="{00000000-0005-0000-0000-00009D060000}"/>
    <cellStyle name="Heading 1 2 2 6" xfId="1698" xr:uid="{00000000-0005-0000-0000-00009E060000}"/>
    <cellStyle name="Heading 1 2 3" xfId="1699" xr:uid="{00000000-0005-0000-0000-00009F060000}"/>
    <cellStyle name="Heading 1 2 4" xfId="1700" xr:uid="{00000000-0005-0000-0000-0000A0060000}"/>
    <cellStyle name="Heading 1 2 5" xfId="1701" xr:uid="{00000000-0005-0000-0000-0000A1060000}"/>
    <cellStyle name="Heading 1 2 6" xfId="1702" xr:uid="{00000000-0005-0000-0000-0000A2060000}"/>
    <cellStyle name="Heading 1 2 7" xfId="1703" xr:uid="{00000000-0005-0000-0000-0000A3060000}"/>
    <cellStyle name="Heading 1 2 8" xfId="1704" xr:uid="{00000000-0005-0000-0000-0000A4060000}"/>
    <cellStyle name="Heading 1 2 9" xfId="1705" xr:uid="{00000000-0005-0000-0000-0000A5060000}"/>
    <cellStyle name="Heading 1 20" xfId="1706" xr:uid="{00000000-0005-0000-0000-0000A6060000}"/>
    <cellStyle name="Heading 1 21" xfId="1707" xr:uid="{00000000-0005-0000-0000-0000A7060000}"/>
    <cellStyle name="Heading 1 22" xfId="1708" xr:uid="{00000000-0005-0000-0000-0000A8060000}"/>
    <cellStyle name="Heading 1 23" xfId="1709" xr:uid="{00000000-0005-0000-0000-0000A9060000}"/>
    <cellStyle name="Heading 1 24" xfId="1710" xr:uid="{00000000-0005-0000-0000-0000AA060000}"/>
    <cellStyle name="Heading 1 25" xfId="1711" xr:uid="{00000000-0005-0000-0000-0000AB060000}"/>
    <cellStyle name="Heading 1 3" xfId="1712" xr:uid="{00000000-0005-0000-0000-0000AC060000}"/>
    <cellStyle name="Heading 1 4" xfId="1713" xr:uid="{00000000-0005-0000-0000-0000AD060000}"/>
    <cellStyle name="Heading 1 5" xfId="1714" xr:uid="{00000000-0005-0000-0000-0000AE060000}"/>
    <cellStyle name="Heading 1 6" xfId="1715" xr:uid="{00000000-0005-0000-0000-0000AF060000}"/>
    <cellStyle name="Heading 1 7" xfId="1716" xr:uid="{00000000-0005-0000-0000-0000B0060000}"/>
    <cellStyle name="Heading 1 8" xfId="1717" xr:uid="{00000000-0005-0000-0000-0000B1060000}"/>
    <cellStyle name="Heading 1 9" xfId="1718" xr:uid="{00000000-0005-0000-0000-0000B2060000}"/>
    <cellStyle name="Heading 2 10" xfId="1719" xr:uid="{00000000-0005-0000-0000-0000B3060000}"/>
    <cellStyle name="Heading 2 11" xfId="1720" xr:uid="{00000000-0005-0000-0000-0000B4060000}"/>
    <cellStyle name="Heading 2 12" xfId="1721" xr:uid="{00000000-0005-0000-0000-0000B5060000}"/>
    <cellStyle name="Heading 2 13" xfId="1722" xr:uid="{00000000-0005-0000-0000-0000B6060000}"/>
    <cellStyle name="Heading 2 14" xfId="1723" xr:uid="{00000000-0005-0000-0000-0000B7060000}"/>
    <cellStyle name="Heading 2 15" xfId="1724" xr:uid="{00000000-0005-0000-0000-0000B8060000}"/>
    <cellStyle name="Heading 2 16" xfId="1725" xr:uid="{00000000-0005-0000-0000-0000B9060000}"/>
    <cellStyle name="Heading 2 17" xfId="1726" xr:uid="{00000000-0005-0000-0000-0000BA060000}"/>
    <cellStyle name="Heading 2 18" xfId="1727" xr:uid="{00000000-0005-0000-0000-0000BB060000}"/>
    <cellStyle name="Heading 2 19" xfId="1728" xr:uid="{00000000-0005-0000-0000-0000BC060000}"/>
    <cellStyle name="Heading 2 2" xfId="1729" xr:uid="{00000000-0005-0000-0000-0000BD060000}"/>
    <cellStyle name="Heading 2 2 10" xfId="1730" xr:uid="{00000000-0005-0000-0000-0000BE060000}"/>
    <cellStyle name="Heading 2 2 2" xfId="1731" xr:uid="{00000000-0005-0000-0000-0000BF060000}"/>
    <cellStyle name="Heading 2 2 2 2" xfId="1732" xr:uid="{00000000-0005-0000-0000-0000C0060000}"/>
    <cellStyle name="Heading 2 2 2 2 2" xfId="1733" xr:uid="{00000000-0005-0000-0000-0000C1060000}"/>
    <cellStyle name="Heading 2 2 2 2 2 2" xfId="1734" xr:uid="{00000000-0005-0000-0000-0000C2060000}"/>
    <cellStyle name="Heading 2 2 2 2 2 3" xfId="1735" xr:uid="{00000000-0005-0000-0000-0000C3060000}"/>
    <cellStyle name="Heading 2 2 2 2 3" xfId="1736" xr:uid="{00000000-0005-0000-0000-0000C4060000}"/>
    <cellStyle name="Heading 2 2 2 2 4" xfId="1737" xr:uid="{00000000-0005-0000-0000-0000C5060000}"/>
    <cellStyle name="Heading 2 2 2 2 5" xfId="1738" xr:uid="{00000000-0005-0000-0000-0000C6060000}"/>
    <cellStyle name="Heading 2 2 2 2 6" xfId="1739" xr:uid="{00000000-0005-0000-0000-0000C7060000}"/>
    <cellStyle name="Heading 2 2 2 3" xfId="1740" xr:uid="{00000000-0005-0000-0000-0000C8060000}"/>
    <cellStyle name="Heading 2 2 2 4" xfId="1741" xr:uid="{00000000-0005-0000-0000-0000C9060000}"/>
    <cellStyle name="Heading 2 2 2 5" xfId="1742" xr:uid="{00000000-0005-0000-0000-0000CA060000}"/>
    <cellStyle name="Heading 2 2 2 6" xfId="1743" xr:uid="{00000000-0005-0000-0000-0000CB060000}"/>
    <cellStyle name="Heading 2 2 3" xfId="1744" xr:uid="{00000000-0005-0000-0000-0000CC060000}"/>
    <cellStyle name="Heading 2 2 4" xfId="1745" xr:uid="{00000000-0005-0000-0000-0000CD060000}"/>
    <cellStyle name="Heading 2 2 5" xfId="1746" xr:uid="{00000000-0005-0000-0000-0000CE060000}"/>
    <cellStyle name="Heading 2 2 6" xfId="1747" xr:uid="{00000000-0005-0000-0000-0000CF060000}"/>
    <cellStyle name="Heading 2 2 7" xfId="1748" xr:uid="{00000000-0005-0000-0000-0000D0060000}"/>
    <cellStyle name="Heading 2 2 8" xfId="1749" xr:uid="{00000000-0005-0000-0000-0000D1060000}"/>
    <cellStyle name="Heading 2 2 9" xfId="1750" xr:uid="{00000000-0005-0000-0000-0000D2060000}"/>
    <cellStyle name="Heading 2 20" xfId="1751" xr:uid="{00000000-0005-0000-0000-0000D3060000}"/>
    <cellStyle name="Heading 2 21" xfId="1752" xr:uid="{00000000-0005-0000-0000-0000D4060000}"/>
    <cellStyle name="Heading 2 22" xfId="1753" xr:uid="{00000000-0005-0000-0000-0000D5060000}"/>
    <cellStyle name="Heading 2 23" xfId="1754" xr:uid="{00000000-0005-0000-0000-0000D6060000}"/>
    <cellStyle name="Heading 2 24" xfId="1755" xr:uid="{00000000-0005-0000-0000-0000D7060000}"/>
    <cellStyle name="Heading 2 25" xfId="1756" xr:uid="{00000000-0005-0000-0000-0000D8060000}"/>
    <cellStyle name="Heading 2 3" xfId="1757" xr:uid="{00000000-0005-0000-0000-0000D9060000}"/>
    <cellStyle name="Heading 2 4" xfId="1758" xr:uid="{00000000-0005-0000-0000-0000DA060000}"/>
    <cellStyle name="Heading 2 5" xfId="1759" xr:uid="{00000000-0005-0000-0000-0000DB060000}"/>
    <cellStyle name="Heading 2 6" xfId="1760" xr:uid="{00000000-0005-0000-0000-0000DC060000}"/>
    <cellStyle name="Heading 2 7" xfId="1761" xr:uid="{00000000-0005-0000-0000-0000DD060000}"/>
    <cellStyle name="Heading 2 8" xfId="1762" xr:uid="{00000000-0005-0000-0000-0000DE060000}"/>
    <cellStyle name="Heading 2 9" xfId="1763" xr:uid="{00000000-0005-0000-0000-0000DF060000}"/>
    <cellStyle name="Heading 3 10" xfId="1764" xr:uid="{00000000-0005-0000-0000-0000E0060000}"/>
    <cellStyle name="Heading 3 11" xfId="1765" xr:uid="{00000000-0005-0000-0000-0000E1060000}"/>
    <cellStyle name="Heading 3 12" xfId="1766" xr:uid="{00000000-0005-0000-0000-0000E2060000}"/>
    <cellStyle name="Heading 3 13" xfId="1767" xr:uid="{00000000-0005-0000-0000-0000E3060000}"/>
    <cellStyle name="Heading 3 14" xfId="1768" xr:uid="{00000000-0005-0000-0000-0000E4060000}"/>
    <cellStyle name="Heading 3 15" xfId="1769" xr:uid="{00000000-0005-0000-0000-0000E5060000}"/>
    <cellStyle name="Heading 3 16" xfId="1770" xr:uid="{00000000-0005-0000-0000-0000E6060000}"/>
    <cellStyle name="Heading 3 17" xfId="1771" xr:uid="{00000000-0005-0000-0000-0000E7060000}"/>
    <cellStyle name="Heading 3 18" xfId="1772" xr:uid="{00000000-0005-0000-0000-0000E8060000}"/>
    <cellStyle name="Heading 3 19" xfId="1773" xr:uid="{00000000-0005-0000-0000-0000E9060000}"/>
    <cellStyle name="Heading 3 2" xfId="1774" xr:uid="{00000000-0005-0000-0000-0000EA060000}"/>
    <cellStyle name="Heading 3 2 10" xfId="1775" xr:uid="{00000000-0005-0000-0000-0000EB060000}"/>
    <cellStyle name="Heading 3 2 2" xfId="1776" xr:uid="{00000000-0005-0000-0000-0000EC060000}"/>
    <cellStyle name="Heading 3 2 2 2" xfId="1777" xr:uid="{00000000-0005-0000-0000-0000ED060000}"/>
    <cellStyle name="Heading 3 2 2 2 2" xfId="1778" xr:uid="{00000000-0005-0000-0000-0000EE060000}"/>
    <cellStyle name="Heading 3 2 2 2 2 2" xfId="1779" xr:uid="{00000000-0005-0000-0000-0000EF060000}"/>
    <cellStyle name="Heading 3 2 2 2 2 3" xfId="1780" xr:uid="{00000000-0005-0000-0000-0000F0060000}"/>
    <cellStyle name="Heading 3 2 2 2 3" xfId="1781" xr:uid="{00000000-0005-0000-0000-0000F1060000}"/>
    <cellStyle name="Heading 3 2 2 2 4" xfId="1782" xr:uid="{00000000-0005-0000-0000-0000F2060000}"/>
    <cellStyle name="Heading 3 2 2 2 5" xfId="1783" xr:uid="{00000000-0005-0000-0000-0000F3060000}"/>
    <cellStyle name="Heading 3 2 2 2 6" xfId="1784" xr:uid="{00000000-0005-0000-0000-0000F4060000}"/>
    <cellStyle name="Heading 3 2 2 3" xfId="1785" xr:uid="{00000000-0005-0000-0000-0000F5060000}"/>
    <cellStyle name="Heading 3 2 2 4" xfId="1786" xr:uid="{00000000-0005-0000-0000-0000F6060000}"/>
    <cellStyle name="Heading 3 2 2 5" xfId="1787" xr:uid="{00000000-0005-0000-0000-0000F7060000}"/>
    <cellStyle name="Heading 3 2 2 6" xfId="1788" xr:uid="{00000000-0005-0000-0000-0000F8060000}"/>
    <cellStyle name="Heading 3 2 3" xfId="1789" xr:uid="{00000000-0005-0000-0000-0000F9060000}"/>
    <cellStyle name="Heading 3 2 4" xfId="1790" xr:uid="{00000000-0005-0000-0000-0000FA060000}"/>
    <cellStyle name="Heading 3 2 5" xfId="1791" xr:uid="{00000000-0005-0000-0000-0000FB060000}"/>
    <cellStyle name="Heading 3 2 6" xfId="1792" xr:uid="{00000000-0005-0000-0000-0000FC060000}"/>
    <cellStyle name="Heading 3 2 7" xfId="1793" xr:uid="{00000000-0005-0000-0000-0000FD060000}"/>
    <cellStyle name="Heading 3 2 8" xfId="1794" xr:uid="{00000000-0005-0000-0000-0000FE060000}"/>
    <cellStyle name="Heading 3 2 9" xfId="1795" xr:uid="{00000000-0005-0000-0000-0000FF060000}"/>
    <cellStyle name="Heading 3 20" xfId="1796" xr:uid="{00000000-0005-0000-0000-000000070000}"/>
    <cellStyle name="Heading 3 21" xfId="1797" xr:uid="{00000000-0005-0000-0000-000001070000}"/>
    <cellStyle name="Heading 3 22" xfId="1798" xr:uid="{00000000-0005-0000-0000-000002070000}"/>
    <cellStyle name="Heading 3 23" xfId="1799" xr:uid="{00000000-0005-0000-0000-000003070000}"/>
    <cellStyle name="Heading 3 3" xfId="1800" xr:uid="{00000000-0005-0000-0000-000004070000}"/>
    <cellStyle name="Heading 3 4" xfId="1801" xr:uid="{00000000-0005-0000-0000-000005070000}"/>
    <cellStyle name="Heading 3 5" xfId="1802" xr:uid="{00000000-0005-0000-0000-000006070000}"/>
    <cellStyle name="Heading 3 6" xfId="1803" xr:uid="{00000000-0005-0000-0000-000007070000}"/>
    <cellStyle name="Heading 3 7" xfId="1804" xr:uid="{00000000-0005-0000-0000-000008070000}"/>
    <cellStyle name="Heading 3 8" xfId="1805" xr:uid="{00000000-0005-0000-0000-000009070000}"/>
    <cellStyle name="Heading 3 9" xfId="1806" xr:uid="{00000000-0005-0000-0000-00000A070000}"/>
    <cellStyle name="Heading 4 10" xfId="1807" xr:uid="{00000000-0005-0000-0000-00000B070000}"/>
    <cellStyle name="Heading 4 11" xfId="1808" xr:uid="{00000000-0005-0000-0000-00000C070000}"/>
    <cellStyle name="Heading 4 12" xfId="1809" xr:uid="{00000000-0005-0000-0000-00000D070000}"/>
    <cellStyle name="Heading 4 13" xfId="1810" xr:uid="{00000000-0005-0000-0000-00000E070000}"/>
    <cellStyle name="Heading 4 14" xfId="1811" xr:uid="{00000000-0005-0000-0000-00000F070000}"/>
    <cellStyle name="Heading 4 15" xfId="1812" xr:uid="{00000000-0005-0000-0000-000010070000}"/>
    <cellStyle name="Heading 4 16" xfId="1813" xr:uid="{00000000-0005-0000-0000-000011070000}"/>
    <cellStyle name="Heading 4 17" xfId="1814" xr:uid="{00000000-0005-0000-0000-000012070000}"/>
    <cellStyle name="Heading 4 18" xfId="1815" xr:uid="{00000000-0005-0000-0000-000013070000}"/>
    <cellStyle name="Heading 4 19" xfId="1816" xr:uid="{00000000-0005-0000-0000-000014070000}"/>
    <cellStyle name="Heading 4 2" xfId="1817" xr:uid="{00000000-0005-0000-0000-000015070000}"/>
    <cellStyle name="Heading 4 2 10" xfId="1818" xr:uid="{00000000-0005-0000-0000-000016070000}"/>
    <cellStyle name="Heading 4 2 2" xfId="1819" xr:uid="{00000000-0005-0000-0000-000017070000}"/>
    <cellStyle name="Heading 4 2 2 2" xfId="1820" xr:uid="{00000000-0005-0000-0000-000018070000}"/>
    <cellStyle name="Heading 4 2 2 2 2" xfId="1821" xr:uid="{00000000-0005-0000-0000-000019070000}"/>
    <cellStyle name="Heading 4 2 2 2 2 2" xfId="1822" xr:uid="{00000000-0005-0000-0000-00001A070000}"/>
    <cellStyle name="Heading 4 2 2 2 2 3" xfId="1823" xr:uid="{00000000-0005-0000-0000-00001B070000}"/>
    <cellStyle name="Heading 4 2 2 2 3" xfId="1824" xr:uid="{00000000-0005-0000-0000-00001C070000}"/>
    <cellStyle name="Heading 4 2 2 2 4" xfId="1825" xr:uid="{00000000-0005-0000-0000-00001D070000}"/>
    <cellStyle name="Heading 4 2 2 2 5" xfId="1826" xr:uid="{00000000-0005-0000-0000-00001E070000}"/>
    <cellStyle name="Heading 4 2 2 2 6" xfId="1827" xr:uid="{00000000-0005-0000-0000-00001F070000}"/>
    <cellStyle name="Heading 4 2 2 3" xfId="1828" xr:uid="{00000000-0005-0000-0000-000020070000}"/>
    <cellStyle name="Heading 4 2 2 4" xfId="1829" xr:uid="{00000000-0005-0000-0000-000021070000}"/>
    <cellStyle name="Heading 4 2 2 5" xfId="1830" xr:uid="{00000000-0005-0000-0000-000022070000}"/>
    <cellStyle name="Heading 4 2 2 6" xfId="1831" xr:uid="{00000000-0005-0000-0000-000023070000}"/>
    <cellStyle name="Heading 4 2 3" xfId="1832" xr:uid="{00000000-0005-0000-0000-000024070000}"/>
    <cellStyle name="Heading 4 2 4" xfId="1833" xr:uid="{00000000-0005-0000-0000-000025070000}"/>
    <cellStyle name="Heading 4 2 5" xfId="1834" xr:uid="{00000000-0005-0000-0000-000026070000}"/>
    <cellStyle name="Heading 4 2 6" xfId="1835" xr:uid="{00000000-0005-0000-0000-000027070000}"/>
    <cellStyle name="Heading 4 2 7" xfId="1836" xr:uid="{00000000-0005-0000-0000-000028070000}"/>
    <cellStyle name="Heading 4 2 8" xfId="1837" xr:uid="{00000000-0005-0000-0000-000029070000}"/>
    <cellStyle name="Heading 4 2 9" xfId="1838" xr:uid="{00000000-0005-0000-0000-00002A070000}"/>
    <cellStyle name="Heading 4 20" xfId="1839" xr:uid="{00000000-0005-0000-0000-00002B070000}"/>
    <cellStyle name="Heading 4 21" xfId="1840" xr:uid="{00000000-0005-0000-0000-00002C070000}"/>
    <cellStyle name="Heading 4 22" xfId="1841" xr:uid="{00000000-0005-0000-0000-00002D070000}"/>
    <cellStyle name="Heading 4 23" xfId="1842" xr:uid="{00000000-0005-0000-0000-00002E070000}"/>
    <cellStyle name="Heading 4 3" xfId="1843" xr:uid="{00000000-0005-0000-0000-00002F070000}"/>
    <cellStyle name="Heading 4 4" xfId="1844" xr:uid="{00000000-0005-0000-0000-000030070000}"/>
    <cellStyle name="Heading 4 5" xfId="1845" xr:uid="{00000000-0005-0000-0000-000031070000}"/>
    <cellStyle name="Heading 4 6" xfId="1846" xr:uid="{00000000-0005-0000-0000-000032070000}"/>
    <cellStyle name="Heading 4 7" xfId="1847" xr:uid="{00000000-0005-0000-0000-000033070000}"/>
    <cellStyle name="Heading 4 8" xfId="1848" xr:uid="{00000000-0005-0000-0000-000034070000}"/>
    <cellStyle name="Heading 4 9" xfId="1849" xr:uid="{00000000-0005-0000-0000-000035070000}"/>
    <cellStyle name="Input 10" xfId="1850" xr:uid="{00000000-0005-0000-0000-000036070000}"/>
    <cellStyle name="Input 11" xfId="1851" xr:uid="{00000000-0005-0000-0000-000037070000}"/>
    <cellStyle name="Input 12" xfId="1852" xr:uid="{00000000-0005-0000-0000-000038070000}"/>
    <cellStyle name="Input 13" xfId="1853" xr:uid="{00000000-0005-0000-0000-000039070000}"/>
    <cellStyle name="Input 14" xfId="1854" xr:uid="{00000000-0005-0000-0000-00003A070000}"/>
    <cellStyle name="Input 15" xfId="1855" xr:uid="{00000000-0005-0000-0000-00003B070000}"/>
    <cellStyle name="Input 16" xfId="1856" xr:uid="{00000000-0005-0000-0000-00003C070000}"/>
    <cellStyle name="Input 17" xfId="1857" xr:uid="{00000000-0005-0000-0000-00003D070000}"/>
    <cellStyle name="Input 18" xfId="1858" xr:uid="{00000000-0005-0000-0000-00003E070000}"/>
    <cellStyle name="Input 19" xfId="1859" xr:uid="{00000000-0005-0000-0000-00003F070000}"/>
    <cellStyle name="Input 2" xfId="1860" xr:uid="{00000000-0005-0000-0000-000040070000}"/>
    <cellStyle name="Input 2 10" xfId="1861" xr:uid="{00000000-0005-0000-0000-000041070000}"/>
    <cellStyle name="Input 2 2" xfId="1862" xr:uid="{00000000-0005-0000-0000-000042070000}"/>
    <cellStyle name="Input 2 2 2" xfId="1863" xr:uid="{00000000-0005-0000-0000-000043070000}"/>
    <cellStyle name="Input 2 2 2 2" xfId="1864" xr:uid="{00000000-0005-0000-0000-000044070000}"/>
    <cellStyle name="Input 2 2 2 2 2" xfId="1865" xr:uid="{00000000-0005-0000-0000-000045070000}"/>
    <cellStyle name="Input 2 2 2 2 3" xfId="1866" xr:uid="{00000000-0005-0000-0000-000046070000}"/>
    <cellStyle name="Input 2 2 2 3" xfId="1867" xr:uid="{00000000-0005-0000-0000-000047070000}"/>
    <cellStyle name="Input 2 2 2 4" xfId="1868" xr:uid="{00000000-0005-0000-0000-000048070000}"/>
    <cellStyle name="Input 2 2 2 5" xfId="1869" xr:uid="{00000000-0005-0000-0000-000049070000}"/>
    <cellStyle name="Input 2 2 2 6" xfId="1870" xr:uid="{00000000-0005-0000-0000-00004A070000}"/>
    <cellStyle name="Input 2 2 3" xfId="1871" xr:uid="{00000000-0005-0000-0000-00004B070000}"/>
    <cellStyle name="Input 2 2 4" xfId="1872" xr:uid="{00000000-0005-0000-0000-00004C070000}"/>
    <cellStyle name="Input 2 2 5" xfId="1873" xr:uid="{00000000-0005-0000-0000-00004D070000}"/>
    <cellStyle name="Input 2 2 6" xfId="1874" xr:uid="{00000000-0005-0000-0000-00004E070000}"/>
    <cellStyle name="Input 2 3" xfId="1875" xr:uid="{00000000-0005-0000-0000-00004F070000}"/>
    <cellStyle name="Input 2 4" xfId="1876" xr:uid="{00000000-0005-0000-0000-000050070000}"/>
    <cellStyle name="Input 2 5" xfId="1877" xr:uid="{00000000-0005-0000-0000-000051070000}"/>
    <cellStyle name="Input 2 6" xfId="1878" xr:uid="{00000000-0005-0000-0000-000052070000}"/>
    <cellStyle name="Input 2 7" xfId="1879" xr:uid="{00000000-0005-0000-0000-000053070000}"/>
    <cellStyle name="Input 2 8" xfId="1880" xr:uid="{00000000-0005-0000-0000-000054070000}"/>
    <cellStyle name="Input 2 9" xfId="1881" xr:uid="{00000000-0005-0000-0000-000055070000}"/>
    <cellStyle name="Input 20" xfId="1882" xr:uid="{00000000-0005-0000-0000-000056070000}"/>
    <cellStyle name="Input 21" xfId="1883" xr:uid="{00000000-0005-0000-0000-000057070000}"/>
    <cellStyle name="Input 22" xfId="1884" xr:uid="{00000000-0005-0000-0000-000058070000}"/>
    <cellStyle name="Input 23" xfId="1885" xr:uid="{00000000-0005-0000-0000-000059070000}"/>
    <cellStyle name="Input 3" xfId="1886" xr:uid="{00000000-0005-0000-0000-00005A070000}"/>
    <cellStyle name="Input 4" xfId="1887" xr:uid="{00000000-0005-0000-0000-00005B070000}"/>
    <cellStyle name="Input 5" xfId="1888" xr:uid="{00000000-0005-0000-0000-00005C070000}"/>
    <cellStyle name="Input 6" xfId="1889" xr:uid="{00000000-0005-0000-0000-00005D070000}"/>
    <cellStyle name="Input 7" xfId="1890" xr:uid="{00000000-0005-0000-0000-00005E070000}"/>
    <cellStyle name="Input 8" xfId="1891" xr:uid="{00000000-0005-0000-0000-00005F070000}"/>
    <cellStyle name="Input 9" xfId="1892" xr:uid="{00000000-0005-0000-0000-000060070000}"/>
    <cellStyle name="LineItemPrompt" xfId="1893" xr:uid="{00000000-0005-0000-0000-000061070000}"/>
    <cellStyle name="LineItemValue" xfId="1894" xr:uid="{00000000-0005-0000-0000-000062070000}"/>
    <cellStyle name="Linked Cell 10" xfId="1895" xr:uid="{00000000-0005-0000-0000-000063070000}"/>
    <cellStyle name="Linked Cell 11" xfId="1896" xr:uid="{00000000-0005-0000-0000-000064070000}"/>
    <cellStyle name="Linked Cell 12" xfId="1897" xr:uid="{00000000-0005-0000-0000-000065070000}"/>
    <cellStyle name="Linked Cell 13" xfId="1898" xr:uid="{00000000-0005-0000-0000-000066070000}"/>
    <cellStyle name="Linked Cell 14" xfId="1899" xr:uid="{00000000-0005-0000-0000-000067070000}"/>
    <cellStyle name="Linked Cell 15" xfId="1900" xr:uid="{00000000-0005-0000-0000-000068070000}"/>
    <cellStyle name="Linked Cell 16" xfId="1901" xr:uid="{00000000-0005-0000-0000-000069070000}"/>
    <cellStyle name="Linked Cell 17" xfId="1902" xr:uid="{00000000-0005-0000-0000-00006A070000}"/>
    <cellStyle name="Linked Cell 18" xfId="1903" xr:uid="{00000000-0005-0000-0000-00006B070000}"/>
    <cellStyle name="Linked Cell 19" xfId="1904" xr:uid="{00000000-0005-0000-0000-00006C070000}"/>
    <cellStyle name="Linked Cell 2" xfId="1905" xr:uid="{00000000-0005-0000-0000-00006D070000}"/>
    <cellStyle name="Linked Cell 2 10" xfId="1906" xr:uid="{00000000-0005-0000-0000-00006E070000}"/>
    <cellStyle name="Linked Cell 2 2" xfId="1907" xr:uid="{00000000-0005-0000-0000-00006F070000}"/>
    <cellStyle name="Linked Cell 2 2 2" xfId="1908" xr:uid="{00000000-0005-0000-0000-000070070000}"/>
    <cellStyle name="Linked Cell 2 2 2 2" xfId="1909" xr:uid="{00000000-0005-0000-0000-000071070000}"/>
    <cellStyle name="Linked Cell 2 2 2 2 2" xfId="1910" xr:uid="{00000000-0005-0000-0000-000072070000}"/>
    <cellStyle name="Linked Cell 2 2 2 2 3" xfId="1911" xr:uid="{00000000-0005-0000-0000-000073070000}"/>
    <cellStyle name="Linked Cell 2 2 2 3" xfId="1912" xr:uid="{00000000-0005-0000-0000-000074070000}"/>
    <cellStyle name="Linked Cell 2 2 2 4" xfId="1913" xr:uid="{00000000-0005-0000-0000-000075070000}"/>
    <cellStyle name="Linked Cell 2 2 2 5" xfId="1914" xr:uid="{00000000-0005-0000-0000-000076070000}"/>
    <cellStyle name="Linked Cell 2 2 2 6" xfId="1915" xr:uid="{00000000-0005-0000-0000-000077070000}"/>
    <cellStyle name="Linked Cell 2 2 3" xfId="1916" xr:uid="{00000000-0005-0000-0000-000078070000}"/>
    <cellStyle name="Linked Cell 2 2 4" xfId="1917" xr:uid="{00000000-0005-0000-0000-000079070000}"/>
    <cellStyle name="Linked Cell 2 2 5" xfId="1918" xr:uid="{00000000-0005-0000-0000-00007A070000}"/>
    <cellStyle name="Linked Cell 2 2 6" xfId="1919" xr:uid="{00000000-0005-0000-0000-00007B070000}"/>
    <cellStyle name="Linked Cell 2 3" xfId="1920" xr:uid="{00000000-0005-0000-0000-00007C070000}"/>
    <cellStyle name="Linked Cell 2 4" xfId="1921" xr:uid="{00000000-0005-0000-0000-00007D070000}"/>
    <cellStyle name="Linked Cell 2 5" xfId="1922" xr:uid="{00000000-0005-0000-0000-00007E070000}"/>
    <cellStyle name="Linked Cell 2 6" xfId="1923" xr:uid="{00000000-0005-0000-0000-00007F070000}"/>
    <cellStyle name="Linked Cell 2 7" xfId="1924" xr:uid="{00000000-0005-0000-0000-000080070000}"/>
    <cellStyle name="Linked Cell 2 8" xfId="1925" xr:uid="{00000000-0005-0000-0000-000081070000}"/>
    <cellStyle name="Linked Cell 2 9" xfId="1926" xr:uid="{00000000-0005-0000-0000-000082070000}"/>
    <cellStyle name="Linked Cell 20" xfId="1927" xr:uid="{00000000-0005-0000-0000-000083070000}"/>
    <cellStyle name="Linked Cell 21" xfId="1928" xr:uid="{00000000-0005-0000-0000-000084070000}"/>
    <cellStyle name="Linked Cell 22" xfId="1929" xr:uid="{00000000-0005-0000-0000-000085070000}"/>
    <cellStyle name="Linked Cell 23" xfId="1930" xr:uid="{00000000-0005-0000-0000-000086070000}"/>
    <cellStyle name="Linked Cell 3" xfId="1931" xr:uid="{00000000-0005-0000-0000-000087070000}"/>
    <cellStyle name="Linked Cell 4" xfId="1932" xr:uid="{00000000-0005-0000-0000-000088070000}"/>
    <cellStyle name="Linked Cell 5" xfId="1933" xr:uid="{00000000-0005-0000-0000-000089070000}"/>
    <cellStyle name="Linked Cell 6" xfId="1934" xr:uid="{00000000-0005-0000-0000-00008A070000}"/>
    <cellStyle name="Linked Cell 7" xfId="1935" xr:uid="{00000000-0005-0000-0000-00008B070000}"/>
    <cellStyle name="Linked Cell 8" xfId="1936" xr:uid="{00000000-0005-0000-0000-00008C070000}"/>
    <cellStyle name="Linked Cell 9" xfId="1937" xr:uid="{00000000-0005-0000-0000-00008D070000}"/>
    <cellStyle name="Neutral 10" xfId="1938" xr:uid="{00000000-0005-0000-0000-00008E070000}"/>
    <cellStyle name="Neutral 11" xfId="1939" xr:uid="{00000000-0005-0000-0000-00008F070000}"/>
    <cellStyle name="Neutral 12" xfId="1940" xr:uid="{00000000-0005-0000-0000-000090070000}"/>
    <cellStyle name="Neutral 13" xfId="1941" xr:uid="{00000000-0005-0000-0000-000091070000}"/>
    <cellStyle name="Neutral 14" xfId="1942" xr:uid="{00000000-0005-0000-0000-000092070000}"/>
    <cellStyle name="Neutral 15" xfId="1943" xr:uid="{00000000-0005-0000-0000-000093070000}"/>
    <cellStyle name="Neutral 16" xfId="1944" xr:uid="{00000000-0005-0000-0000-000094070000}"/>
    <cellStyle name="Neutral 17" xfId="1945" xr:uid="{00000000-0005-0000-0000-000095070000}"/>
    <cellStyle name="Neutral 18" xfId="1946" xr:uid="{00000000-0005-0000-0000-000096070000}"/>
    <cellStyle name="Neutral 19" xfId="1947" xr:uid="{00000000-0005-0000-0000-000097070000}"/>
    <cellStyle name="Neutral 2" xfId="1948" xr:uid="{00000000-0005-0000-0000-000098070000}"/>
    <cellStyle name="Neutral 2 10" xfId="1949" xr:uid="{00000000-0005-0000-0000-000099070000}"/>
    <cellStyle name="Neutral 2 2" xfId="1950" xr:uid="{00000000-0005-0000-0000-00009A070000}"/>
    <cellStyle name="Neutral 2 2 2" xfId="1951" xr:uid="{00000000-0005-0000-0000-00009B070000}"/>
    <cellStyle name="Neutral 2 2 2 2" xfId="1952" xr:uid="{00000000-0005-0000-0000-00009C070000}"/>
    <cellStyle name="Neutral 2 2 2 2 2" xfId="1953" xr:uid="{00000000-0005-0000-0000-00009D070000}"/>
    <cellStyle name="Neutral 2 2 2 2 3" xfId="1954" xr:uid="{00000000-0005-0000-0000-00009E070000}"/>
    <cellStyle name="Neutral 2 2 2 3" xfId="1955" xr:uid="{00000000-0005-0000-0000-00009F070000}"/>
    <cellStyle name="Neutral 2 2 2 4" xfId="1956" xr:uid="{00000000-0005-0000-0000-0000A0070000}"/>
    <cellStyle name="Neutral 2 2 2 5" xfId="1957" xr:uid="{00000000-0005-0000-0000-0000A1070000}"/>
    <cellStyle name="Neutral 2 2 2 6" xfId="1958" xr:uid="{00000000-0005-0000-0000-0000A2070000}"/>
    <cellStyle name="Neutral 2 2 3" xfId="1959" xr:uid="{00000000-0005-0000-0000-0000A3070000}"/>
    <cellStyle name="Neutral 2 2 4" xfId="1960" xr:uid="{00000000-0005-0000-0000-0000A4070000}"/>
    <cellStyle name="Neutral 2 2 5" xfId="1961" xr:uid="{00000000-0005-0000-0000-0000A5070000}"/>
    <cellStyle name="Neutral 2 2 6" xfId="1962" xr:uid="{00000000-0005-0000-0000-0000A6070000}"/>
    <cellStyle name="Neutral 2 3" xfId="1963" xr:uid="{00000000-0005-0000-0000-0000A7070000}"/>
    <cellStyle name="Neutral 2 4" xfId="1964" xr:uid="{00000000-0005-0000-0000-0000A8070000}"/>
    <cellStyle name="Neutral 2 5" xfId="1965" xr:uid="{00000000-0005-0000-0000-0000A9070000}"/>
    <cellStyle name="Neutral 2 6" xfId="1966" xr:uid="{00000000-0005-0000-0000-0000AA070000}"/>
    <cellStyle name="Neutral 2 7" xfId="1967" xr:uid="{00000000-0005-0000-0000-0000AB070000}"/>
    <cellStyle name="Neutral 2 8" xfId="1968" xr:uid="{00000000-0005-0000-0000-0000AC070000}"/>
    <cellStyle name="Neutral 2 9" xfId="1969" xr:uid="{00000000-0005-0000-0000-0000AD070000}"/>
    <cellStyle name="Neutral 20" xfId="1970" xr:uid="{00000000-0005-0000-0000-0000AE070000}"/>
    <cellStyle name="Neutral 21" xfId="1971" xr:uid="{00000000-0005-0000-0000-0000AF070000}"/>
    <cellStyle name="Neutral 22" xfId="1972" xr:uid="{00000000-0005-0000-0000-0000B0070000}"/>
    <cellStyle name="Neutral 23" xfId="1973" xr:uid="{00000000-0005-0000-0000-0000B1070000}"/>
    <cellStyle name="Neutral 3" xfId="1974" xr:uid="{00000000-0005-0000-0000-0000B2070000}"/>
    <cellStyle name="Neutral 4" xfId="1975" xr:uid="{00000000-0005-0000-0000-0000B3070000}"/>
    <cellStyle name="Neutral 5" xfId="1976" xr:uid="{00000000-0005-0000-0000-0000B4070000}"/>
    <cellStyle name="Neutral 6" xfId="1977" xr:uid="{00000000-0005-0000-0000-0000B5070000}"/>
    <cellStyle name="Neutral 7" xfId="1978" xr:uid="{00000000-0005-0000-0000-0000B6070000}"/>
    <cellStyle name="Neutral 8" xfId="1979" xr:uid="{00000000-0005-0000-0000-0000B7070000}"/>
    <cellStyle name="Neutral 9" xfId="1980" xr:uid="{00000000-0005-0000-0000-0000B8070000}"/>
    <cellStyle name="Normal" xfId="0" builtinId="0"/>
    <cellStyle name="Normal 10" xfId="1981" xr:uid="{00000000-0005-0000-0000-0000BA070000}"/>
    <cellStyle name="Normal 11" xfId="1982" xr:uid="{00000000-0005-0000-0000-0000BB070000}"/>
    <cellStyle name="Normal 11 2" xfId="1983" xr:uid="{00000000-0005-0000-0000-0000BC070000}"/>
    <cellStyle name="Normal 11 3" xfId="1984" xr:uid="{00000000-0005-0000-0000-0000BD070000}"/>
    <cellStyle name="Normal 11 4" xfId="1985" xr:uid="{00000000-0005-0000-0000-0000BE070000}"/>
    <cellStyle name="Normal 11 5" xfId="1986" xr:uid="{00000000-0005-0000-0000-0000BF070000}"/>
    <cellStyle name="Normal 12" xfId="1987" xr:uid="{00000000-0005-0000-0000-0000C0070000}"/>
    <cellStyle name="Normal 12 2" xfId="2389" xr:uid="{00000000-0005-0000-0000-0000C1070000}"/>
    <cellStyle name="Normal 13" xfId="1988" xr:uid="{00000000-0005-0000-0000-0000C2070000}"/>
    <cellStyle name="Normal 13 2" xfId="1989" xr:uid="{00000000-0005-0000-0000-0000C3070000}"/>
    <cellStyle name="Normal 13 3" xfId="1990" xr:uid="{00000000-0005-0000-0000-0000C4070000}"/>
    <cellStyle name="Normal 13 4" xfId="1991" xr:uid="{00000000-0005-0000-0000-0000C5070000}"/>
    <cellStyle name="Normal 13 5" xfId="1992" xr:uid="{00000000-0005-0000-0000-0000C6070000}"/>
    <cellStyle name="Normal 14" xfId="1993" xr:uid="{00000000-0005-0000-0000-0000C7070000}"/>
    <cellStyle name="Normal 15" xfId="1994" xr:uid="{00000000-0005-0000-0000-0000C8070000}"/>
    <cellStyle name="Normal 16" xfId="1995" xr:uid="{00000000-0005-0000-0000-0000C9070000}"/>
    <cellStyle name="Normal 17" xfId="1996" xr:uid="{00000000-0005-0000-0000-0000CA070000}"/>
    <cellStyle name="Normal 18" xfId="1997" xr:uid="{00000000-0005-0000-0000-0000CB070000}"/>
    <cellStyle name="Normal 19" xfId="1998" xr:uid="{00000000-0005-0000-0000-0000CC070000}"/>
    <cellStyle name="Normal 2" xfId="6" xr:uid="{00000000-0005-0000-0000-0000CD070000}"/>
    <cellStyle name="Normal 2 10" xfId="1999" xr:uid="{00000000-0005-0000-0000-0000CE070000}"/>
    <cellStyle name="Normal 2 11" xfId="2000" xr:uid="{00000000-0005-0000-0000-0000CF070000}"/>
    <cellStyle name="Normal 2 12" xfId="2001" xr:uid="{00000000-0005-0000-0000-0000D0070000}"/>
    <cellStyle name="Normal 2 13" xfId="2002" xr:uid="{00000000-0005-0000-0000-0000D1070000}"/>
    <cellStyle name="Normal 2 14" xfId="2003" xr:uid="{00000000-0005-0000-0000-0000D2070000}"/>
    <cellStyle name="Normal 2 15" xfId="2004" xr:uid="{00000000-0005-0000-0000-0000D3070000}"/>
    <cellStyle name="Normal 2 16" xfId="2005" xr:uid="{00000000-0005-0000-0000-0000D4070000}"/>
    <cellStyle name="Normal 2 17" xfId="2006" xr:uid="{00000000-0005-0000-0000-0000D5070000}"/>
    <cellStyle name="Normal 2 18" xfId="2007" xr:uid="{00000000-0005-0000-0000-0000D6070000}"/>
    <cellStyle name="Normal 2 19" xfId="2008" xr:uid="{00000000-0005-0000-0000-0000D7070000}"/>
    <cellStyle name="Normal 2 19 2" xfId="2009" xr:uid="{00000000-0005-0000-0000-0000D8070000}"/>
    <cellStyle name="Normal 2 19 3" xfId="2010" xr:uid="{00000000-0005-0000-0000-0000D9070000}"/>
    <cellStyle name="Normal 2 19 4" xfId="2011" xr:uid="{00000000-0005-0000-0000-0000DA070000}"/>
    <cellStyle name="Normal 2 19 5" xfId="2012" xr:uid="{00000000-0005-0000-0000-0000DB070000}"/>
    <cellStyle name="Normal 2 2" xfId="9" xr:uid="{00000000-0005-0000-0000-0000DC070000}"/>
    <cellStyle name="Normal 2 2 2" xfId="2013" xr:uid="{00000000-0005-0000-0000-0000DD070000}"/>
    <cellStyle name="Normal 2 2 2 2" xfId="2014" xr:uid="{00000000-0005-0000-0000-0000DE070000}"/>
    <cellStyle name="Normal 2 2 2 3" xfId="2015" xr:uid="{00000000-0005-0000-0000-0000DF070000}"/>
    <cellStyle name="Normal 2 2 2 4" xfId="2394" xr:uid="{00000000-0005-0000-0000-0000E0070000}"/>
    <cellStyle name="Normal 2 2 3" xfId="2016" xr:uid="{00000000-0005-0000-0000-0000E1070000}"/>
    <cellStyle name="Normal 2 20" xfId="2017" xr:uid="{00000000-0005-0000-0000-0000E2070000}"/>
    <cellStyle name="Normal 2 21" xfId="2018" xr:uid="{00000000-0005-0000-0000-0000E3070000}"/>
    <cellStyle name="Normal 2 22" xfId="2019" xr:uid="{00000000-0005-0000-0000-0000E4070000}"/>
    <cellStyle name="Normal 2 23" xfId="2020" xr:uid="{00000000-0005-0000-0000-0000E5070000}"/>
    <cellStyle name="Normal 2 24" xfId="2021" xr:uid="{00000000-0005-0000-0000-0000E6070000}"/>
    <cellStyle name="Normal 2 25" xfId="2022" xr:uid="{00000000-0005-0000-0000-0000E7070000}"/>
    <cellStyle name="Normal 2 26" xfId="2023" xr:uid="{00000000-0005-0000-0000-0000E8070000}"/>
    <cellStyle name="Normal 2 27" xfId="2393" xr:uid="{00000000-0005-0000-0000-0000E9070000}"/>
    <cellStyle name="Normal 2 3" xfId="2024" xr:uid="{00000000-0005-0000-0000-0000EA070000}"/>
    <cellStyle name="Normal 2 4" xfId="2025" xr:uid="{00000000-0005-0000-0000-0000EB070000}"/>
    <cellStyle name="Normal 2 4 2" xfId="2390" xr:uid="{00000000-0005-0000-0000-0000EC070000}"/>
    <cellStyle name="Normal 2 5" xfId="2026" xr:uid="{00000000-0005-0000-0000-0000ED070000}"/>
    <cellStyle name="Normal 2 6" xfId="2027" xr:uid="{00000000-0005-0000-0000-0000EE070000}"/>
    <cellStyle name="Normal 2 7" xfId="2028" xr:uid="{00000000-0005-0000-0000-0000EF070000}"/>
    <cellStyle name="Normal 2 8" xfId="2029" xr:uid="{00000000-0005-0000-0000-0000F0070000}"/>
    <cellStyle name="Normal 2 9" xfId="2030" xr:uid="{00000000-0005-0000-0000-0000F1070000}"/>
    <cellStyle name="Normal 20" xfId="2031" xr:uid="{00000000-0005-0000-0000-0000F2070000}"/>
    <cellStyle name="Normal 20 2" xfId="2032" xr:uid="{00000000-0005-0000-0000-0000F3070000}"/>
    <cellStyle name="Normal 20 3" xfId="2033" xr:uid="{00000000-0005-0000-0000-0000F4070000}"/>
    <cellStyle name="Normal 20 4" xfId="2034" xr:uid="{00000000-0005-0000-0000-0000F5070000}"/>
    <cellStyle name="Normal 20 5" xfId="2035" xr:uid="{00000000-0005-0000-0000-0000F6070000}"/>
    <cellStyle name="Normal 21" xfId="2036" xr:uid="{00000000-0005-0000-0000-0000F7070000}"/>
    <cellStyle name="Normal 22" xfId="2037" xr:uid="{00000000-0005-0000-0000-0000F8070000}"/>
    <cellStyle name="Normal 23" xfId="2038" xr:uid="{00000000-0005-0000-0000-0000F9070000}"/>
    <cellStyle name="Normal 24" xfId="2039" xr:uid="{00000000-0005-0000-0000-0000FA070000}"/>
    <cellStyle name="Normal 25" xfId="2040" xr:uid="{00000000-0005-0000-0000-0000FB070000}"/>
    <cellStyle name="Normal 26" xfId="2041" xr:uid="{00000000-0005-0000-0000-0000FC070000}"/>
    <cellStyle name="Normal 27" xfId="2042" xr:uid="{00000000-0005-0000-0000-0000FD070000}"/>
    <cellStyle name="Normal 28" xfId="2043" xr:uid="{00000000-0005-0000-0000-0000FE070000}"/>
    <cellStyle name="Normal 29" xfId="2044" xr:uid="{00000000-0005-0000-0000-0000FF070000}"/>
    <cellStyle name="Normal 3" xfId="4" xr:uid="{00000000-0005-0000-0000-000000080000}"/>
    <cellStyle name="Normal 3 10" xfId="2045" xr:uid="{00000000-0005-0000-0000-000001080000}"/>
    <cellStyle name="Normal 3 11" xfId="2046" xr:uid="{00000000-0005-0000-0000-000002080000}"/>
    <cellStyle name="Normal 3 12" xfId="2047" xr:uid="{00000000-0005-0000-0000-000003080000}"/>
    <cellStyle name="Normal 3 13" xfId="2048" xr:uid="{00000000-0005-0000-0000-000004080000}"/>
    <cellStyle name="Normal 3 14" xfId="2049" xr:uid="{00000000-0005-0000-0000-000005080000}"/>
    <cellStyle name="Normal 3 15" xfId="2050" xr:uid="{00000000-0005-0000-0000-000006080000}"/>
    <cellStyle name="Normal 3 16" xfId="2051" xr:uid="{00000000-0005-0000-0000-000007080000}"/>
    <cellStyle name="Normal 3 17" xfId="2052" xr:uid="{00000000-0005-0000-0000-000008080000}"/>
    <cellStyle name="Normal 3 18" xfId="2053" xr:uid="{00000000-0005-0000-0000-000009080000}"/>
    <cellStyle name="Normal 3 2" xfId="2054" xr:uid="{00000000-0005-0000-0000-00000A080000}"/>
    <cellStyle name="Normal 3 3" xfId="2055" xr:uid="{00000000-0005-0000-0000-00000B080000}"/>
    <cellStyle name="Normal 3 4" xfId="2056" xr:uid="{00000000-0005-0000-0000-00000C080000}"/>
    <cellStyle name="Normal 3 5" xfId="2057" xr:uid="{00000000-0005-0000-0000-00000D080000}"/>
    <cellStyle name="Normal 3 6" xfId="2058" xr:uid="{00000000-0005-0000-0000-00000E080000}"/>
    <cellStyle name="Normal 3 7" xfId="2059" xr:uid="{00000000-0005-0000-0000-00000F080000}"/>
    <cellStyle name="Normal 3 8" xfId="2060" xr:uid="{00000000-0005-0000-0000-000010080000}"/>
    <cellStyle name="Normal 3 9" xfId="2061" xr:uid="{00000000-0005-0000-0000-000011080000}"/>
    <cellStyle name="Normal 30" xfId="2062" xr:uid="{00000000-0005-0000-0000-000012080000}"/>
    <cellStyle name="Normal 31" xfId="2063" xr:uid="{00000000-0005-0000-0000-000013080000}"/>
    <cellStyle name="Normal 31 2" xfId="2064" xr:uid="{00000000-0005-0000-0000-000014080000}"/>
    <cellStyle name="Normal 31 3" xfId="2065" xr:uid="{00000000-0005-0000-0000-000015080000}"/>
    <cellStyle name="Normal 31 4" xfId="2066" xr:uid="{00000000-0005-0000-0000-000016080000}"/>
    <cellStyle name="Normal 31 5" xfId="2067" xr:uid="{00000000-0005-0000-0000-000017080000}"/>
    <cellStyle name="Normal 32" xfId="2068" xr:uid="{00000000-0005-0000-0000-000018080000}"/>
    <cellStyle name="Normal 33" xfId="2069" xr:uid="{00000000-0005-0000-0000-000019080000}"/>
    <cellStyle name="Normal 34" xfId="2070" xr:uid="{00000000-0005-0000-0000-00001A080000}"/>
    <cellStyle name="Normal 35" xfId="2071" xr:uid="{00000000-0005-0000-0000-00001B080000}"/>
    <cellStyle name="Normal 36" xfId="2383" xr:uid="{00000000-0005-0000-0000-00001C080000}"/>
    <cellStyle name="Normal 36 2" xfId="2072" xr:uid="{00000000-0005-0000-0000-00001D080000}"/>
    <cellStyle name="Normal 36 3" xfId="2073" xr:uid="{00000000-0005-0000-0000-00001E080000}"/>
    <cellStyle name="Normal 36 4" xfId="2074" xr:uid="{00000000-0005-0000-0000-00001F080000}"/>
    <cellStyle name="Normal 36 5" xfId="2075" xr:uid="{00000000-0005-0000-0000-000020080000}"/>
    <cellStyle name="Normal 37" xfId="2076" xr:uid="{00000000-0005-0000-0000-000021080000}"/>
    <cellStyle name="Normal 38" xfId="2077" xr:uid="{00000000-0005-0000-0000-000022080000}"/>
    <cellStyle name="Normal 39" xfId="2386" xr:uid="{00000000-0005-0000-0000-000023080000}"/>
    <cellStyle name="Normal 4" xfId="2078" xr:uid="{00000000-0005-0000-0000-000024080000}"/>
    <cellStyle name="Normal 40" xfId="2079" xr:uid="{00000000-0005-0000-0000-000025080000}"/>
    <cellStyle name="Normal 41" xfId="2387" xr:uid="{00000000-0005-0000-0000-000026080000}"/>
    <cellStyle name="Normal 41 2" xfId="2388" xr:uid="{00000000-0005-0000-0000-000027080000}"/>
    <cellStyle name="Normal 42" xfId="2080" xr:uid="{00000000-0005-0000-0000-000028080000}"/>
    <cellStyle name="Normal 43" xfId="2081" xr:uid="{00000000-0005-0000-0000-000029080000}"/>
    <cellStyle name="Normal 45" xfId="2082" xr:uid="{00000000-0005-0000-0000-00002A080000}"/>
    <cellStyle name="Normal 46" xfId="2083" xr:uid="{00000000-0005-0000-0000-00002B080000}"/>
    <cellStyle name="Normal 48" xfId="2084" xr:uid="{00000000-0005-0000-0000-00002C080000}"/>
    <cellStyle name="Normal 49" xfId="2085" xr:uid="{00000000-0005-0000-0000-00002D080000}"/>
    <cellStyle name="Normal 5" xfId="2086" xr:uid="{00000000-0005-0000-0000-00002E080000}"/>
    <cellStyle name="Normal 50" xfId="2087" xr:uid="{00000000-0005-0000-0000-00002F080000}"/>
    <cellStyle name="Normal 51" xfId="2088" xr:uid="{00000000-0005-0000-0000-000030080000}"/>
    <cellStyle name="Normal 52" xfId="2089" xr:uid="{00000000-0005-0000-0000-000031080000}"/>
    <cellStyle name="Normal 6" xfId="2090" xr:uid="{00000000-0005-0000-0000-000032080000}"/>
    <cellStyle name="Normal 7" xfId="2091" xr:uid="{00000000-0005-0000-0000-000033080000}"/>
    <cellStyle name="Normal 8" xfId="2092" xr:uid="{00000000-0005-0000-0000-000034080000}"/>
    <cellStyle name="Normal 9" xfId="2093" xr:uid="{00000000-0005-0000-0000-000035080000}"/>
    <cellStyle name="Note 10" xfId="2094" xr:uid="{00000000-0005-0000-0000-000036080000}"/>
    <cellStyle name="Note 10 2" xfId="2095" xr:uid="{00000000-0005-0000-0000-000037080000}"/>
    <cellStyle name="Note 10 3" xfId="2096" xr:uid="{00000000-0005-0000-0000-000038080000}"/>
    <cellStyle name="Note 10 4" xfId="2097" xr:uid="{00000000-0005-0000-0000-000039080000}"/>
    <cellStyle name="Note 10 5" xfId="2098" xr:uid="{00000000-0005-0000-0000-00003A080000}"/>
    <cellStyle name="Note 11" xfId="2099" xr:uid="{00000000-0005-0000-0000-00003B080000}"/>
    <cellStyle name="Note 11 2" xfId="2100" xr:uid="{00000000-0005-0000-0000-00003C080000}"/>
    <cellStyle name="Note 11 3" xfId="2101" xr:uid="{00000000-0005-0000-0000-00003D080000}"/>
    <cellStyle name="Note 11 4" xfId="2102" xr:uid="{00000000-0005-0000-0000-00003E080000}"/>
    <cellStyle name="Note 11 5" xfId="2103" xr:uid="{00000000-0005-0000-0000-00003F080000}"/>
    <cellStyle name="Note 12" xfId="2104" xr:uid="{00000000-0005-0000-0000-000040080000}"/>
    <cellStyle name="Note 13" xfId="2105" xr:uid="{00000000-0005-0000-0000-000041080000}"/>
    <cellStyle name="Note 14" xfId="2106" xr:uid="{00000000-0005-0000-0000-000042080000}"/>
    <cellStyle name="Note 15" xfId="2107" xr:uid="{00000000-0005-0000-0000-000043080000}"/>
    <cellStyle name="Note 15 2" xfId="2108" xr:uid="{00000000-0005-0000-0000-000044080000}"/>
    <cellStyle name="Note 15 3" xfId="2109" xr:uid="{00000000-0005-0000-0000-000045080000}"/>
    <cellStyle name="Note 15 4" xfId="2110" xr:uid="{00000000-0005-0000-0000-000046080000}"/>
    <cellStyle name="Note 15 5" xfId="2111" xr:uid="{00000000-0005-0000-0000-000047080000}"/>
    <cellStyle name="Note 16" xfId="2112" xr:uid="{00000000-0005-0000-0000-000048080000}"/>
    <cellStyle name="Note 16 2" xfId="2113" xr:uid="{00000000-0005-0000-0000-000049080000}"/>
    <cellStyle name="Note 16 3" xfId="2114" xr:uid="{00000000-0005-0000-0000-00004A080000}"/>
    <cellStyle name="Note 16 4" xfId="2115" xr:uid="{00000000-0005-0000-0000-00004B080000}"/>
    <cellStyle name="Note 16 5" xfId="2116" xr:uid="{00000000-0005-0000-0000-00004C080000}"/>
    <cellStyle name="Note 17" xfId="2117" xr:uid="{00000000-0005-0000-0000-00004D080000}"/>
    <cellStyle name="Note 18" xfId="2118" xr:uid="{00000000-0005-0000-0000-00004E080000}"/>
    <cellStyle name="Note 18 2" xfId="2119" xr:uid="{00000000-0005-0000-0000-00004F080000}"/>
    <cellStyle name="Note 18 3" xfId="2120" xr:uid="{00000000-0005-0000-0000-000050080000}"/>
    <cellStyle name="Note 18 4" xfId="2121" xr:uid="{00000000-0005-0000-0000-000051080000}"/>
    <cellStyle name="Note 18 5" xfId="2122" xr:uid="{00000000-0005-0000-0000-000052080000}"/>
    <cellStyle name="Note 19" xfId="2123" xr:uid="{00000000-0005-0000-0000-000053080000}"/>
    <cellStyle name="Note 2" xfId="2124" xr:uid="{00000000-0005-0000-0000-000054080000}"/>
    <cellStyle name="Note 2 2" xfId="2125" xr:uid="{00000000-0005-0000-0000-000055080000}"/>
    <cellStyle name="Note 2 2 2" xfId="2126" xr:uid="{00000000-0005-0000-0000-000056080000}"/>
    <cellStyle name="Note 2 2 3" xfId="2127" xr:uid="{00000000-0005-0000-0000-000057080000}"/>
    <cellStyle name="Note 2 3" xfId="2128" xr:uid="{00000000-0005-0000-0000-000058080000}"/>
    <cellStyle name="Note 20" xfId="2129" xr:uid="{00000000-0005-0000-0000-000059080000}"/>
    <cellStyle name="Note 21" xfId="2130" xr:uid="{00000000-0005-0000-0000-00005A080000}"/>
    <cellStyle name="Note 22" xfId="2131" xr:uid="{00000000-0005-0000-0000-00005B080000}"/>
    <cellStyle name="Note 23" xfId="2132" xr:uid="{00000000-0005-0000-0000-00005C080000}"/>
    <cellStyle name="Note 24" xfId="2133" xr:uid="{00000000-0005-0000-0000-00005D080000}"/>
    <cellStyle name="Note 25" xfId="2134" xr:uid="{00000000-0005-0000-0000-00005E080000}"/>
    <cellStyle name="Note 26" xfId="2135" xr:uid="{00000000-0005-0000-0000-00005F080000}"/>
    <cellStyle name="Note 27" xfId="2136" xr:uid="{00000000-0005-0000-0000-000060080000}"/>
    <cellStyle name="Note 28" xfId="2137" xr:uid="{00000000-0005-0000-0000-000061080000}"/>
    <cellStyle name="Note 29" xfId="2138" xr:uid="{00000000-0005-0000-0000-000062080000}"/>
    <cellStyle name="Note 3" xfId="2139" xr:uid="{00000000-0005-0000-0000-000063080000}"/>
    <cellStyle name="Note 30" xfId="2140" xr:uid="{00000000-0005-0000-0000-000064080000}"/>
    <cellStyle name="Note 31" xfId="2141" xr:uid="{00000000-0005-0000-0000-000065080000}"/>
    <cellStyle name="Note 32" xfId="2142" xr:uid="{00000000-0005-0000-0000-000066080000}"/>
    <cellStyle name="Note 33" xfId="2143" xr:uid="{00000000-0005-0000-0000-000067080000}"/>
    <cellStyle name="Note 34" xfId="2144" xr:uid="{00000000-0005-0000-0000-000068080000}"/>
    <cellStyle name="Note 35" xfId="2145" xr:uid="{00000000-0005-0000-0000-000069080000}"/>
    <cellStyle name="Note 4" xfId="2146" xr:uid="{00000000-0005-0000-0000-00006A080000}"/>
    <cellStyle name="Note 5" xfId="2147" xr:uid="{00000000-0005-0000-0000-00006B080000}"/>
    <cellStyle name="Note 6" xfId="2148" xr:uid="{00000000-0005-0000-0000-00006C080000}"/>
    <cellStyle name="Note 7" xfId="2149" xr:uid="{00000000-0005-0000-0000-00006D080000}"/>
    <cellStyle name="Note 8" xfId="2150" xr:uid="{00000000-0005-0000-0000-00006E080000}"/>
    <cellStyle name="Note 9" xfId="2151" xr:uid="{00000000-0005-0000-0000-00006F080000}"/>
    <cellStyle name="Note 9 2" xfId="2152" xr:uid="{00000000-0005-0000-0000-000070080000}"/>
    <cellStyle name="Note 9 3" xfId="2153" xr:uid="{00000000-0005-0000-0000-000071080000}"/>
    <cellStyle name="Note 9 4" xfId="2154" xr:uid="{00000000-0005-0000-0000-000072080000}"/>
    <cellStyle name="Note 9 5" xfId="2155" xr:uid="{00000000-0005-0000-0000-000073080000}"/>
    <cellStyle name="Output 10" xfId="2156" xr:uid="{00000000-0005-0000-0000-000074080000}"/>
    <cellStyle name="Output 11" xfId="2157" xr:uid="{00000000-0005-0000-0000-000075080000}"/>
    <cellStyle name="Output 12" xfId="2158" xr:uid="{00000000-0005-0000-0000-000076080000}"/>
    <cellStyle name="Output 13" xfId="2159" xr:uid="{00000000-0005-0000-0000-000077080000}"/>
    <cellStyle name="Output 14" xfId="2160" xr:uid="{00000000-0005-0000-0000-000078080000}"/>
    <cellStyle name="Output 15" xfId="2161" xr:uid="{00000000-0005-0000-0000-000079080000}"/>
    <cellStyle name="Output 16" xfId="2162" xr:uid="{00000000-0005-0000-0000-00007A080000}"/>
    <cellStyle name="Output 17" xfId="2163" xr:uid="{00000000-0005-0000-0000-00007B080000}"/>
    <cellStyle name="Output 18" xfId="2164" xr:uid="{00000000-0005-0000-0000-00007C080000}"/>
    <cellStyle name="Output 19" xfId="2165" xr:uid="{00000000-0005-0000-0000-00007D080000}"/>
    <cellStyle name="Output 2" xfId="2166" xr:uid="{00000000-0005-0000-0000-00007E080000}"/>
    <cellStyle name="Output 2 10" xfId="2167" xr:uid="{00000000-0005-0000-0000-00007F080000}"/>
    <cellStyle name="Output 2 2" xfId="2168" xr:uid="{00000000-0005-0000-0000-000080080000}"/>
    <cellStyle name="Output 2 2 2" xfId="2169" xr:uid="{00000000-0005-0000-0000-000081080000}"/>
    <cellStyle name="Output 2 2 2 2" xfId="2170" xr:uid="{00000000-0005-0000-0000-000082080000}"/>
    <cellStyle name="Output 2 2 2 2 2" xfId="2171" xr:uid="{00000000-0005-0000-0000-000083080000}"/>
    <cellStyle name="Output 2 2 2 2 3" xfId="2172" xr:uid="{00000000-0005-0000-0000-000084080000}"/>
    <cellStyle name="Output 2 2 2 3" xfId="2173" xr:uid="{00000000-0005-0000-0000-000085080000}"/>
    <cellStyle name="Output 2 2 2 4" xfId="2174" xr:uid="{00000000-0005-0000-0000-000086080000}"/>
    <cellStyle name="Output 2 2 2 5" xfId="2175" xr:uid="{00000000-0005-0000-0000-000087080000}"/>
    <cellStyle name="Output 2 2 2 6" xfId="2176" xr:uid="{00000000-0005-0000-0000-000088080000}"/>
    <cellStyle name="Output 2 2 3" xfId="2177" xr:uid="{00000000-0005-0000-0000-000089080000}"/>
    <cellStyle name="Output 2 2 4" xfId="2178" xr:uid="{00000000-0005-0000-0000-00008A080000}"/>
    <cellStyle name="Output 2 2 5" xfId="2179" xr:uid="{00000000-0005-0000-0000-00008B080000}"/>
    <cellStyle name="Output 2 2 6" xfId="2180" xr:uid="{00000000-0005-0000-0000-00008C080000}"/>
    <cellStyle name="Output 2 3" xfId="2181" xr:uid="{00000000-0005-0000-0000-00008D080000}"/>
    <cellStyle name="Output 2 4" xfId="2182" xr:uid="{00000000-0005-0000-0000-00008E080000}"/>
    <cellStyle name="Output 2 5" xfId="2183" xr:uid="{00000000-0005-0000-0000-00008F080000}"/>
    <cellStyle name="Output 2 6" xfId="2184" xr:uid="{00000000-0005-0000-0000-000090080000}"/>
    <cellStyle name="Output 2 7" xfId="2185" xr:uid="{00000000-0005-0000-0000-000091080000}"/>
    <cellStyle name="Output 2 8" xfId="2186" xr:uid="{00000000-0005-0000-0000-000092080000}"/>
    <cellStyle name="Output 2 9" xfId="2187" xr:uid="{00000000-0005-0000-0000-000093080000}"/>
    <cellStyle name="Output 20" xfId="2188" xr:uid="{00000000-0005-0000-0000-000094080000}"/>
    <cellStyle name="Output 21" xfId="2189" xr:uid="{00000000-0005-0000-0000-000095080000}"/>
    <cellStyle name="Output 22" xfId="2190" xr:uid="{00000000-0005-0000-0000-000096080000}"/>
    <cellStyle name="Output 23" xfId="2191" xr:uid="{00000000-0005-0000-0000-000097080000}"/>
    <cellStyle name="Output 3" xfId="2192" xr:uid="{00000000-0005-0000-0000-000098080000}"/>
    <cellStyle name="Output 4" xfId="2193" xr:uid="{00000000-0005-0000-0000-000099080000}"/>
    <cellStyle name="Output 5" xfId="2194" xr:uid="{00000000-0005-0000-0000-00009A080000}"/>
    <cellStyle name="Output 6" xfId="2195" xr:uid="{00000000-0005-0000-0000-00009B080000}"/>
    <cellStyle name="Output 7" xfId="2196" xr:uid="{00000000-0005-0000-0000-00009C080000}"/>
    <cellStyle name="Output 8" xfId="2197" xr:uid="{00000000-0005-0000-0000-00009D080000}"/>
    <cellStyle name="Output 9" xfId="2198" xr:uid="{00000000-0005-0000-0000-00009E080000}"/>
    <cellStyle name="Output Amounts" xfId="2199" xr:uid="{00000000-0005-0000-0000-00009F080000}"/>
    <cellStyle name="Output Column Headings" xfId="2200" xr:uid="{00000000-0005-0000-0000-0000A0080000}"/>
    <cellStyle name="Output Column Headings 2" xfId="2201" xr:uid="{00000000-0005-0000-0000-0000A1080000}"/>
    <cellStyle name="Output Column Headings 3" xfId="2202" xr:uid="{00000000-0005-0000-0000-0000A2080000}"/>
    <cellStyle name="Output Column Headings 4" xfId="2203" xr:uid="{00000000-0005-0000-0000-0000A3080000}"/>
    <cellStyle name="Output Column Headings 5" xfId="2204" xr:uid="{00000000-0005-0000-0000-0000A4080000}"/>
    <cellStyle name="Output Column Headings 6" xfId="2205" xr:uid="{00000000-0005-0000-0000-0000A5080000}"/>
    <cellStyle name="Output Column Headings 7" xfId="2206" xr:uid="{00000000-0005-0000-0000-0000A6080000}"/>
    <cellStyle name="Output Line Items" xfId="2207" xr:uid="{00000000-0005-0000-0000-0000A7080000}"/>
    <cellStyle name="Output Line Items 2" xfId="2208" xr:uid="{00000000-0005-0000-0000-0000A8080000}"/>
    <cellStyle name="Output Line Items 3" xfId="2209" xr:uid="{00000000-0005-0000-0000-0000A9080000}"/>
    <cellStyle name="Output Line Items 4" xfId="2210" xr:uid="{00000000-0005-0000-0000-0000AA080000}"/>
    <cellStyle name="Output Line Items 5" xfId="2211" xr:uid="{00000000-0005-0000-0000-0000AB080000}"/>
    <cellStyle name="Output Line Items 6" xfId="2212" xr:uid="{00000000-0005-0000-0000-0000AC080000}"/>
    <cellStyle name="Output Line Items 7" xfId="2213" xr:uid="{00000000-0005-0000-0000-0000AD080000}"/>
    <cellStyle name="Output Report Heading" xfId="2214" xr:uid="{00000000-0005-0000-0000-0000AE080000}"/>
    <cellStyle name="Output Report Heading 2" xfId="2215" xr:uid="{00000000-0005-0000-0000-0000AF080000}"/>
    <cellStyle name="Output Report Heading 3" xfId="2216" xr:uid="{00000000-0005-0000-0000-0000B0080000}"/>
    <cellStyle name="Output Report Heading 4" xfId="2217" xr:uid="{00000000-0005-0000-0000-0000B1080000}"/>
    <cellStyle name="Output Report Heading 5" xfId="2218" xr:uid="{00000000-0005-0000-0000-0000B2080000}"/>
    <cellStyle name="Output Report Heading 6" xfId="2219" xr:uid="{00000000-0005-0000-0000-0000B3080000}"/>
    <cellStyle name="Output Report Heading 7" xfId="2220" xr:uid="{00000000-0005-0000-0000-0000B4080000}"/>
    <cellStyle name="Output Report Title" xfId="2221" xr:uid="{00000000-0005-0000-0000-0000B5080000}"/>
    <cellStyle name="Output Report Title 2" xfId="2222" xr:uid="{00000000-0005-0000-0000-0000B6080000}"/>
    <cellStyle name="Output Report Title 3" xfId="2223" xr:uid="{00000000-0005-0000-0000-0000B7080000}"/>
    <cellStyle name="Output Report Title 4" xfId="2224" xr:uid="{00000000-0005-0000-0000-0000B8080000}"/>
    <cellStyle name="Output Report Title 5" xfId="2225" xr:uid="{00000000-0005-0000-0000-0000B9080000}"/>
    <cellStyle name="Output Report Title 6" xfId="2226" xr:uid="{00000000-0005-0000-0000-0000BA080000}"/>
    <cellStyle name="Output Report Title 7" xfId="2227" xr:uid="{00000000-0005-0000-0000-0000BB080000}"/>
    <cellStyle name="Percent" xfId="3" builtinId="5"/>
    <cellStyle name="Percent 2" xfId="7" xr:uid="{00000000-0005-0000-0000-0000BD080000}"/>
    <cellStyle name="Percent 2 2" xfId="2228" xr:uid="{00000000-0005-0000-0000-0000BE080000}"/>
    <cellStyle name="Percent 2 3" xfId="2229" xr:uid="{00000000-0005-0000-0000-0000BF080000}"/>
    <cellStyle name="Percent 2 3 2" xfId="2392" xr:uid="{00000000-0005-0000-0000-0000C0080000}"/>
    <cellStyle name="Percent 2 4" xfId="2230" xr:uid="{00000000-0005-0000-0000-0000C1080000}"/>
    <cellStyle name="Percent 2 5" xfId="2231" xr:uid="{00000000-0005-0000-0000-0000C2080000}"/>
    <cellStyle name="Percent 2 6" xfId="2232" xr:uid="{00000000-0005-0000-0000-0000C3080000}"/>
    <cellStyle name="Percent 3" xfId="2385" xr:uid="{00000000-0005-0000-0000-0000C4080000}"/>
    <cellStyle name="ReportTitlePrompt" xfId="2233" xr:uid="{00000000-0005-0000-0000-0000C5080000}"/>
    <cellStyle name="ReportTitleValue" xfId="2234" xr:uid="{00000000-0005-0000-0000-0000C6080000}"/>
    <cellStyle name="RowAcctAbovePrompt" xfId="2235" xr:uid="{00000000-0005-0000-0000-0000C7080000}"/>
    <cellStyle name="RowAcctSOBAbovePrompt" xfId="2236" xr:uid="{00000000-0005-0000-0000-0000C8080000}"/>
    <cellStyle name="RowAcctSOBValue" xfId="2237" xr:uid="{00000000-0005-0000-0000-0000C9080000}"/>
    <cellStyle name="RowAcctValue" xfId="2238" xr:uid="{00000000-0005-0000-0000-0000CA080000}"/>
    <cellStyle name="RowAttrAbovePrompt" xfId="2239" xr:uid="{00000000-0005-0000-0000-0000CB080000}"/>
    <cellStyle name="RowAttrValue" xfId="2240" xr:uid="{00000000-0005-0000-0000-0000CC080000}"/>
    <cellStyle name="RowColSetAbovePrompt" xfId="2241" xr:uid="{00000000-0005-0000-0000-0000CD080000}"/>
    <cellStyle name="RowColSetLeftPrompt" xfId="2242" xr:uid="{00000000-0005-0000-0000-0000CE080000}"/>
    <cellStyle name="RowColSetValue" xfId="2243" xr:uid="{00000000-0005-0000-0000-0000CF080000}"/>
    <cellStyle name="RowLeftPrompt" xfId="2244" xr:uid="{00000000-0005-0000-0000-0000D0080000}"/>
    <cellStyle name="SampleUsingFormatMask" xfId="2245" xr:uid="{00000000-0005-0000-0000-0000D1080000}"/>
    <cellStyle name="SampleWithNoFormatMask" xfId="2246" xr:uid="{00000000-0005-0000-0000-0000D2080000}"/>
    <cellStyle name="STYL5 - Style5" xfId="2247" xr:uid="{00000000-0005-0000-0000-0000D3080000}"/>
    <cellStyle name="STYL6 - Style6" xfId="2248" xr:uid="{00000000-0005-0000-0000-0000D4080000}"/>
    <cellStyle name="STYLE1 - Style1" xfId="2249" xr:uid="{00000000-0005-0000-0000-0000D5080000}"/>
    <cellStyle name="STYLE2 - Style2" xfId="2250" xr:uid="{00000000-0005-0000-0000-0000D6080000}"/>
    <cellStyle name="STYLE3 - Style3" xfId="2251" xr:uid="{00000000-0005-0000-0000-0000D7080000}"/>
    <cellStyle name="STYLE4 - Style4" xfId="2252" xr:uid="{00000000-0005-0000-0000-0000D8080000}"/>
    <cellStyle name="Title 10" xfId="2253" xr:uid="{00000000-0005-0000-0000-0000D9080000}"/>
    <cellStyle name="Title 11" xfId="2254" xr:uid="{00000000-0005-0000-0000-0000DA080000}"/>
    <cellStyle name="Title 12" xfId="2255" xr:uid="{00000000-0005-0000-0000-0000DB080000}"/>
    <cellStyle name="Title 13" xfId="2256" xr:uid="{00000000-0005-0000-0000-0000DC080000}"/>
    <cellStyle name="Title 14" xfId="2257" xr:uid="{00000000-0005-0000-0000-0000DD080000}"/>
    <cellStyle name="Title 15" xfId="2258" xr:uid="{00000000-0005-0000-0000-0000DE080000}"/>
    <cellStyle name="Title 16" xfId="2259" xr:uid="{00000000-0005-0000-0000-0000DF080000}"/>
    <cellStyle name="Title 17" xfId="2260" xr:uid="{00000000-0005-0000-0000-0000E0080000}"/>
    <cellStyle name="Title 17 2" xfId="2261" xr:uid="{00000000-0005-0000-0000-0000E1080000}"/>
    <cellStyle name="Title 17 3" xfId="2262" xr:uid="{00000000-0005-0000-0000-0000E2080000}"/>
    <cellStyle name="Title 17 4" xfId="2263" xr:uid="{00000000-0005-0000-0000-0000E3080000}"/>
    <cellStyle name="Title 17 5" xfId="2264" xr:uid="{00000000-0005-0000-0000-0000E4080000}"/>
    <cellStyle name="Title 18" xfId="2265" xr:uid="{00000000-0005-0000-0000-0000E5080000}"/>
    <cellStyle name="Title 19" xfId="2266" xr:uid="{00000000-0005-0000-0000-0000E6080000}"/>
    <cellStyle name="Title 2" xfId="2267" xr:uid="{00000000-0005-0000-0000-0000E7080000}"/>
    <cellStyle name="Title 2 2" xfId="2268" xr:uid="{00000000-0005-0000-0000-0000E8080000}"/>
    <cellStyle name="Title 2 2 2" xfId="2269" xr:uid="{00000000-0005-0000-0000-0000E9080000}"/>
    <cellStyle name="Title 2 2 2 2" xfId="2270" xr:uid="{00000000-0005-0000-0000-0000EA080000}"/>
    <cellStyle name="Title 2 2 2 3" xfId="2271" xr:uid="{00000000-0005-0000-0000-0000EB080000}"/>
    <cellStyle name="Title 2 2 3" xfId="2272" xr:uid="{00000000-0005-0000-0000-0000EC080000}"/>
    <cellStyle name="Title 2 2 4" xfId="2273" xr:uid="{00000000-0005-0000-0000-0000ED080000}"/>
    <cellStyle name="Title 2 2 5" xfId="2274" xr:uid="{00000000-0005-0000-0000-0000EE080000}"/>
    <cellStyle name="Title 2 2 6" xfId="2275" xr:uid="{00000000-0005-0000-0000-0000EF080000}"/>
    <cellStyle name="Title 2 3" xfId="2276" xr:uid="{00000000-0005-0000-0000-0000F0080000}"/>
    <cellStyle name="Title 2 4" xfId="2277" xr:uid="{00000000-0005-0000-0000-0000F1080000}"/>
    <cellStyle name="Title 2 5" xfId="2278" xr:uid="{00000000-0005-0000-0000-0000F2080000}"/>
    <cellStyle name="Title 2 6" xfId="2279" xr:uid="{00000000-0005-0000-0000-0000F3080000}"/>
    <cellStyle name="Title 2 7" xfId="2280" xr:uid="{00000000-0005-0000-0000-0000F4080000}"/>
    <cellStyle name="Title 2 8" xfId="2281" xr:uid="{00000000-0005-0000-0000-0000F5080000}"/>
    <cellStyle name="Title 2 9" xfId="2282" xr:uid="{00000000-0005-0000-0000-0000F6080000}"/>
    <cellStyle name="Title 20" xfId="2283" xr:uid="{00000000-0005-0000-0000-0000F7080000}"/>
    <cellStyle name="Title 21" xfId="2284" xr:uid="{00000000-0005-0000-0000-0000F8080000}"/>
    <cellStyle name="Title 22" xfId="2285" xr:uid="{00000000-0005-0000-0000-0000F9080000}"/>
    <cellStyle name="Title 23" xfId="2286" xr:uid="{00000000-0005-0000-0000-0000FA080000}"/>
    <cellStyle name="Title 3" xfId="2287" xr:uid="{00000000-0005-0000-0000-0000FB080000}"/>
    <cellStyle name="Title 4" xfId="2288" xr:uid="{00000000-0005-0000-0000-0000FC080000}"/>
    <cellStyle name="Title 5" xfId="2289" xr:uid="{00000000-0005-0000-0000-0000FD080000}"/>
    <cellStyle name="Title 6" xfId="2290" xr:uid="{00000000-0005-0000-0000-0000FE080000}"/>
    <cellStyle name="Title 7" xfId="2291" xr:uid="{00000000-0005-0000-0000-0000FF080000}"/>
    <cellStyle name="Title 8" xfId="2292" xr:uid="{00000000-0005-0000-0000-000000090000}"/>
    <cellStyle name="Title 9" xfId="2293" xr:uid="{00000000-0005-0000-0000-000001090000}"/>
    <cellStyle name="Total 10" xfId="2294" xr:uid="{00000000-0005-0000-0000-000002090000}"/>
    <cellStyle name="Total 11" xfId="2295" xr:uid="{00000000-0005-0000-0000-000003090000}"/>
    <cellStyle name="Total 12" xfId="2296" xr:uid="{00000000-0005-0000-0000-000004090000}"/>
    <cellStyle name="Total 13" xfId="2297" xr:uid="{00000000-0005-0000-0000-000005090000}"/>
    <cellStyle name="Total 14" xfId="2298" xr:uid="{00000000-0005-0000-0000-000006090000}"/>
    <cellStyle name="Total 15" xfId="2299" xr:uid="{00000000-0005-0000-0000-000007090000}"/>
    <cellStyle name="Total 16" xfId="2300" xr:uid="{00000000-0005-0000-0000-000008090000}"/>
    <cellStyle name="Total 17" xfId="2301" xr:uid="{00000000-0005-0000-0000-000009090000}"/>
    <cellStyle name="Total 18" xfId="2302" xr:uid="{00000000-0005-0000-0000-00000A090000}"/>
    <cellStyle name="Total 19" xfId="2303" xr:uid="{00000000-0005-0000-0000-00000B090000}"/>
    <cellStyle name="Total 2" xfId="2304" xr:uid="{00000000-0005-0000-0000-00000C090000}"/>
    <cellStyle name="Total 2 10" xfId="2305" xr:uid="{00000000-0005-0000-0000-00000D090000}"/>
    <cellStyle name="Total 2 2" xfId="2306" xr:uid="{00000000-0005-0000-0000-00000E090000}"/>
    <cellStyle name="Total 2 2 2" xfId="2307" xr:uid="{00000000-0005-0000-0000-00000F090000}"/>
    <cellStyle name="Total 2 2 2 2" xfId="2308" xr:uid="{00000000-0005-0000-0000-000010090000}"/>
    <cellStyle name="Total 2 2 2 2 2" xfId="2309" xr:uid="{00000000-0005-0000-0000-000011090000}"/>
    <cellStyle name="Total 2 2 2 2 3" xfId="2310" xr:uid="{00000000-0005-0000-0000-000012090000}"/>
    <cellStyle name="Total 2 2 2 3" xfId="2311" xr:uid="{00000000-0005-0000-0000-000013090000}"/>
    <cellStyle name="Total 2 2 2 4" xfId="2312" xr:uid="{00000000-0005-0000-0000-000014090000}"/>
    <cellStyle name="Total 2 2 2 5" xfId="2313" xr:uid="{00000000-0005-0000-0000-000015090000}"/>
    <cellStyle name="Total 2 2 2 6" xfId="2314" xr:uid="{00000000-0005-0000-0000-000016090000}"/>
    <cellStyle name="Total 2 2 3" xfId="2315" xr:uid="{00000000-0005-0000-0000-000017090000}"/>
    <cellStyle name="Total 2 2 4" xfId="2316" xr:uid="{00000000-0005-0000-0000-000018090000}"/>
    <cellStyle name="Total 2 2 5" xfId="2317" xr:uid="{00000000-0005-0000-0000-000019090000}"/>
    <cellStyle name="Total 2 2 6" xfId="2318" xr:uid="{00000000-0005-0000-0000-00001A090000}"/>
    <cellStyle name="Total 2 3" xfId="2319" xr:uid="{00000000-0005-0000-0000-00001B090000}"/>
    <cellStyle name="Total 2 4" xfId="2320" xr:uid="{00000000-0005-0000-0000-00001C090000}"/>
    <cellStyle name="Total 2 5" xfId="2321" xr:uid="{00000000-0005-0000-0000-00001D090000}"/>
    <cellStyle name="Total 2 6" xfId="2322" xr:uid="{00000000-0005-0000-0000-00001E090000}"/>
    <cellStyle name="Total 2 7" xfId="2323" xr:uid="{00000000-0005-0000-0000-00001F090000}"/>
    <cellStyle name="Total 2 8" xfId="2324" xr:uid="{00000000-0005-0000-0000-000020090000}"/>
    <cellStyle name="Total 2 9" xfId="2325" xr:uid="{00000000-0005-0000-0000-000021090000}"/>
    <cellStyle name="Total 20" xfId="2326" xr:uid="{00000000-0005-0000-0000-000022090000}"/>
    <cellStyle name="Total 21" xfId="2327" xr:uid="{00000000-0005-0000-0000-000023090000}"/>
    <cellStyle name="Total 22" xfId="2328" xr:uid="{00000000-0005-0000-0000-000024090000}"/>
    <cellStyle name="Total 23" xfId="2329" xr:uid="{00000000-0005-0000-0000-000025090000}"/>
    <cellStyle name="Total 24" xfId="2330" xr:uid="{00000000-0005-0000-0000-000026090000}"/>
    <cellStyle name="Total 25" xfId="2331" xr:uid="{00000000-0005-0000-0000-000027090000}"/>
    <cellStyle name="Total 3" xfId="2332" xr:uid="{00000000-0005-0000-0000-000028090000}"/>
    <cellStyle name="Total 4" xfId="2333" xr:uid="{00000000-0005-0000-0000-000029090000}"/>
    <cellStyle name="Total 5" xfId="2334" xr:uid="{00000000-0005-0000-0000-00002A090000}"/>
    <cellStyle name="Total 6" xfId="2335" xr:uid="{00000000-0005-0000-0000-00002B090000}"/>
    <cellStyle name="Total 7" xfId="2336" xr:uid="{00000000-0005-0000-0000-00002C090000}"/>
    <cellStyle name="Total 8" xfId="2337" xr:uid="{00000000-0005-0000-0000-00002D090000}"/>
    <cellStyle name="Total 9" xfId="2338" xr:uid="{00000000-0005-0000-0000-00002E090000}"/>
    <cellStyle name="UploadThisRowValue" xfId="2339" xr:uid="{00000000-0005-0000-0000-00002F090000}"/>
    <cellStyle name="Warning Text 10" xfId="2340" xr:uid="{00000000-0005-0000-0000-000030090000}"/>
    <cellStyle name="Warning Text 11" xfId="2341" xr:uid="{00000000-0005-0000-0000-000031090000}"/>
    <cellStyle name="Warning Text 12" xfId="2342" xr:uid="{00000000-0005-0000-0000-000032090000}"/>
    <cellStyle name="Warning Text 13" xfId="2343" xr:uid="{00000000-0005-0000-0000-000033090000}"/>
    <cellStyle name="Warning Text 14" xfId="2344" xr:uid="{00000000-0005-0000-0000-000034090000}"/>
    <cellStyle name="Warning Text 15" xfId="2345" xr:uid="{00000000-0005-0000-0000-000035090000}"/>
    <cellStyle name="Warning Text 16" xfId="2346" xr:uid="{00000000-0005-0000-0000-000036090000}"/>
    <cellStyle name="Warning Text 17" xfId="2347" xr:uid="{00000000-0005-0000-0000-000037090000}"/>
    <cellStyle name="Warning Text 18" xfId="2348" xr:uid="{00000000-0005-0000-0000-000038090000}"/>
    <cellStyle name="Warning Text 19" xfId="2349" xr:uid="{00000000-0005-0000-0000-000039090000}"/>
    <cellStyle name="Warning Text 2" xfId="2350" xr:uid="{00000000-0005-0000-0000-00003A090000}"/>
    <cellStyle name="Warning Text 2 10" xfId="2351" xr:uid="{00000000-0005-0000-0000-00003B090000}"/>
    <cellStyle name="Warning Text 2 2" xfId="2352" xr:uid="{00000000-0005-0000-0000-00003C090000}"/>
    <cellStyle name="Warning Text 2 2 2" xfId="2353" xr:uid="{00000000-0005-0000-0000-00003D090000}"/>
    <cellStyle name="Warning Text 2 2 2 2" xfId="2354" xr:uid="{00000000-0005-0000-0000-00003E090000}"/>
    <cellStyle name="Warning Text 2 2 2 2 2" xfId="2355" xr:uid="{00000000-0005-0000-0000-00003F090000}"/>
    <cellStyle name="Warning Text 2 2 2 2 3" xfId="2356" xr:uid="{00000000-0005-0000-0000-000040090000}"/>
    <cellStyle name="Warning Text 2 2 2 3" xfId="2357" xr:uid="{00000000-0005-0000-0000-000041090000}"/>
    <cellStyle name="Warning Text 2 2 2 4" xfId="2358" xr:uid="{00000000-0005-0000-0000-000042090000}"/>
    <cellStyle name="Warning Text 2 2 2 5" xfId="2359" xr:uid="{00000000-0005-0000-0000-000043090000}"/>
    <cellStyle name="Warning Text 2 2 2 6" xfId="2360" xr:uid="{00000000-0005-0000-0000-000044090000}"/>
    <cellStyle name="Warning Text 2 2 3" xfId="2361" xr:uid="{00000000-0005-0000-0000-000045090000}"/>
    <cellStyle name="Warning Text 2 2 4" xfId="2362" xr:uid="{00000000-0005-0000-0000-000046090000}"/>
    <cellStyle name="Warning Text 2 2 5" xfId="2363" xr:uid="{00000000-0005-0000-0000-000047090000}"/>
    <cellStyle name="Warning Text 2 2 6" xfId="2364" xr:uid="{00000000-0005-0000-0000-000048090000}"/>
    <cellStyle name="Warning Text 2 3" xfId="2365" xr:uid="{00000000-0005-0000-0000-000049090000}"/>
    <cellStyle name="Warning Text 2 4" xfId="2366" xr:uid="{00000000-0005-0000-0000-00004A090000}"/>
    <cellStyle name="Warning Text 2 5" xfId="2367" xr:uid="{00000000-0005-0000-0000-00004B090000}"/>
    <cellStyle name="Warning Text 2 6" xfId="2368" xr:uid="{00000000-0005-0000-0000-00004C090000}"/>
    <cellStyle name="Warning Text 2 7" xfId="2369" xr:uid="{00000000-0005-0000-0000-00004D090000}"/>
    <cellStyle name="Warning Text 2 8" xfId="2370" xr:uid="{00000000-0005-0000-0000-00004E090000}"/>
    <cellStyle name="Warning Text 2 9" xfId="2371" xr:uid="{00000000-0005-0000-0000-00004F090000}"/>
    <cellStyle name="Warning Text 20" xfId="2372" xr:uid="{00000000-0005-0000-0000-000050090000}"/>
    <cellStyle name="Warning Text 21" xfId="2373" xr:uid="{00000000-0005-0000-0000-000051090000}"/>
    <cellStyle name="Warning Text 22" xfId="2374" xr:uid="{00000000-0005-0000-0000-000052090000}"/>
    <cellStyle name="Warning Text 23" xfId="2375" xr:uid="{00000000-0005-0000-0000-000053090000}"/>
    <cellStyle name="Warning Text 3" xfId="2376" xr:uid="{00000000-0005-0000-0000-000054090000}"/>
    <cellStyle name="Warning Text 4" xfId="2377" xr:uid="{00000000-0005-0000-0000-000055090000}"/>
    <cellStyle name="Warning Text 5" xfId="2378" xr:uid="{00000000-0005-0000-0000-000056090000}"/>
    <cellStyle name="Warning Text 6" xfId="2379" xr:uid="{00000000-0005-0000-0000-000057090000}"/>
    <cellStyle name="Warning Text 7" xfId="2380" xr:uid="{00000000-0005-0000-0000-000058090000}"/>
    <cellStyle name="Warning Text 8" xfId="2381" xr:uid="{00000000-0005-0000-0000-000059090000}"/>
    <cellStyle name="Warning Text 9" xfId="2382" xr:uid="{00000000-0005-0000-0000-00005A09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3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12%20FINAL%20RATE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KU\KU%20ECR%20OU%20Recovery%202013.02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09%20es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02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llocation"/>
      <sheetName val="Liability Detail"/>
      <sheetName val="OU Collection"/>
      <sheetName val="ROR"/>
      <sheetName val="A216810396964DCDB399904ED81BA8E"/>
      <sheetName val="Net Assets"/>
      <sheetName val="Error Checks"/>
      <sheetName val="Data"/>
      <sheetName val="Input"/>
      <sheetName val="Revenue Report"/>
      <sheetName val="BS Recon"/>
      <sheetName val="Startup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4">
          <cell r="BK74" t="str">
            <v>NO</v>
          </cell>
        </row>
      </sheetData>
      <sheetData sheetId="8">
        <row r="4">
          <cell r="K4">
            <v>41609</v>
          </cell>
        </row>
      </sheetData>
      <sheetData sheetId="9"/>
      <sheetData sheetId="10"/>
      <sheetData sheetId="11">
        <row r="5">
          <cell r="N5">
            <v>41244</v>
          </cell>
        </row>
        <row r="8">
          <cell r="N8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Revenue Report"/>
      <sheetName val="Input - Rev Report"/>
      <sheetName val="Data- Rev Report"/>
      <sheetName val="Startup"/>
      <sheetName val="Adjt Input"/>
      <sheetName val="Data Updates"/>
      <sheetName val="VersionHist"/>
    </sheetNames>
    <sheetDataSet>
      <sheetData sheetId="0" refreshError="1"/>
      <sheetData sheetId="1">
        <row r="38">
          <cell r="K38">
            <v>122206198.18000001</v>
          </cell>
        </row>
        <row r="39">
          <cell r="K39">
            <v>139430871.61000001</v>
          </cell>
        </row>
        <row r="40">
          <cell r="K40">
            <v>0.87649999999999995</v>
          </cell>
        </row>
        <row r="60">
          <cell r="K60">
            <v>555232.65</v>
          </cell>
        </row>
        <row r="61">
          <cell r="K61">
            <v>240996.76</v>
          </cell>
        </row>
        <row r="63">
          <cell r="K63">
            <v>306794.60000000003</v>
          </cell>
        </row>
        <row r="64">
          <cell r="K64">
            <v>3736658.66</v>
          </cell>
        </row>
        <row r="67">
          <cell r="K67">
            <v>7441.29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y Detail"/>
      <sheetName val="OU Collection"/>
      <sheetName val="ROR True-Up Adj"/>
      <sheetName val="Error Checks"/>
      <sheetName val="Input"/>
      <sheetName val="Data"/>
      <sheetName val="BS Recon"/>
      <sheetName val="Revenue Report"/>
      <sheetName val="Startup"/>
      <sheetName val="VersionHist"/>
    </sheetNames>
    <sheetDataSet>
      <sheetData sheetId="0"/>
      <sheetData sheetId="1"/>
      <sheetData sheetId="2"/>
      <sheetData sheetId="3"/>
      <sheetData sheetId="4"/>
      <sheetData sheetId="5">
        <row r="85">
          <cell r="O85">
            <v>201309</v>
          </cell>
          <cell r="P85">
            <v>201308</v>
          </cell>
          <cell r="Q85">
            <v>201307</v>
          </cell>
          <cell r="R85">
            <v>201306</v>
          </cell>
          <cell r="S85">
            <v>201305</v>
          </cell>
          <cell r="T85">
            <v>201304</v>
          </cell>
          <cell r="U85">
            <v>201303</v>
          </cell>
          <cell r="V85">
            <v>201302</v>
          </cell>
          <cell r="W85">
            <v>201301</v>
          </cell>
          <cell r="X85">
            <v>201212</v>
          </cell>
          <cell r="Y85">
            <v>201211</v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</row>
        <row r="86">
          <cell r="O86">
            <v>2013</v>
          </cell>
          <cell r="P86">
            <v>2013</v>
          </cell>
          <cell r="Q86">
            <v>2013</v>
          </cell>
          <cell r="R86">
            <v>2013</v>
          </cell>
          <cell r="S86">
            <v>2013</v>
          </cell>
          <cell r="T86">
            <v>2013</v>
          </cell>
          <cell r="U86">
            <v>2013</v>
          </cell>
          <cell r="V86">
            <v>2013</v>
          </cell>
          <cell r="W86">
            <v>2013</v>
          </cell>
          <cell r="X86">
            <v>2012</v>
          </cell>
          <cell r="Y86">
            <v>2012</v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</row>
        <row r="87">
          <cell r="O87">
            <v>9</v>
          </cell>
          <cell r="P87">
            <v>8</v>
          </cell>
          <cell r="Q87">
            <v>7</v>
          </cell>
          <cell r="R87">
            <v>6</v>
          </cell>
          <cell r="S87">
            <v>5</v>
          </cell>
          <cell r="T87">
            <v>4</v>
          </cell>
          <cell r="U87">
            <v>3</v>
          </cell>
          <cell r="V87">
            <v>2</v>
          </cell>
          <cell r="W87">
            <v>1</v>
          </cell>
          <cell r="X87">
            <v>12</v>
          </cell>
          <cell r="Y87">
            <v>11</v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</row>
        <row r="90">
          <cell r="O90">
            <v>43229342.950000003</v>
          </cell>
          <cell r="P90">
            <v>39503462.950000003</v>
          </cell>
          <cell r="Q90">
            <v>34231314.770000003</v>
          </cell>
          <cell r="R90">
            <v>29634770.5</v>
          </cell>
          <cell r="S90">
            <v>26798988.34</v>
          </cell>
          <cell r="T90">
            <v>23148314.719999999</v>
          </cell>
          <cell r="U90">
            <v>19685215.710000001</v>
          </cell>
          <cell r="V90">
            <v>18141793.66</v>
          </cell>
          <cell r="W90">
            <v>16266015.189999999</v>
          </cell>
          <cell r="X90">
            <v>15355903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O91">
            <v>-544594.73</v>
          </cell>
          <cell r="P91">
            <v>-454031.89</v>
          </cell>
          <cell r="Q91">
            <v>-375127.24</v>
          </cell>
          <cell r="R91">
            <v>-308196.38</v>
          </cell>
          <cell r="S91">
            <v>-250691.03</v>
          </cell>
          <cell r="T91">
            <v>-201627.21</v>
          </cell>
          <cell r="U91">
            <v>-160197.09</v>
          </cell>
          <cell r="V91">
            <v>-123394.65</v>
          </cell>
          <cell r="W91">
            <v>-90061.06</v>
          </cell>
          <cell r="X91">
            <v>-74306.5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O92">
            <v>1073931.06</v>
          </cell>
          <cell r="P92">
            <v>1008389.76</v>
          </cell>
          <cell r="Q92">
            <v>956524.42</v>
          </cell>
          <cell r="R92">
            <v>837901.1</v>
          </cell>
          <cell r="S92">
            <v>806659.83</v>
          </cell>
          <cell r="T92">
            <v>757994.64</v>
          </cell>
          <cell r="U92">
            <v>671359.75</v>
          </cell>
          <cell r="V92">
            <v>593604.97</v>
          </cell>
          <cell r="W92">
            <v>562993.46</v>
          </cell>
          <cell r="X92">
            <v>549445.43999999994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O93">
            <v>-5470324.8499999996</v>
          </cell>
          <cell r="P93">
            <v>-4499471</v>
          </cell>
          <cell r="Q93">
            <v>-3597164.69</v>
          </cell>
          <cell r="R93">
            <v>-2784611.12</v>
          </cell>
          <cell r="S93">
            <v>-2340945.09</v>
          </cell>
          <cell r="T93">
            <v>-1945663.31</v>
          </cell>
          <cell r="U93">
            <v>-1657444.61</v>
          </cell>
          <cell r="V93">
            <v>-1469947.28</v>
          </cell>
          <cell r="W93">
            <v>-1355034.62</v>
          </cell>
          <cell r="X93">
            <v>-1264419.3799999999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O94">
            <v>38288354.430000007</v>
          </cell>
          <cell r="P94">
            <v>35558349.82</v>
          </cell>
          <cell r="Q94">
            <v>31215547.260000002</v>
          </cell>
          <cell r="R94">
            <v>27379864.100000001</v>
          </cell>
          <cell r="S94">
            <v>25014012.049999997</v>
          </cell>
          <cell r="T94">
            <v>21759018.84</v>
          </cell>
          <cell r="U94">
            <v>18538933.760000002</v>
          </cell>
          <cell r="V94">
            <v>17142056.699999999</v>
          </cell>
          <cell r="W94">
            <v>15383912.969999999</v>
          </cell>
          <cell r="X94">
            <v>14566622.559999999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O95">
            <v>24484667.25</v>
          </cell>
          <cell r="P95">
            <v>22950924.23</v>
          </cell>
          <cell r="Q95">
            <v>21374996.030000001</v>
          </cell>
          <cell r="R95">
            <v>19969203</v>
          </cell>
          <cell r="S95">
            <v>18734092.809999999</v>
          </cell>
          <cell r="T95">
            <v>17478108.969999999</v>
          </cell>
          <cell r="U95">
            <v>16407881.5</v>
          </cell>
          <cell r="V95">
            <v>15697530.74</v>
          </cell>
          <cell r="W95">
            <v>14975267.77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O96">
            <v>24484667.25</v>
          </cell>
          <cell r="P96">
            <v>24484667.25</v>
          </cell>
          <cell r="Q96">
            <v>24484667.25</v>
          </cell>
          <cell r="R96">
            <v>24484667.25</v>
          </cell>
          <cell r="S96">
            <v>24484667.25</v>
          </cell>
          <cell r="T96">
            <v>24484667.25</v>
          </cell>
          <cell r="U96">
            <v>24484667.25</v>
          </cell>
          <cell r="V96">
            <v>24484667.25</v>
          </cell>
          <cell r="W96">
            <v>24484667.25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O97">
            <v>2040388.94</v>
          </cell>
          <cell r="P97">
            <v>2040388.94</v>
          </cell>
          <cell r="Q97">
            <v>2040388.94</v>
          </cell>
          <cell r="R97">
            <v>2040388.94</v>
          </cell>
          <cell r="S97">
            <v>2040388.94</v>
          </cell>
          <cell r="T97">
            <v>2040388.94</v>
          </cell>
          <cell r="U97">
            <v>2040388.94</v>
          </cell>
          <cell r="V97">
            <v>2040388.94</v>
          </cell>
          <cell r="W97">
            <v>2040388.94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O98">
            <v>211698.25</v>
          </cell>
          <cell r="P98">
            <v>165075.4</v>
          </cell>
          <cell r="Q98">
            <v>217986.22999999998</v>
          </cell>
          <cell r="R98">
            <v>80822.62</v>
          </cell>
          <cell r="S98">
            <v>71313.100000000006</v>
          </cell>
          <cell r="T98">
            <v>32190.82</v>
          </cell>
          <cell r="U98">
            <v>103210.19</v>
          </cell>
          <cell r="V98">
            <v>-46019.8</v>
          </cell>
          <cell r="W98">
            <v>79174.740000000005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O99">
            <v>0.1101</v>
          </cell>
          <cell r="P99">
            <v>0.1101</v>
          </cell>
          <cell r="Q99">
            <v>0.1101</v>
          </cell>
          <cell r="R99">
            <v>0.1101</v>
          </cell>
          <cell r="S99">
            <v>0.1101</v>
          </cell>
          <cell r="T99">
            <v>0.1101</v>
          </cell>
          <cell r="U99">
            <v>0.1101</v>
          </cell>
          <cell r="V99">
            <v>0.1101</v>
          </cell>
          <cell r="W99">
            <v>0.1101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O100">
            <v>0.1101</v>
          </cell>
          <cell r="P100">
            <v>0.1101</v>
          </cell>
          <cell r="Q100">
            <v>0.1101</v>
          </cell>
          <cell r="R100">
            <v>0.1101</v>
          </cell>
          <cell r="S100">
            <v>0.1101</v>
          </cell>
          <cell r="T100">
            <v>0.1101</v>
          </cell>
          <cell r="U100">
            <v>0.1101</v>
          </cell>
          <cell r="V100">
            <v>0.1101</v>
          </cell>
          <cell r="W100">
            <v>0.1101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O101">
            <v>436345.07</v>
          </cell>
          <cell r="P101">
            <v>389722.22</v>
          </cell>
          <cell r="Q101">
            <v>442633.05</v>
          </cell>
          <cell r="R101">
            <v>305469.44</v>
          </cell>
          <cell r="S101">
            <v>295959.92</v>
          </cell>
          <cell r="T101">
            <v>256837.64</v>
          </cell>
          <cell r="U101">
            <v>327857.01</v>
          </cell>
          <cell r="V101">
            <v>178627.02</v>
          </cell>
          <cell r="W101">
            <v>303821.56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O102">
            <v>436345.07</v>
          </cell>
          <cell r="P102">
            <v>389722.22</v>
          </cell>
          <cell r="Q102">
            <v>442633.05</v>
          </cell>
          <cell r="R102">
            <v>305469.44</v>
          </cell>
          <cell r="S102">
            <v>295959.92</v>
          </cell>
          <cell r="T102">
            <v>256837.64</v>
          </cell>
          <cell r="U102">
            <v>327857.01</v>
          </cell>
          <cell r="V102">
            <v>178627.02</v>
          </cell>
          <cell r="W102">
            <v>303821.56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12">
          <cell r="O112">
            <v>436345.07</v>
          </cell>
          <cell r="P112">
            <v>389722.22</v>
          </cell>
          <cell r="Q112">
            <v>442633.05</v>
          </cell>
          <cell r="R112">
            <v>305469.44</v>
          </cell>
          <cell r="S112">
            <v>295959.92</v>
          </cell>
          <cell r="T112">
            <v>256837.64</v>
          </cell>
          <cell r="U112">
            <v>327857.01</v>
          </cell>
          <cell r="V112">
            <v>178627.02</v>
          </cell>
          <cell r="W112">
            <v>303821.56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O113">
            <v>436345.07</v>
          </cell>
          <cell r="P113">
            <v>389722.22</v>
          </cell>
          <cell r="Q113">
            <v>442633.05</v>
          </cell>
          <cell r="R113">
            <v>305469.44</v>
          </cell>
          <cell r="S113">
            <v>295959.92</v>
          </cell>
          <cell r="T113">
            <v>256837.64</v>
          </cell>
          <cell r="U113">
            <v>327857.01</v>
          </cell>
          <cell r="V113">
            <v>178627.02</v>
          </cell>
          <cell r="W113">
            <v>303821.56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O116">
            <v>436345.07</v>
          </cell>
          <cell r="P116">
            <v>389722.22</v>
          </cell>
          <cell r="Q116">
            <v>442633.05</v>
          </cell>
          <cell r="R116">
            <v>305469.44</v>
          </cell>
          <cell r="S116">
            <v>295959.92</v>
          </cell>
          <cell r="T116">
            <v>256837.64</v>
          </cell>
          <cell r="U116">
            <v>327857.01</v>
          </cell>
          <cell r="V116">
            <v>178627.02</v>
          </cell>
          <cell r="W116">
            <v>303821.56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O117">
            <v>436345.07</v>
          </cell>
          <cell r="P117">
            <v>389722.22</v>
          </cell>
          <cell r="Q117">
            <v>442633.05</v>
          </cell>
          <cell r="R117">
            <v>305469.44</v>
          </cell>
          <cell r="S117">
            <v>295959.92</v>
          </cell>
          <cell r="T117">
            <v>256837.64</v>
          </cell>
          <cell r="U117">
            <v>327857.01</v>
          </cell>
          <cell r="V117">
            <v>178627.02</v>
          </cell>
          <cell r="W117">
            <v>303821.56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O118">
            <v>436345.07</v>
          </cell>
          <cell r="P118">
            <v>389722.22</v>
          </cell>
          <cell r="Q118">
            <v>442633.05</v>
          </cell>
          <cell r="R118">
            <v>305469.44</v>
          </cell>
          <cell r="S118">
            <v>295959.92</v>
          </cell>
          <cell r="T118">
            <v>256837.64</v>
          </cell>
          <cell r="U118">
            <v>327857.01</v>
          </cell>
          <cell r="V118">
            <v>178627.02</v>
          </cell>
          <cell r="W118">
            <v>303821.56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O119">
            <v>959875.17</v>
          </cell>
          <cell r="P119">
            <v>964058.08</v>
          </cell>
          <cell r="Q119">
            <v>964731.89</v>
          </cell>
          <cell r="R119">
            <v>967142.37</v>
          </cell>
          <cell r="S119">
            <v>972357.35</v>
          </cell>
          <cell r="T119">
            <v>977936.59</v>
          </cell>
          <cell r="U119">
            <v>971192.21</v>
          </cell>
          <cell r="V119">
            <v>971918.25</v>
          </cell>
          <cell r="W119">
            <v>442006.43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O121">
            <v>-523530.10000000003</v>
          </cell>
          <cell r="P121">
            <v>-574335.86</v>
          </cell>
          <cell r="Q121">
            <v>-522098.84</v>
          </cell>
          <cell r="R121">
            <v>-661672.92999999993</v>
          </cell>
          <cell r="S121">
            <v>-676397.42999999993</v>
          </cell>
          <cell r="T121">
            <v>-721098.95</v>
          </cell>
          <cell r="U121">
            <v>-643335.19999999995</v>
          </cell>
          <cell r="V121">
            <v>-793291.23</v>
          </cell>
          <cell r="W121">
            <v>-138184.87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9">
          <cell r="O129">
            <v>-523530.1</v>
          </cell>
          <cell r="P129">
            <v>-574335.86</v>
          </cell>
          <cell r="Q129">
            <v>-522098.84</v>
          </cell>
          <cell r="R129">
            <v>-661672.93000000005</v>
          </cell>
          <cell r="S129">
            <v>-676397.43</v>
          </cell>
          <cell r="T129">
            <v>-721098.95</v>
          </cell>
          <cell r="U129">
            <v>-643335.19999999995</v>
          </cell>
          <cell r="V129">
            <v>-793291.23</v>
          </cell>
          <cell r="W129">
            <v>-138184.87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O131">
            <v>-523530.1</v>
          </cell>
          <cell r="P131">
            <v>-574335.86</v>
          </cell>
          <cell r="Q131">
            <v>-522098.84</v>
          </cell>
          <cell r="R131">
            <v>-661672.93000000005</v>
          </cell>
          <cell r="S131">
            <v>-676397.43</v>
          </cell>
          <cell r="T131">
            <v>-721098.95</v>
          </cell>
          <cell r="U131">
            <v>-643335.19999999995</v>
          </cell>
          <cell r="V131">
            <v>-793291.23</v>
          </cell>
          <cell r="W131">
            <v>-138184.87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O132">
            <v>-5253945.41</v>
          </cell>
          <cell r="P132">
            <v>-4730415.3099999996</v>
          </cell>
          <cell r="Q132">
            <v>-4156079.45</v>
          </cell>
          <cell r="R132">
            <v>-3633980.61</v>
          </cell>
          <cell r="S132">
            <v>-2972307.68</v>
          </cell>
          <cell r="T132">
            <v>-2295910.25</v>
          </cell>
          <cell r="U132">
            <v>-1574811.3</v>
          </cell>
          <cell r="V132">
            <v>-931476.1</v>
          </cell>
          <cell r="W132">
            <v>-138184.87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Adjt Input"/>
    </sheetNames>
    <sheetDataSet>
      <sheetData sheetId="0"/>
      <sheetData sheetId="1">
        <row r="116">
          <cell r="H116" t="str">
            <v>second</v>
          </cell>
        </row>
      </sheetData>
      <sheetData sheetId="2"/>
      <sheetData sheetId="3">
        <row r="25">
          <cell r="Y25">
            <v>0</v>
          </cell>
        </row>
      </sheetData>
      <sheetData sheetId="4"/>
      <sheetData sheetId="5"/>
      <sheetData sheetId="6"/>
      <sheetData sheetId="7">
        <row r="128">
          <cell r="BK128" t="str">
            <v>NO</v>
          </cell>
        </row>
      </sheetData>
      <sheetData sheetId="8"/>
      <sheetData sheetId="9"/>
      <sheetData sheetId="10"/>
      <sheetData sheetId="11"/>
      <sheetData sheetId="12">
        <row r="5">
          <cell r="N5">
            <v>41030</v>
          </cell>
        </row>
        <row r="10">
          <cell r="N10">
            <v>0</v>
          </cell>
        </row>
      </sheetData>
      <sheetData sheetId="13"/>
      <sheetData sheetId="14">
        <row r="18">
          <cell r="O18">
            <v>201112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%5e@%2038.9%25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1:I25"/>
  <sheetViews>
    <sheetView workbookViewId="0"/>
  </sheetViews>
  <sheetFormatPr defaultRowHeight="13.2"/>
  <cols>
    <col min="1" max="1" width="9.21875" style="255"/>
    <col min="2" max="2" width="2.44140625" style="255" customWidth="1"/>
    <col min="3" max="9" width="12.21875" style="255" customWidth="1"/>
    <col min="10" max="10" width="2.21875" style="255" customWidth="1"/>
    <col min="11" max="257" width="9.21875" style="255"/>
    <col min="258" max="258" width="2.44140625" style="255" customWidth="1"/>
    <col min="259" max="265" width="12.21875" style="255" customWidth="1"/>
    <col min="266" max="266" width="2.21875" style="255" customWidth="1"/>
    <col min="267" max="513" width="9.21875" style="255"/>
    <col min="514" max="514" width="2.44140625" style="255" customWidth="1"/>
    <col min="515" max="521" width="12.21875" style="255" customWidth="1"/>
    <col min="522" max="522" width="2.21875" style="255" customWidth="1"/>
    <col min="523" max="769" width="9.21875" style="255"/>
    <col min="770" max="770" width="2.44140625" style="255" customWidth="1"/>
    <col min="771" max="777" width="12.21875" style="255" customWidth="1"/>
    <col min="778" max="778" width="2.21875" style="255" customWidth="1"/>
    <col min="779" max="1025" width="9.21875" style="255"/>
    <col min="1026" max="1026" width="2.44140625" style="255" customWidth="1"/>
    <col min="1027" max="1033" width="12.21875" style="255" customWidth="1"/>
    <col min="1034" max="1034" width="2.21875" style="255" customWidth="1"/>
    <col min="1035" max="1281" width="9.21875" style="255"/>
    <col min="1282" max="1282" width="2.44140625" style="255" customWidth="1"/>
    <col min="1283" max="1289" width="12.21875" style="255" customWidth="1"/>
    <col min="1290" max="1290" width="2.21875" style="255" customWidth="1"/>
    <col min="1291" max="1537" width="9.21875" style="255"/>
    <col min="1538" max="1538" width="2.44140625" style="255" customWidth="1"/>
    <col min="1539" max="1545" width="12.21875" style="255" customWidth="1"/>
    <col min="1546" max="1546" width="2.21875" style="255" customWidth="1"/>
    <col min="1547" max="1793" width="9.21875" style="255"/>
    <col min="1794" max="1794" width="2.44140625" style="255" customWidth="1"/>
    <col min="1795" max="1801" width="12.21875" style="255" customWidth="1"/>
    <col min="1802" max="1802" width="2.21875" style="255" customWidth="1"/>
    <col min="1803" max="2049" width="9.21875" style="255"/>
    <col min="2050" max="2050" width="2.44140625" style="255" customWidth="1"/>
    <col min="2051" max="2057" width="12.21875" style="255" customWidth="1"/>
    <col min="2058" max="2058" width="2.21875" style="255" customWidth="1"/>
    <col min="2059" max="2305" width="9.21875" style="255"/>
    <col min="2306" max="2306" width="2.44140625" style="255" customWidth="1"/>
    <col min="2307" max="2313" width="12.21875" style="255" customWidth="1"/>
    <col min="2314" max="2314" width="2.21875" style="255" customWidth="1"/>
    <col min="2315" max="2561" width="9.21875" style="255"/>
    <col min="2562" max="2562" width="2.44140625" style="255" customWidth="1"/>
    <col min="2563" max="2569" width="12.21875" style="255" customWidth="1"/>
    <col min="2570" max="2570" width="2.21875" style="255" customWidth="1"/>
    <col min="2571" max="2817" width="9.21875" style="255"/>
    <col min="2818" max="2818" width="2.44140625" style="255" customWidth="1"/>
    <col min="2819" max="2825" width="12.21875" style="255" customWidth="1"/>
    <col min="2826" max="2826" width="2.21875" style="255" customWidth="1"/>
    <col min="2827" max="3073" width="9.21875" style="255"/>
    <col min="3074" max="3074" width="2.44140625" style="255" customWidth="1"/>
    <col min="3075" max="3081" width="12.21875" style="255" customWidth="1"/>
    <col min="3082" max="3082" width="2.21875" style="255" customWidth="1"/>
    <col min="3083" max="3329" width="9.21875" style="255"/>
    <col min="3330" max="3330" width="2.44140625" style="255" customWidth="1"/>
    <col min="3331" max="3337" width="12.21875" style="255" customWidth="1"/>
    <col min="3338" max="3338" width="2.21875" style="255" customWidth="1"/>
    <col min="3339" max="3585" width="9.21875" style="255"/>
    <col min="3586" max="3586" width="2.44140625" style="255" customWidth="1"/>
    <col min="3587" max="3593" width="12.21875" style="255" customWidth="1"/>
    <col min="3594" max="3594" width="2.21875" style="255" customWidth="1"/>
    <col min="3595" max="3841" width="9.21875" style="255"/>
    <col min="3842" max="3842" width="2.44140625" style="255" customWidth="1"/>
    <col min="3843" max="3849" width="12.21875" style="255" customWidth="1"/>
    <col min="3850" max="3850" width="2.21875" style="255" customWidth="1"/>
    <col min="3851" max="4097" width="9.21875" style="255"/>
    <col min="4098" max="4098" width="2.44140625" style="255" customWidth="1"/>
    <col min="4099" max="4105" width="12.21875" style="255" customWidth="1"/>
    <col min="4106" max="4106" width="2.21875" style="255" customWidth="1"/>
    <col min="4107" max="4353" width="9.21875" style="255"/>
    <col min="4354" max="4354" width="2.44140625" style="255" customWidth="1"/>
    <col min="4355" max="4361" width="12.21875" style="255" customWidth="1"/>
    <col min="4362" max="4362" width="2.21875" style="255" customWidth="1"/>
    <col min="4363" max="4609" width="9.21875" style="255"/>
    <col min="4610" max="4610" width="2.44140625" style="255" customWidth="1"/>
    <col min="4611" max="4617" width="12.21875" style="255" customWidth="1"/>
    <col min="4618" max="4618" width="2.21875" style="255" customWidth="1"/>
    <col min="4619" max="4865" width="9.21875" style="255"/>
    <col min="4866" max="4866" width="2.44140625" style="255" customWidth="1"/>
    <col min="4867" max="4873" width="12.21875" style="255" customWidth="1"/>
    <col min="4874" max="4874" width="2.21875" style="255" customWidth="1"/>
    <col min="4875" max="5121" width="9.21875" style="255"/>
    <col min="5122" max="5122" width="2.44140625" style="255" customWidth="1"/>
    <col min="5123" max="5129" width="12.21875" style="255" customWidth="1"/>
    <col min="5130" max="5130" width="2.21875" style="255" customWidth="1"/>
    <col min="5131" max="5377" width="9.21875" style="255"/>
    <col min="5378" max="5378" width="2.44140625" style="255" customWidth="1"/>
    <col min="5379" max="5385" width="12.21875" style="255" customWidth="1"/>
    <col min="5386" max="5386" width="2.21875" style="255" customWidth="1"/>
    <col min="5387" max="5633" width="9.21875" style="255"/>
    <col min="5634" max="5634" width="2.44140625" style="255" customWidth="1"/>
    <col min="5635" max="5641" width="12.21875" style="255" customWidth="1"/>
    <col min="5642" max="5642" width="2.21875" style="255" customWidth="1"/>
    <col min="5643" max="5889" width="9.21875" style="255"/>
    <col min="5890" max="5890" width="2.44140625" style="255" customWidth="1"/>
    <col min="5891" max="5897" width="12.21875" style="255" customWidth="1"/>
    <col min="5898" max="5898" width="2.21875" style="255" customWidth="1"/>
    <col min="5899" max="6145" width="9.21875" style="255"/>
    <col min="6146" max="6146" width="2.44140625" style="255" customWidth="1"/>
    <col min="6147" max="6153" width="12.21875" style="255" customWidth="1"/>
    <col min="6154" max="6154" width="2.21875" style="255" customWidth="1"/>
    <col min="6155" max="6401" width="9.21875" style="255"/>
    <col min="6402" max="6402" width="2.44140625" style="255" customWidth="1"/>
    <col min="6403" max="6409" width="12.21875" style="255" customWidth="1"/>
    <col min="6410" max="6410" width="2.21875" style="255" customWidth="1"/>
    <col min="6411" max="6657" width="9.21875" style="255"/>
    <col min="6658" max="6658" width="2.44140625" style="255" customWidth="1"/>
    <col min="6659" max="6665" width="12.21875" style="255" customWidth="1"/>
    <col min="6666" max="6666" width="2.21875" style="255" customWidth="1"/>
    <col min="6667" max="6913" width="9.21875" style="255"/>
    <col min="6914" max="6914" width="2.44140625" style="255" customWidth="1"/>
    <col min="6915" max="6921" width="12.21875" style="255" customWidth="1"/>
    <col min="6922" max="6922" width="2.21875" style="255" customWidth="1"/>
    <col min="6923" max="7169" width="9.21875" style="255"/>
    <col min="7170" max="7170" width="2.44140625" style="255" customWidth="1"/>
    <col min="7171" max="7177" width="12.21875" style="255" customWidth="1"/>
    <col min="7178" max="7178" width="2.21875" style="255" customWidth="1"/>
    <col min="7179" max="7425" width="9.21875" style="255"/>
    <col min="7426" max="7426" width="2.44140625" style="255" customWidth="1"/>
    <col min="7427" max="7433" width="12.21875" style="255" customWidth="1"/>
    <col min="7434" max="7434" width="2.21875" style="255" customWidth="1"/>
    <col min="7435" max="7681" width="9.21875" style="255"/>
    <col min="7682" max="7682" width="2.44140625" style="255" customWidth="1"/>
    <col min="7683" max="7689" width="12.21875" style="255" customWidth="1"/>
    <col min="7690" max="7690" width="2.21875" style="255" customWidth="1"/>
    <col min="7691" max="7937" width="9.21875" style="255"/>
    <col min="7938" max="7938" width="2.44140625" style="255" customWidth="1"/>
    <col min="7939" max="7945" width="12.21875" style="255" customWidth="1"/>
    <col min="7946" max="7946" width="2.21875" style="255" customWidth="1"/>
    <col min="7947" max="8193" width="9.21875" style="255"/>
    <col min="8194" max="8194" width="2.44140625" style="255" customWidth="1"/>
    <col min="8195" max="8201" width="12.21875" style="255" customWidth="1"/>
    <col min="8202" max="8202" width="2.21875" style="255" customWidth="1"/>
    <col min="8203" max="8449" width="9.21875" style="255"/>
    <col min="8450" max="8450" width="2.44140625" style="255" customWidth="1"/>
    <col min="8451" max="8457" width="12.21875" style="255" customWidth="1"/>
    <col min="8458" max="8458" width="2.21875" style="255" customWidth="1"/>
    <col min="8459" max="8705" width="9.21875" style="255"/>
    <col min="8706" max="8706" width="2.44140625" style="255" customWidth="1"/>
    <col min="8707" max="8713" width="12.21875" style="255" customWidth="1"/>
    <col min="8714" max="8714" width="2.21875" style="255" customWidth="1"/>
    <col min="8715" max="8961" width="9.21875" style="255"/>
    <col min="8962" max="8962" width="2.44140625" style="255" customWidth="1"/>
    <col min="8963" max="8969" width="12.21875" style="255" customWidth="1"/>
    <col min="8970" max="8970" width="2.21875" style="255" customWidth="1"/>
    <col min="8971" max="9217" width="9.21875" style="255"/>
    <col min="9218" max="9218" width="2.44140625" style="255" customWidth="1"/>
    <col min="9219" max="9225" width="12.21875" style="255" customWidth="1"/>
    <col min="9226" max="9226" width="2.21875" style="255" customWidth="1"/>
    <col min="9227" max="9473" width="9.21875" style="255"/>
    <col min="9474" max="9474" width="2.44140625" style="255" customWidth="1"/>
    <col min="9475" max="9481" width="12.21875" style="255" customWidth="1"/>
    <col min="9482" max="9482" width="2.21875" style="255" customWidth="1"/>
    <col min="9483" max="9729" width="9.21875" style="255"/>
    <col min="9730" max="9730" width="2.44140625" style="255" customWidth="1"/>
    <col min="9731" max="9737" width="12.21875" style="255" customWidth="1"/>
    <col min="9738" max="9738" width="2.21875" style="255" customWidth="1"/>
    <col min="9739" max="9985" width="9.21875" style="255"/>
    <col min="9986" max="9986" width="2.44140625" style="255" customWidth="1"/>
    <col min="9987" max="9993" width="12.21875" style="255" customWidth="1"/>
    <col min="9994" max="9994" width="2.21875" style="255" customWidth="1"/>
    <col min="9995" max="10241" width="9.21875" style="255"/>
    <col min="10242" max="10242" width="2.44140625" style="255" customWidth="1"/>
    <col min="10243" max="10249" width="12.21875" style="255" customWidth="1"/>
    <col min="10250" max="10250" width="2.21875" style="255" customWidth="1"/>
    <col min="10251" max="10497" width="9.21875" style="255"/>
    <col min="10498" max="10498" width="2.44140625" style="255" customWidth="1"/>
    <col min="10499" max="10505" width="12.21875" style="255" customWidth="1"/>
    <col min="10506" max="10506" width="2.21875" style="255" customWidth="1"/>
    <col min="10507" max="10753" width="9.21875" style="255"/>
    <col min="10754" max="10754" width="2.44140625" style="255" customWidth="1"/>
    <col min="10755" max="10761" width="12.21875" style="255" customWidth="1"/>
    <col min="10762" max="10762" width="2.21875" style="255" customWidth="1"/>
    <col min="10763" max="11009" width="9.21875" style="255"/>
    <col min="11010" max="11010" width="2.44140625" style="255" customWidth="1"/>
    <col min="11011" max="11017" width="12.21875" style="255" customWidth="1"/>
    <col min="11018" max="11018" width="2.21875" style="255" customWidth="1"/>
    <col min="11019" max="11265" width="9.21875" style="255"/>
    <col min="11266" max="11266" width="2.44140625" style="255" customWidth="1"/>
    <col min="11267" max="11273" width="12.21875" style="255" customWidth="1"/>
    <col min="11274" max="11274" width="2.21875" style="255" customWidth="1"/>
    <col min="11275" max="11521" width="9.21875" style="255"/>
    <col min="11522" max="11522" width="2.44140625" style="255" customWidth="1"/>
    <col min="11523" max="11529" width="12.21875" style="255" customWidth="1"/>
    <col min="11530" max="11530" width="2.21875" style="255" customWidth="1"/>
    <col min="11531" max="11777" width="9.21875" style="255"/>
    <col min="11778" max="11778" width="2.44140625" style="255" customWidth="1"/>
    <col min="11779" max="11785" width="12.21875" style="255" customWidth="1"/>
    <col min="11786" max="11786" width="2.21875" style="255" customWidth="1"/>
    <col min="11787" max="12033" width="9.21875" style="255"/>
    <col min="12034" max="12034" width="2.44140625" style="255" customWidth="1"/>
    <col min="12035" max="12041" width="12.21875" style="255" customWidth="1"/>
    <col min="12042" max="12042" width="2.21875" style="255" customWidth="1"/>
    <col min="12043" max="12289" width="9.21875" style="255"/>
    <col min="12290" max="12290" width="2.44140625" style="255" customWidth="1"/>
    <col min="12291" max="12297" width="12.21875" style="255" customWidth="1"/>
    <col min="12298" max="12298" width="2.21875" style="255" customWidth="1"/>
    <col min="12299" max="12545" width="9.21875" style="255"/>
    <col min="12546" max="12546" width="2.44140625" style="255" customWidth="1"/>
    <col min="12547" max="12553" width="12.21875" style="255" customWidth="1"/>
    <col min="12554" max="12554" width="2.21875" style="255" customWidth="1"/>
    <col min="12555" max="12801" width="9.21875" style="255"/>
    <col min="12802" max="12802" width="2.44140625" style="255" customWidth="1"/>
    <col min="12803" max="12809" width="12.21875" style="255" customWidth="1"/>
    <col min="12810" max="12810" width="2.21875" style="255" customWidth="1"/>
    <col min="12811" max="13057" width="9.21875" style="255"/>
    <col min="13058" max="13058" width="2.44140625" style="255" customWidth="1"/>
    <col min="13059" max="13065" width="12.21875" style="255" customWidth="1"/>
    <col min="13066" max="13066" width="2.21875" style="255" customWidth="1"/>
    <col min="13067" max="13313" width="9.21875" style="255"/>
    <col min="13314" max="13314" width="2.44140625" style="255" customWidth="1"/>
    <col min="13315" max="13321" width="12.21875" style="255" customWidth="1"/>
    <col min="13322" max="13322" width="2.21875" style="255" customWidth="1"/>
    <col min="13323" max="13569" width="9.21875" style="255"/>
    <col min="13570" max="13570" width="2.44140625" style="255" customWidth="1"/>
    <col min="13571" max="13577" width="12.21875" style="255" customWidth="1"/>
    <col min="13578" max="13578" width="2.21875" style="255" customWidth="1"/>
    <col min="13579" max="13825" width="9.21875" style="255"/>
    <col min="13826" max="13826" width="2.44140625" style="255" customWidth="1"/>
    <col min="13827" max="13833" width="12.21875" style="255" customWidth="1"/>
    <col min="13834" max="13834" width="2.21875" style="255" customWidth="1"/>
    <col min="13835" max="14081" width="9.21875" style="255"/>
    <col min="14082" max="14082" width="2.44140625" style="255" customWidth="1"/>
    <col min="14083" max="14089" width="12.21875" style="255" customWidth="1"/>
    <col min="14090" max="14090" width="2.21875" style="255" customWidth="1"/>
    <col min="14091" max="14337" width="9.21875" style="255"/>
    <col min="14338" max="14338" width="2.44140625" style="255" customWidth="1"/>
    <col min="14339" max="14345" width="12.21875" style="255" customWidth="1"/>
    <col min="14346" max="14346" width="2.21875" style="255" customWidth="1"/>
    <col min="14347" max="14593" width="9.21875" style="255"/>
    <col min="14594" max="14594" width="2.44140625" style="255" customWidth="1"/>
    <col min="14595" max="14601" width="12.21875" style="255" customWidth="1"/>
    <col min="14602" max="14602" width="2.21875" style="255" customWidth="1"/>
    <col min="14603" max="14849" width="9.21875" style="255"/>
    <col min="14850" max="14850" width="2.44140625" style="255" customWidth="1"/>
    <col min="14851" max="14857" width="12.21875" style="255" customWidth="1"/>
    <col min="14858" max="14858" width="2.21875" style="255" customWidth="1"/>
    <col min="14859" max="15105" width="9.21875" style="255"/>
    <col min="15106" max="15106" width="2.44140625" style="255" customWidth="1"/>
    <col min="15107" max="15113" width="12.21875" style="255" customWidth="1"/>
    <col min="15114" max="15114" width="2.21875" style="255" customWidth="1"/>
    <col min="15115" max="15361" width="9.21875" style="255"/>
    <col min="15362" max="15362" width="2.44140625" style="255" customWidth="1"/>
    <col min="15363" max="15369" width="12.21875" style="255" customWidth="1"/>
    <col min="15370" max="15370" width="2.21875" style="255" customWidth="1"/>
    <col min="15371" max="15617" width="9.21875" style="255"/>
    <col min="15618" max="15618" width="2.44140625" style="255" customWidth="1"/>
    <col min="15619" max="15625" width="12.21875" style="255" customWidth="1"/>
    <col min="15626" max="15626" width="2.21875" style="255" customWidth="1"/>
    <col min="15627" max="15873" width="9.21875" style="255"/>
    <col min="15874" max="15874" width="2.44140625" style="255" customWidth="1"/>
    <col min="15875" max="15881" width="12.21875" style="255" customWidth="1"/>
    <col min="15882" max="15882" width="2.21875" style="255" customWidth="1"/>
    <col min="15883" max="16129" width="9.21875" style="255"/>
    <col min="16130" max="16130" width="2.44140625" style="255" customWidth="1"/>
    <col min="16131" max="16137" width="12.21875" style="255" customWidth="1"/>
    <col min="16138" max="16138" width="2.21875" style="255" customWidth="1"/>
    <col min="16139" max="16384" width="9.21875" style="255"/>
  </cols>
  <sheetData>
    <row r="11" spans="3:9" ht="15.6">
      <c r="C11" s="418" t="s">
        <v>370</v>
      </c>
      <c r="D11" s="419"/>
      <c r="E11" s="418"/>
      <c r="F11" s="418"/>
      <c r="G11" s="418"/>
      <c r="H11" s="418"/>
      <c r="I11" s="419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535"/>
      <c r="E16" s="535"/>
      <c r="F16" s="535"/>
      <c r="G16" s="535"/>
      <c r="H16" s="535"/>
    </row>
    <row r="17" spans="3:9" ht="12.75" customHeight="1">
      <c r="D17" s="256"/>
      <c r="F17" s="256"/>
      <c r="G17" s="256"/>
    </row>
    <row r="18" spans="3:9" ht="15.6">
      <c r="C18" s="418" t="s">
        <v>466</v>
      </c>
      <c r="D18" s="419"/>
      <c r="E18" s="418"/>
      <c r="F18" s="419"/>
      <c r="G18" s="418"/>
      <c r="H18" s="418"/>
      <c r="I18" s="419"/>
    </row>
    <row r="19" spans="3:9" ht="12.75" customHeight="1">
      <c r="D19" s="416"/>
      <c r="E19" s="416"/>
      <c r="F19" s="416"/>
      <c r="G19" s="416"/>
      <c r="H19" s="416"/>
    </row>
    <row r="20" spans="3:9" ht="15.6">
      <c r="C20" s="418" t="s">
        <v>467</v>
      </c>
      <c r="D20" s="419"/>
      <c r="E20" s="418"/>
      <c r="F20" s="418"/>
      <c r="G20" s="418"/>
      <c r="H20" s="418"/>
      <c r="I20" s="419"/>
    </row>
    <row r="24" spans="3:9" ht="15.6">
      <c r="D24" s="535"/>
      <c r="E24" s="535"/>
      <c r="F24" s="535"/>
      <c r="G24" s="535"/>
      <c r="H24" s="535"/>
    </row>
    <row r="25" spans="3:9" ht="15.6">
      <c r="D25" s="535"/>
      <c r="E25" s="535"/>
      <c r="F25" s="535"/>
      <c r="G25" s="535"/>
      <c r="H25" s="535"/>
    </row>
  </sheetData>
  <mergeCells count="3">
    <mergeCell ref="D25:H25"/>
    <mergeCell ref="D16:H16"/>
    <mergeCell ref="D24:H24"/>
  </mergeCells>
  <pageMargins left="0.75" right="0.75" top="1" bottom="1" header="0.5" footer="0.5"/>
  <pageSetup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"/>
  <sheetViews>
    <sheetView workbookViewId="0"/>
  </sheetViews>
  <sheetFormatPr defaultColWidth="9.21875" defaultRowHeight="13.2"/>
  <cols>
    <col min="1" max="16384" width="9.21875" style="254"/>
  </cols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0:I32"/>
  <sheetViews>
    <sheetView tabSelected="1" workbookViewId="0"/>
  </sheetViews>
  <sheetFormatPr defaultRowHeight="13.2"/>
  <cols>
    <col min="1" max="1" width="9.21875" style="255"/>
    <col min="2" max="2" width="2.44140625" style="255" customWidth="1"/>
    <col min="3" max="9" width="12.21875" style="255" customWidth="1"/>
    <col min="10" max="10" width="2.21875" style="255" customWidth="1"/>
    <col min="11" max="257" width="9.21875" style="255"/>
    <col min="258" max="258" width="2.44140625" style="255" customWidth="1"/>
    <col min="259" max="265" width="12.21875" style="255" customWidth="1"/>
    <col min="266" max="266" width="2.21875" style="255" customWidth="1"/>
    <col min="267" max="513" width="9.21875" style="255"/>
    <col min="514" max="514" width="2.44140625" style="255" customWidth="1"/>
    <col min="515" max="521" width="12.21875" style="255" customWidth="1"/>
    <col min="522" max="522" width="2.21875" style="255" customWidth="1"/>
    <col min="523" max="769" width="9.21875" style="255"/>
    <col min="770" max="770" width="2.44140625" style="255" customWidth="1"/>
    <col min="771" max="777" width="12.21875" style="255" customWidth="1"/>
    <col min="778" max="778" width="2.21875" style="255" customWidth="1"/>
    <col min="779" max="1025" width="9.21875" style="255"/>
    <col min="1026" max="1026" width="2.44140625" style="255" customWidth="1"/>
    <col min="1027" max="1033" width="12.21875" style="255" customWidth="1"/>
    <col min="1034" max="1034" width="2.21875" style="255" customWidth="1"/>
    <col min="1035" max="1281" width="9.21875" style="255"/>
    <col min="1282" max="1282" width="2.44140625" style="255" customWidth="1"/>
    <col min="1283" max="1289" width="12.21875" style="255" customWidth="1"/>
    <col min="1290" max="1290" width="2.21875" style="255" customWidth="1"/>
    <col min="1291" max="1537" width="9.21875" style="255"/>
    <col min="1538" max="1538" width="2.44140625" style="255" customWidth="1"/>
    <col min="1539" max="1545" width="12.21875" style="255" customWidth="1"/>
    <col min="1546" max="1546" width="2.21875" style="255" customWidth="1"/>
    <col min="1547" max="1793" width="9.21875" style="255"/>
    <col min="1794" max="1794" width="2.44140625" style="255" customWidth="1"/>
    <col min="1795" max="1801" width="12.21875" style="255" customWidth="1"/>
    <col min="1802" max="1802" width="2.21875" style="255" customWidth="1"/>
    <col min="1803" max="2049" width="9.21875" style="255"/>
    <col min="2050" max="2050" width="2.44140625" style="255" customWidth="1"/>
    <col min="2051" max="2057" width="12.21875" style="255" customWidth="1"/>
    <col min="2058" max="2058" width="2.21875" style="255" customWidth="1"/>
    <col min="2059" max="2305" width="9.21875" style="255"/>
    <col min="2306" max="2306" width="2.44140625" style="255" customWidth="1"/>
    <col min="2307" max="2313" width="12.21875" style="255" customWidth="1"/>
    <col min="2314" max="2314" width="2.21875" style="255" customWidth="1"/>
    <col min="2315" max="2561" width="9.21875" style="255"/>
    <col min="2562" max="2562" width="2.44140625" style="255" customWidth="1"/>
    <col min="2563" max="2569" width="12.21875" style="255" customWidth="1"/>
    <col min="2570" max="2570" width="2.21875" style="255" customWidth="1"/>
    <col min="2571" max="2817" width="9.21875" style="255"/>
    <col min="2818" max="2818" width="2.44140625" style="255" customWidth="1"/>
    <col min="2819" max="2825" width="12.21875" style="255" customWidth="1"/>
    <col min="2826" max="2826" width="2.21875" style="255" customWidth="1"/>
    <col min="2827" max="3073" width="9.21875" style="255"/>
    <col min="3074" max="3074" width="2.44140625" style="255" customWidth="1"/>
    <col min="3075" max="3081" width="12.21875" style="255" customWidth="1"/>
    <col min="3082" max="3082" width="2.21875" style="255" customWidth="1"/>
    <col min="3083" max="3329" width="9.21875" style="255"/>
    <col min="3330" max="3330" width="2.44140625" style="255" customWidth="1"/>
    <col min="3331" max="3337" width="12.21875" style="255" customWidth="1"/>
    <col min="3338" max="3338" width="2.21875" style="255" customWidth="1"/>
    <col min="3339" max="3585" width="9.21875" style="255"/>
    <col min="3586" max="3586" width="2.44140625" style="255" customWidth="1"/>
    <col min="3587" max="3593" width="12.21875" style="255" customWidth="1"/>
    <col min="3594" max="3594" width="2.21875" style="255" customWidth="1"/>
    <col min="3595" max="3841" width="9.21875" style="255"/>
    <col min="3842" max="3842" width="2.44140625" style="255" customWidth="1"/>
    <col min="3843" max="3849" width="12.21875" style="255" customWidth="1"/>
    <col min="3850" max="3850" width="2.21875" style="255" customWidth="1"/>
    <col min="3851" max="4097" width="9.21875" style="255"/>
    <col min="4098" max="4098" width="2.44140625" style="255" customWidth="1"/>
    <col min="4099" max="4105" width="12.21875" style="255" customWidth="1"/>
    <col min="4106" max="4106" width="2.21875" style="255" customWidth="1"/>
    <col min="4107" max="4353" width="9.21875" style="255"/>
    <col min="4354" max="4354" width="2.44140625" style="255" customWidth="1"/>
    <col min="4355" max="4361" width="12.21875" style="255" customWidth="1"/>
    <col min="4362" max="4362" width="2.21875" style="255" customWidth="1"/>
    <col min="4363" max="4609" width="9.21875" style="255"/>
    <col min="4610" max="4610" width="2.44140625" style="255" customWidth="1"/>
    <col min="4611" max="4617" width="12.21875" style="255" customWidth="1"/>
    <col min="4618" max="4618" width="2.21875" style="255" customWidth="1"/>
    <col min="4619" max="4865" width="9.21875" style="255"/>
    <col min="4866" max="4866" width="2.44140625" style="255" customWidth="1"/>
    <col min="4867" max="4873" width="12.21875" style="255" customWidth="1"/>
    <col min="4874" max="4874" width="2.21875" style="255" customWidth="1"/>
    <col min="4875" max="5121" width="9.21875" style="255"/>
    <col min="5122" max="5122" width="2.44140625" style="255" customWidth="1"/>
    <col min="5123" max="5129" width="12.21875" style="255" customWidth="1"/>
    <col min="5130" max="5130" width="2.21875" style="255" customWidth="1"/>
    <col min="5131" max="5377" width="9.21875" style="255"/>
    <col min="5378" max="5378" width="2.44140625" style="255" customWidth="1"/>
    <col min="5379" max="5385" width="12.21875" style="255" customWidth="1"/>
    <col min="5386" max="5386" width="2.21875" style="255" customWidth="1"/>
    <col min="5387" max="5633" width="9.21875" style="255"/>
    <col min="5634" max="5634" width="2.44140625" style="255" customWidth="1"/>
    <col min="5635" max="5641" width="12.21875" style="255" customWidth="1"/>
    <col min="5642" max="5642" width="2.21875" style="255" customWidth="1"/>
    <col min="5643" max="5889" width="9.21875" style="255"/>
    <col min="5890" max="5890" width="2.44140625" style="255" customWidth="1"/>
    <col min="5891" max="5897" width="12.21875" style="255" customWidth="1"/>
    <col min="5898" max="5898" width="2.21875" style="255" customWidth="1"/>
    <col min="5899" max="6145" width="9.21875" style="255"/>
    <col min="6146" max="6146" width="2.44140625" style="255" customWidth="1"/>
    <col min="6147" max="6153" width="12.21875" style="255" customWidth="1"/>
    <col min="6154" max="6154" width="2.21875" style="255" customWidth="1"/>
    <col min="6155" max="6401" width="9.21875" style="255"/>
    <col min="6402" max="6402" width="2.44140625" style="255" customWidth="1"/>
    <col min="6403" max="6409" width="12.21875" style="255" customWidth="1"/>
    <col min="6410" max="6410" width="2.21875" style="255" customWidth="1"/>
    <col min="6411" max="6657" width="9.21875" style="255"/>
    <col min="6658" max="6658" width="2.44140625" style="255" customWidth="1"/>
    <col min="6659" max="6665" width="12.21875" style="255" customWidth="1"/>
    <col min="6666" max="6666" width="2.21875" style="255" customWidth="1"/>
    <col min="6667" max="6913" width="9.21875" style="255"/>
    <col min="6914" max="6914" width="2.44140625" style="255" customWidth="1"/>
    <col min="6915" max="6921" width="12.21875" style="255" customWidth="1"/>
    <col min="6922" max="6922" width="2.21875" style="255" customWidth="1"/>
    <col min="6923" max="7169" width="9.21875" style="255"/>
    <col min="7170" max="7170" width="2.44140625" style="255" customWidth="1"/>
    <col min="7171" max="7177" width="12.21875" style="255" customWidth="1"/>
    <col min="7178" max="7178" width="2.21875" style="255" customWidth="1"/>
    <col min="7179" max="7425" width="9.21875" style="255"/>
    <col min="7426" max="7426" width="2.44140625" style="255" customWidth="1"/>
    <col min="7427" max="7433" width="12.21875" style="255" customWidth="1"/>
    <col min="7434" max="7434" width="2.21875" style="255" customWidth="1"/>
    <col min="7435" max="7681" width="9.21875" style="255"/>
    <col min="7682" max="7682" width="2.44140625" style="255" customWidth="1"/>
    <col min="7683" max="7689" width="12.21875" style="255" customWidth="1"/>
    <col min="7690" max="7690" width="2.21875" style="255" customWidth="1"/>
    <col min="7691" max="7937" width="9.21875" style="255"/>
    <col min="7938" max="7938" width="2.44140625" style="255" customWidth="1"/>
    <col min="7939" max="7945" width="12.21875" style="255" customWidth="1"/>
    <col min="7946" max="7946" width="2.21875" style="255" customWidth="1"/>
    <col min="7947" max="8193" width="9.21875" style="255"/>
    <col min="8194" max="8194" width="2.44140625" style="255" customWidth="1"/>
    <col min="8195" max="8201" width="12.21875" style="255" customWidth="1"/>
    <col min="8202" max="8202" width="2.21875" style="255" customWidth="1"/>
    <col min="8203" max="8449" width="9.21875" style="255"/>
    <col min="8450" max="8450" width="2.44140625" style="255" customWidth="1"/>
    <col min="8451" max="8457" width="12.21875" style="255" customWidth="1"/>
    <col min="8458" max="8458" width="2.21875" style="255" customWidth="1"/>
    <col min="8459" max="8705" width="9.21875" style="255"/>
    <col min="8706" max="8706" width="2.44140625" style="255" customWidth="1"/>
    <col min="8707" max="8713" width="12.21875" style="255" customWidth="1"/>
    <col min="8714" max="8714" width="2.21875" style="255" customWidth="1"/>
    <col min="8715" max="8961" width="9.21875" style="255"/>
    <col min="8962" max="8962" width="2.44140625" style="255" customWidth="1"/>
    <col min="8963" max="8969" width="12.21875" style="255" customWidth="1"/>
    <col min="8970" max="8970" width="2.21875" style="255" customWidth="1"/>
    <col min="8971" max="9217" width="9.21875" style="255"/>
    <col min="9218" max="9218" width="2.44140625" style="255" customWidth="1"/>
    <col min="9219" max="9225" width="12.21875" style="255" customWidth="1"/>
    <col min="9226" max="9226" width="2.21875" style="255" customWidth="1"/>
    <col min="9227" max="9473" width="9.21875" style="255"/>
    <col min="9474" max="9474" width="2.44140625" style="255" customWidth="1"/>
    <col min="9475" max="9481" width="12.21875" style="255" customWidth="1"/>
    <col min="9482" max="9482" width="2.21875" style="255" customWidth="1"/>
    <col min="9483" max="9729" width="9.21875" style="255"/>
    <col min="9730" max="9730" width="2.44140625" style="255" customWidth="1"/>
    <col min="9731" max="9737" width="12.21875" style="255" customWidth="1"/>
    <col min="9738" max="9738" width="2.21875" style="255" customWidth="1"/>
    <col min="9739" max="9985" width="9.21875" style="255"/>
    <col min="9986" max="9986" width="2.44140625" style="255" customWidth="1"/>
    <col min="9987" max="9993" width="12.21875" style="255" customWidth="1"/>
    <col min="9994" max="9994" width="2.21875" style="255" customWidth="1"/>
    <col min="9995" max="10241" width="9.21875" style="255"/>
    <col min="10242" max="10242" width="2.44140625" style="255" customWidth="1"/>
    <col min="10243" max="10249" width="12.21875" style="255" customWidth="1"/>
    <col min="10250" max="10250" width="2.21875" style="255" customWidth="1"/>
    <col min="10251" max="10497" width="9.21875" style="255"/>
    <col min="10498" max="10498" width="2.44140625" style="255" customWidth="1"/>
    <col min="10499" max="10505" width="12.21875" style="255" customWidth="1"/>
    <col min="10506" max="10506" width="2.21875" style="255" customWidth="1"/>
    <col min="10507" max="10753" width="9.21875" style="255"/>
    <col min="10754" max="10754" width="2.44140625" style="255" customWidth="1"/>
    <col min="10755" max="10761" width="12.21875" style="255" customWidth="1"/>
    <col min="10762" max="10762" width="2.21875" style="255" customWidth="1"/>
    <col min="10763" max="11009" width="9.21875" style="255"/>
    <col min="11010" max="11010" width="2.44140625" style="255" customWidth="1"/>
    <col min="11011" max="11017" width="12.21875" style="255" customWidth="1"/>
    <col min="11018" max="11018" width="2.21875" style="255" customWidth="1"/>
    <col min="11019" max="11265" width="9.21875" style="255"/>
    <col min="11266" max="11266" width="2.44140625" style="255" customWidth="1"/>
    <col min="11267" max="11273" width="12.21875" style="255" customWidth="1"/>
    <col min="11274" max="11274" width="2.21875" style="255" customWidth="1"/>
    <col min="11275" max="11521" width="9.21875" style="255"/>
    <col min="11522" max="11522" width="2.44140625" style="255" customWidth="1"/>
    <col min="11523" max="11529" width="12.21875" style="255" customWidth="1"/>
    <col min="11530" max="11530" width="2.21875" style="255" customWidth="1"/>
    <col min="11531" max="11777" width="9.21875" style="255"/>
    <col min="11778" max="11778" width="2.44140625" style="255" customWidth="1"/>
    <col min="11779" max="11785" width="12.21875" style="255" customWidth="1"/>
    <col min="11786" max="11786" width="2.21875" style="255" customWidth="1"/>
    <col min="11787" max="12033" width="9.21875" style="255"/>
    <col min="12034" max="12034" width="2.44140625" style="255" customWidth="1"/>
    <col min="12035" max="12041" width="12.21875" style="255" customWidth="1"/>
    <col min="12042" max="12042" width="2.21875" style="255" customWidth="1"/>
    <col min="12043" max="12289" width="9.21875" style="255"/>
    <col min="12290" max="12290" width="2.44140625" style="255" customWidth="1"/>
    <col min="12291" max="12297" width="12.21875" style="255" customWidth="1"/>
    <col min="12298" max="12298" width="2.21875" style="255" customWidth="1"/>
    <col min="12299" max="12545" width="9.21875" style="255"/>
    <col min="12546" max="12546" width="2.44140625" style="255" customWidth="1"/>
    <col min="12547" max="12553" width="12.21875" style="255" customWidth="1"/>
    <col min="12554" max="12554" width="2.21875" style="255" customWidth="1"/>
    <col min="12555" max="12801" width="9.21875" style="255"/>
    <col min="12802" max="12802" width="2.44140625" style="255" customWidth="1"/>
    <col min="12803" max="12809" width="12.21875" style="255" customWidth="1"/>
    <col min="12810" max="12810" width="2.21875" style="255" customWidth="1"/>
    <col min="12811" max="13057" width="9.21875" style="255"/>
    <col min="13058" max="13058" width="2.44140625" style="255" customWidth="1"/>
    <col min="13059" max="13065" width="12.21875" style="255" customWidth="1"/>
    <col min="13066" max="13066" width="2.21875" style="255" customWidth="1"/>
    <col min="13067" max="13313" width="9.21875" style="255"/>
    <col min="13314" max="13314" width="2.44140625" style="255" customWidth="1"/>
    <col min="13315" max="13321" width="12.21875" style="255" customWidth="1"/>
    <col min="13322" max="13322" width="2.21875" style="255" customWidth="1"/>
    <col min="13323" max="13569" width="9.21875" style="255"/>
    <col min="13570" max="13570" width="2.44140625" style="255" customWidth="1"/>
    <col min="13571" max="13577" width="12.21875" style="255" customWidth="1"/>
    <col min="13578" max="13578" width="2.21875" style="255" customWidth="1"/>
    <col min="13579" max="13825" width="9.21875" style="255"/>
    <col min="13826" max="13826" width="2.44140625" style="255" customWidth="1"/>
    <col min="13827" max="13833" width="12.21875" style="255" customWidth="1"/>
    <col min="13834" max="13834" width="2.21875" style="255" customWidth="1"/>
    <col min="13835" max="14081" width="9.21875" style="255"/>
    <col min="14082" max="14082" width="2.44140625" style="255" customWidth="1"/>
    <col min="14083" max="14089" width="12.21875" style="255" customWidth="1"/>
    <col min="14090" max="14090" width="2.21875" style="255" customWidth="1"/>
    <col min="14091" max="14337" width="9.21875" style="255"/>
    <col min="14338" max="14338" width="2.44140625" style="255" customWidth="1"/>
    <col min="14339" max="14345" width="12.21875" style="255" customWidth="1"/>
    <col min="14346" max="14346" width="2.21875" style="255" customWidth="1"/>
    <col min="14347" max="14593" width="9.21875" style="255"/>
    <col min="14594" max="14594" width="2.44140625" style="255" customWidth="1"/>
    <col min="14595" max="14601" width="12.21875" style="255" customWidth="1"/>
    <col min="14602" max="14602" width="2.21875" style="255" customWidth="1"/>
    <col min="14603" max="14849" width="9.21875" style="255"/>
    <col min="14850" max="14850" width="2.44140625" style="255" customWidth="1"/>
    <col min="14851" max="14857" width="12.21875" style="255" customWidth="1"/>
    <col min="14858" max="14858" width="2.21875" style="255" customWidth="1"/>
    <col min="14859" max="15105" width="9.21875" style="255"/>
    <col min="15106" max="15106" width="2.44140625" style="255" customWidth="1"/>
    <col min="15107" max="15113" width="12.21875" style="255" customWidth="1"/>
    <col min="15114" max="15114" width="2.21875" style="255" customWidth="1"/>
    <col min="15115" max="15361" width="9.21875" style="255"/>
    <col min="15362" max="15362" width="2.44140625" style="255" customWidth="1"/>
    <col min="15363" max="15369" width="12.21875" style="255" customWidth="1"/>
    <col min="15370" max="15370" width="2.21875" style="255" customWidth="1"/>
    <col min="15371" max="15617" width="9.21875" style="255"/>
    <col min="15618" max="15618" width="2.44140625" style="255" customWidth="1"/>
    <col min="15619" max="15625" width="12.21875" style="255" customWidth="1"/>
    <col min="15626" max="15626" width="2.21875" style="255" customWidth="1"/>
    <col min="15627" max="15873" width="9.21875" style="255"/>
    <col min="15874" max="15874" width="2.44140625" style="255" customWidth="1"/>
    <col min="15875" max="15881" width="12.21875" style="255" customWidth="1"/>
    <col min="15882" max="15882" width="2.21875" style="255" customWidth="1"/>
    <col min="15883" max="16129" width="9.21875" style="255"/>
    <col min="16130" max="16130" width="2.44140625" style="255" customWidth="1"/>
    <col min="16131" max="16137" width="12.21875" style="255" customWidth="1"/>
    <col min="16138" max="16138" width="2.21875" style="255" customWidth="1"/>
    <col min="16139" max="16384" width="9.21875" style="255"/>
  </cols>
  <sheetData>
    <row r="10" spans="3:9" ht="12.75" customHeight="1"/>
    <row r="11" spans="3:9" ht="15.6">
      <c r="C11" s="418" t="s">
        <v>370</v>
      </c>
      <c r="D11" s="419"/>
      <c r="E11" s="418"/>
      <c r="F11" s="418"/>
      <c r="G11" s="418"/>
      <c r="H11" s="418"/>
      <c r="I11" s="419"/>
    </row>
    <row r="13" spans="3:9" ht="12.75" customHeight="1"/>
    <row r="14" spans="3:9" ht="12.75" customHeight="1"/>
    <row r="15" spans="3:9" ht="12.75" customHeight="1"/>
    <row r="16" spans="3:9" ht="12.75" customHeight="1">
      <c r="E16" s="417"/>
      <c r="F16" s="417"/>
      <c r="G16" s="417"/>
      <c r="H16" s="417"/>
    </row>
    <row r="17" spans="3:9" ht="12.75" customHeight="1">
      <c r="C17" s="256"/>
      <c r="F17" s="256"/>
      <c r="G17" s="256"/>
    </row>
    <row r="18" spans="3:9" ht="15.6">
      <c r="C18" s="418" t="s">
        <v>469</v>
      </c>
      <c r="D18" s="419"/>
      <c r="E18" s="418"/>
      <c r="F18" s="419"/>
      <c r="G18" s="418"/>
      <c r="H18" s="418"/>
      <c r="I18" s="419"/>
    </row>
    <row r="19" spans="3:9" ht="12.75" customHeight="1">
      <c r="E19" s="417"/>
      <c r="F19" s="417"/>
      <c r="G19" s="417"/>
      <c r="H19" s="417"/>
    </row>
    <row r="20" spans="3:9" ht="12.75" customHeight="1"/>
    <row r="21" spans="3:9" ht="12.75" customHeight="1">
      <c r="E21" s="417"/>
      <c r="F21" s="417"/>
      <c r="G21" s="417"/>
      <c r="H21" s="417"/>
    </row>
    <row r="22" spans="3:9" ht="15.6">
      <c r="C22" s="418" t="s">
        <v>371</v>
      </c>
      <c r="D22" s="419"/>
      <c r="E22" s="419"/>
      <c r="F22" s="419"/>
      <c r="G22" s="419"/>
      <c r="H22" s="419"/>
      <c r="I22" s="419"/>
    </row>
    <row r="23" spans="3:9" ht="12.75" customHeight="1"/>
    <row r="24" spans="3:9" ht="15.6">
      <c r="C24" s="418" t="s">
        <v>372</v>
      </c>
      <c r="D24" s="419"/>
      <c r="E24" s="419"/>
      <c r="F24" s="419"/>
      <c r="G24" s="419"/>
      <c r="H24" s="419"/>
      <c r="I24" s="419"/>
    </row>
    <row r="25" spans="3:9" ht="15.6">
      <c r="C25" s="418" t="s">
        <v>451</v>
      </c>
      <c r="D25" s="419"/>
      <c r="E25" s="419"/>
      <c r="F25" s="419"/>
      <c r="G25" s="419"/>
      <c r="H25" s="419"/>
      <c r="I25" s="419"/>
    </row>
    <row r="26" spans="3:9" ht="12.75" customHeight="1"/>
    <row r="27" spans="3:9" ht="12.75" customHeight="1"/>
    <row r="28" spans="3:9" ht="15.6">
      <c r="C28" s="418" t="s">
        <v>509</v>
      </c>
      <c r="D28" s="419"/>
      <c r="E28" s="418"/>
      <c r="F28" s="418"/>
      <c r="G28" s="418"/>
      <c r="H28" s="418"/>
      <c r="I28" s="419"/>
    </row>
    <row r="29" spans="3:9" ht="15.6">
      <c r="C29" s="418" t="s">
        <v>510</v>
      </c>
      <c r="D29" s="419"/>
      <c r="E29" s="418"/>
      <c r="F29" s="418"/>
      <c r="G29" s="418"/>
      <c r="H29" s="418"/>
      <c r="I29" s="419"/>
    </row>
    <row r="30" spans="3:9" ht="12.75" customHeight="1"/>
    <row r="31" spans="3:9" ht="12.75" customHeight="1"/>
    <row r="32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9C75-A117-4634-A26D-772B856278B4}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F56D-03C3-4B87-B1C0-C60FEE5CD36B}">
  <sheetPr>
    <pageSetUpPr fitToPage="1"/>
  </sheetPr>
  <dimension ref="A1:AJ1048576"/>
  <sheetViews>
    <sheetView zoomScale="55" zoomScaleNormal="55" workbookViewId="0"/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20.77734375" style="72" customWidth="1"/>
    <col min="18" max="18" width="13.77734375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36">
      <c r="A3" s="194" t="s">
        <v>608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 t="s">
        <v>547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15">
        <v>2019</v>
      </c>
      <c r="E6" s="95">
        <v>2020</v>
      </c>
      <c r="F6" s="95">
        <f>$E$6</f>
        <v>2020</v>
      </c>
      <c r="G6" s="95">
        <f>$E$6</f>
        <v>2020</v>
      </c>
      <c r="H6" s="95">
        <f>$E$6</f>
        <v>2020</v>
      </c>
      <c r="I6" s="95">
        <f>$E$6</f>
        <v>2020</v>
      </c>
      <c r="J6" s="95">
        <f>$E$6</f>
        <v>2020</v>
      </c>
      <c r="K6" s="95">
        <f t="shared" ref="K6:Q6" si="0">$E$6</f>
        <v>2020</v>
      </c>
      <c r="L6" s="95">
        <f t="shared" si="0"/>
        <v>2020</v>
      </c>
      <c r="M6" s="95">
        <f t="shared" si="0"/>
        <v>2020</v>
      </c>
      <c r="N6" s="95">
        <f t="shared" si="0"/>
        <v>2020</v>
      </c>
      <c r="O6" s="95">
        <f t="shared" si="0"/>
        <v>2020</v>
      </c>
      <c r="P6" s="95">
        <f t="shared" si="0"/>
        <v>2020</v>
      </c>
      <c r="Q6" s="133">
        <f t="shared" si="0"/>
        <v>2020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455</v>
      </c>
      <c r="D11" s="371">
        <f>'Rev Req 2019-Distr'!P11</f>
        <v>55802508.359999999</v>
      </c>
      <c r="E11" s="372">
        <f>SUM('202001 Bk Depr'!R13,'202001 Bk Depr'!R15:R17,'202001 Bk Depr'!R21,'202001 Bk Depr'!R23:R25)</f>
        <v>57355426.280824326</v>
      </c>
      <c r="F11" s="372">
        <f>SUM('202002 Bk Depr'!R13,'202002 Bk Depr'!R15:R17,'202002 Bk Depr'!R21,'202002 Bk Depr'!R23:R25)</f>
        <v>58579522.191648647</v>
      </c>
      <c r="G11" s="372">
        <f>SUM('202003 Bk Depr'!R13,'202003 Bk Depr'!R15:R17,'202003 Bk Depr'!R21,'202003 Bk Depr'!R23:R25)</f>
        <v>59904150.762472972</v>
      </c>
      <c r="H11" s="372">
        <f>SUM('202004 Bk Depr'!R13,'202004 Bk Depr'!R15:R17,'202004 Bk Depr'!R21,'202004 Bk Depr'!R23:R25)</f>
        <v>61291374.123297289</v>
      </c>
      <c r="I11" s="372">
        <f>SUM('202005 Bk Depr'!R13,'202005 Bk Depr'!R15:R17,'202005 Bk Depr'!R21,'202005 Bk Depr'!R23:R25)</f>
        <v>62612971.14412161</v>
      </c>
      <c r="J11" s="372">
        <f>SUM('202006 Bk Depr'!R13,'202006 Bk Depr'!R15:R17,'202006 Bk Depr'!R21,'202006 Bk Depr'!R23:R25)</f>
        <v>63981797.944945931</v>
      </c>
      <c r="K11" s="372">
        <f>SUM('202007 Bk Depr'!R13,'202007 Bk Depr'!R15:R17,'202007 Bk Depr'!R21,'202007 Bk Depr'!R23:R25)</f>
        <v>65436021.485770248</v>
      </c>
      <c r="L11" s="372">
        <f>SUM('202008 Bk Depr'!R13,'202008 Bk Depr'!R15:R17,'202008 Bk Depr'!R21,'202008 Bk Depr'!R23:R25)</f>
        <v>66884581.92659457</v>
      </c>
      <c r="M11" s="372">
        <f>SUM('202009 Bk Depr'!R13,'202009 Bk Depr'!R15:R17,'202009 Bk Depr'!R21,'202009 Bk Depr'!R23:R25)</f>
        <v>68270129.577418879</v>
      </c>
      <c r="N11" s="372">
        <f>SUM('202010 Bk Depr'!R13,'202010 Bk Depr'!R15:R17,'202010 Bk Depr'!R21,'202010 Bk Depr'!R23:R25)</f>
        <v>69641954.028243214</v>
      </c>
      <c r="O11" s="372">
        <f>SUM('202011 Bk Depr'!R13,'202011 Bk Depr'!R15:R17,'202011 Bk Depr'!R21,'202011 Bk Depr'!R23:R25)</f>
        <v>70927336.849067524</v>
      </c>
      <c r="P11" s="372">
        <f>SUM('202012 Bk Depr'!R13,'202012 Bk Depr'!R15:R17,'202012 Bk Depr'!R21,'202012 Bk Depr'!R23:R25)</f>
        <v>72198503.519891858</v>
      </c>
      <c r="Q11" s="373">
        <f>AVERAGE(D11:P11)</f>
        <v>64068175.245715156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f>'201912 Bk Depr'!R31</f>
        <v>8089722.0599999996</v>
      </c>
      <c r="E12" s="372">
        <f>SUM('202001 Bk Depr'!R31,'202001 Bk Depr'!R33:R35)</f>
        <v>8459892.2799999993</v>
      </c>
      <c r="F12" s="372">
        <f>SUM('202002 Bk Depr'!R31,'202002 Bk Depr'!R33:R35)</f>
        <v>8658641.709999999</v>
      </c>
      <c r="G12" s="372">
        <f>SUM('202003 Bk Depr'!R31,'202003 Bk Depr'!R33:R35)</f>
        <v>8941770.7599999998</v>
      </c>
      <c r="H12" s="372">
        <f>SUM('202004 Bk Depr'!R31,'202004 Bk Depr'!R33:R35)</f>
        <v>9225504.0799999982</v>
      </c>
      <c r="I12" s="372">
        <f>SUM('202005 Bk Depr'!R31,'202005 Bk Depr'!R33:R35)</f>
        <v>9505591.4199999981</v>
      </c>
      <c r="J12" s="372">
        <f>SUM('202006 Bk Depr'!R31,'202006 Bk Depr'!R33:R35)</f>
        <v>9793605.9799999986</v>
      </c>
      <c r="K12" s="372">
        <f>SUM('202007 Bk Depr'!R31,'202007 Bk Depr'!R33:R35)</f>
        <v>10078348.379999999</v>
      </c>
      <c r="L12" s="372">
        <f>SUM('202008 Bk Depr'!R31,'202008 Bk Depr'!R33:R35)</f>
        <v>10365004.149999999</v>
      </c>
      <c r="M12" s="372">
        <f>SUM('202009 Bk Depr'!R31,'202009 Bk Depr'!R33:R35)</f>
        <v>10647982.529999997</v>
      </c>
      <c r="N12" s="372">
        <f>SUM('202010 Bk Depr'!R31,'202010 Bk Depr'!R33:R35)</f>
        <v>10937580.129999997</v>
      </c>
      <c r="O12" s="372">
        <f>SUM('202011 Bk Depr'!R31,'202011 Bk Depr'!R33:R35)</f>
        <v>11222833.859999998</v>
      </c>
      <c r="P12" s="372">
        <f>SUM('202012 Bk Depr'!R31,'202012 Bk Depr'!R33:R35)</f>
        <v>11530206.349999998</v>
      </c>
      <c r="Q12" s="373">
        <f>AVERAGE(D12:P12)</f>
        <v>9804360.2838461529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9">
        <f>'Rev Req 2019-Distr'!P13</f>
        <v>-2215132.9283872508</v>
      </c>
      <c r="E13" s="380">
        <f>-'Cap&amp;OpEx 2020'!C24-SUM('202001 Bk Depr'!P13,'202001 Bk Depr'!P15:P17,'202001 Bk Depr'!P21,'202001 Bk Depr'!P23:P25)+D13</f>
        <v>-2357814.2107818634</v>
      </c>
      <c r="F13" s="380">
        <f>-'Cap&amp;OpEx 2020'!D24-SUM('202002 Bk Depr'!P13,'202002 Bk Depr'!P15:P17,'202002 Bk Depr'!P21,'202002 Bk Depr'!P23:P25)+E13</f>
        <v>-2504244.4617142021</v>
      </c>
      <c r="G13" s="380">
        <f>-'Cap&amp;OpEx 2020'!E24-SUM('202003 Bk Depr'!P13,'202003 Bk Depr'!P15:P17,'202003 Bk Depr'!P21,'202003 Bk Depr'!P23:P25)+F13</f>
        <v>-2654125.7317967662</v>
      </c>
      <c r="H13" s="380">
        <f>-'Cap&amp;OpEx 2020'!F24-SUM('202004 Bk Depr'!P13,'202004 Bk Depr'!P15:P17,'202004 Bk Depr'!P21,'202004 Bk Depr'!P23:P25)+G13</f>
        <v>-2807668.0019870559</v>
      </c>
      <c r="I13" s="380">
        <f>-'Cap&amp;OpEx 2020'!G24-SUM('202005 Bk Depr'!P13,'202005 Bk Depr'!P15:P17,'202005 Bk Depr'!P21,'202005 Bk Depr'!P23:P25)+H13</f>
        <v>-2964867.1796925715</v>
      </c>
      <c r="J13" s="380">
        <f>-'Cap&amp;OpEx 2020'!H24-SUM('202006 Bk Depr'!P13,'202006 Bk Depr'!P15:P17,'202006 Bk Depr'!P21,'202006 Bk Depr'!P23:P25)+I13</f>
        <v>-3125698.4295573127</v>
      </c>
      <c r="K13" s="380">
        <f>-'Cap&amp;OpEx 2020'!I24-SUM('202007 Bk Depr'!P13,'202007 Bk Depr'!P15:P17,'202007 Bk Depr'!P21,'202007 Bk Depr'!P23:P25)+J13</f>
        <v>-3290340.7973832795</v>
      </c>
      <c r="L13" s="380">
        <f>-'Cap&amp;OpEx 2020'!J24-SUM('202008 Bk Depr'!P13,'202008 Bk Depr'!P15:P17,'202008 Bk Depr'!P21,'202008 Bk Depr'!P23:P25)+K13</f>
        <v>-3458901.9235844719</v>
      </c>
      <c r="M13" s="380">
        <f>-'Cap&amp;OpEx 2020'!K24-SUM('202009 Bk Depr'!P13,'202009 Bk Depr'!P15:P17,'202009 Bk Depr'!P21,'202009 Bk Depr'!P23:P25)+L13</f>
        <v>-3631289.09570939</v>
      </c>
      <c r="N13" s="380">
        <f>-'Cap&amp;OpEx 2020'!L24-SUM('202010 Bk Depr'!P13,'202010 Bk Depr'!P15:P17,'202010 Bk Depr'!P21,'202010 Bk Depr'!P23:P25)+M13</f>
        <v>-3807398.720171534</v>
      </c>
      <c r="O13" s="380">
        <f>-'Cap&amp;OpEx 2020'!M24-SUM('202011 Bk Depr'!P13,'202011 Bk Depr'!P15:P17,'202011 Bk Depr'!P21,'202011 Bk Depr'!P23:P25)+N13</f>
        <v>-3987095.5744504035</v>
      </c>
      <c r="P13" s="380">
        <f>-'Cap&amp;OpEx 2020'!N24-SUM('202012 Bk Depr'!P13,'202012 Bk Depr'!P15:P17,'202012 Bk Depr'!P21,'202012 Bk Depr'!P23:P25)+O13</f>
        <v>-4170243.7705429988</v>
      </c>
      <c r="Q13" s="378">
        <f>AVERAGE(D13:P13)</f>
        <v>-3151909.2942891619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411">
        <f t="shared" ref="D14:Q14" si="1">SUM(D11:D13)</f>
        <v>61677097.491612747</v>
      </c>
      <c r="E14" s="372">
        <f t="shared" si="1"/>
        <v>63457504.350042462</v>
      </c>
      <c r="F14" s="372">
        <f t="shared" si="1"/>
        <v>64733919.43993444</v>
      </c>
      <c r="G14" s="372">
        <f t="shared" si="1"/>
        <v>66191795.790676214</v>
      </c>
      <c r="H14" s="372">
        <f t="shared" si="1"/>
        <v>67709210.201310232</v>
      </c>
      <c r="I14" s="372">
        <f t="shared" si="1"/>
        <v>69153695.384429038</v>
      </c>
      <c r="J14" s="372">
        <f t="shared" si="1"/>
        <v>70649705.495388627</v>
      </c>
      <c r="K14" s="372">
        <f t="shared" si="1"/>
        <v>72224029.068386972</v>
      </c>
      <c r="L14" s="372">
        <f t="shared" si="1"/>
        <v>73790684.153010085</v>
      </c>
      <c r="M14" s="372">
        <f t="shared" si="1"/>
        <v>75286823.011709496</v>
      </c>
      <c r="N14" s="372">
        <f t="shared" si="1"/>
        <v>76772135.438071668</v>
      </c>
      <c r="O14" s="372">
        <f t="shared" si="1"/>
        <v>78163075.13461712</v>
      </c>
      <c r="P14" s="372">
        <f t="shared" si="1"/>
        <v>79558466.099348858</v>
      </c>
      <c r="Q14" s="373">
        <f t="shared" si="1"/>
        <v>70720626.235272154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9">
        <f>-'Tax Depr 2020-Dist'!W16</f>
        <v>-8790723.2920829672</v>
      </c>
      <c r="E16" s="380">
        <f>-'Tax Depr 2020-Dist'!W17</f>
        <v>-9026305.4270208124</v>
      </c>
      <c r="F16" s="380">
        <f>-'Tax Depr 2020-Dist'!W18</f>
        <v>-9175507.3316324763</v>
      </c>
      <c r="G16" s="380">
        <f>-'Tax Depr 2020-Dist'!W19</f>
        <v>-9341004.849541489</v>
      </c>
      <c r="H16" s="380">
        <f>-'Tax Depr 2020-Dist'!W20</f>
        <v>-9487327.5901356805</v>
      </c>
      <c r="I16" s="380">
        <f>-'Tax Depr 2020-Dist'!W21</f>
        <v>-9606539.9362755008</v>
      </c>
      <c r="J16" s="380">
        <f>-'Tax Depr 2020-Dist'!W22</f>
        <v>-9714119.1881284267</v>
      </c>
      <c r="K16" s="380">
        <f>-'Tax Depr 2020-Dist'!W23</f>
        <v>-9803359.9691420663</v>
      </c>
      <c r="L16" s="380">
        <f>-'Tax Depr 2020-Dist'!W24</f>
        <v>-9880044.1507567391</v>
      </c>
      <c r="M16" s="380">
        <f>-'Tax Depr 2020-Dist'!W25</f>
        <v>-9935277.1722446289</v>
      </c>
      <c r="N16" s="380">
        <f>-'Tax Depr 2020-Dist'!W26</f>
        <v>-9974668.8920524269</v>
      </c>
      <c r="O16" s="380">
        <f>-'Tax Depr 2020-Dist'!W27</f>
        <v>-9994363.6145402864</v>
      </c>
      <c r="P16" s="380">
        <f>-'Tax Depr 2020-Dist'!W28</f>
        <v>-9994936.9619102143</v>
      </c>
      <c r="Q16" s="378">
        <f>P16</f>
        <v>-9994936.9619102143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71">
        <f t="shared" ref="D18:Q18" si="2">SUM(D14:D16)</f>
        <v>52886374.199529782</v>
      </c>
      <c r="E18" s="372">
        <f>SUM(E14:E16)</f>
        <v>54431198.923021652</v>
      </c>
      <c r="F18" s="372">
        <f t="shared" si="2"/>
        <v>55558412.108301967</v>
      </c>
      <c r="G18" s="372">
        <f t="shared" si="2"/>
        <v>56850790.941134721</v>
      </c>
      <c r="H18" s="372">
        <f t="shared" si="2"/>
        <v>58221882.611174554</v>
      </c>
      <c r="I18" s="372">
        <f t="shared" si="2"/>
        <v>59547155.44815354</v>
      </c>
      <c r="J18" s="372">
        <f t="shared" si="2"/>
        <v>60935586.3072602</v>
      </c>
      <c r="K18" s="372">
        <f t="shared" si="2"/>
        <v>62420669.099244907</v>
      </c>
      <c r="L18" s="372">
        <f t="shared" si="2"/>
        <v>63910640.002253346</v>
      </c>
      <c r="M18" s="372">
        <f t="shared" si="2"/>
        <v>65351545.839464866</v>
      </c>
      <c r="N18" s="372">
        <f t="shared" si="2"/>
        <v>66797466.546019241</v>
      </c>
      <c r="O18" s="372">
        <f t="shared" si="2"/>
        <v>68168711.520076841</v>
      </c>
      <c r="P18" s="372">
        <f t="shared" si="2"/>
        <v>69563529.13743864</v>
      </c>
      <c r="Q18" s="373">
        <f t="shared" si="2"/>
        <v>60725689.273361936</v>
      </c>
      <c r="R18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26">
        <f>ROR!$G$12/12</f>
        <v>7.4333333333333335E-3</v>
      </c>
      <c r="E20" s="37">
        <f>ROR!$G$12/12</f>
        <v>7.4333333333333335E-3</v>
      </c>
      <c r="F20" s="37">
        <f>ROR!$G$12/12</f>
        <v>7.4333333333333335E-3</v>
      </c>
      <c r="G20" s="37">
        <f>ROR!$G$12/12</f>
        <v>7.4333333333333335E-3</v>
      </c>
      <c r="H20" s="37">
        <f>ROR!$G$12/12</f>
        <v>7.4333333333333335E-3</v>
      </c>
      <c r="I20" s="37">
        <f>ROR!$G$12/12</f>
        <v>7.4333333333333335E-3</v>
      </c>
      <c r="J20" s="37">
        <f>ROR!$G$12/12</f>
        <v>7.4333333333333335E-3</v>
      </c>
      <c r="K20" s="37">
        <f>ROR!$G$12/12</f>
        <v>7.4333333333333335E-3</v>
      </c>
      <c r="L20" s="37">
        <f>ROR!$G$12/12</f>
        <v>7.4333333333333335E-3</v>
      </c>
      <c r="M20" s="37">
        <f>ROR!$G$12/12</f>
        <v>7.4333333333333335E-3</v>
      </c>
      <c r="N20" s="37">
        <f>ROR!$G$12/12</f>
        <v>7.4333333333333335E-3</v>
      </c>
      <c r="O20" s="37">
        <f>ROR!$G$12/12</f>
        <v>7.4333333333333335E-3</v>
      </c>
      <c r="P20" s="37">
        <f>ROR!$G$12/12</f>
        <v>7.4333333333333335E-3</v>
      </c>
      <c r="Q20" s="127">
        <f>SUM(E20:P20)</f>
        <v>8.9200000000000002E-2</v>
      </c>
      <c r="R20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402">
        <f t="shared" ref="D22:Q22" si="3">D18*D20</f>
        <v>393122.04821650474</v>
      </c>
      <c r="E22" s="403">
        <f>E18*E20</f>
        <v>404605.24532779428</v>
      </c>
      <c r="F22" s="403">
        <f t="shared" si="3"/>
        <v>412984.19667171128</v>
      </c>
      <c r="G22" s="403">
        <f t="shared" si="3"/>
        <v>422590.87932910142</v>
      </c>
      <c r="H22" s="403">
        <f t="shared" si="3"/>
        <v>432782.66074306419</v>
      </c>
      <c r="I22" s="403">
        <f t="shared" si="3"/>
        <v>442633.85549794132</v>
      </c>
      <c r="J22" s="403">
        <f t="shared" si="3"/>
        <v>452954.52488396748</v>
      </c>
      <c r="K22" s="403">
        <f t="shared" si="3"/>
        <v>463993.64030438714</v>
      </c>
      <c r="L22" s="403">
        <f t="shared" si="3"/>
        <v>475069.09068341652</v>
      </c>
      <c r="M22" s="403">
        <f t="shared" si="3"/>
        <v>485779.82407335553</v>
      </c>
      <c r="N22" s="403">
        <f t="shared" si="3"/>
        <v>496527.83465874306</v>
      </c>
      <c r="O22" s="403">
        <f t="shared" si="3"/>
        <v>506720.75563257118</v>
      </c>
      <c r="P22" s="403">
        <f t="shared" si="3"/>
        <v>517088.89992162725</v>
      </c>
      <c r="Q22" s="404">
        <f t="shared" si="3"/>
        <v>5416731.483183885</v>
      </c>
      <c r="R2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71">
        <f>'Rev Req 2019-Distr'!P25</f>
        <v>138358.52017875004</v>
      </c>
      <c r="E25" s="372">
        <f>SUM('202001 Bk Depr'!P13,'202001 Bk Depr'!P15:P17,'202001 Bk Depr'!P21,'202001 Bk Depr'!P23:P25)</f>
        <v>142681.28239461288</v>
      </c>
      <c r="F25" s="372">
        <f>SUM('202002 Bk Depr'!P13,'202002 Bk Depr'!P15:P17,'202002 Bk Depr'!P21,'202002 Bk Depr'!P23:P25)</f>
        <v>146430.25093233853</v>
      </c>
      <c r="G25" s="372">
        <f>SUM('202003 Bk Depr'!P13,'202003 Bk Depr'!P15:P17,'202003 Bk Depr'!P21,'202003 Bk Depr'!P23:P25)</f>
        <v>149881.27008256424</v>
      </c>
      <c r="H25" s="372">
        <f>SUM('202004 Bk Depr'!P13,'202004 Bk Depr'!P15:P17,'202004 Bk Depr'!P21,'202004 Bk Depr'!P23:P25)</f>
        <v>153542.27019028988</v>
      </c>
      <c r="I25" s="372">
        <f>SUM('202005 Bk Depr'!P13,'202005 Bk Depr'!P15:P17,'202005 Bk Depr'!P21,'202005 Bk Depr'!P23:P25)</f>
        <v>157199.17770551555</v>
      </c>
      <c r="J25" s="372">
        <f>SUM('202006 Bk Depr'!P13,'202006 Bk Depr'!P15:P17,'202006 Bk Depr'!P21,'202006 Bk Depr'!P23:P25)</f>
        <v>160831.2498647412</v>
      </c>
      <c r="K25" s="372">
        <f>SUM('202007 Bk Depr'!P13,'202007 Bk Depr'!P15:P17,'202007 Bk Depr'!P21,'202007 Bk Depr'!P23:P25)</f>
        <v>164642.36782596688</v>
      </c>
      <c r="L25" s="372">
        <f>SUM('202008 Bk Depr'!P13,'202008 Bk Depr'!P15:P17,'202008 Bk Depr'!P21,'202008 Bk Depr'!P23:P25)</f>
        <v>168561.12620119256</v>
      </c>
      <c r="M25" s="372">
        <f>SUM('202009 Bk Depr'!P13,'202009 Bk Depr'!P15:P17,'202009 Bk Depr'!P21,'202009 Bk Depr'!P23:P25)</f>
        <v>172387.17212491823</v>
      </c>
      <c r="N25" s="372">
        <f>SUM('202010 Bk Depr'!P13,'202010 Bk Depr'!P15:P17,'202010 Bk Depr'!P21,'202010 Bk Depr'!P23:P25)</f>
        <v>176109.62446214387</v>
      </c>
      <c r="O25" s="372">
        <f>SUM('202011 Bk Depr'!P13,'202011 Bk Depr'!P15:P17,'202011 Bk Depr'!P21,'202011 Bk Depr'!P23:P25)</f>
        <v>179696.85427886955</v>
      </c>
      <c r="P25" s="372">
        <f>SUM('202012 Bk Depr'!P13,'202012 Bk Depr'!P15:P17,'202012 Bk Depr'!P21,'202012 Bk Depr'!P23:P25)</f>
        <v>183148.1960925952</v>
      </c>
      <c r="Q25" s="373">
        <f>SUM(E25:P25)</f>
        <v>1955110.8421557487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71">
        <f>'Rev Req 2019-Distr'!P26</f>
        <v>92177.96</v>
      </c>
      <c r="E26" s="372">
        <f>'Cap&amp;OpEx 2020'!C33</f>
        <v>100954.59999999999</v>
      </c>
      <c r="F26" s="372">
        <f>'Cap&amp;OpEx 2020'!D33</f>
        <v>96658.5</v>
      </c>
      <c r="G26" s="372">
        <f>'Cap&amp;OpEx 2020'!E33</f>
        <v>103553.65999999999</v>
      </c>
      <c r="H26" s="372">
        <f>'Cap&amp;OpEx 2020'!F33</f>
        <v>100347.77999999997</v>
      </c>
      <c r="I26" s="372">
        <f>'Cap&amp;OpEx 2020'!G33</f>
        <v>94972.700000000026</v>
      </c>
      <c r="J26" s="372">
        <f>'Cap&amp;OpEx 2020'!H33</f>
        <v>97346.030000000028</v>
      </c>
      <c r="K26" s="372">
        <f>'Cap&amp;OpEx 2020'!I33</f>
        <v>100488.25000000001</v>
      </c>
      <c r="L26" s="372">
        <f>'Cap&amp;OpEx 2020'!J33</f>
        <v>106696.70999999998</v>
      </c>
      <c r="M26" s="372">
        <f>'Cap&amp;OpEx 2020'!K33</f>
        <v>101218.24000000001</v>
      </c>
      <c r="N26" s="372">
        <f>'Cap&amp;OpEx 2020'!L33</f>
        <v>109294.28</v>
      </c>
      <c r="O26" s="372">
        <f>'Cap&amp;OpEx 2020'!M33</f>
        <v>104000.83</v>
      </c>
      <c r="P26" s="372">
        <f>'Cap&amp;OpEx 2020'!N33</f>
        <v>106389.90999999997</v>
      </c>
      <c r="Q26" s="373">
        <f t="shared" ref="Q26:Q27" si="4">SUM(E26:P26)</f>
        <v>1221921.49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71">
        <f>'Rev Req 2019-Distr'!P27</f>
        <v>40112</v>
      </c>
      <c r="E27" s="372">
        <f>'Cap&amp;OpEx 2020'!C35</f>
        <v>68347</v>
      </c>
      <c r="F27" s="372">
        <f>'Cap&amp;OpEx 2020'!D35</f>
        <v>68347</v>
      </c>
      <c r="G27" s="372">
        <f>'Cap&amp;OpEx 2020'!E35</f>
        <v>68347</v>
      </c>
      <c r="H27" s="372">
        <f>'Cap&amp;OpEx 2020'!F35</f>
        <v>68347</v>
      </c>
      <c r="I27" s="372">
        <f>'Cap&amp;OpEx 2020'!G35</f>
        <v>68347</v>
      </c>
      <c r="J27" s="372">
        <f>'Cap&amp;OpEx 2020'!H35</f>
        <v>68347</v>
      </c>
      <c r="K27" s="372">
        <f>'Cap&amp;OpEx 2020'!I35</f>
        <v>68347</v>
      </c>
      <c r="L27" s="372">
        <f>'Cap&amp;OpEx 2020'!J35</f>
        <v>68347</v>
      </c>
      <c r="M27" s="372">
        <f>'Cap&amp;OpEx 2020'!K35</f>
        <v>68347</v>
      </c>
      <c r="N27" s="372">
        <f>'Cap&amp;OpEx 2020'!L35</f>
        <v>68347</v>
      </c>
      <c r="O27" s="372">
        <f>'Cap&amp;OpEx 2020'!M35</f>
        <v>68347</v>
      </c>
      <c r="P27" s="372">
        <f>'Cap&amp;OpEx 2020'!N35</f>
        <v>68347</v>
      </c>
      <c r="Q27" s="373">
        <f t="shared" si="4"/>
        <v>820164</v>
      </c>
      <c r="R27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71">
        <f>SUM(D25:D28)</f>
        <v>270648.48017875006</v>
      </c>
      <c r="E29" s="372">
        <f t="shared" ref="E29:P29" si="5">SUM(E25:E28)</f>
        <v>311982.88239461288</v>
      </c>
      <c r="F29" s="372">
        <f t="shared" si="5"/>
        <v>311435.75093233853</v>
      </c>
      <c r="G29" s="372">
        <f t="shared" si="5"/>
        <v>321781.93008256424</v>
      </c>
      <c r="H29" s="372">
        <f t="shared" si="5"/>
        <v>322237.05019028985</v>
      </c>
      <c r="I29" s="372">
        <f t="shared" si="5"/>
        <v>320518.8777055156</v>
      </c>
      <c r="J29" s="372">
        <f t="shared" si="5"/>
        <v>326524.27986474126</v>
      </c>
      <c r="K29" s="372">
        <f t="shared" si="5"/>
        <v>333477.61782596691</v>
      </c>
      <c r="L29" s="372">
        <f t="shared" si="5"/>
        <v>343604.83620119252</v>
      </c>
      <c r="M29" s="372">
        <f t="shared" si="5"/>
        <v>341952.41212491825</v>
      </c>
      <c r="N29" s="372">
        <f t="shared" si="5"/>
        <v>353750.9044621439</v>
      </c>
      <c r="O29" s="372">
        <f t="shared" si="5"/>
        <v>352044.68427886954</v>
      </c>
      <c r="P29" s="372">
        <f t="shared" si="5"/>
        <v>357885.10609259515</v>
      </c>
      <c r="Q29" s="373">
        <f>SUM(Q25:Q28)</f>
        <v>3997196.3321557487</v>
      </c>
      <c r="R29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8">
        <f t="shared" ref="D31:Q31" si="6">D22+D29</f>
        <v>663770.52839525486</v>
      </c>
      <c r="E31" s="409">
        <f t="shared" si="6"/>
        <v>716588.12772240723</v>
      </c>
      <c r="F31" s="409">
        <f t="shared" si="6"/>
        <v>724419.94760404981</v>
      </c>
      <c r="G31" s="409">
        <f t="shared" si="6"/>
        <v>744372.80941166566</v>
      </c>
      <c r="H31" s="409">
        <f t="shared" si="6"/>
        <v>755019.71093335398</v>
      </c>
      <c r="I31" s="409">
        <f t="shared" si="6"/>
        <v>763152.73320345697</v>
      </c>
      <c r="J31" s="409">
        <f t="shared" si="6"/>
        <v>779478.80474870873</v>
      </c>
      <c r="K31" s="409">
        <f t="shared" si="6"/>
        <v>797471.25813035411</v>
      </c>
      <c r="L31" s="409">
        <f t="shared" si="6"/>
        <v>818673.92688460904</v>
      </c>
      <c r="M31" s="409">
        <f t="shared" si="6"/>
        <v>827732.23619827372</v>
      </c>
      <c r="N31" s="409">
        <f t="shared" si="6"/>
        <v>850278.73912088689</v>
      </c>
      <c r="O31" s="409">
        <f t="shared" si="6"/>
        <v>858765.43991144071</v>
      </c>
      <c r="P31" s="409">
        <f t="shared" si="6"/>
        <v>874974.0060142224</v>
      </c>
      <c r="Q31" s="410">
        <f t="shared" si="6"/>
        <v>9413927.8153396342</v>
      </c>
      <c r="R31"/>
    </row>
    <row r="32" spans="1:19" s="31" customFormat="1" ht="2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 ht="21">
      <c r="B35" s="30" t="s">
        <v>546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21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2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21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 ht="21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 ht="21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 ht="21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 ht="21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21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21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1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 ht="21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 ht="21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 ht="21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 ht="21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 ht="21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 ht="21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 ht="21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21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21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21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21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21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 ht="21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1 of 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7563-9B79-446C-8B2D-4529F4F6B6A1}">
  <sheetPr>
    <pageSetUpPr fitToPage="1"/>
  </sheetPr>
  <dimension ref="A1:AJ1048492"/>
  <sheetViews>
    <sheetView zoomScale="55" zoomScaleNormal="55" workbookViewId="0">
      <selection activeCell="I12" sqref="I12"/>
    </sheetView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20.77734375" style="72" customWidth="1"/>
    <col min="18" max="18" width="20.77734375" style="452" bestFit="1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4" t="s">
        <v>607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476"/>
      <c r="R4" s="452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 t="s">
        <v>545</v>
      </c>
      <c r="E5" s="228"/>
      <c r="F5" s="228"/>
      <c r="G5" s="228"/>
      <c r="H5" s="228"/>
      <c r="I5" s="228"/>
      <c r="J5" s="228"/>
      <c r="K5" s="228"/>
      <c r="L5" s="229"/>
      <c r="M5" s="229"/>
      <c r="N5" s="229"/>
      <c r="O5" s="229"/>
      <c r="P5" s="229"/>
      <c r="Q5" s="230"/>
      <c r="R5" s="452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31">
        <v>2019</v>
      </c>
      <c r="E6" s="132">
        <v>2020</v>
      </c>
      <c r="F6" s="132">
        <f>$E$6</f>
        <v>2020</v>
      </c>
      <c r="G6" s="132">
        <f>$E$6</f>
        <v>2020</v>
      </c>
      <c r="H6" s="132">
        <f>$E$6</f>
        <v>2020</v>
      </c>
      <c r="I6" s="132">
        <f>$E$6</f>
        <v>2020</v>
      </c>
      <c r="J6" s="132">
        <f>$E$6</f>
        <v>2020</v>
      </c>
      <c r="K6" s="132">
        <f t="shared" ref="K6:Q6" si="0">$E$6</f>
        <v>2020</v>
      </c>
      <c r="L6" s="132">
        <f t="shared" si="0"/>
        <v>2020</v>
      </c>
      <c r="M6" s="132">
        <f t="shared" si="0"/>
        <v>2020</v>
      </c>
      <c r="N6" s="132">
        <f t="shared" si="0"/>
        <v>2020</v>
      </c>
      <c r="O6" s="132">
        <f t="shared" si="0"/>
        <v>2020</v>
      </c>
      <c r="P6" s="132">
        <f t="shared" si="0"/>
        <v>2020</v>
      </c>
      <c r="Q6" s="133">
        <f t="shared" si="0"/>
        <v>2020</v>
      </c>
      <c r="R6" s="452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 s="452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 s="452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 s="452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 s="452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606</v>
      </c>
      <c r="D11" s="371">
        <f>'Rev Req 2019-Trans'!P11</f>
        <v>44002739.890000001</v>
      </c>
      <c r="E11" s="372">
        <f>'Cap&amp;OpEx 2020'!C11+'Cap&amp;OpEx 2020'!C18+D11</f>
        <v>46655058.210000001</v>
      </c>
      <c r="F11" s="372">
        <f>'Cap&amp;OpEx 2020'!D11+'Cap&amp;OpEx 2020'!D18+E11</f>
        <v>50295058.200000003</v>
      </c>
      <c r="G11" s="372">
        <f>'Cap&amp;OpEx 2020'!E11+'Cap&amp;OpEx 2020'!E18+F11</f>
        <v>55005255.540000007</v>
      </c>
      <c r="H11" s="372">
        <f>'Cap&amp;OpEx 2020'!F11+'Cap&amp;OpEx 2020'!F18+G11</f>
        <v>58226816.540000007</v>
      </c>
      <c r="I11" s="372">
        <f>'Cap&amp;OpEx 2020'!G11+'Cap&amp;OpEx 2020'!G18+H11</f>
        <v>62738519.620000005</v>
      </c>
      <c r="J11" s="372">
        <f>'Cap&amp;OpEx 2020'!H11+'Cap&amp;OpEx 2020'!H18+I11</f>
        <v>67280777.469999999</v>
      </c>
      <c r="K11" s="372">
        <f>'Cap&amp;OpEx 2020'!I11+'Cap&amp;OpEx 2020'!I18+J11</f>
        <v>71433582.489999995</v>
      </c>
      <c r="L11" s="372">
        <f>'Cap&amp;OpEx 2020'!J11+'Cap&amp;OpEx 2020'!J18+K11</f>
        <v>75591941.629999995</v>
      </c>
      <c r="M11" s="372">
        <f>'Cap&amp;OpEx 2020'!K11+'Cap&amp;OpEx 2020'!K18+L11</f>
        <v>79725315.829999998</v>
      </c>
      <c r="N11" s="372">
        <f>'Cap&amp;OpEx 2020'!L11+'Cap&amp;OpEx 2020'!L18+M11</f>
        <v>81102416.564421415</v>
      </c>
      <c r="O11" s="372">
        <f>'Cap&amp;OpEx 2020'!M11+'Cap&amp;OpEx 2020'!M18+N11</f>
        <v>84846490.614421412</v>
      </c>
      <c r="P11" s="372">
        <f>'Cap&amp;OpEx 2020'!N11+'Cap&amp;OpEx 2020'!N18+O11</f>
        <v>85729328.194421411</v>
      </c>
      <c r="Q11" s="373">
        <f>AVERAGE(D11:P11)</f>
        <v>66356407.753328018</v>
      </c>
      <c r="R11" s="514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f>'Cap&amp;OpEx 2019'!N26</f>
        <v>0</v>
      </c>
      <c r="E12" s="372">
        <f>'Cap&amp;OpEx 2020'!C27+D12</f>
        <v>0</v>
      </c>
      <c r="F12" s="372">
        <f>'Cap&amp;OpEx 2020'!D27+E12</f>
        <v>0</v>
      </c>
      <c r="G12" s="372">
        <f>'Cap&amp;OpEx 2020'!E27+F12</f>
        <v>56000</v>
      </c>
      <c r="H12" s="372">
        <f>'Cap&amp;OpEx 2020'!F27+G12</f>
        <v>112000</v>
      </c>
      <c r="I12" s="372">
        <f>'Cap&amp;OpEx 2020'!G27+H12</f>
        <v>168000</v>
      </c>
      <c r="J12" s="372">
        <f>'Cap&amp;OpEx 2020'!H27+I12</f>
        <v>224000</v>
      </c>
      <c r="K12" s="372">
        <f>'Cap&amp;OpEx 2020'!I27+J12</f>
        <v>280000</v>
      </c>
      <c r="L12" s="372">
        <f>'Cap&amp;OpEx 2020'!J27+K12</f>
        <v>372000</v>
      </c>
      <c r="M12" s="372">
        <f>'Cap&amp;OpEx 2020'!K27+L12</f>
        <v>479232</v>
      </c>
      <c r="N12" s="372">
        <f>'Cap&amp;OpEx 2020'!L27+M12</f>
        <v>601696</v>
      </c>
      <c r="O12" s="372">
        <f>'Cap&amp;OpEx 2020'!M27+N12</f>
        <v>727206.40000000002</v>
      </c>
      <c r="P12" s="372">
        <f>'Cap&amp;OpEx 2020'!N27+O12</f>
        <v>783206.40000000002</v>
      </c>
      <c r="Q12" s="373">
        <f t="shared" ref="Q12:Q13" si="1">AVERAGE(D12:P12)</f>
        <v>292564.67692307691</v>
      </c>
      <c r="R12" s="45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9">
        <v>0</v>
      </c>
      <c r="E13" s="380">
        <f>-SUM('202001 Bk Depr'!$P$14,'202001 Bk Depr'!P22)+D13</f>
        <v>0</v>
      </c>
      <c r="F13" s="380">
        <f>-SUM('202002 Bk Depr'!$P$14,'202002 Bk Depr'!P22)+E13</f>
        <v>0</v>
      </c>
      <c r="G13" s="380">
        <f>-SUM('202003 Bk Depr'!$P$14,'202003 Bk Depr'!P22)+F13</f>
        <v>0</v>
      </c>
      <c r="H13" s="380">
        <f>-SUM('202004 Bk Depr'!$P$14,'202004 Bk Depr'!P22)+G13</f>
        <v>0</v>
      </c>
      <c r="I13" s="380">
        <f>-SUM('202005 Bk Depr'!$P$14,'202005 Bk Depr'!P22)+H13</f>
        <v>-22481.295608124998</v>
      </c>
      <c r="J13" s="380">
        <f>-SUM('202006 Bk Depr'!$P$14,'202006 Bk Depr'!P22)+I13</f>
        <v>-67561.330316458319</v>
      </c>
      <c r="K13" s="380">
        <f>-SUM('202007 Bk Depr'!$P$14,'202007 Bk Depr'!P22)+J13</f>
        <v>-112876.25200895831</v>
      </c>
      <c r="L13" s="380">
        <f>-SUM('202008 Bk Depr'!$P$14,'202008 Bk Depr'!P22)+K13</f>
        <v>-158420.93568562498</v>
      </c>
      <c r="M13" s="380">
        <f>-SUM('202009 Bk Depr'!$P$14,'202009 Bk Depr'!P22)+L13</f>
        <v>-204179.00302520831</v>
      </c>
      <c r="N13" s="380">
        <f>-SUM('202010 Bk Depr'!$P$14,'202010 Bk Depr'!P22)+M13</f>
        <v>-295884.27982210997</v>
      </c>
      <c r="O13" s="380">
        <f>-SUM('202011 Bk Depr'!$P$14,'202011 Bk Depr'!P22)+N13</f>
        <v>-436633.76415653824</v>
      </c>
      <c r="P13" s="380">
        <f>-SUM('202012 Bk Depr'!$P$14,'202012 Bk Depr'!P22)+O13</f>
        <v>-581335.40217492485</v>
      </c>
      <c r="Q13" s="378">
        <f t="shared" si="1"/>
        <v>-144567.09713830368</v>
      </c>
      <c r="R13" s="452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371">
        <f>SUM(D11:D13)</f>
        <v>44002739.890000001</v>
      </c>
      <c r="E14" s="372">
        <f t="shared" ref="E14:Q14" si="2">SUM(E11:E13)</f>
        <v>46655058.210000001</v>
      </c>
      <c r="F14" s="372">
        <f t="shared" si="2"/>
        <v>50295058.200000003</v>
      </c>
      <c r="G14" s="372">
        <f t="shared" si="2"/>
        <v>55061255.540000007</v>
      </c>
      <c r="H14" s="372">
        <f t="shared" si="2"/>
        <v>58338816.540000007</v>
      </c>
      <c r="I14" s="372">
        <f t="shared" si="2"/>
        <v>62884038.324391879</v>
      </c>
      <c r="J14" s="372">
        <f t="shared" si="2"/>
        <v>67437216.139683545</v>
      </c>
      <c r="K14" s="372">
        <f t="shared" si="2"/>
        <v>71600706.237991035</v>
      </c>
      <c r="L14" s="372">
        <f t="shared" si="2"/>
        <v>75805520.694314376</v>
      </c>
      <c r="M14" s="372">
        <f t="shared" si="2"/>
        <v>80000368.826974794</v>
      </c>
      <c r="N14" s="372">
        <f t="shared" si="2"/>
        <v>81408228.284599304</v>
      </c>
      <c r="O14" s="372">
        <f t="shared" si="2"/>
        <v>85137063.250264883</v>
      </c>
      <c r="P14" s="372">
        <f t="shared" si="2"/>
        <v>85931199.192246497</v>
      </c>
      <c r="Q14" s="373">
        <f t="shared" si="2"/>
        <v>66504405.333112791</v>
      </c>
      <c r="R14" s="452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 s="452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9">
        <v>0</v>
      </c>
      <c r="E16" s="380">
        <f>'Tax Depr 2020-Trans'!T17</f>
        <v>0</v>
      </c>
      <c r="F16" s="380">
        <f>'Tax Depr 2020-Trans'!T18</f>
        <v>0</v>
      </c>
      <c r="G16" s="380">
        <f>'Tax Depr 2020-Trans'!T19</f>
        <v>0</v>
      </c>
      <c r="H16" s="380">
        <f>'Tax Depr 2020-Trans'!T20</f>
        <v>0</v>
      </c>
      <c r="I16" s="380">
        <f>-'Tax Depr 2020-Trans'!T21</f>
        <v>-141361.53208715902</v>
      </c>
      <c r="J16" s="380">
        <f>-'Tax Depr 2020-Trans'!T22</f>
        <v>-136326.58383915556</v>
      </c>
      <c r="K16" s="380">
        <f>-'Tax Depr 2020-Trans'!T23</f>
        <v>-132110.67098093513</v>
      </c>
      <c r="L16" s="380">
        <f>-'Tax Depr 2020-Trans'!T24</f>
        <v>-128705.28485900204</v>
      </c>
      <c r="M16" s="380">
        <f>-'Tax Depr 2020-Trans'!T25</f>
        <v>-126085.631274336</v>
      </c>
      <c r="N16" s="380">
        <f>-'Tax Depr 2020-Trans'!T26</f>
        <v>-211506.80721122911</v>
      </c>
      <c r="O16" s="380">
        <f>-'Tax Depr 2020-Trans'!T27</f>
        <v>-211397.51951569892</v>
      </c>
      <c r="P16" s="380">
        <f>-'Tax Depr 2020-Trans'!T28</f>
        <v>-211318.26682694425</v>
      </c>
      <c r="Q16" s="378">
        <f>P16</f>
        <v>-211318.26682694425</v>
      </c>
      <c r="R16" s="452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 s="452"/>
    </row>
    <row r="18" spans="1:19" s="31" customFormat="1" ht="21">
      <c r="A18" s="32">
        <v>6</v>
      </c>
      <c r="B18" s="32"/>
      <c r="C18" s="78" t="s">
        <v>55</v>
      </c>
      <c r="D18" s="371">
        <f>SUM(D14:D16)</f>
        <v>44002739.890000001</v>
      </c>
      <c r="E18" s="372">
        <f t="shared" ref="E18:O18" si="3">SUM(E14:E16)</f>
        <v>46655058.210000001</v>
      </c>
      <c r="F18" s="372">
        <f t="shared" si="3"/>
        <v>50295058.200000003</v>
      </c>
      <c r="G18" s="372">
        <f t="shared" si="3"/>
        <v>55061255.540000007</v>
      </c>
      <c r="H18" s="372">
        <f t="shared" si="3"/>
        <v>58338816.540000007</v>
      </c>
      <c r="I18" s="372">
        <f t="shared" si="3"/>
        <v>62742676.792304717</v>
      </c>
      <c r="J18" s="372">
        <f t="shared" si="3"/>
        <v>67300889.555844396</v>
      </c>
      <c r="K18" s="372">
        <f t="shared" si="3"/>
        <v>71468595.567010105</v>
      </c>
      <c r="L18" s="372">
        <f t="shared" si="3"/>
        <v>75676815.409455374</v>
      </c>
      <c r="M18" s="372">
        <f t="shared" si="3"/>
        <v>79874283.195700452</v>
      </c>
      <c r="N18" s="372">
        <f t="shared" si="3"/>
        <v>81196721.477388069</v>
      </c>
      <c r="O18" s="372">
        <f t="shared" si="3"/>
        <v>84925665.73074919</v>
      </c>
      <c r="P18" s="372">
        <f>SUM(P14:P16)</f>
        <v>85719880.925419554</v>
      </c>
      <c r="Q18" s="373">
        <f>SUM(Q14:Q16)</f>
        <v>66293087.066285849</v>
      </c>
      <c r="R18" s="452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 s="452"/>
    </row>
    <row r="20" spans="1:19" s="31" customFormat="1" ht="21">
      <c r="A20" s="32">
        <v>7</v>
      </c>
      <c r="B20" s="32"/>
      <c r="C20" s="31" t="s">
        <v>56</v>
      </c>
      <c r="D20" s="126">
        <f>ROR!$G$12/12</f>
        <v>7.4333333333333335E-3</v>
      </c>
      <c r="E20" s="37">
        <f>ROR!$G$12/12</f>
        <v>7.4333333333333335E-3</v>
      </c>
      <c r="F20" s="37">
        <f>ROR!$G$12/12</f>
        <v>7.4333333333333335E-3</v>
      </c>
      <c r="G20" s="37">
        <f>ROR!$G$12/12</f>
        <v>7.4333333333333335E-3</v>
      </c>
      <c r="H20" s="37">
        <f>ROR!$G$12/12</f>
        <v>7.4333333333333335E-3</v>
      </c>
      <c r="I20" s="37">
        <f>ROR!$G$12/12</f>
        <v>7.4333333333333335E-3</v>
      </c>
      <c r="J20" s="37">
        <f>ROR!$G$12/12</f>
        <v>7.4333333333333335E-3</v>
      </c>
      <c r="K20" s="37">
        <f>ROR!$G$12/12</f>
        <v>7.4333333333333335E-3</v>
      </c>
      <c r="L20" s="37">
        <f>ROR!$G$12/12</f>
        <v>7.4333333333333335E-3</v>
      </c>
      <c r="M20" s="37">
        <f>ROR!$G$12/12</f>
        <v>7.4333333333333335E-3</v>
      </c>
      <c r="N20" s="37">
        <f>ROR!$G$12/12</f>
        <v>7.4333333333333335E-3</v>
      </c>
      <c r="O20" s="37">
        <f>ROR!$G$12/12</f>
        <v>7.4333333333333335E-3</v>
      </c>
      <c r="P20" s="37">
        <f>ROR!$G$12/12</f>
        <v>7.4333333333333335E-3</v>
      </c>
      <c r="Q20" s="127">
        <f>SUM(E20:P20)</f>
        <v>8.9200000000000002E-2</v>
      </c>
      <c r="R20" s="452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 s="452"/>
    </row>
    <row r="22" spans="1:19" s="31" customFormat="1" ht="21">
      <c r="A22" s="32">
        <v>8</v>
      </c>
      <c r="B22" s="32"/>
      <c r="C22" s="31" t="s">
        <v>57</v>
      </c>
      <c r="D22" s="402">
        <f t="shared" ref="D22:Q22" si="4">D18*D20</f>
        <v>327087.03318233334</v>
      </c>
      <c r="E22" s="403">
        <f>E18*E20</f>
        <v>346802.599361</v>
      </c>
      <c r="F22" s="403">
        <f t="shared" si="4"/>
        <v>373859.93262000004</v>
      </c>
      <c r="G22" s="403">
        <f t="shared" si="4"/>
        <v>409288.66618066671</v>
      </c>
      <c r="H22" s="403">
        <f t="shared" si="4"/>
        <v>433651.86961400008</v>
      </c>
      <c r="I22" s="403">
        <f t="shared" si="4"/>
        <v>466387.23082279839</v>
      </c>
      <c r="J22" s="403">
        <f t="shared" si="4"/>
        <v>500269.94569844333</v>
      </c>
      <c r="K22" s="403">
        <f t="shared" si="4"/>
        <v>531249.8937147751</v>
      </c>
      <c r="L22" s="403">
        <f t="shared" si="4"/>
        <v>562530.99454361829</v>
      </c>
      <c r="M22" s="403">
        <f t="shared" si="4"/>
        <v>593732.17175470665</v>
      </c>
      <c r="N22" s="403">
        <f t="shared" si="4"/>
        <v>603562.29631525127</v>
      </c>
      <c r="O22" s="403">
        <f t="shared" si="4"/>
        <v>631280.78193190228</v>
      </c>
      <c r="P22" s="403">
        <f>P18*P20</f>
        <v>637184.44821228541</v>
      </c>
      <c r="Q22" s="404">
        <f t="shared" si="4"/>
        <v>5913343.3663126975</v>
      </c>
      <c r="R22" s="45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 s="452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 s="452"/>
    </row>
    <row r="25" spans="1:19" s="31" customFormat="1" ht="21">
      <c r="A25" s="32">
        <v>9</v>
      </c>
      <c r="B25" s="32"/>
      <c r="C25" s="31" t="s">
        <v>0</v>
      </c>
      <c r="D25" s="371">
        <v>0</v>
      </c>
      <c r="E25" s="372">
        <f>'202001 Bk Depr'!P14+'202001 Bk Depr'!P22</f>
        <v>0</v>
      </c>
      <c r="F25" s="372">
        <f>'202002 Bk Depr'!P14+'202002 Bk Depr'!P22</f>
        <v>0</v>
      </c>
      <c r="G25" s="372">
        <f>'202003 Bk Depr'!P14+'202003 Bk Depr'!P22</f>
        <v>0</v>
      </c>
      <c r="H25" s="372">
        <f>'202004 Bk Depr'!P14+'202004 Bk Depr'!P22</f>
        <v>0</v>
      </c>
      <c r="I25" s="372">
        <f>'202005 Bk Depr'!P14+'202005 Bk Depr'!P22</f>
        <v>22481.295608124998</v>
      </c>
      <c r="J25" s="372">
        <f>'202006 Bk Depr'!P14+'202006 Bk Depr'!P22</f>
        <v>45080.034708333325</v>
      </c>
      <c r="K25" s="372">
        <f>'202007 Bk Depr'!P14+'202007 Bk Depr'!P22</f>
        <v>45314.921692499993</v>
      </c>
      <c r="L25" s="372">
        <f>'202008 Bk Depr'!P14+'202008 Bk Depr'!P22</f>
        <v>45544.68367666666</v>
      </c>
      <c r="M25" s="372">
        <f>'202009 Bk Depr'!P14+'202009 Bk Depr'!P22</f>
        <v>45758.067339583329</v>
      </c>
      <c r="N25" s="372">
        <f>'202010 Bk Depr'!P14+'202010 Bk Depr'!P22</f>
        <v>91705.276796901628</v>
      </c>
      <c r="O25" s="372">
        <f>'202011 Bk Depr'!P14+'202011 Bk Depr'!P22</f>
        <v>140749.48433442827</v>
      </c>
      <c r="P25" s="372">
        <f>'202012 Bk Depr'!P14+'202012 Bk Depr'!P22</f>
        <v>144701.63801838661</v>
      </c>
      <c r="Q25" s="373">
        <f>SUM(E25:P25)</f>
        <v>581335.40217492485</v>
      </c>
      <c r="R25" s="452"/>
      <c r="S25" s="80"/>
    </row>
    <row r="26" spans="1:19" s="31" customFormat="1" ht="21">
      <c r="A26" s="32">
        <v>10</v>
      </c>
      <c r="B26" s="32"/>
      <c r="C26" s="13" t="s">
        <v>59</v>
      </c>
      <c r="D26" s="371">
        <v>0</v>
      </c>
      <c r="E26" s="372">
        <f>'COS Budget 2020'!H34</f>
        <v>0</v>
      </c>
      <c r="F26" s="372">
        <f>'COS Budget 2020'!I34</f>
        <v>0</v>
      </c>
      <c r="G26" s="372">
        <f>'COS Budget 2020'!J34</f>
        <v>0</v>
      </c>
      <c r="H26" s="372">
        <f>'COS Budget 2020'!K34</f>
        <v>0</v>
      </c>
      <c r="I26" s="372">
        <f>'COS Budget 2020'!L34</f>
        <v>0</v>
      </c>
      <c r="J26" s="372">
        <f>'COS Budget 2020'!M34</f>
        <v>0</v>
      </c>
      <c r="K26" s="372">
        <f>'COS Budget 2020'!N34</f>
        <v>0</v>
      </c>
      <c r="L26" s="372">
        <f>'COS Budget 2020'!O34</f>
        <v>0</v>
      </c>
      <c r="M26" s="372">
        <f>'COS Budget 2020'!P34</f>
        <v>0</v>
      </c>
      <c r="N26" s="372">
        <f>'COS Budget 2020'!Q34</f>
        <v>0</v>
      </c>
      <c r="O26" s="372">
        <f>'COS Budget 2020'!R34</f>
        <v>0</v>
      </c>
      <c r="P26" s="372">
        <f>'COS Budget 2020'!S34</f>
        <v>0</v>
      </c>
      <c r="Q26" s="373">
        <f>SUM(E26:P26)</f>
        <v>0</v>
      </c>
      <c r="R26" s="452"/>
      <c r="S26" s="80"/>
    </row>
    <row r="27" spans="1:19" s="31" customFormat="1" ht="21">
      <c r="A27" s="32">
        <v>11</v>
      </c>
      <c r="B27" s="32"/>
      <c r="C27" s="31" t="s">
        <v>178</v>
      </c>
      <c r="D27" s="371">
        <f>'Cap&amp;OpEx 2019'!N33</f>
        <v>7144.99</v>
      </c>
      <c r="E27" s="372">
        <f>'Cap&amp;OpEx 2020'!C36</f>
        <v>20186</v>
      </c>
      <c r="F27" s="372">
        <f>'Cap&amp;OpEx 2020'!D36</f>
        <v>20186</v>
      </c>
      <c r="G27" s="372">
        <f>'Cap&amp;OpEx 2020'!E36</f>
        <v>20186</v>
      </c>
      <c r="H27" s="372">
        <f>'Cap&amp;OpEx 2020'!F36</f>
        <v>20186</v>
      </c>
      <c r="I27" s="372">
        <f>'Cap&amp;OpEx 2020'!G36</f>
        <v>20186</v>
      </c>
      <c r="J27" s="372">
        <f>'Cap&amp;OpEx 2020'!H36</f>
        <v>20186</v>
      </c>
      <c r="K27" s="372">
        <f>'Cap&amp;OpEx 2020'!I36</f>
        <v>20186</v>
      </c>
      <c r="L27" s="372">
        <f>'Cap&amp;OpEx 2020'!J36</f>
        <v>20186</v>
      </c>
      <c r="M27" s="372">
        <f>'Cap&amp;OpEx 2020'!K36</f>
        <v>20186</v>
      </c>
      <c r="N27" s="372">
        <f>'Cap&amp;OpEx 2020'!L36</f>
        <v>20186</v>
      </c>
      <c r="O27" s="372">
        <f>'Cap&amp;OpEx 2020'!M36</f>
        <v>64595</v>
      </c>
      <c r="P27" s="372">
        <f>'Cap&amp;OpEx 2020'!N36</f>
        <v>64595</v>
      </c>
      <c r="Q27" s="373">
        <f>SUM(E27:P27)</f>
        <v>331050</v>
      </c>
      <c r="R27" s="452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 s="452"/>
    </row>
    <row r="29" spans="1:19" s="31" customFormat="1" ht="21">
      <c r="A29" s="32">
        <v>12</v>
      </c>
      <c r="B29" s="32"/>
      <c r="C29" s="31" t="s">
        <v>60</v>
      </c>
      <c r="D29" s="371">
        <f>SUM(D25:D28)</f>
        <v>7144.99</v>
      </c>
      <c r="E29" s="372">
        <f t="shared" ref="E29:Q29" si="5">SUM(E25:E28)</f>
        <v>20186</v>
      </c>
      <c r="F29" s="372">
        <f t="shared" si="5"/>
        <v>20186</v>
      </c>
      <c r="G29" s="372">
        <f t="shared" si="5"/>
        <v>20186</v>
      </c>
      <c r="H29" s="372">
        <f t="shared" si="5"/>
        <v>20186</v>
      </c>
      <c r="I29" s="372">
        <f t="shared" si="5"/>
        <v>42667.295608125001</v>
      </c>
      <c r="J29" s="372">
        <f t="shared" si="5"/>
        <v>65266.034708333325</v>
      </c>
      <c r="K29" s="372">
        <f t="shared" si="5"/>
        <v>65500.921692499993</v>
      </c>
      <c r="L29" s="372">
        <f t="shared" si="5"/>
        <v>65730.683676666667</v>
      </c>
      <c r="M29" s="372">
        <f t="shared" si="5"/>
        <v>65944.067339583329</v>
      </c>
      <c r="N29" s="372">
        <f t="shared" si="5"/>
        <v>111891.27679690163</v>
      </c>
      <c r="O29" s="372">
        <f t="shared" si="5"/>
        <v>205344.48433442827</v>
      </c>
      <c r="P29" s="372">
        <f t="shared" si="5"/>
        <v>209296.63801838661</v>
      </c>
      <c r="Q29" s="373">
        <f t="shared" si="5"/>
        <v>912385.40217492485</v>
      </c>
      <c r="R29" s="452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 s="452"/>
    </row>
    <row r="31" spans="1:19" s="31" customFormat="1" ht="21">
      <c r="A31" s="32">
        <v>13</v>
      </c>
      <c r="B31" s="77" t="s">
        <v>165</v>
      </c>
      <c r="D31" s="408">
        <f>D22+D29</f>
        <v>334232.02318233333</v>
      </c>
      <c r="E31" s="409">
        <f>E22+E29</f>
        <v>366988.599361</v>
      </c>
      <c r="F31" s="409">
        <f t="shared" ref="F31:Q31" si="6">F22+F29</f>
        <v>394045.93262000004</v>
      </c>
      <c r="G31" s="409">
        <f t="shared" si="6"/>
        <v>429474.66618066671</v>
      </c>
      <c r="H31" s="409">
        <f t="shared" si="6"/>
        <v>453837.86961400008</v>
      </c>
      <c r="I31" s="409">
        <f t="shared" si="6"/>
        <v>509054.52643092338</v>
      </c>
      <c r="J31" s="409">
        <f t="shared" si="6"/>
        <v>565535.98040677665</v>
      </c>
      <c r="K31" s="409">
        <f t="shared" si="6"/>
        <v>596750.81540727511</v>
      </c>
      <c r="L31" s="409">
        <f t="shared" si="6"/>
        <v>628261.67822028499</v>
      </c>
      <c r="M31" s="409">
        <f t="shared" si="6"/>
        <v>659676.23909428995</v>
      </c>
      <c r="N31" s="409">
        <f t="shared" si="6"/>
        <v>715453.57311215287</v>
      </c>
      <c r="O31" s="409">
        <f t="shared" si="6"/>
        <v>836625.26626633061</v>
      </c>
      <c r="P31" s="409">
        <f>P22+P29</f>
        <v>846481.08623067196</v>
      </c>
      <c r="Q31" s="410">
        <f t="shared" si="6"/>
        <v>6825728.768487622</v>
      </c>
      <c r="R31" s="452"/>
    </row>
    <row r="32" spans="1:19" s="31" customFormat="1" ht="21">
      <c r="A32" s="32"/>
      <c r="B32" s="32"/>
      <c r="D32" s="80"/>
      <c r="P32" s="80"/>
      <c r="R32" s="452"/>
    </row>
    <row r="33" spans="1:18" s="452" customFormat="1" ht="21" customHeight="1"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</row>
    <row r="34" spans="1:1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 s="452"/>
    </row>
    <row r="35" spans="1:18" s="31" customFormat="1" ht="21">
      <c r="A35" s="79"/>
      <c r="B35" s="30" t="s">
        <v>546</v>
      </c>
      <c r="Q35" s="80"/>
      <c r="R35" s="452"/>
    </row>
    <row r="1048492" spans="19:19" ht="21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2 of 18</oddFooter>
  </headerFooter>
  <rowBreaks count="1" manualBreakCount="1">
    <brk id="3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19"/>
  <sheetViews>
    <sheetView workbookViewId="0"/>
  </sheetViews>
  <sheetFormatPr defaultColWidth="9.21875" defaultRowHeight="13.2"/>
  <cols>
    <col min="1" max="1" width="5.77734375" style="482" customWidth="1"/>
    <col min="2" max="2" width="22.77734375" style="476" customWidth="1"/>
    <col min="3" max="3" width="12.77734375" style="476" customWidth="1"/>
    <col min="4" max="4" width="9.77734375" style="476" customWidth="1"/>
    <col min="5" max="5" width="11.77734375" style="476" customWidth="1"/>
    <col min="6" max="6" width="14.77734375" style="476" customWidth="1"/>
    <col min="7" max="7" width="15.77734375" style="476" customWidth="1"/>
    <col min="8" max="14" width="9.21875" style="476" customWidth="1"/>
    <col min="15" max="16384" width="9.21875" style="476"/>
  </cols>
  <sheetData>
    <row r="1" spans="1:22" ht="17.399999999999999">
      <c r="A1" s="192" t="s">
        <v>67</v>
      </c>
      <c r="B1" s="192"/>
      <c r="C1" s="192"/>
      <c r="D1" s="192"/>
      <c r="E1" s="192"/>
      <c r="F1" s="192"/>
      <c r="G1" s="192"/>
      <c r="H1" s="41"/>
      <c r="I1" s="41"/>
      <c r="J1" s="41"/>
    </row>
    <row r="2" spans="1:22" ht="20.399999999999999">
      <c r="A2" s="192" t="s">
        <v>255</v>
      </c>
      <c r="B2" s="192"/>
      <c r="C2" s="192"/>
      <c r="D2" s="192"/>
      <c r="E2" s="192"/>
      <c r="F2" s="192"/>
      <c r="G2" s="192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7.399999999999999">
      <c r="A3" s="192" t="s">
        <v>68</v>
      </c>
      <c r="B3" s="192"/>
      <c r="C3" s="192"/>
      <c r="D3" s="192"/>
      <c r="E3" s="192"/>
      <c r="F3" s="192"/>
      <c r="G3" s="192"/>
      <c r="H3" s="41"/>
      <c r="I3" s="41"/>
      <c r="J3" s="41"/>
    </row>
    <row r="4" spans="1:22" ht="15.6">
      <c r="A4" s="66"/>
      <c r="B4" s="26"/>
      <c r="C4" s="26"/>
      <c r="D4" s="26"/>
      <c r="E4" s="26"/>
      <c r="F4" s="26"/>
      <c r="G4" s="26"/>
    </row>
    <row r="5" spans="1:22" ht="15.6">
      <c r="A5" s="66"/>
      <c r="B5" s="26"/>
      <c r="C5" s="26"/>
      <c r="D5" s="26"/>
      <c r="E5" s="26"/>
      <c r="F5" s="26"/>
      <c r="G5" s="43" t="s">
        <v>56</v>
      </c>
    </row>
    <row r="6" spans="1:22" ht="15.6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77</v>
      </c>
    </row>
    <row r="7" spans="1:22" ht="15.6">
      <c r="A7" s="190" t="s">
        <v>5</v>
      </c>
      <c r="B7" s="190" t="s">
        <v>44</v>
      </c>
      <c r="C7" s="190" t="s">
        <v>45</v>
      </c>
      <c r="D7" s="190" t="s">
        <v>35</v>
      </c>
      <c r="E7" s="190" t="s">
        <v>35</v>
      </c>
      <c r="F7" s="433" t="s">
        <v>501</v>
      </c>
      <c r="G7" s="190" t="s">
        <v>78</v>
      </c>
    </row>
    <row r="8" spans="1:22" ht="15.6">
      <c r="A8" s="66"/>
      <c r="B8" s="26"/>
      <c r="C8" s="26"/>
      <c r="D8" s="26"/>
      <c r="E8" s="26"/>
      <c r="F8" s="26"/>
      <c r="G8" s="26"/>
      <c r="K8" s="68"/>
    </row>
    <row r="9" spans="1:22" ht="15.6">
      <c r="A9" s="66">
        <v>1</v>
      </c>
      <c r="B9" s="26" t="s">
        <v>48</v>
      </c>
      <c r="C9" s="69">
        <v>1.4005040758411292E-2</v>
      </c>
      <c r="D9" s="70">
        <v>3.3598855017064826E-2</v>
      </c>
      <c r="E9" s="70">
        <f>C9*D9</f>
        <v>4.7055333394994459E-4</v>
      </c>
      <c r="F9" s="69"/>
      <c r="G9" s="69">
        <f>E9</f>
        <v>4.7055333394994459E-4</v>
      </c>
      <c r="K9" s="477"/>
      <c r="L9" s="478"/>
      <c r="M9" s="479"/>
    </row>
    <row r="10" spans="1:22" ht="15.6">
      <c r="A10" s="66">
        <v>2</v>
      </c>
      <c r="B10" s="71" t="s">
        <v>50</v>
      </c>
      <c r="C10" s="69">
        <v>0.45497001497241335</v>
      </c>
      <c r="D10" s="70">
        <v>4.3744370689708191E-2</v>
      </c>
      <c r="E10" s="70">
        <f>C10*D10</f>
        <v>1.9902376987655335E-2</v>
      </c>
      <c r="F10" s="69"/>
      <c r="G10" s="69">
        <f>E10</f>
        <v>1.9902376987655335E-2</v>
      </c>
      <c r="K10" s="477"/>
      <c r="L10" s="478"/>
      <c r="M10" s="479"/>
    </row>
    <row r="11" spans="1:22" ht="15.6">
      <c r="A11" s="189">
        <v>3</v>
      </c>
      <c r="B11" s="186" t="s">
        <v>49</v>
      </c>
      <c r="C11" s="188">
        <v>0.53102494426917535</v>
      </c>
      <c r="D11" s="480">
        <v>9.7250000000000003E-2</v>
      </c>
      <c r="E11" s="187">
        <f>C11*D11</f>
        <v>5.1642175830177307E-2</v>
      </c>
      <c r="F11" s="188">
        <f>E11*(0.2495/(1-0.2495))</f>
        <v>1.7168185036148219E-2</v>
      </c>
      <c r="G11" s="188">
        <f>E11/(1-0.2495)</f>
        <v>6.8810360866325526E-2</v>
      </c>
      <c r="K11" s="477"/>
      <c r="L11" s="478"/>
      <c r="M11" s="479"/>
    </row>
    <row r="12" spans="1:22" ht="15.6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7.2015106151782582E-2</v>
      </c>
      <c r="F12" s="69">
        <f>SUM(F9:F11)</f>
        <v>1.7168185036148219E-2</v>
      </c>
      <c r="G12" s="69">
        <f>ROUND(SUM(G9:G11),4)</f>
        <v>8.9200000000000002E-2</v>
      </c>
      <c r="K12" s="481"/>
      <c r="L12" s="478"/>
      <c r="M12" s="478"/>
    </row>
    <row r="13" spans="1:22" ht="15.6">
      <c r="A13" s="66"/>
      <c r="B13" s="26"/>
      <c r="C13" s="69"/>
      <c r="D13" s="26"/>
      <c r="E13" s="69"/>
      <c r="F13" s="69"/>
      <c r="G13" s="69"/>
      <c r="K13" s="481"/>
      <c r="L13" s="478"/>
      <c r="M13" s="478"/>
    </row>
    <row r="14" spans="1:22" ht="15.6">
      <c r="A14" s="66"/>
      <c r="B14" s="26"/>
      <c r="C14" s="26"/>
      <c r="D14" s="26"/>
      <c r="E14" s="26"/>
      <c r="F14" s="26"/>
      <c r="G14" s="26"/>
    </row>
    <row r="15" spans="1:22" ht="15.6">
      <c r="A15" s="191" t="s">
        <v>544</v>
      </c>
      <c r="B15" s="26"/>
      <c r="C15" s="26"/>
      <c r="D15" s="26"/>
      <c r="E15" s="26"/>
      <c r="F15" s="26"/>
      <c r="G15" s="26"/>
    </row>
    <row r="16" spans="1:22" ht="15.6">
      <c r="C16" s="26"/>
      <c r="D16" s="26"/>
      <c r="E16" s="26"/>
      <c r="F16" s="26"/>
      <c r="G16" s="26"/>
    </row>
    <row r="17" spans="1:7" ht="15.6">
      <c r="A17" s="66"/>
      <c r="B17" s="26"/>
      <c r="C17" s="26"/>
      <c r="D17" s="26"/>
      <c r="E17" s="26"/>
      <c r="F17" s="26"/>
      <c r="G17" s="26"/>
    </row>
    <row r="18" spans="1:7" ht="15.6">
      <c r="A18" s="66"/>
      <c r="B18" s="26"/>
      <c r="C18" s="26"/>
      <c r="D18" s="26"/>
      <c r="E18" s="26"/>
      <c r="F18" s="26"/>
      <c r="G18" s="26"/>
    </row>
    <row r="19" spans="1:7">
      <c r="D19" s="29"/>
    </row>
  </sheetData>
  <hyperlinks>
    <hyperlink ref="G7" r:id="rId1" display="^@ 38.9%" xr:uid="{00000000-0004-0000-1000-000000000000}"/>
  </hyperlinks>
  <printOptions horizontalCentered="1"/>
  <pageMargins left="0.5" right="0.62187499999999996" top="1" bottom="0.75" header="0.3" footer="0.3"/>
  <pageSetup orientation="landscape" r:id="rId2"/>
  <headerFooter>
    <oddFooter>&amp;R&amp;"Times New Roman,Bold"Exhibit 4
Page 3 of 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7622-E1B9-4F03-8F6C-852EFB6EB32B}">
  <sheetPr>
    <pageSetUpPr fitToPage="1"/>
  </sheetPr>
  <dimension ref="A1:AD53"/>
  <sheetViews>
    <sheetView workbookViewId="0">
      <selection activeCell="E27" sqref="E27"/>
    </sheetView>
  </sheetViews>
  <sheetFormatPr defaultColWidth="9.21875" defaultRowHeight="15.6"/>
  <cols>
    <col min="1" max="1" width="9.21875" style="476"/>
    <col min="2" max="2" width="38.77734375" style="26" bestFit="1" customWidth="1"/>
    <col min="3" max="15" width="15.77734375" style="26" customWidth="1"/>
    <col min="16" max="16" width="12.21875" style="476" bestFit="1" customWidth="1"/>
    <col min="17" max="17" width="16.21875" style="476" bestFit="1" customWidth="1"/>
    <col min="18" max="30" width="14.77734375" style="476" customWidth="1"/>
    <col min="31" max="31" width="9.21875" style="476"/>
    <col min="32" max="32" width="10.5546875" style="476" bestFit="1" customWidth="1"/>
    <col min="33" max="16384" width="9.21875" style="476"/>
  </cols>
  <sheetData>
    <row r="1" spans="1:30" ht="17.399999999999999">
      <c r="A1" s="192" t="s">
        <v>67</v>
      </c>
      <c r="B1" s="198"/>
      <c r="C1" s="198"/>
      <c r="D1" s="198"/>
      <c r="E1" s="198"/>
      <c r="F1" s="198"/>
      <c r="G1" s="198"/>
      <c r="H1" s="198"/>
      <c r="I1" s="192"/>
      <c r="J1" s="192"/>
      <c r="K1" s="192"/>
      <c r="L1" s="192"/>
      <c r="M1" s="192"/>
      <c r="N1" s="192"/>
      <c r="O1" s="192"/>
      <c r="Q1" s="39"/>
      <c r="R1" s="39"/>
      <c r="S1" s="39"/>
      <c r="T1" s="39"/>
      <c r="U1" s="39"/>
      <c r="V1" s="39"/>
      <c r="W1" s="39"/>
      <c r="X1" s="483"/>
      <c r="Y1" s="483"/>
      <c r="Z1" s="483"/>
      <c r="AA1" s="483"/>
      <c r="AB1" s="483"/>
      <c r="AC1" s="483"/>
      <c r="AD1" s="483"/>
    </row>
    <row r="2" spans="1:30" ht="17.399999999999999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39"/>
      <c r="Q2" s="39"/>
      <c r="R2" s="39"/>
      <c r="S2" s="39"/>
      <c r="T2" s="39"/>
      <c r="U2" s="39"/>
      <c r="V2" s="39"/>
      <c r="W2" s="39"/>
      <c r="X2" s="483"/>
      <c r="Y2" s="483"/>
      <c r="Z2" s="483"/>
      <c r="AA2" s="483"/>
      <c r="AB2" s="483"/>
      <c r="AC2" s="483"/>
      <c r="AD2" s="483"/>
    </row>
    <row r="3" spans="1:30" ht="17.399999999999999">
      <c r="A3" s="192" t="s">
        <v>161</v>
      </c>
      <c r="B3" s="198"/>
      <c r="C3" s="198"/>
      <c r="D3" s="198"/>
      <c r="E3" s="198"/>
      <c r="F3" s="198"/>
      <c r="G3" s="198"/>
      <c r="H3" s="198"/>
      <c r="I3" s="192"/>
      <c r="J3" s="192"/>
      <c r="K3" s="192"/>
      <c r="L3" s="192"/>
      <c r="M3" s="192"/>
      <c r="N3" s="192"/>
      <c r="O3" s="192"/>
      <c r="Q3" s="39"/>
      <c r="R3" s="39"/>
      <c r="S3" s="39"/>
      <c r="T3" s="39"/>
      <c r="U3" s="39"/>
      <c r="V3" s="39"/>
      <c r="W3" s="39"/>
      <c r="X3" s="483"/>
      <c r="Y3" s="483"/>
      <c r="Z3" s="483"/>
      <c r="AA3" s="483"/>
      <c r="AB3" s="483"/>
      <c r="AC3" s="483"/>
      <c r="AD3" s="483"/>
    </row>
    <row r="4" spans="1:30">
      <c r="Q4" s="483"/>
      <c r="R4" s="483"/>
      <c r="S4" s="483"/>
      <c r="T4" s="483"/>
      <c r="U4" s="483"/>
      <c r="V4" s="483"/>
      <c r="X4" s="483"/>
      <c r="Y4" s="483"/>
      <c r="Z4" s="483"/>
      <c r="AA4" s="483"/>
      <c r="AB4" s="483"/>
      <c r="AC4" s="483"/>
      <c r="AD4" s="483"/>
    </row>
    <row r="5" spans="1:30">
      <c r="Q5" s="483"/>
      <c r="R5" s="483"/>
      <c r="S5" s="483"/>
      <c r="T5" s="483"/>
      <c r="U5" s="483"/>
      <c r="V5" s="483"/>
      <c r="X5" s="483"/>
      <c r="Y5" s="483"/>
      <c r="Z5" s="483"/>
      <c r="AA5" s="483"/>
      <c r="AB5" s="483"/>
      <c r="AC5" s="483"/>
      <c r="AD5" s="483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476"/>
      <c r="R6" s="476"/>
      <c r="S6" s="476"/>
      <c r="T6" s="476"/>
      <c r="U6" s="476"/>
      <c r="V6" s="476"/>
      <c r="W6" s="476"/>
    </row>
    <row r="7" spans="1:30" ht="16.2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261</v>
      </c>
      <c r="F7" s="44" t="s">
        <v>262</v>
      </c>
      <c r="G7" s="44" t="s">
        <v>88</v>
      </c>
      <c r="H7" s="44" t="s">
        <v>263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2020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482">
        <v>1</v>
      </c>
      <c r="B10" s="26" t="s">
        <v>250</v>
      </c>
      <c r="C10" s="457">
        <f>'2020 Capital Budget'!F27</f>
        <v>15172.2</v>
      </c>
      <c r="D10" s="457">
        <f>'2020 Capital Budget'!G27</f>
        <v>-15172</v>
      </c>
      <c r="E10" s="457">
        <f>'2020 Capital Budget'!H27</f>
        <v>0</v>
      </c>
      <c r="F10" s="457">
        <f>'2020 Capital Budget'!I27</f>
        <v>0</v>
      </c>
      <c r="G10" s="457">
        <f>'2020 Capital Budget'!J27</f>
        <v>0</v>
      </c>
      <c r="H10" s="457">
        <f>'2020 Capital Budget'!K27</f>
        <v>0</v>
      </c>
      <c r="I10" s="457">
        <f>'2020 Capital Budget'!L27</f>
        <v>0</v>
      </c>
      <c r="J10" s="457">
        <f>'2020 Capital Budget'!M27</f>
        <v>0</v>
      </c>
      <c r="K10" s="457">
        <f>'2020 Capital Budget'!N27</f>
        <v>0</v>
      </c>
      <c r="L10" s="457">
        <f>'2020 Capital Budget'!O27</f>
        <v>0</v>
      </c>
      <c r="M10" s="457">
        <f>'2020 Capital Budget'!P27</f>
        <v>0</v>
      </c>
      <c r="N10" s="457">
        <f>'2020 Capital Budget'!Q27</f>
        <v>0</v>
      </c>
      <c r="O10" s="457">
        <f>SUM(C10:N10)</f>
        <v>0.2000000000007276</v>
      </c>
      <c r="P10" s="484"/>
    </row>
    <row r="11" spans="1:30">
      <c r="A11" s="482">
        <f>A10+1</f>
        <v>2</v>
      </c>
      <c r="B11" s="26" t="s">
        <v>251</v>
      </c>
      <c r="C11" s="457">
        <f>SUM('2020 Capital Budget'!F16:F19,'2020 Capital Budget'!F22:F24,'2020 Capital Budget'!F28)</f>
        <v>2652318.3200000003</v>
      </c>
      <c r="D11" s="457">
        <f>SUM('2020 Capital Budget'!G16:G19,'2020 Capital Budget'!G22:G24,'2020 Capital Budget'!G28)</f>
        <v>3639999.99</v>
      </c>
      <c r="E11" s="457">
        <f>SUM('2020 Capital Budget'!H16:H19,'2020 Capital Budget'!H22:H24,'2020 Capital Budget'!H28)</f>
        <v>4710197.34</v>
      </c>
      <c r="F11" s="457">
        <f>SUM('2020 Capital Budget'!I16:I19,'2020 Capital Budget'!I22:I24,'2020 Capital Budget'!I28)</f>
        <v>3221561</v>
      </c>
      <c r="G11" s="457">
        <f>SUM('2020 Capital Budget'!J16:J19,'2020 Capital Budget'!J22:J24,'2020 Capital Budget'!J28)</f>
        <v>4511703.08</v>
      </c>
      <c r="H11" s="457">
        <f>SUM('2020 Capital Budget'!K16:K19,'2020 Capital Budget'!K22:K24,'2020 Capital Budget'!K28)</f>
        <v>4542257.8499999996</v>
      </c>
      <c r="I11" s="457">
        <f>SUM('2020 Capital Budget'!L16:L19,'2020 Capital Budget'!L22:L24,'2020 Capital Budget'!L28)</f>
        <v>4152805.02</v>
      </c>
      <c r="J11" s="457">
        <f>SUM('2020 Capital Budget'!M16:M19,'2020 Capital Budget'!M22:M24,'2020 Capital Budget'!M28)</f>
        <v>4158359.14</v>
      </c>
      <c r="K11" s="457">
        <f>SUM('2020 Capital Budget'!N16:N19,'2020 Capital Budget'!N22:N24,'2020 Capital Budget'!N28)</f>
        <v>4133374.2</v>
      </c>
      <c r="L11" s="457">
        <f>SUM('2020 Capital Budget'!O16:O19,'2020 Capital Budget'!O22:O24,'2020 Capital Budget'!O28)</f>
        <v>4106793.1100000003</v>
      </c>
      <c r="M11" s="457">
        <f>SUM('2020 Capital Budget'!P16:P19,'2020 Capital Budget'!P22:P24,'2020 Capital Budget'!P28)</f>
        <v>3744074.05</v>
      </c>
      <c r="N11" s="457">
        <f>SUM('2020 Capital Budget'!Q16:Q19,'2020 Capital Budget'!Q22:Q24,'2020 Capital Budget'!Q28)</f>
        <v>882837.58000000007</v>
      </c>
      <c r="O11" s="457">
        <f t="shared" ref="O11:O14" si="0">SUM(C11:N11)</f>
        <v>44456280.679999992</v>
      </c>
      <c r="P11" s="484"/>
    </row>
    <row r="12" spans="1:30">
      <c r="A12" s="482">
        <f>A11+1</f>
        <v>3</v>
      </c>
      <c r="B12" s="26" t="s">
        <v>80</v>
      </c>
      <c r="C12" s="457">
        <f>'2020 Capital Budget'!F20+'2020 Capital Budget'!F21</f>
        <v>272853.78000000003</v>
      </c>
      <c r="D12" s="457">
        <f>'2020 Capital Budget'!G20+'2020 Capital Budget'!G21</f>
        <v>216467.15000000002</v>
      </c>
      <c r="E12" s="457">
        <f>'2020 Capital Budget'!H20+'2020 Capital Budget'!H21</f>
        <v>231260.74000000002</v>
      </c>
      <c r="F12" s="457">
        <f>'2020 Capital Budget'!I20+'2020 Capital Budget'!I21</f>
        <v>235795.11</v>
      </c>
      <c r="G12" s="457">
        <f>'2020 Capital Budget'!J20+'2020 Capital Budget'!J21</f>
        <v>186271.12000000002</v>
      </c>
      <c r="H12" s="457">
        <f>'2020 Capital Budget'!K20+'2020 Capital Budget'!K21</f>
        <v>192922</v>
      </c>
      <c r="I12" s="457">
        <f>'2020 Capital Budget'!L20+'2020 Capital Budget'!L21</f>
        <v>201681.61000000002</v>
      </c>
      <c r="J12" s="457">
        <f>'2020 Capital Budget'!M20+'2020 Capital Budget'!M21</f>
        <v>220092.75</v>
      </c>
      <c r="K12" s="457">
        <f>'2020 Capital Budget'!N20+'2020 Capital Budget'!N21</f>
        <v>202094.58</v>
      </c>
      <c r="L12" s="457">
        <f>'2020 Capital Budget'!O20+'2020 Capital Budget'!O21</f>
        <v>230024.57</v>
      </c>
      <c r="M12" s="457">
        <f>'2020 Capital Budget'!P20+'2020 Capital Budget'!P21</f>
        <v>212196.1</v>
      </c>
      <c r="N12" s="457">
        <f>'2020 Capital Budget'!Q20+'2020 Capital Budget'!Q21</f>
        <v>218776.65</v>
      </c>
      <c r="O12" s="457">
        <f t="shared" si="0"/>
        <v>2620436.16</v>
      </c>
      <c r="P12" s="484"/>
    </row>
    <row r="13" spans="1:30">
      <c r="A13" s="482">
        <f>A12+1</f>
        <v>4</v>
      </c>
      <c r="B13" s="26" t="s">
        <v>81</v>
      </c>
      <c r="C13" s="457">
        <v>0</v>
      </c>
      <c r="D13" s="457">
        <v>0</v>
      </c>
      <c r="E13" s="457">
        <v>0</v>
      </c>
      <c r="F13" s="457">
        <v>0</v>
      </c>
      <c r="G13" s="457">
        <v>0</v>
      </c>
      <c r="H13" s="457">
        <v>0</v>
      </c>
      <c r="I13" s="457">
        <v>0</v>
      </c>
      <c r="J13" s="457">
        <v>0</v>
      </c>
      <c r="K13" s="457">
        <v>0</v>
      </c>
      <c r="L13" s="457">
        <v>0</v>
      </c>
      <c r="M13" s="457">
        <v>0</v>
      </c>
      <c r="N13" s="457">
        <v>0</v>
      </c>
      <c r="O13" s="457">
        <f t="shared" si="0"/>
        <v>0</v>
      </c>
      <c r="P13" s="484"/>
    </row>
    <row r="14" spans="1:30">
      <c r="A14" s="482">
        <f>A13+1</f>
        <v>5</v>
      </c>
      <c r="B14" s="26" t="s">
        <v>162</v>
      </c>
      <c r="C14" s="430">
        <f>SUM('2020 Capital Budget'!F9:F15,'2020 Capital Budget'!F25:F26)</f>
        <v>1360718.8099999998</v>
      </c>
      <c r="D14" s="430">
        <f>SUM('2020 Capital Budget'!G9:G15,'2020 Capital Budget'!G25:G26)</f>
        <v>1118627.6300000001</v>
      </c>
      <c r="E14" s="430">
        <f>SUM('2020 Capital Budget'!H9:H15,'2020 Capital Budget'!H25:H26)</f>
        <v>1189194.7000000002</v>
      </c>
      <c r="F14" s="430">
        <f>SUM('2020 Capital Budget'!I9:I15,'2020 Capital Budget'!I25:I26)</f>
        <v>1247255.1200000001</v>
      </c>
      <c r="G14" s="430">
        <f>SUM('2020 Capital Budget'!J9:J15,'2020 Capital Budget'!J25:J26)</f>
        <v>1231152.77</v>
      </c>
      <c r="H14" s="430">
        <f>SUM('2020 Capital Budget'!K9:K15,'2020 Capital Budget'!K25:K26)</f>
        <v>1271731.67</v>
      </c>
      <c r="I14" s="430">
        <f>SUM('2020 Capital Budget'!L9:L15,'2020 Capital Budget'!L25:L26)</f>
        <v>1348368.8</v>
      </c>
      <c r="J14" s="430">
        <f>SUM('2020 Capital Budget'!M9:M15,'2020 Capital Budget'!M25:M26)</f>
        <v>1324294.56</v>
      </c>
      <c r="K14" s="430">
        <f>SUM('2020 Capital Budget'!N9:N15,'2020 Capital Budget'!N25:N26)</f>
        <v>1279279.94</v>
      </c>
      <c r="L14" s="430">
        <f>SUM('2020 Capital Budget'!O9:O15,'2020 Capital Budget'!O25:O26)</f>
        <v>1237626.75</v>
      </c>
      <c r="M14" s="430">
        <f>SUM('2020 Capital Budget'!P9:P15,'2020 Capital Budget'!P25:P26)</f>
        <v>1169013.5899999999</v>
      </c>
      <c r="N14" s="430">
        <f>SUM('2020 Capital Budget'!Q9:Q15,'2020 Capital Budget'!Q25:Q26)</f>
        <v>1148216.8900000001</v>
      </c>
      <c r="O14" s="430">
        <f t="shared" si="0"/>
        <v>14925481.23</v>
      </c>
      <c r="P14" s="485"/>
    </row>
    <row r="15" spans="1:30">
      <c r="A15" s="482">
        <f>A14+1</f>
        <v>6</v>
      </c>
      <c r="B15" s="26" t="s">
        <v>82</v>
      </c>
      <c r="C15" s="453">
        <f t="shared" ref="C15:N15" si="1">SUM(C10:C14)</f>
        <v>4301063.1100000003</v>
      </c>
      <c r="D15" s="453">
        <f t="shared" si="1"/>
        <v>4959922.7700000005</v>
      </c>
      <c r="E15" s="453">
        <f t="shared" si="1"/>
        <v>6130652.7800000003</v>
      </c>
      <c r="F15" s="453">
        <f t="shared" si="1"/>
        <v>4704611.2300000004</v>
      </c>
      <c r="G15" s="453">
        <f t="shared" si="1"/>
        <v>5929126.9700000007</v>
      </c>
      <c r="H15" s="453">
        <f t="shared" si="1"/>
        <v>6006911.5199999996</v>
      </c>
      <c r="I15" s="453">
        <f t="shared" si="1"/>
        <v>5702855.4299999997</v>
      </c>
      <c r="J15" s="453">
        <f t="shared" si="1"/>
        <v>5702746.4500000011</v>
      </c>
      <c r="K15" s="453">
        <f t="shared" si="1"/>
        <v>5614748.7200000007</v>
      </c>
      <c r="L15" s="453">
        <f t="shared" si="1"/>
        <v>5574444.4300000006</v>
      </c>
      <c r="M15" s="453">
        <f t="shared" si="1"/>
        <v>5125283.74</v>
      </c>
      <c r="N15" s="453">
        <f t="shared" si="1"/>
        <v>2249831.12</v>
      </c>
      <c r="O15" s="453">
        <f>SUM(O10:O14)</f>
        <v>62002198.269999996</v>
      </c>
      <c r="P15" s="484"/>
      <c r="Q15" s="484"/>
    </row>
    <row r="16" spans="1:30">
      <c r="I16" s="453"/>
      <c r="J16" s="453"/>
      <c r="K16" s="453"/>
      <c r="L16" s="453"/>
      <c r="M16" s="453"/>
      <c r="N16" s="453"/>
      <c r="O16" s="453"/>
      <c r="P16" s="484"/>
    </row>
    <row r="17" spans="1:16">
      <c r="A17" s="482">
        <f>A15+1</f>
        <v>7</v>
      </c>
      <c r="B17" s="26" t="s">
        <v>252</v>
      </c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  <c r="O17" s="457">
        <f>SUM(C17:N17)</f>
        <v>0</v>
      </c>
      <c r="P17" s="484"/>
    </row>
    <row r="18" spans="1:16">
      <c r="A18" s="482">
        <f t="shared" ref="A18:A19" si="2">A17+1</f>
        <v>8</v>
      </c>
      <c r="B18" s="26" t="s">
        <v>331</v>
      </c>
      <c r="C18" s="369">
        <f>-Summary!B7</f>
        <v>0</v>
      </c>
      <c r="D18" s="369">
        <f>-Summary!C7</f>
        <v>0</v>
      </c>
      <c r="E18" s="369">
        <f>-Summary!D7</f>
        <v>0</v>
      </c>
      <c r="F18" s="369">
        <f>-Summary!E7</f>
        <v>0</v>
      </c>
      <c r="G18" s="369">
        <f>-Summary!F7</f>
        <v>0</v>
      </c>
      <c r="H18" s="369">
        <f>-Summary!G7</f>
        <v>0</v>
      </c>
      <c r="I18" s="369">
        <f>-Summary!H7</f>
        <v>0</v>
      </c>
      <c r="J18" s="369">
        <f>-Summary!I7</f>
        <v>0</v>
      </c>
      <c r="K18" s="369">
        <f>-Summary!J7</f>
        <v>0</v>
      </c>
      <c r="L18" s="369">
        <f>-Summary!K7</f>
        <v>-2729692.3755785851</v>
      </c>
      <c r="M18" s="369">
        <f>-Summary!L7</f>
        <v>0</v>
      </c>
      <c r="N18" s="369">
        <f>-Summary!M7</f>
        <v>0</v>
      </c>
      <c r="O18" s="369">
        <f>SUM(C18:N18)</f>
        <v>-2729692.3755785851</v>
      </c>
      <c r="P18" s="484"/>
    </row>
    <row r="19" spans="1:16">
      <c r="A19" s="482">
        <f t="shared" si="2"/>
        <v>9</v>
      </c>
      <c r="B19" s="26" t="s">
        <v>72</v>
      </c>
      <c r="C19" s="457">
        <v>0</v>
      </c>
      <c r="D19" s="457">
        <v>0</v>
      </c>
      <c r="E19" s="457">
        <v>0</v>
      </c>
      <c r="F19" s="457">
        <v>0</v>
      </c>
      <c r="G19" s="457">
        <v>0</v>
      </c>
      <c r="H19" s="457">
        <v>0</v>
      </c>
      <c r="I19" s="457">
        <v>0</v>
      </c>
      <c r="J19" s="457">
        <v>0</v>
      </c>
      <c r="K19" s="457">
        <v>0</v>
      </c>
      <c r="L19" s="457">
        <v>0</v>
      </c>
      <c r="M19" s="457">
        <v>0</v>
      </c>
      <c r="N19" s="457">
        <v>0</v>
      </c>
      <c r="O19" s="457">
        <f t="shared" ref="O19:O20" si="3">SUM(C19:N19)</f>
        <v>0</v>
      </c>
      <c r="P19" s="484"/>
    </row>
    <row r="20" spans="1:16" s="490" customFormat="1">
      <c r="A20" s="488">
        <f>A19+1</f>
        <v>10</v>
      </c>
      <c r="B20" s="489" t="s">
        <v>73</v>
      </c>
      <c r="C20" s="457">
        <v>0</v>
      </c>
      <c r="D20" s="457">
        <v>0</v>
      </c>
      <c r="E20" s="457">
        <v>0</v>
      </c>
      <c r="F20" s="457">
        <v>0</v>
      </c>
      <c r="G20" s="457">
        <v>0</v>
      </c>
      <c r="H20" s="457">
        <v>0</v>
      </c>
      <c r="I20" s="457">
        <v>0</v>
      </c>
      <c r="J20" s="457">
        <v>0</v>
      </c>
      <c r="K20" s="457">
        <v>0</v>
      </c>
      <c r="L20" s="457">
        <v>0</v>
      </c>
      <c r="M20" s="457">
        <v>0</v>
      </c>
      <c r="N20" s="457">
        <v>0</v>
      </c>
      <c r="O20" s="457">
        <f t="shared" si="3"/>
        <v>0</v>
      </c>
      <c r="P20" s="485"/>
    </row>
    <row r="21" spans="1:16">
      <c r="A21" s="486">
        <f>A20+1</f>
        <v>11</v>
      </c>
      <c r="B21" s="487" t="s">
        <v>613</v>
      </c>
      <c r="C21" s="360">
        <f>-Summary!B8</f>
        <v>-95826.869175680084</v>
      </c>
      <c r="D21" s="360">
        <f>-Summary!C8</f>
        <v>-95826.869175680084</v>
      </c>
      <c r="E21" s="360">
        <f>-Summary!D8</f>
        <v>-95826.869175680084</v>
      </c>
      <c r="F21" s="360">
        <f>-Summary!E8</f>
        <v>-95826.869175680084</v>
      </c>
      <c r="G21" s="360">
        <f>-Summary!F8</f>
        <v>-95826.869175680084</v>
      </c>
      <c r="H21" s="360">
        <f>-Summary!G8</f>
        <v>-95826.869175680084</v>
      </c>
      <c r="I21" s="360">
        <f>-Summary!H8</f>
        <v>-95826.869175680084</v>
      </c>
      <c r="J21" s="360">
        <f>-Summary!I8</f>
        <v>-95826.869175680084</v>
      </c>
      <c r="K21" s="360">
        <f>-Summary!J8</f>
        <v>-95826.869175680084</v>
      </c>
      <c r="L21" s="360">
        <f>-Summary!K8</f>
        <v>-95826.869175680084</v>
      </c>
      <c r="M21" s="360">
        <f>-Summary!L8</f>
        <v>-95826.869175680084</v>
      </c>
      <c r="N21" s="360">
        <f>-Summary!M8</f>
        <v>-95826.869175680084</v>
      </c>
      <c r="O21" s="360">
        <f t="shared" ref="O21" si="4">SUM(C21:N21)</f>
        <v>-1149922.4301081609</v>
      </c>
      <c r="P21" s="484"/>
    </row>
    <row r="22" spans="1:16">
      <c r="A22" s="482">
        <f>A21+1</f>
        <v>12</v>
      </c>
      <c r="B22" s="26" t="s">
        <v>180</v>
      </c>
      <c r="C22" s="369">
        <f>SUM(C17:C21)</f>
        <v>-95826.869175680084</v>
      </c>
      <c r="D22" s="369">
        <f t="shared" ref="D22:O22" si="5">SUM(D17:D21)</f>
        <v>-95826.869175680084</v>
      </c>
      <c r="E22" s="369">
        <f t="shared" si="5"/>
        <v>-95826.869175680084</v>
      </c>
      <c r="F22" s="369">
        <f t="shared" si="5"/>
        <v>-95826.869175680084</v>
      </c>
      <c r="G22" s="369">
        <f t="shared" si="5"/>
        <v>-95826.869175680084</v>
      </c>
      <c r="H22" s="369">
        <f t="shared" si="5"/>
        <v>-95826.869175680084</v>
      </c>
      <c r="I22" s="369">
        <f t="shared" si="5"/>
        <v>-95826.869175680084</v>
      </c>
      <c r="J22" s="369">
        <f t="shared" si="5"/>
        <v>-95826.869175680084</v>
      </c>
      <c r="K22" s="369">
        <f t="shared" si="5"/>
        <v>-95826.869175680084</v>
      </c>
      <c r="L22" s="369">
        <f t="shared" si="5"/>
        <v>-2825519.2447542651</v>
      </c>
      <c r="M22" s="369">
        <f t="shared" si="5"/>
        <v>-95826.869175680084</v>
      </c>
      <c r="N22" s="369">
        <f t="shared" si="5"/>
        <v>-95826.869175680084</v>
      </c>
      <c r="O22" s="369">
        <f t="shared" si="5"/>
        <v>-3879614.8056867458</v>
      </c>
      <c r="P22" s="484"/>
    </row>
    <row r="23" spans="1:16">
      <c r="A23" s="482"/>
      <c r="I23" s="457"/>
      <c r="J23" s="457"/>
      <c r="K23" s="457"/>
      <c r="L23" s="457"/>
      <c r="M23" s="457"/>
      <c r="N23" s="457"/>
      <c r="O23" s="457"/>
      <c r="P23" s="484"/>
    </row>
    <row r="24" spans="1:16">
      <c r="A24" s="482">
        <f>A22+1</f>
        <v>13</v>
      </c>
      <c r="B24" s="26" t="s">
        <v>179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33">
        <v>0</v>
      </c>
      <c r="M24" s="453">
        <v>0</v>
      </c>
      <c r="N24" s="453">
        <v>0</v>
      </c>
      <c r="O24" s="453">
        <f>SUM(C24:N24)</f>
        <v>0</v>
      </c>
      <c r="P24" s="484"/>
    </row>
    <row r="25" spans="1:16">
      <c r="A25" s="482"/>
      <c r="I25" s="453"/>
      <c r="J25" s="453"/>
      <c r="K25" s="453"/>
      <c r="L25" s="453"/>
      <c r="M25" s="453"/>
      <c r="N25" s="453"/>
      <c r="O25" s="453"/>
      <c r="P25" s="484"/>
    </row>
    <row r="26" spans="1:16" ht="16.5" customHeight="1">
      <c r="A26" s="482">
        <f>A24+1</f>
        <v>14</v>
      </c>
      <c r="B26" s="26" t="s">
        <v>253</v>
      </c>
      <c r="C26" s="453">
        <v>0</v>
      </c>
      <c r="D26" s="453">
        <v>0</v>
      </c>
      <c r="E26" s="453">
        <v>0</v>
      </c>
      <c r="F26" s="453">
        <v>0</v>
      </c>
      <c r="G26" s="453">
        <v>0</v>
      </c>
      <c r="H26" s="453">
        <v>0</v>
      </c>
      <c r="I26" s="453">
        <v>0</v>
      </c>
      <c r="J26" s="453">
        <v>0</v>
      </c>
      <c r="K26" s="453">
        <v>0</v>
      </c>
      <c r="L26" s="453">
        <v>0</v>
      </c>
      <c r="M26" s="453">
        <v>0</v>
      </c>
      <c r="N26" s="453">
        <v>0</v>
      </c>
      <c r="O26" s="457">
        <f>SUM(C26:N26)</f>
        <v>0</v>
      </c>
      <c r="P26" s="484"/>
    </row>
    <row r="27" spans="1:16" ht="16.5" customHeight="1">
      <c r="A27" s="482">
        <f>A26+1</f>
        <v>15</v>
      </c>
      <c r="B27" s="26" t="s">
        <v>330</v>
      </c>
      <c r="C27" s="453">
        <f>SUM('2020 Capital Budget'!F37:F40)</f>
        <v>0</v>
      </c>
      <c r="D27" s="453">
        <f>SUM('2020 Capital Budget'!G37:G40)</f>
        <v>0</v>
      </c>
      <c r="E27" s="453">
        <f>SUM('2020 Capital Budget'!H37:H40)</f>
        <v>56000</v>
      </c>
      <c r="F27" s="453">
        <f>SUM('2020 Capital Budget'!I37:I40)</f>
        <v>56000</v>
      </c>
      <c r="G27" s="453">
        <f>SUM('2020 Capital Budget'!J37:J40)</f>
        <v>56000</v>
      </c>
      <c r="H27" s="453">
        <f>SUM('2020 Capital Budget'!K37:K40)</f>
        <v>56000</v>
      </c>
      <c r="I27" s="453">
        <f>SUM('2020 Capital Budget'!L37:L40)</f>
        <v>56000</v>
      </c>
      <c r="J27" s="453">
        <f>SUM('2020 Capital Budget'!M37:M40)</f>
        <v>92000</v>
      </c>
      <c r="K27" s="453">
        <f>SUM('2020 Capital Budget'!N37:N40)</f>
        <v>107232</v>
      </c>
      <c r="L27" s="453">
        <f>SUM('2020 Capital Budget'!O37:O40)</f>
        <v>122464</v>
      </c>
      <c r="M27" s="453">
        <f>SUM('2020 Capital Budget'!P37:P40)</f>
        <v>125510.39999999999</v>
      </c>
      <c r="N27" s="453">
        <f>SUM('2020 Capital Budget'!Q37:Q40)</f>
        <v>56000</v>
      </c>
      <c r="O27" s="457">
        <f>SUM(C27:N27)</f>
        <v>783206.40000000002</v>
      </c>
      <c r="P27" s="484"/>
    </row>
    <row r="28" spans="1:16">
      <c r="A28" s="482">
        <f t="shared" ref="A28:A30" si="6">A27+1</f>
        <v>16</v>
      </c>
      <c r="B28" s="26" t="s">
        <v>83</v>
      </c>
      <c r="C28" s="515">
        <f>SUM('2020 Capital Budget'!F35:F36,'2020 Capital Budget'!F43)</f>
        <v>42155.37</v>
      </c>
      <c r="D28" s="515">
        <f>SUM('2020 Capital Budget'!G35:G36,'2020 Capital Budget'!G43)</f>
        <v>20975.269999999997</v>
      </c>
      <c r="E28" s="515">
        <f>SUM('2020 Capital Budget'!H35:H36,'2020 Capital Budget'!H43)</f>
        <v>30628.080000000002</v>
      </c>
      <c r="F28" s="515">
        <f>SUM('2020 Capital Budget'!I35:I36,'2020 Capital Budget'!I43)</f>
        <v>31232.350000000002</v>
      </c>
      <c r="G28" s="515">
        <f>SUM('2020 Capital Budget'!J35:J36,'2020 Capital Budget'!J43)</f>
        <v>29266.37</v>
      </c>
      <c r="H28" s="515">
        <f>SUM('2020 Capital Budget'!K35:K36,'2020 Capital Budget'!K43)</f>
        <v>30473.59</v>
      </c>
      <c r="I28" s="515">
        <f>SUM('2020 Capital Budget'!L35:L36,'2020 Capital Budget'!L43)</f>
        <v>31681.43</v>
      </c>
      <c r="J28" s="515">
        <f>SUM('2020 Capital Budget'!M35:M36,'2020 Capital Budget'!M43)</f>
        <v>34714.800000000003</v>
      </c>
      <c r="K28" s="515">
        <f>SUM('2020 Capital Budget'!N35:N36,'2020 Capital Budget'!N43)</f>
        <v>32157.41</v>
      </c>
      <c r="L28" s="515">
        <f>SUM('2020 Capital Budget'!O35:O36,'2020 Capital Budget'!O43)</f>
        <v>35976.629999999997</v>
      </c>
      <c r="M28" s="515">
        <f>SUM('2020 Capital Budget'!P35:P36,'2020 Capital Budget'!P43)</f>
        <v>33312.76</v>
      </c>
      <c r="N28" s="515">
        <f>SUM('2020 Capital Budget'!Q35:Q36,'2020 Capital Budget'!Q43)</f>
        <v>34551.520000000004</v>
      </c>
      <c r="O28" s="516">
        <f t="shared" ref="O28:O29" si="7">SUM(C28:N28)</f>
        <v>387125.58</v>
      </c>
      <c r="P28" s="492"/>
    </row>
    <row r="29" spans="1:16" s="490" customFormat="1">
      <c r="A29" s="488">
        <f t="shared" si="6"/>
        <v>17</v>
      </c>
      <c r="B29" s="489" t="s">
        <v>84</v>
      </c>
      <c r="C29" s="516">
        <v>0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f t="shared" si="7"/>
        <v>0</v>
      </c>
      <c r="P29" s="491"/>
    </row>
    <row r="30" spans="1:16">
      <c r="A30" s="486">
        <f t="shared" si="6"/>
        <v>18</v>
      </c>
      <c r="B30" s="487" t="s">
        <v>612</v>
      </c>
      <c r="C30" s="517">
        <f>SUM('2020 Capital Budget'!F32:F34,'2020 Capital Budget'!F41:F42)</f>
        <v>328014.84999999998</v>
      </c>
      <c r="D30" s="517">
        <f>SUM('2020 Capital Budget'!G32:G34,'2020 Capital Budget'!G41:G42)</f>
        <v>177774.16</v>
      </c>
      <c r="E30" s="517">
        <f>SUM('2020 Capital Budget'!H32:H34,'2020 Capital Budget'!H41:H42)</f>
        <v>252500.97</v>
      </c>
      <c r="F30" s="517">
        <f>SUM('2020 Capital Budget'!I32:I34,'2020 Capital Budget'!I41:I42)</f>
        <v>252500.97</v>
      </c>
      <c r="G30" s="517">
        <f>SUM('2020 Capital Budget'!J32:J34,'2020 Capital Budget'!J41:J42)</f>
        <v>250820.97</v>
      </c>
      <c r="H30" s="517">
        <f>SUM('2020 Capital Budget'!K32:K34,'2020 Capital Budget'!K41:K42)</f>
        <v>257540.97</v>
      </c>
      <c r="I30" s="517">
        <f>SUM('2020 Capital Budget'!L32:L34,'2020 Capital Budget'!L41:L42)</f>
        <v>253060.97</v>
      </c>
      <c r="J30" s="517">
        <f>SUM('2020 Capital Budget'!M32:M34,'2020 Capital Budget'!M41:M42)</f>
        <v>251940.97</v>
      </c>
      <c r="K30" s="517">
        <f>SUM('2020 Capital Budget'!N32:N34,'2020 Capital Budget'!N41:N42)</f>
        <v>250820.97</v>
      </c>
      <c r="L30" s="517">
        <f>SUM('2020 Capital Budget'!O32:O34,'2020 Capital Budget'!O41:O42)</f>
        <v>253620.97</v>
      </c>
      <c r="M30" s="517">
        <f>SUM('2020 Capital Budget'!P32:P34,'2020 Capital Budget'!P41:P42)</f>
        <v>251940.97</v>
      </c>
      <c r="N30" s="517">
        <f>SUM('2020 Capital Budget'!Q32:Q34,'2020 Capital Budget'!Q41:Q42)</f>
        <v>272820.97000000003</v>
      </c>
      <c r="O30" s="517">
        <f>SUM(C30:N30)</f>
        <v>3053358.7100000004</v>
      </c>
      <c r="P30" s="485"/>
    </row>
    <row r="31" spans="1:16">
      <c r="A31" s="482">
        <f>A30+1</f>
        <v>19</v>
      </c>
      <c r="B31" s="26" t="s">
        <v>85</v>
      </c>
      <c r="C31" s="370">
        <f>SUM(C26:C30)</f>
        <v>370170.22</v>
      </c>
      <c r="D31" s="370">
        <f t="shared" ref="D31:N31" si="8">SUM(D26:D30)</f>
        <v>198749.43</v>
      </c>
      <c r="E31" s="370">
        <f t="shared" si="8"/>
        <v>339129.05</v>
      </c>
      <c r="F31" s="370">
        <f t="shared" si="8"/>
        <v>339733.32</v>
      </c>
      <c r="G31" s="370">
        <f t="shared" si="8"/>
        <v>336087.33999999997</v>
      </c>
      <c r="H31" s="370">
        <f t="shared" si="8"/>
        <v>344014.56</v>
      </c>
      <c r="I31" s="370">
        <f t="shared" si="8"/>
        <v>340742.40000000002</v>
      </c>
      <c r="J31" s="370">
        <f t="shared" si="8"/>
        <v>378655.77</v>
      </c>
      <c r="K31" s="370">
        <f t="shared" si="8"/>
        <v>390210.38</v>
      </c>
      <c r="L31" s="370">
        <f t="shared" si="8"/>
        <v>412061.6</v>
      </c>
      <c r="M31" s="370">
        <f t="shared" si="8"/>
        <v>410764.13</v>
      </c>
      <c r="N31" s="370">
        <f t="shared" si="8"/>
        <v>363372.49000000005</v>
      </c>
      <c r="O31" s="370">
        <f>SUM(O26:O30)</f>
        <v>4223690.6900000004</v>
      </c>
      <c r="P31" s="484"/>
    </row>
    <row r="32" spans="1:16">
      <c r="A32" s="482"/>
      <c r="I32" s="453"/>
      <c r="J32" s="453"/>
      <c r="K32" s="453"/>
      <c r="L32" s="453"/>
      <c r="M32" s="453"/>
      <c r="N32" s="453"/>
      <c r="O32" s="453"/>
      <c r="P32" s="484"/>
    </row>
    <row r="33" spans="1:30">
      <c r="A33" s="482">
        <f>A31+1</f>
        <v>20</v>
      </c>
      <c r="B33" s="26" t="s">
        <v>603</v>
      </c>
      <c r="C33" s="453">
        <f>'COS Budget 2020'!H33</f>
        <v>100954.59999999999</v>
      </c>
      <c r="D33" s="453">
        <f>'COS Budget 2020'!I33</f>
        <v>96658.5</v>
      </c>
      <c r="E33" s="453">
        <f>'COS Budget 2020'!J33</f>
        <v>103553.65999999999</v>
      </c>
      <c r="F33" s="453">
        <f>'COS Budget 2020'!K33</f>
        <v>100347.77999999997</v>
      </c>
      <c r="G33" s="453">
        <f>'COS Budget 2020'!L33</f>
        <v>94972.700000000026</v>
      </c>
      <c r="H33" s="453">
        <f>'COS Budget 2020'!M33</f>
        <v>97346.030000000028</v>
      </c>
      <c r="I33" s="453">
        <f>'COS Budget 2020'!N33</f>
        <v>100488.25000000001</v>
      </c>
      <c r="J33" s="453">
        <f>'COS Budget 2020'!O33</f>
        <v>106696.70999999998</v>
      </c>
      <c r="K33" s="453">
        <f>'COS Budget 2020'!P33</f>
        <v>101218.24000000001</v>
      </c>
      <c r="L33" s="453">
        <f>'COS Budget 2020'!Q33</f>
        <v>109294.28</v>
      </c>
      <c r="M33" s="453">
        <f>'COS Budget 2020'!R33</f>
        <v>104000.83</v>
      </c>
      <c r="N33" s="453">
        <f>'COS Budget 2020'!S33</f>
        <v>106389.90999999997</v>
      </c>
      <c r="O33" s="453">
        <f>SUM(C33:N33)</f>
        <v>1221921.49</v>
      </c>
      <c r="P33" s="484"/>
    </row>
    <row r="34" spans="1:30">
      <c r="A34" s="482">
        <f t="shared" ref="A34:A36" si="9">A33+1</f>
        <v>21</v>
      </c>
      <c r="B34" s="26" t="s">
        <v>604</v>
      </c>
      <c r="C34" s="453">
        <f>'COS Budget 2020'!H34</f>
        <v>0</v>
      </c>
      <c r="D34" s="453">
        <f>'COS Budget 2020'!I34</f>
        <v>0</v>
      </c>
      <c r="E34" s="453">
        <f>'COS Budget 2020'!J34</f>
        <v>0</v>
      </c>
      <c r="F34" s="453">
        <f>'COS Budget 2020'!K34</f>
        <v>0</v>
      </c>
      <c r="G34" s="453">
        <f>'COS Budget 2020'!L34</f>
        <v>0</v>
      </c>
      <c r="H34" s="453">
        <f>'COS Budget 2020'!M34</f>
        <v>0</v>
      </c>
      <c r="I34" s="453">
        <f>'COS Budget 2020'!N34</f>
        <v>0</v>
      </c>
      <c r="J34" s="453">
        <f>'COS Budget 2020'!O34</f>
        <v>0</v>
      </c>
      <c r="K34" s="453">
        <f>'COS Budget 2020'!P34</f>
        <v>0</v>
      </c>
      <c r="L34" s="453">
        <f>'COS Budget 2020'!Q34</f>
        <v>0</v>
      </c>
      <c r="M34" s="453">
        <f>'COS Budget 2020'!R34</f>
        <v>0</v>
      </c>
      <c r="N34" s="453">
        <f>'COS Budget 2020'!S34</f>
        <v>0</v>
      </c>
      <c r="O34" s="453">
        <f>SUM(C34:N34)</f>
        <v>0</v>
      </c>
      <c r="P34" s="484"/>
    </row>
    <row r="35" spans="1:30">
      <c r="A35" s="482">
        <f t="shared" si="9"/>
        <v>22</v>
      </c>
      <c r="B35" s="26" t="s">
        <v>460</v>
      </c>
      <c r="C35" s="453">
        <f>'COS Budget 2020'!H36</f>
        <v>68347</v>
      </c>
      <c r="D35" s="453">
        <f>'COS Budget 2020'!I36</f>
        <v>68347</v>
      </c>
      <c r="E35" s="453">
        <f>'COS Budget 2020'!J36</f>
        <v>68347</v>
      </c>
      <c r="F35" s="453">
        <f>'COS Budget 2020'!K36</f>
        <v>68347</v>
      </c>
      <c r="G35" s="453">
        <f>'COS Budget 2020'!L36</f>
        <v>68347</v>
      </c>
      <c r="H35" s="453">
        <f>'COS Budget 2020'!M36</f>
        <v>68347</v>
      </c>
      <c r="I35" s="453">
        <f>'COS Budget 2020'!N36</f>
        <v>68347</v>
      </c>
      <c r="J35" s="453">
        <f>'COS Budget 2020'!O36</f>
        <v>68347</v>
      </c>
      <c r="K35" s="453">
        <f>'COS Budget 2020'!P36</f>
        <v>68347</v>
      </c>
      <c r="L35" s="453">
        <f>'COS Budget 2020'!Q36</f>
        <v>68347</v>
      </c>
      <c r="M35" s="453">
        <f>'COS Budget 2020'!R36</f>
        <v>68347</v>
      </c>
      <c r="N35" s="453">
        <f>'COS Budget 2020'!S36</f>
        <v>68347</v>
      </c>
      <c r="O35" s="453">
        <f>SUM(C35:N35)</f>
        <v>820164</v>
      </c>
      <c r="P35" s="484"/>
    </row>
    <row r="36" spans="1:30">
      <c r="A36" s="482">
        <f t="shared" si="9"/>
        <v>23</v>
      </c>
      <c r="B36" s="26" t="s">
        <v>461</v>
      </c>
      <c r="C36" s="453">
        <f>'COS Budget 2020'!H37</f>
        <v>20186</v>
      </c>
      <c r="D36" s="453">
        <f>'COS Budget 2020'!I37</f>
        <v>20186</v>
      </c>
      <c r="E36" s="453">
        <f>'COS Budget 2020'!J37</f>
        <v>20186</v>
      </c>
      <c r="F36" s="453">
        <f>'COS Budget 2020'!K37</f>
        <v>20186</v>
      </c>
      <c r="G36" s="453">
        <f>'COS Budget 2020'!L37</f>
        <v>20186</v>
      </c>
      <c r="H36" s="453">
        <f>'COS Budget 2020'!M37</f>
        <v>20186</v>
      </c>
      <c r="I36" s="453">
        <f>'COS Budget 2020'!N37</f>
        <v>20186</v>
      </c>
      <c r="J36" s="453">
        <f>'COS Budget 2020'!O37</f>
        <v>20186</v>
      </c>
      <c r="K36" s="453">
        <f>'COS Budget 2020'!P37</f>
        <v>20186</v>
      </c>
      <c r="L36" s="453">
        <f>'COS Budget 2020'!Q37</f>
        <v>20186</v>
      </c>
      <c r="M36" s="453">
        <f>'COS Budget 2020'!R37</f>
        <v>64595</v>
      </c>
      <c r="N36" s="453">
        <f>'COS Budget 2020'!S37</f>
        <v>64595</v>
      </c>
      <c r="O36" s="453">
        <f>SUM(C36:N36)</f>
        <v>331050</v>
      </c>
    </row>
    <row r="37" spans="1:30">
      <c r="L37" s="63"/>
      <c r="M37" s="453"/>
    </row>
    <row r="39" spans="1:30" s="26" customFormat="1">
      <c r="A39" s="476"/>
      <c r="M39" s="476"/>
      <c r="N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</row>
    <row r="40" spans="1:30" s="26" customFormat="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</row>
    <row r="41" spans="1:30" s="26" customFormat="1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</row>
    <row r="42" spans="1:30" s="26" customFormat="1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</row>
    <row r="43" spans="1:30" s="26" customFormat="1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</row>
    <row r="44" spans="1:30" s="26" customFormat="1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</row>
    <row r="45" spans="1:30" s="26" customFormat="1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26" customFormat="1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0" s="26" customFormat="1">
      <c r="A47" s="476"/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</row>
    <row r="48" spans="1:30" s="26" customFormat="1">
      <c r="A48" s="476"/>
      <c r="B48" s="476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</row>
    <row r="49" spans="1:30" s="26" customFormat="1">
      <c r="A49" s="476"/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</row>
    <row r="50" spans="1:30" s="26" customFormat="1">
      <c r="A50" s="476"/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26" customFormat="1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</row>
    <row r="52" spans="1:30" s="26" customFormat="1">
      <c r="A52" s="476"/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</row>
    <row r="53" spans="1:30" s="26" customFormat="1">
      <c r="A53" s="476"/>
      <c r="B53" s="476"/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</row>
  </sheetData>
  <pageMargins left="0.7" right="0.7" top="0.75" bottom="0.75" header="0.3" footer="0.3"/>
  <pageSetup scale="49" orientation="landscape" r:id="rId1"/>
  <headerFooter>
    <oddFooter>&amp;R&amp;"Times New Roman,Bold"&amp;18Exhibit 4
Page 4 of 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73F-4492-4144-BE75-DEDEC2D158D9}">
  <sheetPr>
    <pageSetUpPr fitToPage="1"/>
  </sheetPr>
  <dimension ref="A1:R36"/>
  <sheetViews>
    <sheetView zoomScaleNormal="100"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55468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'201912 Bk Depr'!R13</f>
        <v>7460509.7299999986</v>
      </c>
      <c r="H13" s="1">
        <f>1.62%/12</f>
        <v>1.3500000000000003E-3</v>
      </c>
      <c r="J13" s="365">
        <f>F13*H13</f>
        <v>10071.6881355</v>
      </c>
      <c r="L13" s="366">
        <f>'Cap&amp;OpEx 2020'!C10</f>
        <v>15172.2</v>
      </c>
      <c r="N13" s="365">
        <f>H13*L13*0.5</f>
        <v>10.241235000000003</v>
      </c>
      <c r="P13" s="365">
        <f>J13+N13</f>
        <v>10081.9293705</v>
      </c>
      <c r="R13" s="365">
        <f>L13+F13</f>
        <v>7475681.9299999988</v>
      </c>
    </row>
    <row r="14" spans="1:18">
      <c r="A14" s="6">
        <f t="shared" ref="A14:A17" si="0">A13+1</f>
        <v>2</v>
      </c>
      <c r="B14" s="4"/>
      <c r="C14" s="4" t="s">
        <v>594</v>
      </c>
      <c r="D14" s="6">
        <v>367</v>
      </c>
      <c r="F14" s="361">
        <v>0</v>
      </c>
      <c r="H14" s="1">
        <f>2.05%/12</f>
        <v>1.7083333333333332E-3</v>
      </c>
      <c r="J14" s="365">
        <f>F14*H14</f>
        <v>0</v>
      </c>
      <c r="L14" s="366">
        <v>0</v>
      </c>
      <c r="N14" s="365">
        <f>H14*L14*0.5</f>
        <v>0</v>
      </c>
      <c r="P14" s="365">
        <f>J14+N14</f>
        <v>0</v>
      </c>
      <c r="R14" s="365">
        <f>L14+F14</f>
        <v>0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'201912 Bk Depr'!R14</f>
        <v>8027443.370000001</v>
      </c>
      <c r="H15" s="1">
        <f>3.24%/12</f>
        <v>2.7000000000000006E-3</v>
      </c>
      <c r="J15" s="365">
        <f>F15*H15</f>
        <v>21674.097099000006</v>
      </c>
      <c r="L15" s="366">
        <f>'Cap&amp;OpEx 2020'!C12</f>
        <v>272853.78000000003</v>
      </c>
      <c r="N15" s="365">
        <f>H15*L15*0.5</f>
        <v>368.3526030000001</v>
      </c>
      <c r="P15" s="365">
        <f>J15+N15</f>
        <v>22042.449702000005</v>
      </c>
      <c r="R15" s="365">
        <f>L15+F15</f>
        <v>8300297.1500000013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'201912 Bk Depr'!R15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2020'!C13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'201912 Bk Depr'!R16</f>
        <v>33097175.020000003</v>
      </c>
      <c r="H17" s="1">
        <f t="shared" si="1"/>
        <v>2.7000000000000006E-3</v>
      </c>
      <c r="J17" s="365">
        <f>F17*H17</f>
        <v>89362.372554000031</v>
      </c>
      <c r="L17" s="367">
        <f>'Cap&amp;OpEx 2020'!C14</f>
        <v>1360718.8099999998</v>
      </c>
      <c r="N17" s="365">
        <f>H17*L17*0.5</f>
        <v>1836.9703935000002</v>
      </c>
      <c r="P17" s="365">
        <f>J17+N17</f>
        <v>91199.34294750003</v>
      </c>
      <c r="R17" s="365">
        <f>L17+F17</f>
        <v>34457893.830000006</v>
      </c>
    </row>
    <row r="18" spans="1:18">
      <c r="A18" s="6">
        <f>A17+1</f>
        <v>6</v>
      </c>
      <c r="B18" s="4"/>
      <c r="C18" s="4" t="s">
        <v>21</v>
      </c>
      <c r="F18" s="363">
        <f>SUM(F13:F17)</f>
        <v>55802508.359999999</v>
      </c>
      <c r="J18" s="363">
        <f>SUM(J13:J17)</f>
        <v>140595.08443650004</v>
      </c>
      <c r="L18" s="363">
        <f>SUM(L13:L17)</f>
        <v>1648744.7899999998</v>
      </c>
      <c r="N18" s="363">
        <f>SUM(N13:N17)</f>
        <v>2215.5642315000005</v>
      </c>
      <c r="P18" s="363">
        <f>SUM(P13:P17)</f>
        <v>142810.64866800004</v>
      </c>
      <c r="R18" s="363">
        <f>SUM(R13:R17)</f>
        <v>57451253.150000006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'201912 Bk Depr'!R20</f>
        <v>0</v>
      </c>
      <c r="H21" s="1">
        <f>1.62%/12</f>
        <v>1.3500000000000003E-3</v>
      </c>
      <c r="J21" s="365">
        <f>F21*H21</f>
        <v>0</v>
      </c>
      <c r="L21" s="366">
        <f>'Cap&amp;OpEx 2020'!C17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>A21+1</f>
        <v>8</v>
      </c>
      <c r="B22" s="494"/>
      <c r="C22" s="494" t="s">
        <v>594</v>
      </c>
      <c r="D22" s="493">
        <v>367</v>
      </c>
      <c r="E22" s="493"/>
      <c r="F22" s="495">
        <v>0</v>
      </c>
      <c r="G22" s="493"/>
      <c r="H22" s="496">
        <f>2.05%/12</f>
        <v>1.7083333333333332E-3</v>
      </c>
      <c r="I22" s="493"/>
      <c r="J22" s="413">
        <f>F22*H22</f>
        <v>0</v>
      </c>
      <c r="K22" s="493"/>
      <c r="L22" s="497">
        <f>'Cap&amp;OpEx 2020'!C18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>A22+1</f>
        <v>9</v>
      </c>
      <c r="B23" s="4"/>
      <c r="C23" s="9" t="s">
        <v>62</v>
      </c>
      <c r="D23" s="6">
        <v>380</v>
      </c>
      <c r="F23" s="361">
        <f>'201912 Bk Depr'!R21</f>
        <v>0</v>
      </c>
      <c r="H23" s="1">
        <f>3.24%/12</f>
        <v>2.7000000000000006E-3</v>
      </c>
      <c r="J23" s="365">
        <f t="shared" ref="J23:J24" si="2">F23*H23</f>
        <v>0</v>
      </c>
      <c r="L23" s="366">
        <f>'Cap&amp;OpEx 2020'!C19</f>
        <v>0</v>
      </c>
      <c r="N23" s="365">
        <f t="shared" ref="N23:N24" si="3">H23*L23*0.5</f>
        <v>0</v>
      </c>
      <c r="P23" s="365">
        <f t="shared" ref="P23:P24" si="4">J23+N23</f>
        <v>0</v>
      </c>
      <c r="R23" s="365">
        <f t="shared" ref="R23:R24" si="5">L23+F23</f>
        <v>0</v>
      </c>
    </row>
    <row r="24" spans="1:18" s="502" customFormat="1">
      <c r="A24" s="501">
        <f t="shared" ref="A24" si="6">A23+1</f>
        <v>10</v>
      </c>
      <c r="C24" s="503" t="s">
        <v>63</v>
      </c>
      <c r="D24" s="501">
        <v>380</v>
      </c>
      <c r="E24" s="501"/>
      <c r="F24" s="361">
        <f>'201912 Bk Depr'!R22</f>
        <v>0</v>
      </c>
      <c r="G24" s="501"/>
      <c r="H24" s="504">
        <f>3.24%/12</f>
        <v>2.7000000000000006E-3</v>
      </c>
      <c r="I24" s="501"/>
      <c r="J24" s="361">
        <f t="shared" si="2"/>
        <v>0</v>
      </c>
      <c r="K24" s="501"/>
      <c r="L24" s="366">
        <f>'Cap&amp;OpEx 2020'!C20</f>
        <v>0</v>
      </c>
      <c r="M24" s="501"/>
      <c r="N24" s="361">
        <f t="shared" si="3"/>
        <v>0</v>
      </c>
      <c r="O24" s="501"/>
      <c r="P24" s="361">
        <f t="shared" si="4"/>
        <v>0</v>
      </c>
      <c r="Q24" s="501"/>
      <c r="R24" s="361">
        <f t="shared" si="5"/>
        <v>0</v>
      </c>
    </row>
    <row r="25" spans="1:18">
      <c r="A25" s="493">
        <f>A24+1</f>
        <v>11</v>
      </c>
      <c r="B25" s="494"/>
      <c r="C25" s="498" t="s">
        <v>163</v>
      </c>
      <c r="D25" s="493">
        <v>380</v>
      </c>
      <c r="E25" s="493"/>
      <c r="F25" s="499">
        <v>0</v>
      </c>
      <c r="G25" s="493"/>
      <c r="H25" s="496">
        <f>3.24%/12</f>
        <v>2.7000000000000006E-3</v>
      </c>
      <c r="I25" s="493"/>
      <c r="J25" s="413">
        <f t="shared" ref="J25" si="7">F25*H25</f>
        <v>0</v>
      </c>
      <c r="K25" s="493"/>
      <c r="L25" s="500">
        <f>'Cap&amp;OpEx 2020'!C21</f>
        <v>-95826.869175680084</v>
      </c>
      <c r="M25" s="493"/>
      <c r="N25" s="413">
        <f t="shared" ref="N25" si="8">H25*L25*0.5</f>
        <v>-129.36627338716815</v>
      </c>
      <c r="O25" s="493"/>
      <c r="P25" s="413">
        <f t="shared" ref="P25" si="9">J25+N25</f>
        <v>-129.36627338716815</v>
      </c>
      <c r="Q25" s="493"/>
      <c r="R25" s="413">
        <f t="shared" ref="R25" si="10">L25+F25</f>
        <v>-95826.869175680084</v>
      </c>
    </row>
    <row r="26" spans="1:18">
      <c r="A26" s="6">
        <f>A25+1</f>
        <v>12</v>
      </c>
      <c r="B26" s="4"/>
      <c r="C26" s="4" t="s">
        <v>22</v>
      </c>
      <c r="F26" s="505">
        <f>SUM(F21:F25)</f>
        <v>0</v>
      </c>
      <c r="J26" s="505">
        <f>SUM(J21:J25)</f>
        <v>0</v>
      </c>
      <c r="L26" s="505">
        <f>SUM(L21:L25)</f>
        <v>-95826.869175680084</v>
      </c>
      <c r="N26" s="505">
        <f>SUM(N21:N25)</f>
        <v>-129.36627338716815</v>
      </c>
      <c r="P26" s="505">
        <f>SUM(P21:P25)</f>
        <v>-129.36627338716815</v>
      </c>
      <c r="R26" s="505">
        <f>SUM(R21:R25)</f>
        <v>-95826.869175680084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55802508.359999999</v>
      </c>
      <c r="G28" s="518"/>
      <c r="I28" s="518"/>
      <c r="J28" s="520">
        <f>J18+J26</f>
        <v>140595.08443650004</v>
      </c>
      <c r="K28" s="518"/>
      <c r="L28" s="520">
        <f>L18+L26</f>
        <v>1552917.9208243198</v>
      </c>
      <c r="M28" s="518"/>
      <c r="N28" s="520">
        <f>N18+N26</f>
        <v>2086.1979581128321</v>
      </c>
      <c r="O28" s="518"/>
      <c r="P28" s="520">
        <f>P18+P26</f>
        <v>142681.28239461288</v>
      </c>
      <c r="Q28" s="518"/>
      <c r="R28" s="520">
        <f>R18+R26</f>
        <v>57355426.280824326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'201912 Bk Depr'!R28</f>
        <v>1927915.84</v>
      </c>
      <c r="J31" s="365"/>
      <c r="L31" s="366">
        <f>'Cap&amp;OpEx 2020'!C26</f>
        <v>0</v>
      </c>
      <c r="N31" s="365"/>
      <c r="P31" s="365"/>
      <c r="R31" s="365">
        <f>L31+F31</f>
        <v>1927915.84</v>
      </c>
    </row>
    <row r="32" spans="1:18">
      <c r="A32" s="493">
        <f>A31+1</f>
        <v>15</v>
      </c>
      <c r="B32" s="494"/>
      <c r="C32" s="494" t="s">
        <v>594</v>
      </c>
      <c r="D32" s="493">
        <v>367</v>
      </c>
      <c r="E32" s="493"/>
      <c r="F32" s="495">
        <v>0</v>
      </c>
      <c r="G32" s="493"/>
      <c r="H32" s="494"/>
      <c r="I32" s="493"/>
      <c r="J32" s="413"/>
      <c r="K32" s="493"/>
      <c r="L32" s="497">
        <f>'Cap&amp;OpEx 2020'!C27</f>
        <v>0</v>
      </c>
      <c r="M32" s="493"/>
      <c r="N32" s="413"/>
      <c r="O32" s="493"/>
      <c r="P32" s="413"/>
      <c r="Q32" s="493"/>
      <c r="R32" s="413">
        <f>L32+F32</f>
        <v>0</v>
      </c>
    </row>
    <row r="33" spans="1:18">
      <c r="A33" s="6">
        <f>A32+1</f>
        <v>16</v>
      </c>
      <c r="B33" s="4"/>
      <c r="C33" s="9" t="s">
        <v>62</v>
      </c>
      <c r="D33" s="6">
        <v>380</v>
      </c>
      <c r="F33" s="361">
        <f>'201912 Bk Depr'!R29</f>
        <v>6000817.6099999994</v>
      </c>
      <c r="J33" s="365"/>
      <c r="L33" s="522">
        <f>'Cap&amp;OpEx 2020'!C28</f>
        <v>42155.37</v>
      </c>
      <c r="N33" s="365"/>
      <c r="P33" s="365"/>
      <c r="R33" s="524">
        <f>L33+F33</f>
        <v>6042972.9799999995</v>
      </c>
    </row>
    <row r="34" spans="1:18" s="502" customFormat="1">
      <c r="A34" s="501">
        <f t="shared" ref="A34:A35" si="11">A33+1</f>
        <v>17</v>
      </c>
      <c r="C34" s="503" t="s">
        <v>63</v>
      </c>
      <c r="D34" s="501">
        <v>380</v>
      </c>
      <c r="E34" s="501"/>
      <c r="F34" s="361">
        <f>'201912 Bk Depr'!R30</f>
        <v>160988.60999999999</v>
      </c>
      <c r="G34" s="501"/>
      <c r="I34" s="501"/>
      <c r="J34" s="361"/>
      <c r="K34" s="501"/>
      <c r="L34" s="525">
        <f>'Cap&amp;OpEx 2020'!C29</f>
        <v>0</v>
      </c>
      <c r="M34" s="501"/>
      <c r="N34" s="361"/>
      <c r="O34" s="501"/>
      <c r="P34" s="361"/>
      <c r="Q34" s="501"/>
      <c r="R34" s="361">
        <f>L34+F34</f>
        <v>160988.60999999999</v>
      </c>
    </row>
    <row r="35" spans="1:18">
      <c r="A35" s="493">
        <f t="shared" si="11"/>
        <v>18</v>
      </c>
      <c r="B35" s="494"/>
      <c r="C35" s="498" t="s">
        <v>163</v>
      </c>
      <c r="D35" s="493">
        <v>380</v>
      </c>
      <c r="E35" s="493"/>
      <c r="F35" s="499">
        <v>0</v>
      </c>
      <c r="G35" s="493"/>
      <c r="H35" s="494"/>
      <c r="I35" s="493"/>
      <c r="J35" s="413"/>
      <c r="K35" s="493"/>
      <c r="L35" s="523">
        <f>'Cap&amp;OpEx 2020'!C30</f>
        <v>328014.84999999998</v>
      </c>
      <c r="M35" s="493"/>
      <c r="N35" s="413"/>
      <c r="O35" s="493"/>
      <c r="P35" s="413"/>
      <c r="Q35" s="493"/>
      <c r="R35" s="524">
        <f>L35+F35</f>
        <v>328014.84999999998</v>
      </c>
    </row>
    <row r="36" spans="1:18">
      <c r="A36" s="6">
        <f>A35+1</f>
        <v>19</v>
      </c>
      <c r="B36" s="4"/>
      <c r="C36" s="4" t="s">
        <v>23</v>
      </c>
      <c r="F36" s="505">
        <f>SUM(F31:F35)</f>
        <v>8089722.0599999996</v>
      </c>
      <c r="G36" s="493"/>
      <c r="H36" s="494"/>
      <c r="I36" s="493"/>
      <c r="J36" s="505">
        <f>SUM(J31:J35)</f>
        <v>0</v>
      </c>
      <c r="K36" s="493"/>
      <c r="L36" s="505">
        <f>SUM(L31:L35)</f>
        <v>370170.22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8459892.2799999993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6E36-0697-4581-BC45-678AB61535B1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549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'202001 Bk Depr'!R13</f>
        <v>7475681.9299999988</v>
      </c>
      <c r="H13" s="1">
        <f>1.62%/12</f>
        <v>1.3500000000000003E-3</v>
      </c>
      <c r="J13" s="365">
        <f>F13*H13</f>
        <v>10092.170605500001</v>
      </c>
      <c r="L13" s="366">
        <f>'Cap&amp;OpEx 2020'!D10</f>
        <v>-15172</v>
      </c>
      <c r="N13" s="365">
        <f>H13*L13*0.5</f>
        <v>-10.241100000000003</v>
      </c>
      <c r="P13" s="365">
        <f>J13+N13</f>
        <v>10081.929505500002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v>0</v>
      </c>
      <c r="H14" s="1">
        <f>2.05%/12</f>
        <v>1.7083333333333332E-3</v>
      </c>
      <c r="J14" s="365">
        <f>F14*H14</f>
        <v>0</v>
      </c>
      <c r="L14" s="366">
        <v>0</v>
      </c>
      <c r="N14" s="365">
        <f>H14*L14*0.5</f>
        <v>0</v>
      </c>
      <c r="P14" s="365">
        <f>J14+N14</f>
        <v>0</v>
      </c>
      <c r="R14" s="365">
        <f>L14+F14</f>
        <v>0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'202001 Bk Depr'!R15</f>
        <v>8300297.1500000013</v>
      </c>
      <c r="H15" s="1">
        <f>3.24%/12</f>
        <v>2.7000000000000006E-3</v>
      </c>
      <c r="J15" s="365">
        <f>F15*H15</f>
        <v>22410.802305000008</v>
      </c>
      <c r="L15" s="366">
        <f>'Cap&amp;OpEx 2020'!D12</f>
        <v>216467.15000000002</v>
      </c>
      <c r="N15" s="365">
        <f>H15*L15*0.5</f>
        <v>292.23065250000008</v>
      </c>
      <c r="P15" s="365">
        <f>J15+N15</f>
        <v>22703.032957500007</v>
      </c>
      <c r="R15" s="365">
        <f>L15+F15</f>
        <v>8516764.3000000007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'202001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2020'!D13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'202001 Bk Depr'!R17</f>
        <v>34457893.830000006</v>
      </c>
      <c r="H17" s="1">
        <f t="shared" si="1"/>
        <v>2.7000000000000006E-3</v>
      </c>
      <c r="J17" s="365">
        <f>F17*H17</f>
        <v>93036.31334100003</v>
      </c>
      <c r="L17" s="367">
        <f>'Cap&amp;OpEx 2020'!D14</f>
        <v>1118627.6300000001</v>
      </c>
      <c r="N17" s="365">
        <f>H17*L17*0.5</f>
        <v>1510.1473005000005</v>
      </c>
      <c r="P17" s="365">
        <f>J17+N17</f>
        <v>94546.460641500031</v>
      </c>
      <c r="R17" s="365">
        <f>L17+F17</f>
        <v>35576521.460000008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57451253.150000006</v>
      </c>
      <c r="J18" s="363">
        <f>SUM(J13:J17)</f>
        <v>145026.21289950004</v>
      </c>
      <c r="L18" s="363">
        <f>SUM(L13:L17)</f>
        <v>1319922.7800000003</v>
      </c>
      <c r="N18" s="363">
        <f>SUM(N13:N17)</f>
        <v>1792.1368530000004</v>
      </c>
      <c r="P18" s="363">
        <f>SUM(P13:P17)</f>
        <v>146818.34975250004</v>
      </c>
      <c r="R18" s="363">
        <f>SUM(R13:R17)</f>
        <v>58771175.930000007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'202001 Bk Depr'!R21</f>
        <v>0</v>
      </c>
      <c r="H21" s="1">
        <v>1.3500000000000003E-3</v>
      </c>
      <c r="J21" s="365">
        <f>F21*H21</f>
        <v>0</v>
      </c>
      <c r="L21" s="366">
        <f>'Cap&amp;OpEx 2020'!D17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'202001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2020'!D18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'202001 Bk Depr'!R23</f>
        <v>0</v>
      </c>
      <c r="H23" s="1">
        <v>2.7000000000000006E-3</v>
      </c>
      <c r="J23" s="365">
        <f>F23*H23</f>
        <v>0</v>
      </c>
      <c r="L23" s="366">
        <f>'Cap&amp;OpEx 2020'!D19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'202001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2020'!D20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'202001 Bk Depr'!R25</f>
        <v>-95826.869175680084</v>
      </c>
      <c r="G25" s="493"/>
      <c r="H25" s="496">
        <v>2.7000000000000006E-3</v>
      </c>
      <c r="I25" s="493"/>
      <c r="J25" s="413">
        <f>F25*H25</f>
        <v>-258.7325467743363</v>
      </c>
      <c r="K25" s="493"/>
      <c r="L25" s="500">
        <f>'Cap&amp;OpEx 2020'!D21</f>
        <v>-95826.869175680084</v>
      </c>
      <c r="M25" s="493"/>
      <c r="N25" s="413">
        <f>H25*L25*0.5</f>
        <v>-129.36627338716815</v>
      </c>
      <c r="O25" s="493"/>
      <c r="P25" s="413">
        <f>J25+N25</f>
        <v>-388.09882016150448</v>
      </c>
      <c r="Q25" s="493"/>
      <c r="R25" s="413">
        <f>L25+F25</f>
        <v>-191653.73835136017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-95826.869175680084</v>
      </c>
      <c r="J26" s="363">
        <f>SUM(J21:J25)</f>
        <v>-258.7325467743363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-388.09882016150448</v>
      </c>
      <c r="R26" s="363">
        <f>SUM(R21:R25)</f>
        <v>-191653.73835136017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57355426.280824326</v>
      </c>
      <c r="G28" s="518"/>
      <c r="I28" s="518"/>
      <c r="J28" s="520">
        <f>J18+J26</f>
        <v>144767.48035272569</v>
      </c>
      <c r="K28" s="518"/>
      <c r="L28" s="520">
        <f>L18+L26</f>
        <v>1224095.9108243203</v>
      </c>
      <c r="M28" s="518"/>
      <c r="N28" s="520">
        <f>N18+N26</f>
        <v>1662.7705796128323</v>
      </c>
      <c r="O28" s="518"/>
      <c r="P28" s="520">
        <f>P18+P26</f>
        <v>146430.25093233853</v>
      </c>
      <c r="Q28" s="518"/>
      <c r="R28" s="520">
        <f>R18+R26</f>
        <v>58579522.191648647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'202001 Bk Depr'!R31</f>
        <v>1927915.84</v>
      </c>
      <c r="J31" s="365"/>
      <c r="L31" s="366">
        <f>'Cap&amp;OpEx 2020'!D26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'202001 Bk Depr'!R32</f>
        <v>0</v>
      </c>
      <c r="G32" s="493"/>
      <c r="H32" s="494"/>
      <c r="I32" s="493"/>
      <c r="J32" s="413"/>
      <c r="K32" s="493"/>
      <c r="L32" s="497">
        <f>'Cap&amp;OpEx 2020'!D27</f>
        <v>0</v>
      </c>
      <c r="M32" s="493"/>
      <c r="N32" s="413"/>
      <c r="O32" s="493"/>
      <c r="P32" s="413"/>
      <c r="Q32" s="493"/>
      <c r="R32" s="413">
        <f>L32+F32</f>
        <v>0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'202001 Bk Depr'!R33</f>
        <v>6042972.9799999995</v>
      </c>
      <c r="J33" s="365"/>
      <c r="L33" s="522">
        <f>'Cap&amp;OpEx 2020'!D28</f>
        <v>20975.269999999997</v>
      </c>
      <c r="N33" s="365"/>
      <c r="P33" s="365"/>
      <c r="R33" s="524">
        <f>L33+F33</f>
        <v>6063948.2499999991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361">
        <f>'202001 Bk Depr'!R34</f>
        <v>160988.60999999999</v>
      </c>
      <c r="G34" s="501"/>
      <c r="I34" s="501"/>
      <c r="J34" s="361"/>
      <c r="K34" s="501"/>
      <c r="L34" s="522">
        <f>'Cap&amp;OpEx 2020'!D29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'202001 Bk Depr'!R35</f>
        <v>328014.84999999998</v>
      </c>
      <c r="G35" s="493"/>
      <c r="H35" s="494"/>
      <c r="I35" s="493"/>
      <c r="J35" s="413"/>
      <c r="K35" s="493"/>
      <c r="L35" s="523">
        <f>'Cap&amp;OpEx 2020'!D30</f>
        <v>177774.16</v>
      </c>
      <c r="M35" s="493"/>
      <c r="N35" s="413"/>
      <c r="O35" s="493"/>
      <c r="P35" s="413"/>
      <c r="Q35" s="493"/>
      <c r="R35" s="524">
        <f>L35+F35</f>
        <v>505789.01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8459892.2799999993</v>
      </c>
      <c r="G36" s="493"/>
      <c r="H36" s="494"/>
      <c r="I36" s="493"/>
      <c r="J36" s="505">
        <f>SUM(J31:J35)</f>
        <v>0</v>
      </c>
      <c r="K36" s="493"/>
      <c r="L36" s="505">
        <f>SUM(L31:L35)</f>
        <v>198749.43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8658641.709999999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31AA-7392-4D57-BBD2-BEC4C18AF432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'202002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2020'!E10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v>0</v>
      </c>
      <c r="H14" s="1">
        <f>2.05%/12</f>
        <v>1.7083333333333332E-3</v>
      </c>
      <c r="J14" s="365">
        <f>F14*H14</f>
        <v>0</v>
      </c>
      <c r="L14" s="366">
        <v>0</v>
      </c>
      <c r="N14" s="365">
        <f>H14*L14*0.5</f>
        <v>0</v>
      </c>
      <c r="P14" s="365">
        <f>J14+N14</f>
        <v>0</v>
      </c>
      <c r="R14" s="365">
        <f>L14+F14</f>
        <v>0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'202002 Bk Depr'!R15</f>
        <v>8516764.3000000007</v>
      </c>
      <c r="H15" s="1">
        <f>3.24%/12</f>
        <v>2.7000000000000006E-3</v>
      </c>
      <c r="J15" s="365">
        <f>F15*H15</f>
        <v>22995.263610000005</v>
      </c>
      <c r="L15" s="366">
        <f>'Cap&amp;OpEx 2020'!E12</f>
        <v>231260.74000000002</v>
      </c>
      <c r="N15" s="365">
        <f>H15*L15*0.5</f>
        <v>312.20199900000011</v>
      </c>
      <c r="P15" s="365">
        <f>J15+N15</f>
        <v>23307.465609000006</v>
      </c>
      <c r="R15" s="365">
        <f>L15+F15</f>
        <v>8748025.040000001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'202002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2020'!E13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'202002 Bk Depr'!R17</f>
        <v>35576521.460000008</v>
      </c>
      <c r="H17" s="1">
        <f t="shared" si="1"/>
        <v>2.7000000000000006E-3</v>
      </c>
      <c r="J17" s="365">
        <f>F17*H17</f>
        <v>96056.607942000046</v>
      </c>
      <c r="L17" s="367">
        <f>'Cap&amp;OpEx 2020'!E14</f>
        <v>1189194.7000000002</v>
      </c>
      <c r="N17" s="365">
        <f>H17*L17*0.5</f>
        <v>1605.4128450000005</v>
      </c>
      <c r="P17" s="365">
        <f>J17+N17</f>
        <v>97662.020787000045</v>
      </c>
      <c r="R17" s="365">
        <f>L17+F17</f>
        <v>36765716.160000011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58771175.930000007</v>
      </c>
      <c r="J18" s="363">
        <f>SUM(J13:J17)</f>
        <v>148610.48660550005</v>
      </c>
      <c r="L18" s="363">
        <f>SUM(L13:L17)</f>
        <v>1420455.4400000002</v>
      </c>
      <c r="N18" s="363">
        <f>SUM(N13:N17)</f>
        <v>1917.6148440000006</v>
      </c>
      <c r="P18" s="363">
        <f>SUM(P13:P17)</f>
        <v>150528.10144950007</v>
      </c>
      <c r="R18" s="363">
        <f>SUM(R13:R17)</f>
        <v>60191631.370000012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'202002 Bk Depr'!R21</f>
        <v>0</v>
      </c>
      <c r="H21" s="1">
        <v>1.3500000000000003E-3</v>
      </c>
      <c r="J21" s="365">
        <f>F21*H21</f>
        <v>0</v>
      </c>
      <c r="L21" s="366">
        <f>'Cap&amp;OpEx 2020'!E17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'202002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2020'!E18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'202002 Bk Depr'!R23</f>
        <v>0</v>
      </c>
      <c r="H23" s="1">
        <v>2.7000000000000006E-3</v>
      </c>
      <c r="J23" s="365">
        <f>F23*H23</f>
        <v>0</v>
      </c>
      <c r="L23" s="366">
        <f>'Cap&amp;OpEx 2020'!E19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'202002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2020'!E20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'202002 Bk Depr'!R25</f>
        <v>-191653.73835136017</v>
      </c>
      <c r="G25" s="493"/>
      <c r="H25" s="496">
        <v>2.7000000000000006E-3</v>
      </c>
      <c r="I25" s="493"/>
      <c r="J25" s="413">
        <f>F25*H25</f>
        <v>-517.4650935486726</v>
      </c>
      <c r="K25" s="493"/>
      <c r="L25" s="500">
        <f>'Cap&amp;OpEx 2020'!E21</f>
        <v>-95826.869175680084</v>
      </c>
      <c r="M25" s="493"/>
      <c r="N25" s="413">
        <f>H25*L25*0.5</f>
        <v>-129.36627338716815</v>
      </c>
      <c r="O25" s="493"/>
      <c r="P25" s="413">
        <f>J25+N25</f>
        <v>-646.83136693584072</v>
      </c>
      <c r="Q25" s="493"/>
      <c r="R25" s="413">
        <f>L25+F25</f>
        <v>-287480.60752704024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-191653.73835136017</v>
      </c>
      <c r="J26" s="363">
        <f>SUM(J21:J25)</f>
        <v>-517.4650935486726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-646.83136693584072</v>
      </c>
      <c r="R26" s="363">
        <f>SUM(R21:R25)</f>
        <v>-287480.60752704024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58579522.191648647</v>
      </c>
      <c r="G28" s="518"/>
      <c r="I28" s="518"/>
      <c r="J28" s="520">
        <f>J18+J26</f>
        <v>148093.02151195137</v>
      </c>
      <c r="K28" s="518"/>
      <c r="L28" s="520">
        <f>L18+L26</f>
        <v>1324628.5708243202</v>
      </c>
      <c r="M28" s="518"/>
      <c r="N28" s="520">
        <f>N18+N26</f>
        <v>1788.2485706128325</v>
      </c>
      <c r="O28" s="518"/>
      <c r="P28" s="520">
        <f>P18+P26</f>
        <v>149881.27008256424</v>
      </c>
      <c r="Q28" s="518"/>
      <c r="R28" s="520">
        <f>R18+R26</f>
        <v>59904150.762472972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'202002 Bk Depr'!R31</f>
        <v>1927915.84</v>
      </c>
      <c r="J31" s="365"/>
      <c r="L31" s="366">
        <f>'Cap&amp;OpEx 2020'!E26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'202002 Bk Depr'!R32</f>
        <v>0</v>
      </c>
      <c r="G32" s="493"/>
      <c r="H32" s="494"/>
      <c r="I32" s="493"/>
      <c r="J32" s="413"/>
      <c r="K32" s="493"/>
      <c r="L32" s="497">
        <f>'Cap&amp;OpEx 2020'!E27</f>
        <v>56000</v>
      </c>
      <c r="M32" s="493"/>
      <c r="N32" s="413"/>
      <c r="O32" s="493"/>
      <c r="P32" s="413"/>
      <c r="Q32" s="493"/>
      <c r="R32" s="413">
        <f>L32+F32</f>
        <v>56000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'202002 Bk Depr'!R33</f>
        <v>6063948.2499999991</v>
      </c>
      <c r="J33" s="365"/>
      <c r="L33" s="522">
        <f>'Cap&amp;OpEx 2020'!E28</f>
        <v>30628.080000000002</v>
      </c>
      <c r="N33" s="365"/>
      <c r="P33" s="365"/>
      <c r="R33" s="524">
        <f>L33+F33</f>
        <v>6094576.3299999991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'202002 Bk Depr'!R34</f>
        <v>160988.60999999999</v>
      </c>
      <c r="G34" s="501"/>
      <c r="I34" s="501"/>
      <c r="J34" s="361"/>
      <c r="K34" s="501"/>
      <c r="L34" s="522">
        <f>'Cap&amp;OpEx 2020'!E29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'202002 Bk Depr'!R35</f>
        <v>505789.01</v>
      </c>
      <c r="G35" s="493"/>
      <c r="H35" s="494"/>
      <c r="I35" s="493"/>
      <c r="J35" s="413"/>
      <c r="K35" s="493"/>
      <c r="L35" s="523">
        <f>'Cap&amp;OpEx 2020'!E30</f>
        <v>252500.97</v>
      </c>
      <c r="M35" s="493"/>
      <c r="N35" s="413"/>
      <c r="O35" s="493"/>
      <c r="P35" s="413"/>
      <c r="Q35" s="493"/>
      <c r="R35" s="524">
        <f>L35+F35</f>
        <v>758289.98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8658641.709999999</v>
      </c>
      <c r="G36" s="493"/>
      <c r="H36" s="494"/>
      <c r="I36" s="493"/>
      <c r="J36" s="505">
        <f>SUM(J31:J35)</f>
        <v>0</v>
      </c>
      <c r="K36" s="493"/>
      <c r="L36" s="505">
        <f>SUM(L31:L35)</f>
        <v>339129.05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8997770.7599999998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1:I20"/>
  <sheetViews>
    <sheetView workbookViewId="0"/>
  </sheetViews>
  <sheetFormatPr defaultRowHeight="13.2"/>
  <cols>
    <col min="1" max="1" width="9.21875" style="255"/>
    <col min="2" max="2" width="2.44140625" style="255" customWidth="1"/>
    <col min="3" max="9" width="12.21875" style="255" customWidth="1"/>
    <col min="10" max="10" width="2.21875" style="255" customWidth="1"/>
    <col min="11" max="257" width="9.21875" style="255"/>
    <col min="258" max="258" width="2.44140625" style="255" customWidth="1"/>
    <col min="259" max="265" width="12.21875" style="255" customWidth="1"/>
    <col min="266" max="266" width="2.21875" style="255" customWidth="1"/>
    <col min="267" max="513" width="9.21875" style="255"/>
    <col min="514" max="514" width="2.44140625" style="255" customWidth="1"/>
    <col min="515" max="521" width="12.21875" style="255" customWidth="1"/>
    <col min="522" max="522" width="2.21875" style="255" customWidth="1"/>
    <col min="523" max="769" width="9.21875" style="255"/>
    <col min="770" max="770" width="2.44140625" style="255" customWidth="1"/>
    <col min="771" max="777" width="12.21875" style="255" customWidth="1"/>
    <col min="778" max="778" width="2.21875" style="255" customWidth="1"/>
    <col min="779" max="1025" width="9.21875" style="255"/>
    <col min="1026" max="1026" width="2.44140625" style="255" customWidth="1"/>
    <col min="1027" max="1033" width="12.21875" style="255" customWidth="1"/>
    <col min="1034" max="1034" width="2.21875" style="255" customWidth="1"/>
    <col min="1035" max="1281" width="9.21875" style="255"/>
    <col min="1282" max="1282" width="2.44140625" style="255" customWidth="1"/>
    <col min="1283" max="1289" width="12.21875" style="255" customWidth="1"/>
    <col min="1290" max="1290" width="2.21875" style="255" customWidth="1"/>
    <col min="1291" max="1537" width="9.21875" style="255"/>
    <col min="1538" max="1538" width="2.44140625" style="255" customWidth="1"/>
    <col min="1539" max="1545" width="12.21875" style="255" customWidth="1"/>
    <col min="1546" max="1546" width="2.21875" style="255" customWidth="1"/>
    <col min="1547" max="1793" width="9.21875" style="255"/>
    <col min="1794" max="1794" width="2.44140625" style="255" customWidth="1"/>
    <col min="1795" max="1801" width="12.21875" style="255" customWidth="1"/>
    <col min="1802" max="1802" width="2.21875" style="255" customWidth="1"/>
    <col min="1803" max="2049" width="9.21875" style="255"/>
    <col min="2050" max="2050" width="2.44140625" style="255" customWidth="1"/>
    <col min="2051" max="2057" width="12.21875" style="255" customWidth="1"/>
    <col min="2058" max="2058" width="2.21875" style="255" customWidth="1"/>
    <col min="2059" max="2305" width="9.21875" style="255"/>
    <col min="2306" max="2306" width="2.44140625" style="255" customWidth="1"/>
    <col min="2307" max="2313" width="12.21875" style="255" customWidth="1"/>
    <col min="2314" max="2314" width="2.21875" style="255" customWidth="1"/>
    <col min="2315" max="2561" width="9.21875" style="255"/>
    <col min="2562" max="2562" width="2.44140625" style="255" customWidth="1"/>
    <col min="2563" max="2569" width="12.21875" style="255" customWidth="1"/>
    <col min="2570" max="2570" width="2.21875" style="255" customWidth="1"/>
    <col min="2571" max="2817" width="9.21875" style="255"/>
    <col min="2818" max="2818" width="2.44140625" style="255" customWidth="1"/>
    <col min="2819" max="2825" width="12.21875" style="255" customWidth="1"/>
    <col min="2826" max="2826" width="2.21875" style="255" customWidth="1"/>
    <col min="2827" max="3073" width="9.21875" style="255"/>
    <col min="3074" max="3074" width="2.44140625" style="255" customWidth="1"/>
    <col min="3075" max="3081" width="12.21875" style="255" customWidth="1"/>
    <col min="3082" max="3082" width="2.21875" style="255" customWidth="1"/>
    <col min="3083" max="3329" width="9.21875" style="255"/>
    <col min="3330" max="3330" width="2.44140625" style="255" customWidth="1"/>
    <col min="3331" max="3337" width="12.21875" style="255" customWidth="1"/>
    <col min="3338" max="3338" width="2.21875" style="255" customWidth="1"/>
    <col min="3339" max="3585" width="9.21875" style="255"/>
    <col min="3586" max="3586" width="2.44140625" style="255" customWidth="1"/>
    <col min="3587" max="3593" width="12.21875" style="255" customWidth="1"/>
    <col min="3594" max="3594" width="2.21875" style="255" customWidth="1"/>
    <col min="3595" max="3841" width="9.21875" style="255"/>
    <col min="3842" max="3842" width="2.44140625" style="255" customWidth="1"/>
    <col min="3843" max="3849" width="12.21875" style="255" customWidth="1"/>
    <col min="3850" max="3850" width="2.21875" style="255" customWidth="1"/>
    <col min="3851" max="4097" width="9.21875" style="255"/>
    <col min="4098" max="4098" width="2.44140625" style="255" customWidth="1"/>
    <col min="4099" max="4105" width="12.21875" style="255" customWidth="1"/>
    <col min="4106" max="4106" width="2.21875" style="255" customWidth="1"/>
    <col min="4107" max="4353" width="9.21875" style="255"/>
    <col min="4354" max="4354" width="2.44140625" style="255" customWidth="1"/>
    <col min="4355" max="4361" width="12.21875" style="255" customWidth="1"/>
    <col min="4362" max="4362" width="2.21875" style="255" customWidth="1"/>
    <col min="4363" max="4609" width="9.21875" style="255"/>
    <col min="4610" max="4610" width="2.44140625" style="255" customWidth="1"/>
    <col min="4611" max="4617" width="12.21875" style="255" customWidth="1"/>
    <col min="4618" max="4618" width="2.21875" style="255" customWidth="1"/>
    <col min="4619" max="4865" width="9.21875" style="255"/>
    <col min="4866" max="4866" width="2.44140625" style="255" customWidth="1"/>
    <col min="4867" max="4873" width="12.21875" style="255" customWidth="1"/>
    <col min="4874" max="4874" width="2.21875" style="255" customWidth="1"/>
    <col min="4875" max="5121" width="9.21875" style="255"/>
    <col min="5122" max="5122" width="2.44140625" style="255" customWidth="1"/>
    <col min="5123" max="5129" width="12.21875" style="255" customWidth="1"/>
    <col min="5130" max="5130" width="2.21875" style="255" customWidth="1"/>
    <col min="5131" max="5377" width="9.21875" style="255"/>
    <col min="5378" max="5378" width="2.44140625" style="255" customWidth="1"/>
    <col min="5379" max="5385" width="12.21875" style="255" customWidth="1"/>
    <col min="5386" max="5386" width="2.21875" style="255" customWidth="1"/>
    <col min="5387" max="5633" width="9.21875" style="255"/>
    <col min="5634" max="5634" width="2.44140625" style="255" customWidth="1"/>
    <col min="5635" max="5641" width="12.21875" style="255" customWidth="1"/>
    <col min="5642" max="5642" width="2.21875" style="255" customWidth="1"/>
    <col min="5643" max="5889" width="9.21875" style="255"/>
    <col min="5890" max="5890" width="2.44140625" style="255" customWidth="1"/>
    <col min="5891" max="5897" width="12.21875" style="255" customWidth="1"/>
    <col min="5898" max="5898" width="2.21875" style="255" customWidth="1"/>
    <col min="5899" max="6145" width="9.21875" style="255"/>
    <col min="6146" max="6146" width="2.44140625" style="255" customWidth="1"/>
    <col min="6147" max="6153" width="12.21875" style="255" customWidth="1"/>
    <col min="6154" max="6154" width="2.21875" style="255" customWidth="1"/>
    <col min="6155" max="6401" width="9.21875" style="255"/>
    <col min="6402" max="6402" width="2.44140625" style="255" customWidth="1"/>
    <col min="6403" max="6409" width="12.21875" style="255" customWidth="1"/>
    <col min="6410" max="6410" width="2.21875" style="255" customWidth="1"/>
    <col min="6411" max="6657" width="9.21875" style="255"/>
    <col min="6658" max="6658" width="2.44140625" style="255" customWidth="1"/>
    <col min="6659" max="6665" width="12.21875" style="255" customWidth="1"/>
    <col min="6666" max="6666" width="2.21875" style="255" customWidth="1"/>
    <col min="6667" max="6913" width="9.21875" style="255"/>
    <col min="6914" max="6914" width="2.44140625" style="255" customWidth="1"/>
    <col min="6915" max="6921" width="12.21875" style="255" customWidth="1"/>
    <col min="6922" max="6922" width="2.21875" style="255" customWidth="1"/>
    <col min="6923" max="7169" width="9.21875" style="255"/>
    <col min="7170" max="7170" width="2.44140625" style="255" customWidth="1"/>
    <col min="7171" max="7177" width="12.21875" style="255" customWidth="1"/>
    <col min="7178" max="7178" width="2.21875" style="255" customWidth="1"/>
    <col min="7179" max="7425" width="9.21875" style="255"/>
    <col min="7426" max="7426" width="2.44140625" style="255" customWidth="1"/>
    <col min="7427" max="7433" width="12.21875" style="255" customWidth="1"/>
    <col min="7434" max="7434" width="2.21875" style="255" customWidth="1"/>
    <col min="7435" max="7681" width="9.21875" style="255"/>
    <col min="7682" max="7682" width="2.44140625" style="255" customWidth="1"/>
    <col min="7683" max="7689" width="12.21875" style="255" customWidth="1"/>
    <col min="7690" max="7690" width="2.21875" style="255" customWidth="1"/>
    <col min="7691" max="7937" width="9.21875" style="255"/>
    <col min="7938" max="7938" width="2.44140625" style="255" customWidth="1"/>
    <col min="7939" max="7945" width="12.21875" style="255" customWidth="1"/>
    <col min="7946" max="7946" width="2.21875" style="255" customWidth="1"/>
    <col min="7947" max="8193" width="9.21875" style="255"/>
    <col min="8194" max="8194" width="2.44140625" style="255" customWidth="1"/>
    <col min="8195" max="8201" width="12.21875" style="255" customWidth="1"/>
    <col min="8202" max="8202" width="2.21875" style="255" customWidth="1"/>
    <col min="8203" max="8449" width="9.21875" style="255"/>
    <col min="8450" max="8450" width="2.44140625" style="255" customWidth="1"/>
    <col min="8451" max="8457" width="12.21875" style="255" customWidth="1"/>
    <col min="8458" max="8458" width="2.21875" style="255" customWidth="1"/>
    <col min="8459" max="8705" width="9.21875" style="255"/>
    <col min="8706" max="8706" width="2.44140625" style="255" customWidth="1"/>
    <col min="8707" max="8713" width="12.21875" style="255" customWidth="1"/>
    <col min="8714" max="8714" width="2.21875" style="255" customWidth="1"/>
    <col min="8715" max="8961" width="9.21875" style="255"/>
    <col min="8962" max="8962" width="2.44140625" style="255" customWidth="1"/>
    <col min="8963" max="8969" width="12.21875" style="255" customWidth="1"/>
    <col min="8970" max="8970" width="2.21875" style="255" customWidth="1"/>
    <col min="8971" max="9217" width="9.21875" style="255"/>
    <col min="9218" max="9218" width="2.44140625" style="255" customWidth="1"/>
    <col min="9219" max="9225" width="12.21875" style="255" customWidth="1"/>
    <col min="9226" max="9226" width="2.21875" style="255" customWidth="1"/>
    <col min="9227" max="9473" width="9.21875" style="255"/>
    <col min="9474" max="9474" width="2.44140625" style="255" customWidth="1"/>
    <col min="9475" max="9481" width="12.21875" style="255" customWidth="1"/>
    <col min="9482" max="9482" width="2.21875" style="255" customWidth="1"/>
    <col min="9483" max="9729" width="9.21875" style="255"/>
    <col min="9730" max="9730" width="2.44140625" style="255" customWidth="1"/>
    <col min="9731" max="9737" width="12.21875" style="255" customWidth="1"/>
    <col min="9738" max="9738" width="2.21875" style="255" customWidth="1"/>
    <col min="9739" max="9985" width="9.21875" style="255"/>
    <col min="9986" max="9986" width="2.44140625" style="255" customWidth="1"/>
    <col min="9987" max="9993" width="12.21875" style="255" customWidth="1"/>
    <col min="9994" max="9994" width="2.21875" style="255" customWidth="1"/>
    <col min="9995" max="10241" width="9.21875" style="255"/>
    <col min="10242" max="10242" width="2.44140625" style="255" customWidth="1"/>
    <col min="10243" max="10249" width="12.21875" style="255" customWidth="1"/>
    <col min="10250" max="10250" width="2.21875" style="255" customWidth="1"/>
    <col min="10251" max="10497" width="9.21875" style="255"/>
    <col min="10498" max="10498" width="2.44140625" style="255" customWidth="1"/>
    <col min="10499" max="10505" width="12.21875" style="255" customWidth="1"/>
    <col min="10506" max="10506" width="2.21875" style="255" customWidth="1"/>
    <col min="10507" max="10753" width="9.21875" style="255"/>
    <col min="10754" max="10754" width="2.44140625" style="255" customWidth="1"/>
    <col min="10755" max="10761" width="12.21875" style="255" customWidth="1"/>
    <col min="10762" max="10762" width="2.21875" style="255" customWidth="1"/>
    <col min="10763" max="11009" width="9.21875" style="255"/>
    <col min="11010" max="11010" width="2.44140625" style="255" customWidth="1"/>
    <col min="11011" max="11017" width="12.21875" style="255" customWidth="1"/>
    <col min="11018" max="11018" width="2.21875" style="255" customWidth="1"/>
    <col min="11019" max="11265" width="9.21875" style="255"/>
    <col min="11266" max="11266" width="2.44140625" style="255" customWidth="1"/>
    <col min="11267" max="11273" width="12.21875" style="255" customWidth="1"/>
    <col min="11274" max="11274" width="2.21875" style="255" customWidth="1"/>
    <col min="11275" max="11521" width="9.21875" style="255"/>
    <col min="11522" max="11522" width="2.44140625" style="255" customWidth="1"/>
    <col min="11523" max="11529" width="12.21875" style="255" customWidth="1"/>
    <col min="11530" max="11530" width="2.21875" style="255" customWidth="1"/>
    <col min="11531" max="11777" width="9.21875" style="255"/>
    <col min="11778" max="11778" width="2.44140625" style="255" customWidth="1"/>
    <col min="11779" max="11785" width="12.21875" style="255" customWidth="1"/>
    <col min="11786" max="11786" width="2.21875" style="255" customWidth="1"/>
    <col min="11787" max="12033" width="9.21875" style="255"/>
    <col min="12034" max="12034" width="2.44140625" style="255" customWidth="1"/>
    <col min="12035" max="12041" width="12.21875" style="255" customWidth="1"/>
    <col min="12042" max="12042" width="2.21875" style="255" customWidth="1"/>
    <col min="12043" max="12289" width="9.21875" style="255"/>
    <col min="12290" max="12290" width="2.44140625" style="255" customWidth="1"/>
    <col min="12291" max="12297" width="12.21875" style="255" customWidth="1"/>
    <col min="12298" max="12298" width="2.21875" style="255" customWidth="1"/>
    <col min="12299" max="12545" width="9.21875" style="255"/>
    <col min="12546" max="12546" width="2.44140625" style="255" customWidth="1"/>
    <col min="12547" max="12553" width="12.21875" style="255" customWidth="1"/>
    <col min="12554" max="12554" width="2.21875" style="255" customWidth="1"/>
    <col min="12555" max="12801" width="9.21875" style="255"/>
    <col min="12802" max="12802" width="2.44140625" style="255" customWidth="1"/>
    <col min="12803" max="12809" width="12.21875" style="255" customWidth="1"/>
    <col min="12810" max="12810" width="2.21875" style="255" customWidth="1"/>
    <col min="12811" max="13057" width="9.21875" style="255"/>
    <col min="13058" max="13058" width="2.44140625" style="255" customWidth="1"/>
    <col min="13059" max="13065" width="12.21875" style="255" customWidth="1"/>
    <col min="13066" max="13066" width="2.21875" style="255" customWidth="1"/>
    <col min="13067" max="13313" width="9.21875" style="255"/>
    <col min="13314" max="13314" width="2.44140625" style="255" customWidth="1"/>
    <col min="13315" max="13321" width="12.21875" style="255" customWidth="1"/>
    <col min="13322" max="13322" width="2.21875" style="255" customWidth="1"/>
    <col min="13323" max="13569" width="9.21875" style="255"/>
    <col min="13570" max="13570" width="2.44140625" style="255" customWidth="1"/>
    <col min="13571" max="13577" width="12.21875" style="255" customWidth="1"/>
    <col min="13578" max="13578" width="2.21875" style="255" customWidth="1"/>
    <col min="13579" max="13825" width="9.21875" style="255"/>
    <col min="13826" max="13826" width="2.44140625" style="255" customWidth="1"/>
    <col min="13827" max="13833" width="12.21875" style="255" customWidth="1"/>
    <col min="13834" max="13834" width="2.21875" style="255" customWidth="1"/>
    <col min="13835" max="14081" width="9.21875" style="255"/>
    <col min="14082" max="14082" width="2.44140625" style="255" customWidth="1"/>
    <col min="14083" max="14089" width="12.21875" style="255" customWidth="1"/>
    <col min="14090" max="14090" width="2.21875" style="255" customWidth="1"/>
    <col min="14091" max="14337" width="9.21875" style="255"/>
    <col min="14338" max="14338" width="2.44140625" style="255" customWidth="1"/>
    <col min="14339" max="14345" width="12.21875" style="255" customWidth="1"/>
    <col min="14346" max="14346" width="2.21875" style="255" customWidth="1"/>
    <col min="14347" max="14593" width="9.21875" style="255"/>
    <col min="14594" max="14594" width="2.44140625" style="255" customWidth="1"/>
    <col min="14595" max="14601" width="12.21875" style="255" customWidth="1"/>
    <col min="14602" max="14602" width="2.21875" style="255" customWidth="1"/>
    <col min="14603" max="14849" width="9.21875" style="255"/>
    <col min="14850" max="14850" width="2.44140625" style="255" customWidth="1"/>
    <col min="14851" max="14857" width="12.21875" style="255" customWidth="1"/>
    <col min="14858" max="14858" width="2.21875" style="255" customWidth="1"/>
    <col min="14859" max="15105" width="9.21875" style="255"/>
    <col min="15106" max="15106" width="2.44140625" style="255" customWidth="1"/>
    <col min="15107" max="15113" width="12.21875" style="255" customWidth="1"/>
    <col min="15114" max="15114" width="2.21875" style="255" customWidth="1"/>
    <col min="15115" max="15361" width="9.21875" style="255"/>
    <col min="15362" max="15362" width="2.44140625" style="255" customWidth="1"/>
    <col min="15363" max="15369" width="12.21875" style="255" customWidth="1"/>
    <col min="15370" max="15370" width="2.21875" style="255" customWidth="1"/>
    <col min="15371" max="15617" width="9.21875" style="255"/>
    <col min="15618" max="15618" width="2.44140625" style="255" customWidth="1"/>
    <col min="15619" max="15625" width="12.21875" style="255" customWidth="1"/>
    <col min="15626" max="15626" width="2.21875" style="255" customWidth="1"/>
    <col min="15627" max="15873" width="9.21875" style="255"/>
    <col min="15874" max="15874" width="2.44140625" style="255" customWidth="1"/>
    <col min="15875" max="15881" width="12.21875" style="255" customWidth="1"/>
    <col min="15882" max="15882" width="2.21875" style="255" customWidth="1"/>
    <col min="15883" max="16129" width="9.21875" style="255"/>
    <col min="16130" max="16130" width="2.44140625" style="255" customWidth="1"/>
    <col min="16131" max="16137" width="12.21875" style="255" customWidth="1"/>
    <col min="16138" max="16138" width="2.21875" style="255" customWidth="1"/>
    <col min="16139" max="16384" width="9.21875" style="255"/>
  </cols>
  <sheetData>
    <row r="11" spans="3:9" ht="15.6">
      <c r="C11" s="418" t="s">
        <v>370</v>
      </c>
      <c r="D11" s="419"/>
      <c r="E11" s="418"/>
      <c r="F11" s="418"/>
      <c r="G11" s="418"/>
      <c r="H11" s="418"/>
      <c r="I11" s="419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535"/>
      <c r="E16" s="535"/>
      <c r="F16" s="535"/>
      <c r="G16" s="535"/>
      <c r="H16" s="535"/>
    </row>
    <row r="17" spans="3:9" ht="12.75" customHeight="1">
      <c r="D17" s="256"/>
      <c r="F17" s="256"/>
      <c r="G17" s="256"/>
    </row>
    <row r="18" spans="3:9" ht="15.6">
      <c r="C18" s="418" t="s">
        <v>465</v>
      </c>
      <c r="D18" s="419"/>
      <c r="E18" s="418"/>
      <c r="F18" s="419"/>
      <c r="G18" s="418"/>
      <c r="H18" s="418"/>
      <c r="I18" s="419"/>
    </row>
    <row r="19" spans="3:9" ht="12.75" customHeight="1">
      <c r="D19" s="416"/>
      <c r="E19" s="416"/>
      <c r="F19" s="416"/>
      <c r="G19" s="416"/>
      <c r="H19" s="416"/>
    </row>
    <row r="20" spans="3:9" ht="15.6">
      <c r="C20" s="418" t="s">
        <v>463</v>
      </c>
      <c r="D20" s="419"/>
      <c r="E20" s="418"/>
      <c r="F20" s="418"/>
      <c r="G20" s="418"/>
      <c r="H20" s="418"/>
      <c r="I20" s="419"/>
    </row>
  </sheetData>
  <mergeCells count="1">
    <mergeCell ref="D16:H16"/>
  </mergeCells>
  <pageMargins left="0.75" right="0.75" top="1" bottom="1" header="0.5" footer="0.5"/>
  <pageSetup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8748-58F9-427B-B5A0-17B9851522F5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'202003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2020'!F10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v>0</v>
      </c>
      <c r="H14" s="1">
        <f>2.05%/12</f>
        <v>1.7083333333333332E-3</v>
      </c>
      <c r="J14" s="365">
        <f>F14*H14</f>
        <v>0</v>
      </c>
      <c r="L14" s="366">
        <v>0</v>
      </c>
      <c r="N14" s="365">
        <f>H14*L14*0.5</f>
        <v>0</v>
      </c>
      <c r="P14" s="365">
        <f>J14+N14</f>
        <v>0</v>
      </c>
      <c r="R14" s="365">
        <f>L14+F14</f>
        <v>0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'202003 Bk Depr'!R15</f>
        <v>8748025.040000001</v>
      </c>
      <c r="H15" s="1">
        <f>3.24%/12</f>
        <v>2.7000000000000006E-3</v>
      </c>
      <c r="J15" s="365">
        <f>F15*H15</f>
        <v>23619.667608000007</v>
      </c>
      <c r="L15" s="366">
        <f>'Cap&amp;OpEx 2020'!F12</f>
        <v>235795.11</v>
      </c>
      <c r="N15" s="365">
        <f>H15*L15*0.5</f>
        <v>318.32339850000005</v>
      </c>
      <c r="P15" s="365">
        <f>J15+N15</f>
        <v>23937.991006500008</v>
      </c>
      <c r="R15" s="365">
        <f>L15+F15</f>
        <v>8983820.1500000004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'202003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2020'!F13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'202003 Bk Depr'!R17</f>
        <v>36765716.160000011</v>
      </c>
      <c r="H17" s="1">
        <f t="shared" si="1"/>
        <v>2.7000000000000006E-3</v>
      </c>
      <c r="J17" s="365">
        <f>F17*H17</f>
        <v>99267.433632000058</v>
      </c>
      <c r="L17" s="367">
        <f>'Cap&amp;OpEx 2020'!F14</f>
        <v>1247255.1200000001</v>
      </c>
      <c r="N17" s="365">
        <f>H17*L17*0.5</f>
        <v>1683.7944120000004</v>
      </c>
      <c r="P17" s="365">
        <f>J17+N17</f>
        <v>100951.22804400006</v>
      </c>
      <c r="R17" s="365">
        <f>L17+F17</f>
        <v>38012971.280000009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60191631.370000012</v>
      </c>
      <c r="J18" s="363">
        <f>SUM(J13:J17)</f>
        <v>152445.71629350007</v>
      </c>
      <c r="L18" s="363">
        <f>SUM(L13:L17)</f>
        <v>1483050.23</v>
      </c>
      <c r="N18" s="363">
        <f>SUM(N13:N17)</f>
        <v>2002.1178105000004</v>
      </c>
      <c r="P18" s="363">
        <f>SUM(P13:P17)</f>
        <v>154447.83410400007</v>
      </c>
      <c r="R18" s="363">
        <f>SUM(R13:R17)</f>
        <v>61674681.600000009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'202003 Bk Depr'!R21</f>
        <v>0</v>
      </c>
      <c r="H21" s="1">
        <v>1.3500000000000003E-3</v>
      </c>
      <c r="J21" s="365">
        <f>F21*H21</f>
        <v>0</v>
      </c>
      <c r="L21" s="366">
        <f>'Cap&amp;OpEx 2020'!F17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'202003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2020'!F18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'202003 Bk Depr'!R23</f>
        <v>0</v>
      </c>
      <c r="H23" s="1">
        <v>2.7000000000000006E-3</v>
      </c>
      <c r="J23" s="365">
        <f>F23*H23</f>
        <v>0</v>
      </c>
      <c r="L23" s="366">
        <f>'Cap&amp;OpEx 2020'!F19</f>
        <v>0</v>
      </c>
      <c r="N23" s="365">
        <f>H23*L23*0.5</f>
        <v>0</v>
      </c>
      <c r="P23" s="365">
        <f>J23+N23</f>
        <v>0</v>
      </c>
      <c r="R23" s="365">
        <f t="shared" ref="R23" si="3"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'202003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2020'!F20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'202003 Bk Depr'!R25</f>
        <v>-287480.60752704024</v>
      </c>
      <c r="G25" s="493"/>
      <c r="H25" s="496">
        <v>2.7000000000000006E-3</v>
      </c>
      <c r="I25" s="493"/>
      <c r="J25" s="413">
        <f>F25*H25</f>
        <v>-776.19764032300884</v>
      </c>
      <c r="K25" s="493"/>
      <c r="L25" s="500">
        <f>'Cap&amp;OpEx 2020'!F21</f>
        <v>-95826.869175680084</v>
      </c>
      <c r="M25" s="493"/>
      <c r="N25" s="413">
        <f>H25*L25*0.5</f>
        <v>-129.36627338716815</v>
      </c>
      <c r="O25" s="493"/>
      <c r="P25" s="413">
        <f>J25+N25</f>
        <v>-905.56391371017696</v>
      </c>
      <c r="Q25" s="493"/>
      <c r="R25" s="413">
        <f>L25+F25</f>
        <v>-383307.47670272033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-287480.60752704024</v>
      </c>
      <c r="J26" s="363">
        <f>SUM(J21:J25)</f>
        <v>-776.19764032300884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-905.56391371017696</v>
      </c>
      <c r="R26" s="363">
        <f>SUM(R21:R25)</f>
        <v>-383307.47670272033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59904150.762472972</v>
      </c>
      <c r="G28" s="518"/>
      <c r="I28" s="518"/>
      <c r="J28" s="520">
        <f>J18+J26</f>
        <v>151669.51865317705</v>
      </c>
      <c r="K28" s="518"/>
      <c r="L28" s="520">
        <f>L18+L26</f>
        <v>1387223.36082432</v>
      </c>
      <c r="M28" s="518"/>
      <c r="N28" s="520">
        <f>N18+N26</f>
        <v>1872.7515371128322</v>
      </c>
      <c r="O28" s="518"/>
      <c r="P28" s="520">
        <f>P18+P26</f>
        <v>153542.27019028988</v>
      </c>
      <c r="Q28" s="518"/>
      <c r="R28" s="520">
        <f>R18+R26</f>
        <v>61291374.123297289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'202003 Bk Depr'!R31</f>
        <v>1927915.84</v>
      </c>
      <c r="J31" s="365"/>
      <c r="L31" s="366">
        <f>'Cap&amp;OpEx 2020'!F26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4">A31+1</f>
        <v>15</v>
      </c>
      <c r="B32" s="494"/>
      <c r="C32" s="494" t="s">
        <v>594</v>
      </c>
      <c r="D32" s="493">
        <v>376</v>
      </c>
      <c r="E32" s="493"/>
      <c r="F32" s="495">
        <f>'202003 Bk Depr'!R32</f>
        <v>56000</v>
      </c>
      <c r="G32" s="493"/>
      <c r="H32" s="494"/>
      <c r="I32" s="493"/>
      <c r="J32" s="413"/>
      <c r="K32" s="493"/>
      <c r="L32" s="497">
        <f>'Cap&amp;OpEx 2020'!F27</f>
        <v>56000</v>
      </c>
      <c r="M32" s="493"/>
      <c r="N32" s="413"/>
      <c r="O32" s="493"/>
      <c r="P32" s="413"/>
      <c r="Q32" s="493"/>
      <c r="R32" s="413">
        <f>L32+F32</f>
        <v>112000</v>
      </c>
    </row>
    <row r="33" spans="1:18">
      <c r="A33" s="6">
        <f t="shared" si="4"/>
        <v>16</v>
      </c>
      <c r="B33" s="4"/>
      <c r="C33" s="9" t="s">
        <v>62</v>
      </c>
      <c r="D33" s="6">
        <v>380</v>
      </c>
      <c r="F33" s="526">
        <f>'202003 Bk Depr'!R33</f>
        <v>6094576.3299999991</v>
      </c>
      <c r="J33" s="365"/>
      <c r="L33" s="522">
        <f>'Cap&amp;OpEx 2020'!F28</f>
        <v>31232.350000000002</v>
      </c>
      <c r="N33" s="365"/>
      <c r="P33" s="365"/>
      <c r="R33" s="524">
        <f>L33+F33</f>
        <v>6125808.6799999988</v>
      </c>
    </row>
    <row r="34" spans="1:18" s="502" customFormat="1">
      <c r="A34" s="501">
        <f t="shared" si="4"/>
        <v>17</v>
      </c>
      <c r="C34" s="503" t="s">
        <v>63</v>
      </c>
      <c r="D34" s="501">
        <v>380</v>
      </c>
      <c r="E34" s="501"/>
      <c r="F34" s="526">
        <f>'202003 Bk Depr'!R34</f>
        <v>160988.60999999999</v>
      </c>
      <c r="G34" s="501"/>
      <c r="I34" s="501"/>
      <c r="J34" s="361"/>
      <c r="K34" s="501"/>
      <c r="L34" s="522">
        <f>'Cap&amp;OpEx 2020'!F29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4"/>
        <v>18</v>
      </c>
      <c r="B35" s="494"/>
      <c r="C35" s="498" t="s">
        <v>163</v>
      </c>
      <c r="D35" s="493">
        <v>380</v>
      </c>
      <c r="E35" s="493"/>
      <c r="F35" s="527">
        <f>'202003 Bk Depr'!R35</f>
        <v>758289.98</v>
      </c>
      <c r="G35" s="493"/>
      <c r="H35" s="494"/>
      <c r="I35" s="493"/>
      <c r="J35" s="413"/>
      <c r="K35" s="493"/>
      <c r="L35" s="523">
        <f>'Cap&amp;OpEx 2020'!F30</f>
        <v>252500.97</v>
      </c>
      <c r="M35" s="493"/>
      <c r="N35" s="413"/>
      <c r="O35" s="493"/>
      <c r="P35" s="413"/>
      <c r="Q35" s="493"/>
      <c r="R35" s="524">
        <f>L35+F35</f>
        <v>1010790.95</v>
      </c>
    </row>
    <row r="36" spans="1:18">
      <c r="A36" s="6">
        <f t="shared" si="4"/>
        <v>19</v>
      </c>
      <c r="B36" s="4"/>
      <c r="C36" s="4" t="s">
        <v>23</v>
      </c>
      <c r="F36" s="505">
        <f>SUM(F31:F35)</f>
        <v>8997770.7599999998</v>
      </c>
      <c r="G36" s="493"/>
      <c r="H36" s="494"/>
      <c r="I36" s="493"/>
      <c r="J36" s="505">
        <f>SUM(J31:J35)</f>
        <v>0</v>
      </c>
      <c r="K36" s="493"/>
      <c r="L36" s="505">
        <f>SUM(L31:L35)</f>
        <v>339733.32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9337504.0799999982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65CB-B7C2-4FE3-8513-6CD04C997CA6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'202004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2020'!G10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v>0</v>
      </c>
      <c r="H14" s="1">
        <f>2.05%/12</f>
        <v>1.7083333333333332E-3</v>
      </c>
      <c r="J14" s="365">
        <f>F14*H14</f>
        <v>0</v>
      </c>
      <c r="L14" s="366">
        <f>20154687.29+SUM('2020 Capital Budget'!F23:J23)</f>
        <v>26319565.59</v>
      </c>
      <c r="N14" s="365">
        <f>H14*L14*0.5</f>
        <v>22481.295608124998</v>
      </c>
      <c r="P14" s="365">
        <f>J14+N14</f>
        <v>22481.295608124998</v>
      </c>
      <c r="R14" s="365">
        <f>L14+F14</f>
        <v>26319565.59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'202004 Bk Depr'!R15</f>
        <v>8983820.1500000004</v>
      </c>
      <c r="H15" s="1">
        <f>3.24%/12</f>
        <v>2.7000000000000006E-3</v>
      </c>
      <c r="J15" s="365">
        <f>F15*H15</f>
        <v>24256.314405000005</v>
      </c>
      <c r="L15" s="366">
        <f>'Cap&amp;OpEx 2020'!G12</f>
        <v>186271.12000000002</v>
      </c>
      <c r="N15" s="365">
        <f>H15*L15*0.5</f>
        <v>251.46601200000009</v>
      </c>
      <c r="P15" s="365">
        <f>J15+N15</f>
        <v>24507.780417000005</v>
      </c>
      <c r="R15" s="365">
        <f>L15+F15</f>
        <v>9170091.2699999996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'202004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2020'!G13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'202004 Bk Depr'!R17</f>
        <v>38012971.280000009</v>
      </c>
      <c r="H17" s="1">
        <f t="shared" si="1"/>
        <v>2.7000000000000006E-3</v>
      </c>
      <c r="J17" s="365">
        <f>F17*H17</f>
        <v>102635.02245600005</v>
      </c>
      <c r="L17" s="367">
        <f>'Cap&amp;OpEx 2020'!G14</f>
        <v>1231152.77</v>
      </c>
      <c r="N17" s="365">
        <f>H17*L17*0.5</f>
        <v>1662.0562395000004</v>
      </c>
      <c r="P17" s="365">
        <f>J17+N17</f>
        <v>104297.07869550005</v>
      </c>
      <c r="R17" s="365">
        <f>L17+F17</f>
        <v>39244124.050000012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61674681.600000009</v>
      </c>
      <c r="J18" s="363">
        <f>SUM(J13:J17)</f>
        <v>156449.95191450007</v>
      </c>
      <c r="L18" s="363">
        <f>SUM(L13:L17)</f>
        <v>27736989.48</v>
      </c>
      <c r="N18" s="363">
        <f>SUM(N13:N17)</f>
        <v>24394.817859625</v>
      </c>
      <c r="P18" s="363">
        <f>SUM(P13:P17)</f>
        <v>180844.76977412507</v>
      </c>
      <c r="R18" s="363">
        <f>SUM(R13:R17)</f>
        <v>89411671.080000013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'202004 Bk Depr'!R21</f>
        <v>0</v>
      </c>
      <c r="H21" s="1">
        <v>1.3500000000000003E-3</v>
      </c>
      <c r="J21" s="365">
        <f>F21*H21</f>
        <v>0</v>
      </c>
      <c r="L21" s="366">
        <f>'Cap&amp;OpEx 2020'!G17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'202004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2020'!G18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'202004 Bk Depr'!R23</f>
        <v>0</v>
      </c>
      <c r="H23" s="1">
        <v>2.7000000000000006E-3</v>
      </c>
      <c r="J23" s="365">
        <f>F23*H23</f>
        <v>0</v>
      </c>
      <c r="L23" s="366">
        <f>'Cap&amp;OpEx 2020'!G19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'202004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2020'!G20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'202004 Bk Depr'!R25</f>
        <v>-383307.47670272033</v>
      </c>
      <c r="G25" s="493"/>
      <c r="H25" s="496">
        <v>2.7000000000000006E-3</v>
      </c>
      <c r="I25" s="493"/>
      <c r="J25" s="413">
        <f>F25*H25</f>
        <v>-1034.9301870973452</v>
      </c>
      <c r="K25" s="493"/>
      <c r="L25" s="500">
        <f>'Cap&amp;OpEx 2020'!G21</f>
        <v>-95826.869175680084</v>
      </c>
      <c r="M25" s="493"/>
      <c r="N25" s="413">
        <f>H25*L25*0.5</f>
        <v>-129.36627338716815</v>
      </c>
      <c r="O25" s="493"/>
      <c r="P25" s="413">
        <f>J25+N25</f>
        <v>-1164.2964604845133</v>
      </c>
      <c r="Q25" s="493"/>
      <c r="R25" s="413">
        <f>L25+F25</f>
        <v>-479134.34587840043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-383307.47670272033</v>
      </c>
      <c r="J26" s="363">
        <f>SUM(J21:J25)</f>
        <v>-1034.9301870973452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-1164.2964604845133</v>
      </c>
      <c r="R26" s="363">
        <f>SUM(R21:R25)</f>
        <v>-479134.34587840043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61291374.123297289</v>
      </c>
      <c r="G28" s="518"/>
      <c r="I28" s="518"/>
      <c r="J28" s="520">
        <f>J18+J26</f>
        <v>155415.02172740272</v>
      </c>
      <c r="K28" s="518"/>
      <c r="L28" s="520">
        <f>L18+L26</f>
        <v>27641162.61082432</v>
      </c>
      <c r="M28" s="518"/>
      <c r="N28" s="520">
        <f>N18+N26</f>
        <v>24265.451586237832</v>
      </c>
      <c r="O28" s="518"/>
      <c r="P28" s="520">
        <f>P18+P26</f>
        <v>179680.47331364057</v>
      </c>
      <c r="Q28" s="518"/>
      <c r="R28" s="520">
        <f>R18+R26</f>
        <v>88932536.734121606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'202004 Bk Depr'!R31</f>
        <v>1927915.84</v>
      </c>
      <c r="J31" s="365"/>
      <c r="L31" s="366">
        <f>'Cap&amp;OpEx 2020'!G26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'202004 Bk Depr'!R32</f>
        <v>112000</v>
      </c>
      <c r="G32" s="493"/>
      <c r="H32" s="494"/>
      <c r="I32" s="493"/>
      <c r="J32" s="413"/>
      <c r="K32" s="493"/>
      <c r="L32" s="497">
        <f>'Cap&amp;OpEx 2020'!G27</f>
        <v>56000</v>
      </c>
      <c r="M32" s="493"/>
      <c r="N32" s="413"/>
      <c r="O32" s="493"/>
      <c r="P32" s="413"/>
      <c r="Q32" s="493"/>
      <c r="R32" s="413">
        <f>L32+F32</f>
        <v>168000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'202004 Bk Depr'!R33</f>
        <v>6125808.6799999988</v>
      </c>
      <c r="J33" s="365"/>
      <c r="L33" s="522">
        <f>'Cap&amp;OpEx 2020'!G28</f>
        <v>29266.37</v>
      </c>
      <c r="N33" s="365"/>
      <c r="P33" s="365"/>
      <c r="R33" s="524">
        <f>L33+F33</f>
        <v>6155075.0499999989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'202004 Bk Depr'!R34</f>
        <v>160988.60999999999</v>
      </c>
      <c r="G34" s="501"/>
      <c r="I34" s="501"/>
      <c r="J34" s="361"/>
      <c r="K34" s="501"/>
      <c r="L34" s="522">
        <f>'Cap&amp;OpEx 2020'!G29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'202004 Bk Depr'!R35</f>
        <v>1010790.95</v>
      </c>
      <c r="G35" s="493"/>
      <c r="H35" s="494"/>
      <c r="I35" s="493"/>
      <c r="J35" s="413"/>
      <c r="K35" s="493"/>
      <c r="L35" s="523">
        <f>'Cap&amp;OpEx 2020'!G30</f>
        <v>250820.97</v>
      </c>
      <c r="M35" s="493"/>
      <c r="N35" s="413"/>
      <c r="O35" s="493"/>
      <c r="P35" s="413"/>
      <c r="Q35" s="493"/>
      <c r="R35" s="524">
        <f>L35+F35</f>
        <v>1261611.92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9337504.0799999982</v>
      </c>
      <c r="G36" s="493"/>
      <c r="H36" s="494"/>
      <c r="I36" s="493"/>
      <c r="J36" s="505">
        <f>SUM(J31:J35)</f>
        <v>0</v>
      </c>
      <c r="K36" s="493"/>
      <c r="L36" s="505">
        <f>SUM(L31:L35)</f>
        <v>336087.33999999997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9673591.4199999981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18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556-0541-4115-B584-77A36689AB93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'202005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2020'!H10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'202005 Bk Depr'!R14</f>
        <v>26319565.59</v>
      </c>
      <c r="H14" s="1">
        <f>2.05%/12</f>
        <v>1.7083333333333332E-3</v>
      </c>
      <c r="J14" s="365">
        <f>F14*H14</f>
        <v>44962.591216249995</v>
      </c>
      <c r="L14" s="366">
        <f>'2020 Capital Budget'!K23</f>
        <v>137494.82</v>
      </c>
      <c r="N14" s="365">
        <f>H14*L14*0.5</f>
        <v>117.44349208333333</v>
      </c>
      <c r="P14" s="365">
        <f>J14+N14</f>
        <v>45080.034708333325</v>
      </c>
      <c r="R14" s="365">
        <f>L14+F14</f>
        <v>26457060.41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'202005 Bk Depr'!R15</f>
        <v>9170091.2699999996</v>
      </c>
      <c r="H15" s="1">
        <f>3.24%/12</f>
        <v>2.7000000000000006E-3</v>
      </c>
      <c r="J15" s="365">
        <f>F15*H15</f>
        <v>24759.246429000003</v>
      </c>
      <c r="L15" s="366">
        <f>'Cap&amp;OpEx 2020'!H12</f>
        <v>192922</v>
      </c>
      <c r="N15" s="365">
        <f>H15*L15*0.5</f>
        <v>260.44470000000007</v>
      </c>
      <c r="P15" s="365">
        <f>J15+N15</f>
        <v>25019.691129000003</v>
      </c>
      <c r="R15" s="365">
        <f>L15+F15</f>
        <v>9363013.2699999996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'202005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2020'!H13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'202005 Bk Depr'!R17</f>
        <v>39244124.050000012</v>
      </c>
      <c r="H17" s="1">
        <f t="shared" si="1"/>
        <v>2.7000000000000006E-3</v>
      </c>
      <c r="J17" s="365">
        <f>F17*H17</f>
        <v>105959.13493500005</v>
      </c>
      <c r="L17" s="367">
        <f>'Cap&amp;OpEx 2020'!H14</f>
        <v>1271731.67</v>
      </c>
      <c r="N17" s="365">
        <f>H17*L17*0.5</f>
        <v>1716.8377545000003</v>
      </c>
      <c r="P17" s="365">
        <f>J17+N17</f>
        <v>107675.97268950005</v>
      </c>
      <c r="R17" s="365">
        <f>L17+F17</f>
        <v>40515855.720000014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89411671.080000013</v>
      </c>
      <c r="J18" s="363">
        <f>SUM(J13:J17)</f>
        <v>205239.58763375005</v>
      </c>
      <c r="L18" s="363">
        <f>SUM(L13:L17)</f>
        <v>1602148.49</v>
      </c>
      <c r="N18" s="363">
        <f>SUM(N13:N17)</f>
        <v>2094.7259465833336</v>
      </c>
      <c r="P18" s="363">
        <f>SUM(P13:P17)</f>
        <v>207334.31358033337</v>
      </c>
      <c r="R18" s="363">
        <f>SUM(R13:R17)</f>
        <v>91013819.570000023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'202005 Bk Depr'!R21</f>
        <v>0</v>
      </c>
      <c r="H21" s="1">
        <v>1.3500000000000003E-3</v>
      </c>
      <c r="J21" s="365">
        <f>F21*H21</f>
        <v>0</v>
      </c>
      <c r="L21" s="366">
        <f>'Cap&amp;OpEx 2020'!H17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'202005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2020'!H18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'202005 Bk Depr'!R23</f>
        <v>0</v>
      </c>
      <c r="H23" s="1">
        <v>2.7000000000000006E-3</v>
      </c>
      <c r="J23" s="365">
        <f>F23*H23</f>
        <v>0</v>
      </c>
      <c r="L23" s="366">
        <f>'Cap&amp;OpEx 2020'!H19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'202005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2020'!H20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'202005 Bk Depr'!R25</f>
        <v>-479134.34587840043</v>
      </c>
      <c r="G25" s="493"/>
      <c r="H25" s="496">
        <v>2.7000000000000006E-3</v>
      </c>
      <c r="I25" s="493"/>
      <c r="J25" s="413">
        <f>F25*H25</f>
        <v>-1293.6627338716814</v>
      </c>
      <c r="K25" s="493"/>
      <c r="L25" s="500">
        <f>'Cap&amp;OpEx 2020'!H21</f>
        <v>-95826.869175680084</v>
      </c>
      <c r="M25" s="493"/>
      <c r="N25" s="413">
        <f>H25*L25*0.5</f>
        <v>-129.36627338716815</v>
      </c>
      <c r="O25" s="493"/>
      <c r="P25" s="413">
        <f>J25+N25</f>
        <v>-1423.0290072588496</v>
      </c>
      <c r="Q25" s="493"/>
      <c r="R25" s="413">
        <f>L25+F25</f>
        <v>-574961.21505408047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-479134.34587840043</v>
      </c>
      <c r="J26" s="363">
        <f>SUM(J21:J25)</f>
        <v>-1293.6627338716814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-1423.0290072588496</v>
      </c>
      <c r="R26" s="363">
        <f>SUM(R21:R25)</f>
        <v>-574961.21505408047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88932536.734121606</v>
      </c>
      <c r="G28" s="518"/>
      <c r="I28" s="518"/>
      <c r="J28" s="520">
        <f>J18+J26</f>
        <v>203945.92489987836</v>
      </c>
      <c r="K28" s="518"/>
      <c r="L28" s="520">
        <f>L18+L26</f>
        <v>1506321.62082432</v>
      </c>
      <c r="M28" s="518"/>
      <c r="N28" s="520">
        <f>N18+N26</f>
        <v>1965.3596731961654</v>
      </c>
      <c r="O28" s="518"/>
      <c r="P28" s="520">
        <f>P18+P26</f>
        <v>205911.28457307452</v>
      </c>
      <c r="Q28" s="518"/>
      <c r="R28" s="520">
        <f>R18+R26</f>
        <v>90438858.354945943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'202005 Bk Depr'!R31</f>
        <v>1927915.84</v>
      </c>
      <c r="J31" s="365"/>
      <c r="L31" s="366">
        <f>'Cap&amp;OpEx 2020'!H26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'202005 Bk Depr'!R32</f>
        <v>168000</v>
      </c>
      <c r="G32" s="493"/>
      <c r="H32" s="494"/>
      <c r="I32" s="493"/>
      <c r="J32" s="413"/>
      <c r="K32" s="493"/>
      <c r="L32" s="497">
        <f>'Cap&amp;OpEx 2020'!H27</f>
        <v>56000</v>
      </c>
      <c r="M32" s="493"/>
      <c r="N32" s="413"/>
      <c r="O32" s="493"/>
      <c r="P32" s="413"/>
      <c r="Q32" s="493"/>
      <c r="R32" s="413">
        <f>L32+F32</f>
        <v>224000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'202005 Bk Depr'!R33</f>
        <v>6155075.0499999989</v>
      </c>
      <c r="J33" s="365"/>
      <c r="L33" s="522">
        <f>'Cap&amp;OpEx 2020'!H28</f>
        <v>30473.59</v>
      </c>
      <c r="N33" s="365"/>
      <c r="P33" s="365"/>
      <c r="R33" s="524">
        <f>L33+F33</f>
        <v>6185548.6399999987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'202005 Bk Depr'!R34</f>
        <v>160988.60999999999</v>
      </c>
      <c r="G34" s="501"/>
      <c r="I34" s="501"/>
      <c r="J34" s="361"/>
      <c r="K34" s="501"/>
      <c r="L34" s="522">
        <f>'Cap&amp;OpEx 2020'!H29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'202005 Bk Depr'!R35</f>
        <v>1261611.92</v>
      </c>
      <c r="G35" s="493"/>
      <c r="H35" s="494"/>
      <c r="I35" s="493"/>
      <c r="J35" s="413"/>
      <c r="K35" s="493"/>
      <c r="L35" s="523">
        <f>'Cap&amp;OpEx 2020'!H30</f>
        <v>257540.97</v>
      </c>
      <c r="M35" s="493"/>
      <c r="N35" s="413"/>
      <c r="O35" s="493"/>
      <c r="P35" s="413"/>
      <c r="Q35" s="493"/>
      <c r="R35" s="524">
        <f>L35+F35</f>
        <v>1519152.89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9673591.4199999981</v>
      </c>
      <c r="G36" s="493"/>
      <c r="H36" s="494"/>
      <c r="I36" s="493"/>
      <c r="J36" s="505">
        <f>SUM(J31:J35)</f>
        <v>0</v>
      </c>
      <c r="K36" s="493"/>
      <c r="L36" s="505">
        <f>SUM(L31:L35)</f>
        <v>344014.56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10017605.979999999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8E3A-69F7-404C-84EA-5DA849F73BA0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'202006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2020'!I10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5" si="0">A13+1</f>
        <v>2</v>
      </c>
      <c r="B14" s="4"/>
      <c r="C14" s="4" t="s">
        <v>594</v>
      </c>
      <c r="D14" s="6">
        <v>367</v>
      </c>
      <c r="F14" s="361">
        <f>'202006 Bk Depr'!R14</f>
        <v>26457060.41</v>
      </c>
      <c r="H14" s="1">
        <f>2.05%/12</f>
        <v>1.7083333333333332E-3</v>
      </c>
      <c r="J14" s="365">
        <f>F14*H14</f>
        <v>45197.478200416663</v>
      </c>
      <c r="L14" s="366">
        <f>'2020 Capital Budget'!L23</f>
        <v>137494.82</v>
      </c>
      <c r="N14" s="365">
        <f>H14*L14*0.5</f>
        <v>117.44349208333333</v>
      </c>
      <c r="P14" s="365">
        <f>J14+N14</f>
        <v>45314.921692499993</v>
      </c>
      <c r="R14" s="365">
        <f>L14+F14</f>
        <v>26594555.23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'202006 Bk Depr'!R15</f>
        <v>9363013.2699999996</v>
      </c>
      <c r="H15" s="1">
        <f>3.24%/12</f>
        <v>2.7000000000000006E-3</v>
      </c>
      <c r="J15" s="365">
        <f>F15*H15</f>
        <v>25280.135829000003</v>
      </c>
      <c r="L15" s="366">
        <f>'Cap&amp;OpEx 2020'!I12</f>
        <v>201681.61000000002</v>
      </c>
      <c r="N15" s="365">
        <f>H15*L15*0.5</f>
        <v>272.27017350000006</v>
      </c>
      <c r="P15" s="365">
        <f>J15+N15</f>
        <v>25552.406002500004</v>
      </c>
      <c r="R15" s="365">
        <f>L15+F15</f>
        <v>9564694.879999999</v>
      </c>
    </row>
    <row r="16" spans="1:18">
      <c r="A16" s="6">
        <f t="shared" ref="A16:A18" si="1">A15+1</f>
        <v>4</v>
      </c>
      <c r="B16" s="4"/>
      <c r="C16" s="9" t="s">
        <v>63</v>
      </c>
      <c r="D16" s="6">
        <v>380</v>
      </c>
      <c r="F16" s="361">
        <f>'202006 Bk Depr'!R16</f>
        <v>7217380.2400000012</v>
      </c>
      <c r="H16" s="1">
        <f t="shared" ref="H16:H17" si="2">3.24%/12</f>
        <v>2.7000000000000006E-3</v>
      </c>
      <c r="J16" s="365">
        <f>F16*H16</f>
        <v>19486.926648000008</v>
      </c>
      <c r="L16" s="366">
        <f>'Cap&amp;OpEx 2020'!I13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1"/>
        <v>5</v>
      </c>
      <c r="B17" s="4"/>
      <c r="C17" s="4" t="s">
        <v>163</v>
      </c>
      <c r="D17" s="6">
        <v>380</v>
      </c>
      <c r="F17" s="362">
        <f>'202006 Bk Depr'!R17</f>
        <v>40515855.720000014</v>
      </c>
      <c r="H17" s="1">
        <f t="shared" si="2"/>
        <v>2.7000000000000006E-3</v>
      </c>
      <c r="J17" s="365">
        <f>F17*H17</f>
        <v>109392.81044400006</v>
      </c>
      <c r="L17" s="367">
        <f>'Cap&amp;OpEx 2020'!I14</f>
        <v>1348368.8</v>
      </c>
      <c r="N17" s="365">
        <f>H17*L17*0.5</f>
        <v>1820.2978800000005</v>
      </c>
      <c r="P17" s="365">
        <f>J17+N17</f>
        <v>111213.10832400006</v>
      </c>
      <c r="R17" s="365">
        <f>L17+F17</f>
        <v>41864224.520000011</v>
      </c>
    </row>
    <row r="18" spans="1:18">
      <c r="A18" s="6">
        <f t="shared" si="1"/>
        <v>6</v>
      </c>
      <c r="B18" s="4"/>
      <c r="C18" s="4" t="s">
        <v>21</v>
      </c>
      <c r="F18" s="363">
        <f>SUM(F13:F17)</f>
        <v>91013819.570000023</v>
      </c>
      <c r="J18" s="363">
        <f>SUM(J13:J17)</f>
        <v>209429.03952691675</v>
      </c>
      <c r="L18" s="363">
        <f>SUM(L13:L17)</f>
        <v>1687545.23</v>
      </c>
      <c r="N18" s="363">
        <f>SUM(N13:N17)</f>
        <v>2210.0115455833338</v>
      </c>
      <c r="P18" s="363">
        <f>SUM(P13:P17)</f>
        <v>211639.05107250006</v>
      </c>
      <c r="R18" s="363">
        <f>SUM(R13:R17)</f>
        <v>92701364.800000012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'202006 Bk Depr'!R21</f>
        <v>0</v>
      </c>
      <c r="H21" s="1">
        <v>1.3500000000000003E-3</v>
      </c>
      <c r="J21" s="365">
        <f>F21*H21</f>
        <v>0</v>
      </c>
      <c r="L21" s="366">
        <f>'Cap&amp;OpEx 2020'!I17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3">A21+1</f>
        <v>8</v>
      </c>
      <c r="B22" s="494"/>
      <c r="C22" s="494" t="s">
        <v>594</v>
      </c>
      <c r="D22" s="493">
        <v>376</v>
      </c>
      <c r="E22" s="493"/>
      <c r="F22" s="495">
        <f>'202006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2020'!I18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3"/>
        <v>9</v>
      </c>
      <c r="B23" s="4"/>
      <c r="C23" s="9" t="s">
        <v>62</v>
      </c>
      <c r="D23" s="6">
        <v>380</v>
      </c>
      <c r="F23" s="361">
        <f>'202006 Bk Depr'!R23</f>
        <v>0</v>
      </c>
      <c r="H23" s="1">
        <v>2.7000000000000006E-3</v>
      </c>
      <c r="J23" s="365">
        <f>F23*H23</f>
        <v>0</v>
      </c>
      <c r="L23" s="366">
        <f>'Cap&amp;OpEx 2020'!I19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3"/>
        <v>10</v>
      </c>
      <c r="C24" s="503" t="s">
        <v>63</v>
      </c>
      <c r="D24" s="501">
        <v>380</v>
      </c>
      <c r="E24" s="501"/>
      <c r="F24" s="361">
        <f>'202006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2020'!I20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3"/>
        <v>11</v>
      </c>
      <c r="B25" s="494"/>
      <c r="C25" s="498" t="s">
        <v>163</v>
      </c>
      <c r="D25" s="493">
        <v>380</v>
      </c>
      <c r="E25" s="493"/>
      <c r="F25" s="499">
        <f>'202006 Bk Depr'!R25</f>
        <v>-574961.21505408047</v>
      </c>
      <c r="G25" s="493"/>
      <c r="H25" s="496">
        <v>2.7000000000000006E-3</v>
      </c>
      <c r="I25" s="493"/>
      <c r="J25" s="413">
        <f>F25*H25</f>
        <v>-1552.3952806460177</v>
      </c>
      <c r="K25" s="493"/>
      <c r="L25" s="500">
        <f>'Cap&amp;OpEx 2020'!I21</f>
        <v>-95826.869175680084</v>
      </c>
      <c r="M25" s="493"/>
      <c r="N25" s="413">
        <f>H25*L25*0.5</f>
        <v>-129.36627338716815</v>
      </c>
      <c r="O25" s="493"/>
      <c r="P25" s="413">
        <f>J25+N25</f>
        <v>-1681.7615540331858</v>
      </c>
      <c r="Q25" s="493"/>
      <c r="R25" s="413">
        <f>L25+F25</f>
        <v>-670788.08422976057</v>
      </c>
    </row>
    <row r="26" spans="1:18">
      <c r="A26" s="6">
        <f t="shared" si="3"/>
        <v>12</v>
      </c>
      <c r="B26" s="4"/>
      <c r="C26" s="4" t="s">
        <v>22</v>
      </c>
      <c r="F26" s="363">
        <f>SUM(F21:F25)</f>
        <v>-574961.21505408047</v>
      </c>
      <c r="J26" s="363">
        <f>SUM(J21:J25)</f>
        <v>-1552.3952806460177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-1681.7615540331858</v>
      </c>
      <c r="R26" s="363">
        <f>SUM(R21:R25)</f>
        <v>-670788.08422976057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90438858.354945943</v>
      </c>
      <c r="G28" s="518"/>
      <c r="I28" s="518"/>
      <c r="J28" s="520">
        <f>J18+J26</f>
        <v>207876.64424627073</v>
      </c>
      <c r="K28" s="518"/>
      <c r="L28" s="520">
        <f>L18+L26</f>
        <v>1591718.36082432</v>
      </c>
      <c r="M28" s="518"/>
      <c r="N28" s="520">
        <f>N18+N26</f>
        <v>2080.6452721961655</v>
      </c>
      <c r="O28" s="518"/>
      <c r="P28" s="520">
        <f>P18+P26</f>
        <v>209957.28951846689</v>
      </c>
      <c r="Q28" s="518"/>
      <c r="R28" s="520">
        <f>R18+R26</f>
        <v>92030576.715770245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'202006 Bk Depr'!R31</f>
        <v>1927915.84</v>
      </c>
      <c r="J31" s="365"/>
      <c r="L31" s="366">
        <f>'Cap&amp;OpEx 2020'!I26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4">A31+1</f>
        <v>15</v>
      </c>
      <c r="B32" s="494"/>
      <c r="C32" s="494" t="s">
        <v>594</v>
      </c>
      <c r="D32" s="493">
        <v>376</v>
      </c>
      <c r="E32" s="493"/>
      <c r="F32" s="495">
        <f>'202006 Bk Depr'!R32</f>
        <v>224000</v>
      </c>
      <c r="G32" s="493"/>
      <c r="H32" s="494"/>
      <c r="I32" s="493"/>
      <c r="J32" s="413"/>
      <c r="K32" s="493"/>
      <c r="L32" s="497">
        <f>'Cap&amp;OpEx 2020'!I27</f>
        <v>56000</v>
      </c>
      <c r="M32" s="493"/>
      <c r="N32" s="413"/>
      <c r="O32" s="493"/>
      <c r="P32" s="413"/>
      <c r="Q32" s="493"/>
      <c r="R32" s="413">
        <f>L32+F32</f>
        <v>280000</v>
      </c>
    </row>
    <row r="33" spans="1:18">
      <c r="A33" s="6">
        <f t="shared" si="4"/>
        <v>16</v>
      </c>
      <c r="B33" s="4"/>
      <c r="C33" s="9" t="s">
        <v>62</v>
      </c>
      <c r="D33" s="6">
        <v>380</v>
      </c>
      <c r="F33" s="526">
        <f>'202006 Bk Depr'!R33</f>
        <v>6185548.6399999987</v>
      </c>
      <c r="J33" s="365"/>
      <c r="L33" s="522">
        <f>'Cap&amp;OpEx 2020'!I28</f>
        <v>31681.43</v>
      </c>
      <c r="N33" s="365"/>
      <c r="P33" s="365"/>
      <c r="R33" s="524">
        <f>L33+F33</f>
        <v>6217230.0699999984</v>
      </c>
    </row>
    <row r="34" spans="1:18" s="502" customFormat="1">
      <c r="A34" s="501">
        <f t="shared" si="4"/>
        <v>17</v>
      </c>
      <c r="C34" s="503" t="s">
        <v>63</v>
      </c>
      <c r="D34" s="501">
        <v>380</v>
      </c>
      <c r="E34" s="501"/>
      <c r="F34" s="526">
        <f>'202006 Bk Depr'!R34</f>
        <v>160988.60999999999</v>
      </c>
      <c r="G34" s="501"/>
      <c r="I34" s="501"/>
      <c r="J34" s="361"/>
      <c r="K34" s="501"/>
      <c r="L34" s="522">
        <f>'Cap&amp;OpEx 2020'!I29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4"/>
        <v>18</v>
      </c>
      <c r="B35" s="494"/>
      <c r="C35" s="498" t="s">
        <v>163</v>
      </c>
      <c r="D35" s="493">
        <v>380</v>
      </c>
      <c r="E35" s="493"/>
      <c r="F35" s="527">
        <f>'202006 Bk Depr'!R35</f>
        <v>1519152.89</v>
      </c>
      <c r="G35" s="493"/>
      <c r="H35" s="494"/>
      <c r="I35" s="493"/>
      <c r="J35" s="413"/>
      <c r="K35" s="493"/>
      <c r="L35" s="523">
        <f>'Cap&amp;OpEx 2020'!I30</f>
        <v>253060.97</v>
      </c>
      <c r="M35" s="493"/>
      <c r="N35" s="413"/>
      <c r="O35" s="493"/>
      <c r="P35" s="413"/>
      <c r="Q35" s="493"/>
      <c r="R35" s="524">
        <f>L35+F35</f>
        <v>1772213.8599999999</v>
      </c>
    </row>
    <row r="36" spans="1:18">
      <c r="A36" s="6">
        <f t="shared" si="4"/>
        <v>19</v>
      </c>
      <c r="B36" s="4"/>
      <c r="C36" s="4" t="s">
        <v>23</v>
      </c>
      <c r="F36" s="505">
        <f>SUM(F31:F35)</f>
        <v>10017605.979999999</v>
      </c>
      <c r="G36" s="493"/>
      <c r="H36" s="494"/>
      <c r="I36" s="493"/>
      <c r="J36" s="505">
        <f>SUM(J31:J35)</f>
        <v>0</v>
      </c>
      <c r="K36" s="493"/>
      <c r="L36" s="505">
        <f>SUM(L31:L35)</f>
        <v>340742.40000000002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10358348.379999997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B3F3-6D0B-4696-AC69-0C3964C99064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'202007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2020'!J10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'202007 Bk Depr'!R14</f>
        <v>26594555.23</v>
      </c>
      <c r="H14" s="1">
        <f>2.05%/12</f>
        <v>1.7083333333333332E-3</v>
      </c>
      <c r="J14" s="365">
        <f>F14*H14</f>
        <v>45432.36518458333</v>
      </c>
      <c r="L14" s="366">
        <f>'2020 Capital Budget'!M23</f>
        <v>131494.82</v>
      </c>
      <c r="N14" s="365">
        <f>H14*L14*0.5</f>
        <v>112.31849208333333</v>
      </c>
      <c r="P14" s="365">
        <f>J14+N14</f>
        <v>45544.68367666666</v>
      </c>
      <c r="R14" s="365">
        <f>L14+F14</f>
        <v>26726050.050000001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'202007 Bk Depr'!R15</f>
        <v>9564694.879999999</v>
      </c>
      <c r="H15" s="1">
        <f>3.24%/12</f>
        <v>2.7000000000000006E-3</v>
      </c>
      <c r="J15" s="365">
        <f>F15*H15</f>
        <v>25824.676176000004</v>
      </c>
      <c r="L15" s="366">
        <f>'Cap&amp;OpEx 2020'!J12</f>
        <v>220092.75</v>
      </c>
      <c r="N15" s="365">
        <f>H15*L15*0.5</f>
        <v>297.12521250000009</v>
      </c>
      <c r="P15" s="365">
        <f>J15+N15</f>
        <v>26121.801388500004</v>
      </c>
      <c r="R15" s="365">
        <f>L15+F15</f>
        <v>9784787.629999999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'202007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2020'!J13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'202007 Bk Depr'!R17</f>
        <v>41864224.520000011</v>
      </c>
      <c r="H17" s="1">
        <f t="shared" si="1"/>
        <v>2.7000000000000006E-3</v>
      </c>
      <c r="J17" s="365">
        <f>F17*H17</f>
        <v>113033.40620400006</v>
      </c>
      <c r="L17" s="367">
        <f>'Cap&amp;OpEx 2020'!J14</f>
        <v>1324294.56</v>
      </c>
      <c r="N17" s="365">
        <f>H17*L17*0.5</f>
        <v>1787.7976560000004</v>
      </c>
      <c r="P17" s="365">
        <f>J17+N17</f>
        <v>114821.20386000005</v>
      </c>
      <c r="R17" s="365">
        <f>L17+F17</f>
        <v>43188519.080000013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92701364.800000012</v>
      </c>
      <c r="J18" s="363">
        <f>SUM(J13:J17)</f>
        <v>213849.06261808341</v>
      </c>
      <c r="L18" s="363">
        <f>SUM(L13:L17)</f>
        <v>1675882.1300000001</v>
      </c>
      <c r="N18" s="363">
        <f>SUM(N13:N17)</f>
        <v>2197.241360583334</v>
      </c>
      <c r="P18" s="363">
        <f>SUM(P13:P17)</f>
        <v>216046.30397866672</v>
      </c>
      <c r="R18" s="363">
        <f>SUM(R13:R17)</f>
        <v>94377246.930000007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'202007 Bk Depr'!R21</f>
        <v>0</v>
      </c>
      <c r="H21" s="1">
        <v>1.3500000000000003E-3</v>
      </c>
      <c r="J21" s="365">
        <f>F21*H21</f>
        <v>0</v>
      </c>
      <c r="L21" s="366">
        <f>'Cap&amp;OpEx 2020'!J17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'202007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2020'!J18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'202007 Bk Depr'!R23</f>
        <v>0</v>
      </c>
      <c r="H23" s="1">
        <v>2.7000000000000006E-3</v>
      </c>
      <c r="J23" s="365">
        <f>F23*H23</f>
        <v>0</v>
      </c>
      <c r="L23" s="366">
        <f>'Cap&amp;OpEx 2020'!J19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'202007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2020'!J20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'202007 Bk Depr'!R25</f>
        <v>-670788.08422976057</v>
      </c>
      <c r="G25" s="493"/>
      <c r="H25" s="496">
        <v>2.7000000000000006E-3</v>
      </c>
      <c r="I25" s="493"/>
      <c r="J25" s="413">
        <f>F25*H25</f>
        <v>-1811.1278274203539</v>
      </c>
      <c r="K25" s="493"/>
      <c r="L25" s="500">
        <f>'Cap&amp;OpEx 2020'!J21</f>
        <v>-95826.869175680084</v>
      </c>
      <c r="M25" s="493"/>
      <c r="N25" s="413">
        <f>H25*L25*0.5</f>
        <v>-129.36627338716815</v>
      </c>
      <c r="O25" s="493"/>
      <c r="P25" s="413">
        <f>J25+N25</f>
        <v>-1940.494100807522</v>
      </c>
      <c r="Q25" s="493"/>
      <c r="R25" s="413">
        <f>L25+F25</f>
        <v>-766614.95340544067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-670788.08422976057</v>
      </c>
      <c r="J26" s="363">
        <f>SUM(J21:J25)</f>
        <v>-1811.1278274203539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-1940.494100807522</v>
      </c>
      <c r="R26" s="363">
        <f>SUM(R21:R25)</f>
        <v>-766614.95340544067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92030576.715770245</v>
      </c>
      <c r="G28" s="518"/>
      <c r="I28" s="518"/>
      <c r="J28" s="520">
        <f>J18+J26</f>
        <v>212037.93479066304</v>
      </c>
      <c r="K28" s="518"/>
      <c r="L28" s="520">
        <f>L18+L26</f>
        <v>1580055.2608243201</v>
      </c>
      <c r="M28" s="518"/>
      <c r="N28" s="520">
        <f>N18+N26</f>
        <v>2067.8750871961656</v>
      </c>
      <c r="O28" s="518"/>
      <c r="P28" s="520">
        <f>P18+P26</f>
        <v>214105.8098778592</v>
      </c>
      <c r="Q28" s="518"/>
      <c r="R28" s="520">
        <f>R18+R26</f>
        <v>93610631.976594567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'202007 Bk Depr'!R31</f>
        <v>1927915.84</v>
      </c>
      <c r="J31" s="365"/>
      <c r="L31" s="366">
        <f>'Cap&amp;OpEx 2020'!J26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'202007 Bk Depr'!R32</f>
        <v>280000</v>
      </c>
      <c r="G32" s="493"/>
      <c r="H32" s="494"/>
      <c r="I32" s="493"/>
      <c r="J32" s="413"/>
      <c r="K32" s="493"/>
      <c r="L32" s="497">
        <f>'Cap&amp;OpEx 2020'!J27</f>
        <v>92000</v>
      </c>
      <c r="M32" s="493"/>
      <c r="N32" s="413"/>
      <c r="O32" s="493"/>
      <c r="P32" s="413"/>
      <c r="Q32" s="493"/>
      <c r="R32" s="413">
        <f>L32+F32</f>
        <v>372000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'202007 Bk Depr'!R33</f>
        <v>6217230.0699999984</v>
      </c>
      <c r="J33" s="365"/>
      <c r="L33" s="522">
        <f>'Cap&amp;OpEx 2020'!J28</f>
        <v>34714.800000000003</v>
      </c>
      <c r="N33" s="365"/>
      <c r="P33" s="365"/>
      <c r="R33" s="524">
        <f>L33+F33</f>
        <v>6251944.8699999982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'202007 Bk Depr'!R34</f>
        <v>160988.60999999999</v>
      </c>
      <c r="G34" s="501"/>
      <c r="I34" s="501"/>
      <c r="J34" s="361"/>
      <c r="K34" s="501"/>
      <c r="L34" s="522">
        <f>'Cap&amp;OpEx 2020'!J29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'202007 Bk Depr'!R35</f>
        <v>1772213.8599999999</v>
      </c>
      <c r="G35" s="493"/>
      <c r="H35" s="494"/>
      <c r="I35" s="493"/>
      <c r="J35" s="413"/>
      <c r="K35" s="493"/>
      <c r="L35" s="523">
        <f>'Cap&amp;OpEx 2020'!J30</f>
        <v>251940.97</v>
      </c>
      <c r="M35" s="493"/>
      <c r="N35" s="413"/>
      <c r="O35" s="493"/>
      <c r="P35" s="413"/>
      <c r="Q35" s="493"/>
      <c r="R35" s="524">
        <f>L35+F35</f>
        <v>2024154.8299999998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10358348.379999997</v>
      </c>
      <c r="G36" s="493"/>
      <c r="H36" s="494"/>
      <c r="I36" s="493"/>
      <c r="J36" s="505">
        <f>SUM(J31:J35)</f>
        <v>0</v>
      </c>
      <c r="K36" s="493"/>
      <c r="L36" s="505">
        <f>SUM(L31:L35)</f>
        <v>378655.77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10737004.149999997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E5AE-BE23-432D-8619-6EDEE7921E40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'202008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2020'!K10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'202008 Bk Depr'!R14</f>
        <v>26726050.050000001</v>
      </c>
      <c r="H14" s="1">
        <f>2.05%/12</f>
        <v>1.7083333333333332E-3</v>
      </c>
      <c r="J14" s="365">
        <f>F14*H14</f>
        <v>45657.002168749998</v>
      </c>
      <c r="L14" s="366">
        <f>'2020 Capital Budget'!N23</f>
        <v>118320.2</v>
      </c>
      <c r="N14" s="365">
        <f>H14*L14*0.5</f>
        <v>101.06517083333333</v>
      </c>
      <c r="P14" s="365">
        <f>J14+N14</f>
        <v>45758.067339583329</v>
      </c>
      <c r="R14" s="365">
        <f>L14+F14</f>
        <v>26844370.25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'202008 Bk Depr'!R15</f>
        <v>9784787.629999999</v>
      </c>
      <c r="H15" s="1">
        <f>3.24%/12</f>
        <v>2.7000000000000006E-3</v>
      </c>
      <c r="J15" s="365">
        <f>F15*H15</f>
        <v>26418.926601000003</v>
      </c>
      <c r="L15" s="366">
        <f>'Cap&amp;OpEx 2020'!K12</f>
        <v>202094.58</v>
      </c>
      <c r="N15" s="365">
        <f>H15*L15*0.5</f>
        <v>272.82768300000004</v>
      </c>
      <c r="P15" s="365">
        <f>J15+N15</f>
        <v>26691.754284000002</v>
      </c>
      <c r="R15" s="365">
        <f>L15+F15</f>
        <v>9986882.209999999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'202008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2020'!K13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'202008 Bk Depr'!R17</f>
        <v>43188519.080000013</v>
      </c>
      <c r="H17" s="1">
        <f t="shared" si="1"/>
        <v>2.7000000000000006E-3</v>
      </c>
      <c r="J17" s="365">
        <f>F17*H17</f>
        <v>116609.00151600006</v>
      </c>
      <c r="L17" s="367">
        <f>'Cap&amp;OpEx 2020'!K14</f>
        <v>1279279.94</v>
      </c>
      <c r="N17" s="365">
        <f>H17*L17*0.5</f>
        <v>1727.0279190000003</v>
      </c>
      <c r="P17" s="365">
        <f>J17+N17</f>
        <v>118336.02943500006</v>
      </c>
      <c r="R17" s="365">
        <f>L17+F17</f>
        <v>44467799.020000011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94377246.930000007</v>
      </c>
      <c r="J18" s="363">
        <f>SUM(J13:J17)</f>
        <v>218243.54533925006</v>
      </c>
      <c r="L18" s="363">
        <f>SUM(L13:L17)</f>
        <v>1599694.72</v>
      </c>
      <c r="N18" s="363">
        <f>SUM(N13:N17)</f>
        <v>2100.9207728333336</v>
      </c>
      <c r="P18" s="363">
        <f>SUM(P13:P17)</f>
        <v>220344.46611208341</v>
      </c>
      <c r="R18" s="363">
        <f>SUM(R13:R17)</f>
        <v>95976941.650000006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'202008 Bk Depr'!R21</f>
        <v>0</v>
      </c>
      <c r="H21" s="1">
        <v>1.3500000000000003E-3</v>
      </c>
      <c r="J21" s="365">
        <f>F21*H21</f>
        <v>0</v>
      </c>
      <c r="L21" s="366">
        <f>'Cap&amp;OpEx 2020'!K17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'202008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2020'!K18</f>
        <v>0</v>
      </c>
      <c r="M22" s="493"/>
      <c r="N22" s="413">
        <f>H22*L22*0.5</f>
        <v>0</v>
      </c>
      <c r="O22" s="493"/>
      <c r="P22" s="413">
        <f>J22+N22</f>
        <v>0</v>
      </c>
      <c r="Q22" s="493"/>
      <c r="R22" s="413">
        <f>L22+F22</f>
        <v>0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'202008 Bk Depr'!R23</f>
        <v>0</v>
      </c>
      <c r="H23" s="1">
        <v>2.7000000000000006E-3</v>
      </c>
      <c r="J23" s="365">
        <f>F23*H23</f>
        <v>0</v>
      </c>
      <c r="L23" s="366">
        <f>'Cap&amp;OpEx 2020'!K19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'202008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2020'!K20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'202008 Bk Depr'!R25</f>
        <v>-766614.95340544067</v>
      </c>
      <c r="G25" s="493"/>
      <c r="H25" s="496">
        <v>2.7000000000000006E-3</v>
      </c>
      <c r="I25" s="493"/>
      <c r="J25" s="413">
        <f>F25*H25</f>
        <v>-2069.8603741946904</v>
      </c>
      <c r="K25" s="493"/>
      <c r="L25" s="500">
        <f>'Cap&amp;OpEx 2020'!K21</f>
        <v>-95826.869175680084</v>
      </c>
      <c r="M25" s="493"/>
      <c r="N25" s="413">
        <f>H25*L25*0.5</f>
        <v>-129.36627338716815</v>
      </c>
      <c r="O25" s="493"/>
      <c r="P25" s="413">
        <f>J25+N25</f>
        <v>-2199.2266475818587</v>
      </c>
      <c r="Q25" s="493"/>
      <c r="R25" s="413">
        <f>L25+F25</f>
        <v>-862441.82258112077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-766614.95340544067</v>
      </c>
      <c r="J26" s="363">
        <f>SUM(J21:J25)</f>
        <v>-2069.8603741946904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-2199.2266475818587</v>
      </c>
      <c r="R26" s="363">
        <f>SUM(R21:R25)</f>
        <v>-862441.82258112077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93610631.976594567</v>
      </c>
      <c r="G28" s="518"/>
      <c r="I28" s="518"/>
      <c r="J28" s="520">
        <f>J18+J26</f>
        <v>216173.68496505538</v>
      </c>
      <c r="K28" s="518"/>
      <c r="L28" s="520">
        <f>L18+L26</f>
        <v>1503867.85082432</v>
      </c>
      <c r="M28" s="518"/>
      <c r="N28" s="520">
        <f>N18+N26</f>
        <v>1971.5544994461654</v>
      </c>
      <c r="O28" s="518"/>
      <c r="P28" s="520">
        <f>P18+P26</f>
        <v>218145.23946450156</v>
      </c>
      <c r="Q28" s="518"/>
      <c r="R28" s="520">
        <f>R18+R26</f>
        <v>95114499.827418879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'202008 Bk Depr'!R31</f>
        <v>1927915.84</v>
      </c>
      <c r="J31" s="365"/>
      <c r="L31" s="366">
        <f>'Cap&amp;OpEx 2020'!K26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'202008 Bk Depr'!R32</f>
        <v>372000</v>
      </c>
      <c r="G32" s="493"/>
      <c r="H32" s="494"/>
      <c r="I32" s="493"/>
      <c r="J32" s="413"/>
      <c r="K32" s="493"/>
      <c r="L32" s="497">
        <f>'Cap&amp;OpEx 2020'!K27</f>
        <v>107232</v>
      </c>
      <c r="M32" s="493"/>
      <c r="N32" s="413"/>
      <c r="O32" s="493"/>
      <c r="P32" s="413"/>
      <c r="Q32" s="493"/>
      <c r="R32" s="413">
        <f>L32+F32</f>
        <v>479232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'202008 Bk Depr'!R33</f>
        <v>6251944.8699999982</v>
      </c>
      <c r="J33" s="365"/>
      <c r="L33" s="522">
        <f>'Cap&amp;OpEx 2020'!K28</f>
        <v>32157.41</v>
      </c>
      <c r="N33" s="365"/>
      <c r="P33" s="365"/>
      <c r="R33" s="524">
        <f>L33+F33</f>
        <v>6284102.2799999984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'202008 Bk Depr'!R34</f>
        <v>160988.60999999999</v>
      </c>
      <c r="G34" s="501"/>
      <c r="I34" s="501"/>
      <c r="J34" s="361"/>
      <c r="K34" s="501"/>
      <c r="L34" s="522">
        <f>'Cap&amp;OpEx 2020'!K29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'202008 Bk Depr'!R35</f>
        <v>2024154.8299999998</v>
      </c>
      <c r="G35" s="493"/>
      <c r="H35" s="494"/>
      <c r="I35" s="493"/>
      <c r="J35" s="413"/>
      <c r="K35" s="493"/>
      <c r="L35" s="523">
        <f>'Cap&amp;OpEx 2020'!K30</f>
        <v>250820.97</v>
      </c>
      <c r="M35" s="493"/>
      <c r="N35" s="413"/>
      <c r="O35" s="493"/>
      <c r="P35" s="413"/>
      <c r="Q35" s="493"/>
      <c r="R35" s="524">
        <f>L35+F35</f>
        <v>2274975.7999999998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10737004.149999997</v>
      </c>
      <c r="G36" s="493"/>
      <c r="H36" s="494"/>
      <c r="I36" s="493"/>
      <c r="J36" s="505">
        <f>SUM(J31:J35)</f>
        <v>0</v>
      </c>
      <c r="K36" s="493"/>
      <c r="L36" s="505">
        <f>SUM(L31:L35)</f>
        <v>390210.38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11127214.529999997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2455-CBD5-4268-8ACE-7E1012FBCE53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'202009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2020'!L10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'202009 Bk Depr'!R14</f>
        <v>26844370.25</v>
      </c>
      <c r="H14" s="1">
        <f>2.05%/12</f>
        <v>1.7083333333333332E-3</v>
      </c>
      <c r="J14" s="365">
        <f>F14*H14</f>
        <v>45859.132510416661</v>
      </c>
      <c r="L14" s="366">
        <f>3363969.17+19903590.64+SUM('2020 Capital Budget'!F22:O22,'2020 Capital Budget'!F24:O24)+'2020 Capital Budget'!O23</f>
        <v>56403227.150000006</v>
      </c>
      <c r="N14" s="365">
        <f>H14*L14*0.5</f>
        <v>48177.756523958335</v>
      </c>
      <c r="P14" s="365">
        <f>J14+N14</f>
        <v>94036.889034374995</v>
      </c>
      <c r="R14" s="365">
        <f>L14+F14</f>
        <v>83247597.400000006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'202009 Bk Depr'!R15</f>
        <v>9986882.209999999</v>
      </c>
      <c r="H15" s="1">
        <f>3.24%/12</f>
        <v>2.7000000000000006E-3</v>
      </c>
      <c r="J15" s="365">
        <f>F15*H15</f>
        <v>26964.581967000002</v>
      </c>
      <c r="L15" s="366">
        <f>'Cap&amp;OpEx 2020'!L12</f>
        <v>230024.57</v>
      </c>
      <c r="N15" s="365">
        <f>H15*L15*0.5</f>
        <v>310.5331695000001</v>
      </c>
      <c r="P15" s="365">
        <f>J15+N15</f>
        <v>27275.115136500001</v>
      </c>
      <c r="R15" s="365">
        <f>L15+F15</f>
        <v>10216906.779999999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'202009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2020'!L13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'202009 Bk Depr'!R17</f>
        <v>44467799.020000011</v>
      </c>
      <c r="H17" s="1">
        <f t="shared" si="1"/>
        <v>2.7000000000000006E-3</v>
      </c>
      <c r="J17" s="365">
        <f>F17*H17</f>
        <v>120063.05735400005</v>
      </c>
      <c r="L17" s="367">
        <f>'Cap&amp;OpEx 2020'!L14</f>
        <v>1237626.75</v>
      </c>
      <c r="N17" s="365">
        <f>H17*L17*0.5</f>
        <v>1670.7961125000004</v>
      </c>
      <c r="P17" s="365">
        <f>J17+N17</f>
        <v>121733.85346650005</v>
      </c>
      <c r="R17" s="365">
        <f>L17+F17</f>
        <v>45705425.770000011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95976941.650000006</v>
      </c>
      <c r="J18" s="363">
        <f>SUM(J13:J17)</f>
        <v>222445.38688491672</v>
      </c>
      <c r="L18" s="363">
        <f>SUM(L13:L17)</f>
        <v>57870878.470000006</v>
      </c>
      <c r="N18" s="363">
        <f>SUM(N13:N17)</f>
        <v>50159.085805958333</v>
      </c>
      <c r="P18" s="363">
        <f>SUM(P13:P17)</f>
        <v>272604.47269087506</v>
      </c>
      <c r="R18" s="363">
        <f>SUM(R13:R17)</f>
        <v>153847820.12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'202009 Bk Depr'!R21</f>
        <v>0</v>
      </c>
      <c r="H21" s="1">
        <v>1.3500000000000003E-3</v>
      </c>
      <c r="J21" s="365">
        <f>F21*H21</f>
        <v>0</v>
      </c>
      <c r="L21" s="366">
        <f>'Cap&amp;OpEx 2020'!L17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'202009 Bk Depr'!R22</f>
        <v>0</v>
      </c>
      <c r="G22" s="493"/>
      <c r="H22" s="496">
        <v>1.7083333333333332E-3</v>
      </c>
      <c r="I22" s="493"/>
      <c r="J22" s="413">
        <f>F22*H22</f>
        <v>0</v>
      </c>
      <c r="K22" s="493"/>
      <c r="L22" s="497">
        <f>'Cap&amp;OpEx 2020'!L18</f>
        <v>-2729692.3755785851</v>
      </c>
      <c r="M22" s="493"/>
      <c r="N22" s="413">
        <f>H22*L22*0.5</f>
        <v>-2331.6122374733745</v>
      </c>
      <c r="O22" s="493"/>
      <c r="P22" s="413">
        <f>J22+N22</f>
        <v>-2331.6122374733745</v>
      </c>
      <c r="Q22" s="493"/>
      <c r="R22" s="413">
        <f>L22+F22</f>
        <v>-2729692.3755785851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'202009 Bk Depr'!R23</f>
        <v>0</v>
      </c>
      <c r="H23" s="1">
        <v>2.7000000000000006E-3</v>
      </c>
      <c r="J23" s="365">
        <f>F23*H23</f>
        <v>0</v>
      </c>
      <c r="L23" s="366">
        <f>'Cap&amp;OpEx 2020'!L19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'202009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2020'!L20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'202009 Bk Depr'!R25</f>
        <v>-862441.82258112077</v>
      </c>
      <c r="G25" s="493"/>
      <c r="H25" s="496">
        <v>2.7000000000000006E-3</v>
      </c>
      <c r="I25" s="493"/>
      <c r="J25" s="413">
        <f>F25*H25</f>
        <v>-2328.5929209690266</v>
      </c>
      <c r="K25" s="493"/>
      <c r="L25" s="500">
        <f>'Cap&amp;OpEx 2020'!L21</f>
        <v>-95826.869175680084</v>
      </c>
      <c r="M25" s="493"/>
      <c r="N25" s="413">
        <f>H25*L25*0.5</f>
        <v>-129.36627338716815</v>
      </c>
      <c r="O25" s="493"/>
      <c r="P25" s="413">
        <f>J25+N25</f>
        <v>-2457.959194356195</v>
      </c>
      <c r="Q25" s="493"/>
      <c r="R25" s="413">
        <f>L25+F25</f>
        <v>-958268.69175680086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-862441.82258112077</v>
      </c>
      <c r="J26" s="363">
        <f>SUM(J21:J25)</f>
        <v>-2328.5929209690266</v>
      </c>
      <c r="L26" s="363">
        <f>SUM(L21:L25)</f>
        <v>-2825519.2447542651</v>
      </c>
      <c r="N26" s="363">
        <f>SUM(N21:N25)</f>
        <v>-2460.9785108605429</v>
      </c>
      <c r="P26" s="363">
        <f>SUM(P21:P25)</f>
        <v>-4789.5714318295695</v>
      </c>
      <c r="R26" s="363">
        <f>SUM(R21:R25)</f>
        <v>-3687961.0673353858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95114499.827418879</v>
      </c>
      <c r="G28" s="518"/>
      <c r="I28" s="518"/>
      <c r="J28" s="520">
        <f>J18+J26</f>
        <v>220116.79396394768</v>
      </c>
      <c r="K28" s="518"/>
      <c r="L28" s="520">
        <f>L18+L26</f>
        <v>55045359.225245744</v>
      </c>
      <c r="M28" s="518"/>
      <c r="N28" s="520">
        <f>N18+N26</f>
        <v>47698.10729509779</v>
      </c>
      <c r="O28" s="518"/>
      <c r="P28" s="520">
        <f>P18+P26</f>
        <v>267814.90125904547</v>
      </c>
      <c r="Q28" s="518"/>
      <c r="R28" s="520">
        <f>R18+R26</f>
        <v>150159859.05266461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'202009 Bk Depr'!R31</f>
        <v>1927915.84</v>
      </c>
      <c r="J31" s="365"/>
      <c r="L31" s="366">
        <f>'Cap&amp;OpEx 2020'!L26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'202009 Bk Depr'!R32</f>
        <v>479232</v>
      </c>
      <c r="G32" s="493"/>
      <c r="H32" s="494"/>
      <c r="I32" s="493"/>
      <c r="J32" s="413"/>
      <c r="K32" s="493"/>
      <c r="L32" s="497">
        <f>'Cap&amp;OpEx 2020'!L27</f>
        <v>122464</v>
      </c>
      <c r="M32" s="493"/>
      <c r="N32" s="413"/>
      <c r="O32" s="493"/>
      <c r="P32" s="413"/>
      <c r="Q32" s="493"/>
      <c r="R32" s="413">
        <f>L32+F32</f>
        <v>601696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'202009 Bk Depr'!R33</f>
        <v>6284102.2799999984</v>
      </c>
      <c r="J33" s="365"/>
      <c r="L33" s="522">
        <f>'Cap&amp;OpEx 2020'!L28</f>
        <v>35976.629999999997</v>
      </c>
      <c r="N33" s="365"/>
      <c r="P33" s="365"/>
      <c r="R33" s="524">
        <f>L33+F33</f>
        <v>6320078.9099999983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'202009 Bk Depr'!R34</f>
        <v>160988.60999999999</v>
      </c>
      <c r="G34" s="501"/>
      <c r="I34" s="501"/>
      <c r="J34" s="361"/>
      <c r="K34" s="501"/>
      <c r="L34" s="522">
        <f>'Cap&amp;OpEx 2020'!L29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'202009 Bk Depr'!R35</f>
        <v>2274975.7999999998</v>
      </c>
      <c r="G35" s="493"/>
      <c r="H35" s="494"/>
      <c r="I35" s="493"/>
      <c r="J35" s="413"/>
      <c r="K35" s="493"/>
      <c r="L35" s="523">
        <f>'Cap&amp;OpEx 2020'!L30</f>
        <v>253620.97</v>
      </c>
      <c r="M35" s="493"/>
      <c r="N35" s="413"/>
      <c r="O35" s="493"/>
      <c r="P35" s="413"/>
      <c r="Q35" s="493"/>
      <c r="R35" s="524">
        <f>L35+F35</f>
        <v>2528596.77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11127214.529999997</v>
      </c>
      <c r="G36" s="493"/>
      <c r="H36" s="494"/>
      <c r="I36" s="493"/>
      <c r="J36" s="505">
        <f>SUM(J31:J35)</f>
        <v>0</v>
      </c>
      <c r="K36" s="493"/>
      <c r="L36" s="505">
        <f>SUM(L31:L35)</f>
        <v>412061.6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11539276.129999997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3431-F00B-4099-B4E5-53EF1AF4BAFE}">
  <sheetPr>
    <pageSetUpPr fitToPage="1"/>
  </sheetPr>
  <dimension ref="A1:R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558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'202010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2020'!M10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8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'202010 Bk Depr'!R14</f>
        <v>83247597.400000006</v>
      </c>
      <c r="H14" s="1">
        <f>2.05%/12</f>
        <v>1.7083333333333332E-3</v>
      </c>
      <c r="J14" s="365">
        <f>F14*H14</f>
        <v>142214.64555833334</v>
      </c>
      <c r="L14" s="366">
        <f>SUM('2020 Capital Budget'!P22:P24)</f>
        <v>3744074.05</v>
      </c>
      <c r="N14" s="365">
        <f>H14*L14*0.5</f>
        <v>3198.0632510416663</v>
      </c>
      <c r="P14" s="365">
        <f>J14+N14</f>
        <v>145412.70880937501</v>
      </c>
      <c r="R14" s="365">
        <f>L14+F14</f>
        <v>86991671.450000003</v>
      </c>
    </row>
    <row r="15" spans="1:18">
      <c r="A15" s="6">
        <f t="shared" si="0"/>
        <v>3</v>
      </c>
      <c r="B15" s="4"/>
      <c r="C15" s="9" t="s">
        <v>62</v>
      </c>
      <c r="D15" s="6">
        <v>380</v>
      </c>
      <c r="F15" s="361">
        <f>'202010 Bk Depr'!R15</f>
        <v>10216906.779999999</v>
      </c>
      <c r="H15" s="1">
        <f>3.24%/12</f>
        <v>2.7000000000000006E-3</v>
      </c>
      <c r="J15" s="365">
        <f>F15*H15</f>
        <v>27585.648306000003</v>
      </c>
      <c r="L15" s="366">
        <f>'Cap&amp;OpEx 2020'!M12</f>
        <v>212196.1</v>
      </c>
      <c r="N15" s="365">
        <f>H15*L15*0.5</f>
        <v>286.46473500000008</v>
      </c>
      <c r="P15" s="365">
        <f>J15+N15</f>
        <v>27872.113041000004</v>
      </c>
      <c r="R15" s="365">
        <f>L15+F15</f>
        <v>10429102.879999999</v>
      </c>
    </row>
    <row r="16" spans="1:18">
      <c r="A16" s="6">
        <f t="shared" si="0"/>
        <v>4</v>
      </c>
      <c r="B16" s="4"/>
      <c r="C16" s="9" t="s">
        <v>63</v>
      </c>
      <c r="D16" s="6">
        <v>380</v>
      </c>
      <c r="F16" s="361">
        <f>'202010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2020'!M13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'202010 Bk Depr'!R17</f>
        <v>45705425.770000011</v>
      </c>
      <c r="H17" s="1">
        <f t="shared" si="1"/>
        <v>2.7000000000000006E-3</v>
      </c>
      <c r="J17" s="365">
        <f>F17*H17</f>
        <v>123404.64957900005</v>
      </c>
      <c r="L17" s="367">
        <f>'Cap&amp;OpEx 2020'!M14</f>
        <v>1169013.5899999999</v>
      </c>
      <c r="N17" s="365">
        <f>H17*L17*0.5</f>
        <v>1578.1683465000001</v>
      </c>
      <c r="P17" s="365">
        <f>J17+N17</f>
        <v>124982.81792550004</v>
      </c>
      <c r="R17" s="365">
        <f>L17+F17</f>
        <v>46874439.360000014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153847820.12</v>
      </c>
      <c r="J18" s="363">
        <f>SUM(J13:J17)</f>
        <v>322763.55849683343</v>
      </c>
      <c r="L18" s="363">
        <f>SUM(L13:L17)</f>
        <v>5125283.74</v>
      </c>
      <c r="N18" s="363">
        <f>SUM(N13:N17)</f>
        <v>5062.6963325416664</v>
      </c>
      <c r="P18" s="363">
        <f>SUM(P13:P17)</f>
        <v>327826.25482937507</v>
      </c>
      <c r="R18" s="363">
        <f>SUM(R13:R17)</f>
        <v>158973103.86000001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'202010 Bk Depr'!R21</f>
        <v>0</v>
      </c>
      <c r="H21" s="1">
        <v>1.3500000000000003E-3</v>
      </c>
      <c r="J21" s="365">
        <f>F21*H21</f>
        <v>0</v>
      </c>
      <c r="L21" s="366">
        <f>'Cap&amp;OpEx 2020'!M17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'202010 Bk Depr'!R22</f>
        <v>-2729692.3755785851</v>
      </c>
      <c r="G22" s="493"/>
      <c r="H22" s="496">
        <v>1.7083333333333332E-3</v>
      </c>
      <c r="I22" s="493"/>
      <c r="J22" s="413">
        <f>F22*H22</f>
        <v>-4663.2244749467491</v>
      </c>
      <c r="K22" s="493"/>
      <c r="L22" s="497">
        <f>'Cap&amp;OpEx 2020'!M18</f>
        <v>0</v>
      </c>
      <c r="M22" s="493"/>
      <c r="N22" s="413">
        <f>H22*L22*0.5</f>
        <v>0</v>
      </c>
      <c r="O22" s="493"/>
      <c r="P22" s="413">
        <f>J22+N22</f>
        <v>-4663.2244749467491</v>
      </c>
      <c r="Q22" s="493"/>
      <c r="R22" s="413">
        <f>L22+F22</f>
        <v>-2729692.3755785851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'202010 Bk Depr'!R23</f>
        <v>0</v>
      </c>
      <c r="H23" s="1">
        <v>2.7000000000000006E-3</v>
      </c>
      <c r="J23" s="365">
        <f>F23*H23</f>
        <v>0</v>
      </c>
      <c r="L23" s="366">
        <f>'Cap&amp;OpEx 2020'!M19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'202010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2020'!M20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>A24+1</f>
        <v>11</v>
      </c>
      <c r="B25" s="494"/>
      <c r="C25" s="498" t="s">
        <v>163</v>
      </c>
      <c r="D25" s="493">
        <v>380</v>
      </c>
      <c r="E25" s="493"/>
      <c r="F25" s="499">
        <f>'202010 Bk Depr'!R25</f>
        <v>-958268.69175680086</v>
      </c>
      <c r="G25" s="493"/>
      <c r="H25" s="496">
        <v>2.7000000000000006E-3</v>
      </c>
      <c r="I25" s="493"/>
      <c r="J25" s="413">
        <f>F25*H25</f>
        <v>-2587.3254677433629</v>
      </c>
      <c r="K25" s="493"/>
      <c r="L25" s="500">
        <f>'Cap&amp;OpEx 2020'!M21</f>
        <v>-95826.869175680084</v>
      </c>
      <c r="M25" s="493"/>
      <c r="N25" s="413">
        <f>H25*L25*0.5</f>
        <v>-129.36627338716815</v>
      </c>
      <c r="O25" s="493"/>
      <c r="P25" s="413">
        <f>J25+N25</f>
        <v>-2716.6917411305312</v>
      </c>
      <c r="Q25" s="493"/>
      <c r="R25" s="413">
        <f>L25+F25</f>
        <v>-1054095.560932481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-3687961.0673353858</v>
      </c>
      <c r="J26" s="363">
        <f>SUM(J21:J25)</f>
        <v>-7250.5499426901115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-7379.9162160772803</v>
      </c>
      <c r="R26" s="363">
        <f>SUM(R21:R25)</f>
        <v>-3783787.9365110658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150159859.05266461</v>
      </c>
      <c r="G28" s="518"/>
      <c r="I28" s="518"/>
      <c r="J28" s="520">
        <f>J18+J26</f>
        <v>315513.00855414331</v>
      </c>
      <c r="K28" s="518"/>
      <c r="L28" s="520">
        <f>L18+L26</f>
        <v>5029456.8708243202</v>
      </c>
      <c r="M28" s="518"/>
      <c r="N28" s="520">
        <f>N18+N26</f>
        <v>4933.3300591544985</v>
      </c>
      <c r="O28" s="518"/>
      <c r="P28" s="520">
        <f>P18+P26</f>
        <v>320446.33861329779</v>
      </c>
      <c r="Q28" s="518"/>
      <c r="R28" s="520">
        <f>R18+R26</f>
        <v>155189315.92348894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'202010 Bk Depr'!R31</f>
        <v>1927915.84</v>
      </c>
      <c r="J31" s="365"/>
      <c r="L31" s="366">
        <f>'Cap&amp;OpEx 2020'!M26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'202010 Bk Depr'!R32</f>
        <v>601696</v>
      </c>
      <c r="G32" s="493"/>
      <c r="H32" s="494"/>
      <c r="I32" s="493"/>
      <c r="J32" s="413"/>
      <c r="K32" s="493"/>
      <c r="L32" s="497">
        <f>'Cap&amp;OpEx 2020'!M27</f>
        <v>125510.39999999999</v>
      </c>
      <c r="M32" s="493"/>
      <c r="N32" s="413"/>
      <c r="O32" s="493"/>
      <c r="P32" s="413"/>
      <c r="Q32" s="493"/>
      <c r="R32" s="413">
        <f>L32+F32</f>
        <v>727206.40000000002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'202010 Bk Depr'!R33</f>
        <v>6320078.9099999983</v>
      </c>
      <c r="J33" s="365"/>
      <c r="L33" s="522">
        <f>'Cap&amp;OpEx 2020'!M28</f>
        <v>33312.76</v>
      </c>
      <c r="N33" s="365"/>
      <c r="P33" s="365"/>
      <c r="R33" s="524">
        <f>L33+F33</f>
        <v>6353391.6699999981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'202010 Bk Depr'!R34</f>
        <v>160988.60999999999</v>
      </c>
      <c r="G34" s="501"/>
      <c r="I34" s="501"/>
      <c r="J34" s="361"/>
      <c r="K34" s="501"/>
      <c r="L34" s="522">
        <f>'Cap&amp;OpEx 2020'!M29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'202010 Bk Depr'!R35</f>
        <v>2528596.77</v>
      </c>
      <c r="G35" s="493"/>
      <c r="H35" s="494"/>
      <c r="I35" s="493"/>
      <c r="J35" s="413"/>
      <c r="K35" s="493"/>
      <c r="L35" s="523">
        <f>'Cap&amp;OpEx 2020'!M30</f>
        <v>251940.97</v>
      </c>
      <c r="M35" s="493"/>
      <c r="N35" s="413"/>
      <c r="O35" s="493"/>
      <c r="P35" s="413"/>
      <c r="Q35" s="493"/>
      <c r="R35" s="524">
        <f>L35+F35</f>
        <v>2780537.74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11539276.129999997</v>
      </c>
      <c r="G36" s="493"/>
      <c r="H36" s="494"/>
      <c r="I36" s="493"/>
      <c r="J36" s="505">
        <f>SUM(J31:J35)</f>
        <v>0</v>
      </c>
      <c r="K36" s="493"/>
      <c r="L36" s="505">
        <f>SUM(L31:L35)</f>
        <v>410764.13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11950040.259999998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189F-C9BF-4541-B018-ED29F20D932E}">
  <sheetPr>
    <pageSetUpPr fitToPage="1"/>
  </sheetPr>
  <dimension ref="A1:S36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4.77734375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9" width="12.109375" style="4" bestFit="1" customWidth="1"/>
    <col min="20" max="16384" width="9.21875" style="4"/>
  </cols>
  <sheetData>
    <row r="1" spans="1:19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9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9" ht="17.399999999999999">
      <c r="A3" s="197" t="s">
        <v>559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9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9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9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9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9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9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9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9">
      <c r="B12" s="10" t="s">
        <v>20</v>
      </c>
      <c r="C12" s="10"/>
    </row>
    <row r="13" spans="1:19">
      <c r="A13" s="6">
        <v>1</v>
      </c>
      <c r="B13" s="4"/>
      <c r="C13" s="4" t="s">
        <v>456</v>
      </c>
      <c r="D13" s="6">
        <v>376</v>
      </c>
      <c r="F13" s="361">
        <f>'202011 Bk Depr'!R13</f>
        <v>7460509.9299999988</v>
      </c>
      <c r="H13" s="1">
        <f>1.62%/12</f>
        <v>1.3500000000000003E-3</v>
      </c>
      <c r="J13" s="365">
        <f>F13*H13</f>
        <v>10071.688405500001</v>
      </c>
      <c r="L13" s="366">
        <f>'Cap&amp;OpEx 2020'!N10</f>
        <v>0</v>
      </c>
      <c r="N13" s="365">
        <f>H13*L13*0.5</f>
        <v>0</v>
      </c>
      <c r="P13" s="365">
        <f>J13+N13</f>
        <v>10071.688405500001</v>
      </c>
      <c r="R13" s="365">
        <f>L13+F13</f>
        <v>7460509.9299999988</v>
      </c>
    </row>
    <row r="14" spans="1:19">
      <c r="A14" s="6">
        <f t="shared" ref="A14:A18" si="0">A13+1</f>
        <v>2</v>
      </c>
      <c r="B14" s="4"/>
      <c r="C14" s="4" t="s">
        <v>594</v>
      </c>
      <c r="D14" s="6">
        <v>367</v>
      </c>
      <c r="F14" s="361">
        <f>'202011 Bk Depr'!R14</f>
        <v>86991671.450000003</v>
      </c>
      <c r="H14" s="1">
        <f>2.05%/12</f>
        <v>1.7083333333333332E-3</v>
      </c>
      <c r="J14" s="365">
        <f>F14*H14</f>
        <v>148610.77206041667</v>
      </c>
      <c r="L14" s="366">
        <f>SUM('2020 Capital Budget'!Q22:Q24)</f>
        <v>882837.58000000007</v>
      </c>
      <c r="N14" s="365">
        <f>H14*L14*0.5</f>
        <v>754.09043291666671</v>
      </c>
      <c r="P14" s="365">
        <f>J14+N14</f>
        <v>149364.86249333335</v>
      </c>
      <c r="R14" s="365">
        <f>L14+F14</f>
        <v>87874509.030000001</v>
      </c>
      <c r="S14" s="460"/>
    </row>
    <row r="15" spans="1:19">
      <c r="A15" s="6">
        <f t="shared" si="0"/>
        <v>3</v>
      </c>
      <c r="B15" s="4"/>
      <c r="C15" s="9" t="s">
        <v>62</v>
      </c>
      <c r="D15" s="6">
        <v>380</v>
      </c>
      <c r="F15" s="361">
        <f>'202011 Bk Depr'!R15</f>
        <v>10429102.879999999</v>
      </c>
      <c r="H15" s="1">
        <f>3.24%/12</f>
        <v>2.7000000000000006E-3</v>
      </c>
      <c r="J15" s="365">
        <f>F15*H15</f>
        <v>28158.577776000002</v>
      </c>
      <c r="L15" s="366">
        <f>'Cap&amp;OpEx 2020'!N12</f>
        <v>218776.65</v>
      </c>
      <c r="N15" s="365">
        <f>H15*L15*0.5</f>
        <v>295.34847750000006</v>
      </c>
      <c r="P15" s="365">
        <f>J15+N15</f>
        <v>28453.926253500002</v>
      </c>
      <c r="R15" s="365">
        <f>L15+F15</f>
        <v>10647879.529999999</v>
      </c>
    </row>
    <row r="16" spans="1:19">
      <c r="A16" s="6">
        <f t="shared" si="0"/>
        <v>4</v>
      </c>
      <c r="B16" s="4"/>
      <c r="C16" s="9" t="s">
        <v>63</v>
      </c>
      <c r="D16" s="6">
        <v>380</v>
      </c>
      <c r="F16" s="361">
        <f>'202011 Bk Depr'!R16</f>
        <v>7217380.2400000012</v>
      </c>
      <c r="H16" s="1">
        <f t="shared" ref="H16:H17" si="1">3.24%/12</f>
        <v>2.7000000000000006E-3</v>
      </c>
      <c r="J16" s="365">
        <f>F16*H16</f>
        <v>19486.926648000008</v>
      </c>
      <c r="L16" s="366">
        <f>'Cap&amp;OpEx 2020'!N13</f>
        <v>0</v>
      </c>
      <c r="N16" s="365">
        <f>H16*L16*0.5</f>
        <v>0</v>
      </c>
      <c r="P16" s="365">
        <f>J16+N16</f>
        <v>19486.926648000008</v>
      </c>
      <c r="R16" s="365">
        <f>L16+F16</f>
        <v>7217380.2400000012</v>
      </c>
    </row>
    <row r="17" spans="1:18">
      <c r="A17" s="6">
        <f t="shared" si="0"/>
        <v>5</v>
      </c>
      <c r="B17" s="4"/>
      <c r="C17" s="4" t="s">
        <v>163</v>
      </c>
      <c r="D17" s="6">
        <v>380</v>
      </c>
      <c r="F17" s="362">
        <f>'202011 Bk Depr'!R17</f>
        <v>46874439.360000014</v>
      </c>
      <c r="H17" s="1">
        <f t="shared" si="1"/>
        <v>2.7000000000000006E-3</v>
      </c>
      <c r="J17" s="365">
        <f>F17*H17</f>
        <v>126560.98627200007</v>
      </c>
      <c r="L17" s="367">
        <f>'Cap&amp;OpEx 2020'!N14</f>
        <v>1148216.8900000001</v>
      </c>
      <c r="N17" s="365">
        <f>H17*L17*0.5</f>
        <v>1550.0928015000004</v>
      </c>
      <c r="P17" s="365">
        <f>J17+N17</f>
        <v>128111.07907350006</v>
      </c>
      <c r="R17" s="365">
        <f>L17+F17</f>
        <v>48022656.250000015</v>
      </c>
    </row>
    <row r="18" spans="1:18">
      <c r="A18" s="6">
        <f t="shared" si="0"/>
        <v>6</v>
      </c>
      <c r="B18" s="4"/>
      <c r="C18" s="4" t="s">
        <v>21</v>
      </c>
      <c r="F18" s="363">
        <f>SUM(F13:F17)</f>
        <v>158973103.86000001</v>
      </c>
      <c r="J18" s="363">
        <f>SUM(J13:J17)</f>
        <v>332888.95116191672</v>
      </c>
      <c r="L18" s="363">
        <f>SUM(L13:L17)</f>
        <v>2249831.12</v>
      </c>
      <c r="N18" s="363">
        <f>SUM(N13:N17)</f>
        <v>2599.5317119166671</v>
      </c>
      <c r="P18" s="363">
        <f>SUM(P13:P17)</f>
        <v>335488.48287383345</v>
      </c>
      <c r="R18" s="363">
        <f>SUM(R13:R17)</f>
        <v>161222934.98000002</v>
      </c>
    </row>
    <row r="19" spans="1:18">
      <c r="B19" s="4"/>
    </row>
    <row r="20" spans="1:18">
      <c r="B20" s="10" t="s">
        <v>12</v>
      </c>
      <c r="C20" s="10"/>
    </row>
    <row r="21" spans="1:18">
      <c r="A21" s="6">
        <f>A18+1</f>
        <v>7</v>
      </c>
      <c r="B21" s="4"/>
      <c r="C21" s="4" t="s">
        <v>456</v>
      </c>
      <c r="D21" s="6">
        <v>376</v>
      </c>
      <c r="F21" s="361">
        <f>'202011 Bk Depr'!R21</f>
        <v>0</v>
      </c>
      <c r="H21" s="1">
        <v>1.3500000000000003E-3</v>
      </c>
      <c r="J21" s="365">
        <f>F21*H21</f>
        <v>0</v>
      </c>
      <c r="L21" s="366">
        <f>'Cap&amp;OpEx 2020'!N17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493">
        <f t="shared" ref="A22:A26" si="2">A21+1</f>
        <v>8</v>
      </c>
      <c r="B22" s="494"/>
      <c r="C22" s="494" t="s">
        <v>594</v>
      </c>
      <c r="D22" s="493">
        <v>376</v>
      </c>
      <c r="E22" s="493"/>
      <c r="F22" s="495">
        <f>'202011 Bk Depr'!R22</f>
        <v>-2729692.3755785851</v>
      </c>
      <c r="G22" s="493"/>
      <c r="H22" s="496">
        <v>1.7083333333333332E-3</v>
      </c>
      <c r="I22" s="493"/>
      <c r="J22" s="413">
        <f>F22*H22</f>
        <v>-4663.2244749467491</v>
      </c>
      <c r="K22" s="493"/>
      <c r="L22" s="497">
        <f>'Cap&amp;OpEx 2020'!N18</f>
        <v>0</v>
      </c>
      <c r="M22" s="493"/>
      <c r="N22" s="413">
        <f>H22*L22*0.5</f>
        <v>0</v>
      </c>
      <c r="O22" s="493"/>
      <c r="P22" s="413">
        <f>J22+N22</f>
        <v>-4663.2244749467491</v>
      </c>
      <c r="Q22" s="493"/>
      <c r="R22" s="413">
        <f>L22+F22</f>
        <v>-2729692.3755785851</v>
      </c>
    </row>
    <row r="23" spans="1:18">
      <c r="A23" s="6">
        <f t="shared" si="2"/>
        <v>9</v>
      </c>
      <c r="B23" s="4"/>
      <c r="C23" s="9" t="s">
        <v>62</v>
      </c>
      <c r="D23" s="6">
        <v>380</v>
      </c>
      <c r="F23" s="361">
        <f>'202011 Bk Depr'!R23</f>
        <v>0</v>
      </c>
      <c r="H23" s="1">
        <v>2.7000000000000006E-3</v>
      </c>
      <c r="J23" s="365">
        <f>F23*H23</f>
        <v>0</v>
      </c>
      <c r="L23" s="366">
        <f>'Cap&amp;OpEx 2020'!N19</f>
        <v>0</v>
      </c>
      <c r="N23" s="365">
        <f>H23*L23*0.5</f>
        <v>0</v>
      </c>
      <c r="P23" s="365">
        <f>J23+N23</f>
        <v>0</v>
      </c>
      <c r="R23" s="365">
        <f>L23+F23</f>
        <v>0</v>
      </c>
    </row>
    <row r="24" spans="1:18" s="502" customFormat="1">
      <c r="A24" s="501">
        <f t="shared" si="2"/>
        <v>10</v>
      </c>
      <c r="C24" s="503" t="s">
        <v>63</v>
      </c>
      <c r="D24" s="501">
        <v>380</v>
      </c>
      <c r="E24" s="501"/>
      <c r="F24" s="361">
        <f>'202011 Bk Depr'!R24</f>
        <v>0</v>
      </c>
      <c r="G24" s="501"/>
      <c r="H24" s="504">
        <v>2.7000000000000006E-3</v>
      </c>
      <c r="I24" s="501"/>
      <c r="J24" s="361">
        <f>F24*H24</f>
        <v>0</v>
      </c>
      <c r="K24" s="501"/>
      <c r="L24" s="366">
        <f>'Cap&amp;OpEx 2020'!N20</f>
        <v>0</v>
      </c>
      <c r="M24" s="501"/>
      <c r="N24" s="361">
        <f>H24*L24*0.5</f>
        <v>0</v>
      </c>
      <c r="O24" s="501"/>
      <c r="P24" s="361">
        <f>J24+N24</f>
        <v>0</v>
      </c>
      <c r="Q24" s="501"/>
      <c r="R24" s="361">
        <f>L24+F24</f>
        <v>0</v>
      </c>
    </row>
    <row r="25" spans="1:18">
      <c r="A25" s="493">
        <f t="shared" si="2"/>
        <v>11</v>
      </c>
      <c r="B25" s="494"/>
      <c r="C25" s="498" t="s">
        <v>163</v>
      </c>
      <c r="D25" s="493">
        <v>380</v>
      </c>
      <c r="E25" s="493"/>
      <c r="F25" s="499">
        <f>'202011 Bk Depr'!R25</f>
        <v>-1054095.560932481</v>
      </c>
      <c r="G25" s="493"/>
      <c r="H25" s="496">
        <v>2.7000000000000006E-3</v>
      </c>
      <c r="I25" s="493"/>
      <c r="J25" s="413">
        <f>F25*H25</f>
        <v>-2846.0580145176991</v>
      </c>
      <c r="K25" s="493"/>
      <c r="L25" s="500">
        <f>'Cap&amp;OpEx 2020'!N21</f>
        <v>-95826.869175680084</v>
      </c>
      <c r="M25" s="493"/>
      <c r="N25" s="413">
        <f>H25*L25*0.5</f>
        <v>-129.36627338716815</v>
      </c>
      <c r="O25" s="493"/>
      <c r="P25" s="413">
        <f>J25+N25</f>
        <v>-2975.4242879048675</v>
      </c>
      <c r="Q25" s="493"/>
      <c r="R25" s="413">
        <f>L25+F25</f>
        <v>-1149922.4301081609</v>
      </c>
    </row>
    <row r="26" spans="1:18">
      <c r="A26" s="6">
        <f t="shared" si="2"/>
        <v>12</v>
      </c>
      <c r="B26" s="4"/>
      <c r="C26" s="4" t="s">
        <v>22</v>
      </c>
      <c r="F26" s="363">
        <f>SUM(F21:F25)</f>
        <v>-3783787.9365110658</v>
      </c>
      <c r="J26" s="363">
        <f>SUM(J21:J25)</f>
        <v>-7509.2824894644482</v>
      </c>
      <c r="L26" s="363">
        <f>SUM(L21:L25)</f>
        <v>-95826.869175680084</v>
      </c>
      <c r="N26" s="363">
        <f>SUM(N21:N25)</f>
        <v>-129.36627338716815</v>
      </c>
      <c r="P26" s="363">
        <f>SUM(P21:P25)</f>
        <v>-7638.648762851617</v>
      </c>
      <c r="R26" s="363">
        <f>SUM(R21:R25)</f>
        <v>-3879614.8056867458</v>
      </c>
    </row>
    <row r="27" spans="1:18">
      <c r="B27" s="4"/>
    </row>
    <row r="28" spans="1:18" s="521" customFormat="1" ht="16.2" thickBot="1">
      <c r="A28" s="518">
        <f>A26+1</f>
        <v>13</v>
      </c>
      <c r="B28" s="519" t="s">
        <v>18</v>
      </c>
      <c r="C28" s="519"/>
      <c r="D28" s="518"/>
      <c r="E28" s="518"/>
      <c r="F28" s="520">
        <f>F18+F26</f>
        <v>155189315.92348894</v>
      </c>
      <c r="G28" s="518"/>
      <c r="I28" s="518"/>
      <c r="J28" s="520">
        <f>J18+J26</f>
        <v>325379.66867245227</v>
      </c>
      <c r="K28" s="518"/>
      <c r="L28" s="520">
        <f>L18+L26</f>
        <v>2154004.2508243201</v>
      </c>
      <c r="M28" s="518"/>
      <c r="N28" s="520">
        <f>N18+N26</f>
        <v>2470.1654385294987</v>
      </c>
      <c r="O28" s="518"/>
      <c r="P28" s="520">
        <f>P18+P26</f>
        <v>327849.83411098184</v>
      </c>
      <c r="Q28" s="518"/>
      <c r="R28" s="520">
        <f>R18+R26</f>
        <v>157343320.17431328</v>
      </c>
    </row>
    <row r="29" spans="1:18" ht="16.2" thickTop="1">
      <c r="B29" s="4"/>
    </row>
    <row r="30" spans="1:18">
      <c r="B30" s="11" t="s">
        <v>19</v>
      </c>
      <c r="C30" s="11"/>
    </row>
    <row r="31" spans="1:18">
      <c r="A31" s="6">
        <f>A28+1</f>
        <v>14</v>
      </c>
      <c r="B31" s="4"/>
      <c r="C31" s="4" t="s">
        <v>456</v>
      </c>
      <c r="D31" s="6">
        <v>376</v>
      </c>
      <c r="F31" s="361">
        <f>'202011 Bk Depr'!R31</f>
        <v>1927915.84</v>
      </c>
      <c r="J31" s="365"/>
      <c r="L31" s="366">
        <f>'Cap&amp;OpEx 2020'!N26</f>
        <v>0</v>
      </c>
      <c r="N31" s="365"/>
      <c r="P31" s="365"/>
      <c r="R31" s="365">
        <f>L31+F31</f>
        <v>1927915.84</v>
      </c>
    </row>
    <row r="32" spans="1:18">
      <c r="A32" s="493">
        <f t="shared" ref="A32:A36" si="3">A31+1</f>
        <v>15</v>
      </c>
      <c r="B32" s="494"/>
      <c r="C32" s="494" t="s">
        <v>594</v>
      </c>
      <c r="D32" s="493">
        <v>376</v>
      </c>
      <c r="E32" s="493"/>
      <c r="F32" s="495">
        <f>'202011 Bk Depr'!R32</f>
        <v>727206.40000000002</v>
      </c>
      <c r="G32" s="493"/>
      <c r="H32" s="494"/>
      <c r="I32" s="493"/>
      <c r="J32" s="413"/>
      <c r="K32" s="493"/>
      <c r="L32" s="497">
        <f>'Cap&amp;OpEx 2020'!N27</f>
        <v>56000</v>
      </c>
      <c r="M32" s="493"/>
      <c r="N32" s="413"/>
      <c r="O32" s="493"/>
      <c r="P32" s="413"/>
      <c r="Q32" s="493"/>
      <c r="R32" s="413">
        <f>L32+F32</f>
        <v>783206.40000000002</v>
      </c>
    </row>
    <row r="33" spans="1:18">
      <c r="A33" s="6">
        <f t="shared" si="3"/>
        <v>16</v>
      </c>
      <c r="B33" s="4"/>
      <c r="C33" s="9" t="s">
        <v>62</v>
      </c>
      <c r="D33" s="6">
        <v>380</v>
      </c>
      <c r="F33" s="526">
        <f>'202011 Bk Depr'!R33</f>
        <v>6353391.6699999981</v>
      </c>
      <c r="J33" s="365"/>
      <c r="L33" s="522">
        <f>'Cap&amp;OpEx 2020'!N28</f>
        <v>34551.520000000004</v>
      </c>
      <c r="N33" s="365"/>
      <c r="P33" s="365"/>
      <c r="R33" s="524">
        <f>L33+F33</f>
        <v>6387943.1899999976</v>
      </c>
    </row>
    <row r="34" spans="1:18" s="502" customFormat="1">
      <c r="A34" s="501">
        <f t="shared" si="3"/>
        <v>17</v>
      </c>
      <c r="C34" s="503" t="s">
        <v>63</v>
      </c>
      <c r="D34" s="501">
        <v>380</v>
      </c>
      <c r="E34" s="501"/>
      <c r="F34" s="526">
        <f>'202011 Bk Depr'!R34</f>
        <v>160988.60999999999</v>
      </c>
      <c r="G34" s="501"/>
      <c r="I34" s="501"/>
      <c r="J34" s="361"/>
      <c r="K34" s="501"/>
      <c r="L34" s="522">
        <f>'Cap&amp;OpEx 2020'!N29</f>
        <v>0</v>
      </c>
      <c r="M34" s="501"/>
      <c r="N34" s="361"/>
      <c r="O34" s="501"/>
      <c r="P34" s="361"/>
      <c r="Q34" s="501"/>
      <c r="R34" s="526">
        <f>L34+F34</f>
        <v>160988.60999999999</v>
      </c>
    </row>
    <row r="35" spans="1:18">
      <c r="A35" s="493">
        <f t="shared" si="3"/>
        <v>18</v>
      </c>
      <c r="B35" s="494"/>
      <c r="C35" s="498" t="s">
        <v>163</v>
      </c>
      <c r="D35" s="493">
        <v>380</v>
      </c>
      <c r="E35" s="493"/>
      <c r="F35" s="527">
        <f>'202011 Bk Depr'!R35</f>
        <v>2780537.74</v>
      </c>
      <c r="G35" s="493"/>
      <c r="H35" s="494"/>
      <c r="I35" s="493"/>
      <c r="J35" s="413"/>
      <c r="K35" s="493"/>
      <c r="L35" s="523">
        <f>'Cap&amp;OpEx 2020'!N30</f>
        <v>272820.97000000003</v>
      </c>
      <c r="M35" s="493"/>
      <c r="N35" s="413"/>
      <c r="O35" s="493"/>
      <c r="P35" s="413"/>
      <c r="Q35" s="493"/>
      <c r="R35" s="524">
        <f>L35+F35</f>
        <v>3053358.7100000004</v>
      </c>
    </row>
    <row r="36" spans="1:18">
      <c r="A36" s="6">
        <f t="shared" si="3"/>
        <v>19</v>
      </c>
      <c r="B36" s="4"/>
      <c r="C36" s="4" t="s">
        <v>23</v>
      </c>
      <c r="F36" s="505">
        <f>SUM(F31:F35)</f>
        <v>11950040.259999998</v>
      </c>
      <c r="G36" s="493"/>
      <c r="H36" s="494"/>
      <c r="I36" s="493"/>
      <c r="J36" s="505">
        <f>SUM(J31:J35)</f>
        <v>0</v>
      </c>
      <c r="K36" s="493"/>
      <c r="L36" s="505">
        <f>SUM(L31:L35)</f>
        <v>363372.49000000005</v>
      </c>
      <c r="M36" s="493"/>
      <c r="N36" s="505">
        <f>SUM(N31:N35)</f>
        <v>0</v>
      </c>
      <c r="O36" s="493"/>
      <c r="P36" s="505">
        <f>SUM(P31:P35)</f>
        <v>0</v>
      </c>
      <c r="Q36" s="493"/>
      <c r="R36" s="505">
        <f>SUM(R31:R35)</f>
        <v>12313412.749999998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16FA-8028-4D3A-B971-D55D275D72DE}">
  <sheetPr>
    <pageSetUpPr fitToPage="1"/>
  </sheetPr>
  <dimension ref="A1:AB93"/>
  <sheetViews>
    <sheetView view="pageBreakPreview" zoomScale="60" zoomScaleNormal="85" workbookViewId="0"/>
  </sheetViews>
  <sheetFormatPr defaultColWidth="9.21875" defaultRowHeight="13.2"/>
  <cols>
    <col min="1" max="1" width="5.21875" style="52" customWidth="1"/>
    <col min="2" max="2" width="3.21875" style="52" customWidth="1"/>
    <col min="3" max="3" width="11.77734375" style="52" customWidth="1"/>
    <col min="4" max="4" width="11.77734375" style="52" hidden="1" customWidth="1"/>
    <col min="5" max="5" width="8.88671875" style="52" bestFit="1" customWidth="1"/>
    <col min="6" max="6" width="1.21875" style="52" customWidth="1"/>
    <col min="7" max="7" width="6.21875" style="52" bestFit="1" customWidth="1"/>
    <col min="8" max="8" width="14.21875" style="52" bestFit="1" customWidth="1"/>
    <col min="9" max="11" width="14.21875" style="52" customWidth="1"/>
    <col min="12" max="12" width="15" style="52" bestFit="1" customWidth="1"/>
    <col min="13" max="13" width="13.77734375" style="52" bestFit="1" customWidth="1"/>
    <col min="14" max="14" width="14.44140625" style="52" bestFit="1" customWidth="1"/>
    <col min="15" max="15" width="13.77734375" style="52" bestFit="1" customWidth="1"/>
    <col min="16" max="16" width="11.5546875" style="52" bestFit="1" customWidth="1"/>
    <col min="17" max="17" width="10.77734375" style="52" customWidth="1"/>
    <col min="18" max="18" width="11.44140625" style="52" customWidth="1"/>
    <col min="19" max="19" width="11.21875" style="52" customWidth="1"/>
    <col min="20" max="20" width="14.77734375" style="52" customWidth="1"/>
    <col min="21" max="21" width="12" style="52" customWidth="1"/>
    <col min="22" max="22" width="9.21875" style="52"/>
    <col min="23" max="23" width="13.77734375" style="52" customWidth="1"/>
    <col min="24" max="26" width="9.21875" style="52"/>
    <col min="27" max="27" width="11.77734375" style="52" customWidth="1"/>
    <col min="28" max="16384" width="9.21875" style="52"/>
  </cols>
  <sheetData>
    <row r="1" spans="1:28" ht="17.399999999999999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8" ht="17.399999999999999">
      <c r="A3" s="192" t="s">
        <v>610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8">
      <c r="A4" s="53"/>
    </row>
    <row r="6" spans="1:28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155"/>
      <c r="M6" s="54"/>
      <c r="N6" s="54"/>
      <c r="O6" s="54"/>
      <c r="P6" s="54"/>
      <c r="Q6" s="54"/>
      <c r="R6" s="54"/>
      <c r="S6" s="54"/>
      <c r="T6" s="54"/>
    </row>
    <row r="7" spans="1:28" ht="26.4">
      <c r="A7" s="54"/>
      <c r="B7" s="54"/>
      <c r="C7" s="55"/>
      <c r="D7" s="54" t="s">
        <v>25</v>
      </c>
      <c r="E7" s="528" t="s">
        <v>614</v>
      </c>
      <c r="F7" s="54"/>
      <c r="G7" s="54"/>
      <c r="H7" s="54"/>
      <c r="I7" s="54"/>
      <c r="J7" s="54"/>
      <c r="K7" s="54"/>
      <c r="L7" s="54"/>
      <c r="M7" s="54" t="s">
        <v>35</v>
      </c>
      <c r="N7" s="54"/>
      <c r="O7" s="54"/>
      <c r="P7" s="55" t="s">
        <v>181</v>
      </c>
      <c r="Q7" s="55" t="s">
        <v>182</v>
      </c>
      <c r="R7" s="55" t="s">
        <v>187</v>
      </c>
      <c r="S7" s="55" t="s">
        <v>189</v>
      </c>
      <c r="T7" s="54" t="s">
        <v>41</v>
      </c>
      <c r="U7" s="55" t="s">
        <v>164</v>
      </c>
      <c r="V7" s="55"/>
      <c r="W7" s="55" t="s">
        <v>236</v>
      </c>
    </row>
    <row r="8" spans="1:28">
      <c r="A8" s="54" t="s">
        <v>4</v>
      </c>
      <c r="B8" s="54"/>
      <c r="C8" s="54"/>
      <c r="D8" s="54" t="s">
        <v>26</v>
      </c>
      <c r="E8" s="529" t="s">
        <v>615</v>
      </c>
      <c r="F8" s="54"/>
      <c r="G8" s="54"/>
      <c r="H8" s="529">
        <v>2017</v>
      </c>
      <c r="I8" s="529">
        <v>2018</v>
      </c>
      <c r="J8" s="529">
        <v>2019</v>
      </c>
      <c r="K8" s="529">
        <v>2020</v>
      </c>
      <c r="L8" s="54" t="s">
        <v>34</v>
      </c>
      <c r="M8" s="54" t="s">
        <v>36</v>
      </c>
      <c r="N8" s="54" t="s">
        <v>38</v>
      </c>
      <c r="O8" s="54"/>
      <c r="P8" s="54" t="s">
        <v>34</v>
      </c>
      <c r="Q8" s="54" t="s">
        <v>34</v>
      </c>
      <c r="R8" s="54" t="s">
        <v>188</v>
      </c>
      <c r="S8" s="54" t="s">
        <v>190</v>
      </c>
      <c r="T8" s="54" t="s">
        <v>40</v>
      </c>
      <c r="U8" s="54" t="s">
        <v>237</v>
      </c>
      <c r="V8" s="54" t="s">
        <v>164</v>
      </c>
      <c r="W8" s="54" t="s">
        <v>40</v>
      </c>
    </row>
    <row r="9" spans="1:28">
      <c r="A9" s="443" t="s">
        <v>5</v>
      </c>
      <c r="B9" s="443"/>
      <c r="C9" s="443"/>
      <c r="D9" s="443" t="s">
        <v>2</v>
      </c>
      <c r="E9" s="530" t="s">
        <v>616</v>
      </c>
      <c r="F9" s="443"/>
      <c r="G9" s="443" t="s">
        <v>108</v>
      </c>
      <c r="H9" s="443" t="s">
        <v>20</v>
      </c>
      <c r="I9" s="443" t="s">
        <v>20</v>
      </c>
      <c r="J9" s="443" t="s">
        <v>20</v>
      </c>
      <c r="K9" s="443" t="s">
        <v>20</v>
      </c>
      <c r="L9" s="443" t="s">
        <v>0</v>
      </c>
      <c r="M9" s="443" t="s">
        <v>37</v>
      </c>
      <c r="N9" s="443" t="s">
        <v>0</v>
      </c>
      <c r="O9" s="443" t="s">
        <v>39</v>
      </c>
      <c r="P9" s="56" t="s">
        <v>348</v>
      </c>
      <c r="Q9" s="56" t="s">
        <v>186</v>
      </c>
      <c r="R9" s="56" t="s">
        <v>348</v>
      </c>
      <c r="S9" s="56" t="s">
        <v>12</v>
      </c>
      <c r="T9" s="443" t="s">
        <v>42</v>
      </c>
      <c r="U9" s="56" t="s">
        <v>238</v>
      </c>
      <c r="V9" s="56" t="s">
        <v>239</v>
      </c>
      <c r="W9" s="443" t="s">
        <v>42</v>
      </c>
    </row>
    <row r="10" spans="1:28">
      <c r="C10" s="57"/>
      <c r="D10" s="57" t="s">
        <v>71</v>
      </c>
      <c r="E10" s="531"/>
      <c r="F10" s="58"/>
      <c r="G10" s="58"/>
      <c r="H10" s="531" t="s">
        <v>166</v>
      </c>
      <c r="I10" s="531" t="s">
        <v>167</v>
      </c>
      <c r="J10" s="531" t="s">
        <v>168</v>
      </c>
      <c r="K10" s="531" t="s">
        <v>177</v>
      </c>
    </row>
    <row r="11" spans="1:28">
      <c r="A11" s="52">
        <v>1</v>
      </c>
      <c r="C11" s="57" t="s">
        <v>70</v>
      </c>
      <c r="D11" s="59"/>
      <c r="E11" s="531"/>
      <c r="H11" s="232">
        <f>'Tax Depr 2017'!L11</f>
        <v>8664070.7300000023</v>
      </c>
      <c r="I11" s="232">
        <f>'Tax Depr 2018'!H11</f>
        <v>12433934.719999999</v>
      </c>
      <c r="J11" s="232">
        <f>'Tax Depr 2019'!I11</f>
        <v>14207969.879999999</v>
      </c>
      <c r="K11" s="27">
        <f>'2020 Capital Budget'!R29-K12-SUM('2020 Capital Budget'!R16:R19,'2020 Capital Budget'!R22:R24,'2020 Capital Budget'!R28)</f>
        <v>12220426.549999997</v>
      </c>
    </row>
    <row r="12" spans="1:28">
      <c r="A12" s="52">
        <v>2</v>
      </c>
      <c r="C12" s="57" t="s">
        <v>74</v>
      </c>
      <c r="D12" s="59"/>
      <c r="E12" s="531"/>
      <c r="H12" s="232">
        <f>'Tax Depr 2017'!L12</f>
        <v>4210527.95</v>
      </c>
      <c r="I12" s="232">
        <f>'Tax Depr 2018'!H12</f>
        <v>5000082.9600000009</v>
      </c>
      <c r="J12" s="232">
        <f>'Tax Depr 2019'!I12</f>
        <v>6478540.9299999997</v>
      </c>
      <c r="K12" s="232">
        <f>SUM('2020 Capital Budget'!R9:R11,'2020 Capital Budget'!R20:R21)</f>
        <v>5325491.040000001</v>
      </c>
    </row>
    <row r="13" spans="1:28">
      <c r="A13" s="52">
        <v>3</v>
      </c>
      <c r="C13" s="57" t="s">
        <v>185</v>
      </c>
      <c r="D13" s="59"/>
      <c r="E13" s="531"/>
      <c r="H13" s="232">
        <f>'Tax Depr 2017'!L13</f>
        <v>4807381.1899999995</v>
      </c>
      <c r="I13" s="232">
        <f>'Tax Depr 2018'!H13</f>
        <v>0</v>
      </c>
      <c r="J13" s="232">
        <f>'Tax Depr 2019'!I13</f>
        <v>0</v>
      </c>
      <c r="K13" s="232">
        <v>0</v>
      </c>
    </row>
    <row r="14" spans="1:28">
      <c r="C14" s="59"/>
      <c r="E14" s="532"/>
      <c r="Y14" s="50"/>
      <c r="Z14" s="50"/>
      <c r="AA14" s="50"/>
      <c r="AB14" s="50"/>
    </row>
    <row r="15" spans="1:28">
      <c r="C15" s="529" t="s">
        <v>620</v>
      </c>
      <c r="E15" s="533"/>
      <c r="H15" s="196"/>
      <c r="I15" s="196"/>
      <c r="J15" s="196"/>
      <c r="K15" s="196"/>
      <c r="L15" s="196"/>
      <c r="M15" s="196"/>
      <c r="N15" s="245"/>
      <c r="Y15" s="50"/>
      <c r="Z15" s="50"/>
      <c r="AA15" s="50"/>
      <c r="AB15" s="50"/>
    </row>
    <row r="16" spans="1:28">
      <c r="C16" s="529" t="s">
        <v>621</v>
      </c>
      <c r="E16" s="533"/>
      <c r="H16" s="531" t="s">
        <v>166</v>
      </c>
      <c r="I16" s="531" t="s">
        <v>167</v>
      </c>
      <c r="J16" s="531" t="s">
        <v>168</v>
      </c>
      <c r="K16" s="531" t="s">
        <v>177</v>
      </c>
      <c r="S16" s="27">
        <v>0</v>
      </c>
      <c r="T16" s="27">
        <f>S16+'Tax Depr 2019'!R28</f>
        <v>8790723.2920829672</v>
      </c>
      <c r="W16" s="232">
        <f>T16</f>
        <v>8790723.2920829672</v>
      </c>
      <c r="Y16" s="50"/>
      <c r="Z16" s="50"/>
      <c r="AA16" s="50"/>
      <c r="AB16" s="50"/>
    </row>
    <row r="17" spans="1:28">
      <c r="A17" s="52">
        <f>A13+1</f>
        <v>4</v>
      </c>
      <c r="C17" s="61">
        <v>3.7499999999999999E-2</v>
      </c>
      <c r="D17" s="61">
        <v>0.05</v>
      </c>
      <c r="E17" s="534">
        <v>1</v>
      </c>
      <c r="G17" s="52">
        <v>1</v>
      </c>
      <c r="H17" s="232">
        <f>$H$11*$C$20/12</f>
        <v>44598.304082675015</v>
      </c>
      <c r="I17" s="232">
        <f>$I$11*$C$19/12</f>
        <v>69184.48510453332</v>
      </c>
      <c r="J17" s="232">
        <f>$J$11*$C$18/12</f>
        <v>85472.778803099995</v>
      </c>
      <c r="K17" s="27">
        <f>(('202001 Bk Depr'!$L$18-'202001 Bk Depr'!$L$14-SUM('2020 Capital Budget'!$F$9:$F$11,'2020 Capital Budget'!$F$20:$F$21)-(1/12*$K$13))*$C$17)+SUM('2020 Capital Budget'!$F$9:$F$11,'2020 Capital Budget'!$F$20:$F$21)+(1/12*$K$13)</f>
        <v>597989.21875</v>
      </c>
      <c r="L17" s="232">
        <f>SUM(H17:K17)</f>
        <v>797244.78674030839</v>
      </c>
      <c r="M17" s="232">
        <f>'202001 Bk Depr'!$L$36+'Cap&amp;OpEx 2020'!C26</f>
        <v>370170.22</v>
      </c>
      <c r="N17" s="232">
        <f>SUM('202001 Bk Depr'!P13,'202001 Bk Depr'!P15:P17)</f>
        <v>142810.64866800004</v>
      </c>
      <c r="O17" s="232">
        <f t="shared" ref="O17:O28" si="0">L17+M17-N17</f>
        <v>1024604.3580723084</v>
      </c>
      <c r="P17" s="232">
        <f t="shared" ref="P17:P22" si="1">O17*0.21</f>
        <v>215166.91519518476</v>
      </c>
      <c r="Q17" s="232">
        <f t="shared" ref="Q17:Q28" si="2">P61</f>
        <v>52467.517637391669</v>
      </c>
      <c r="R17" s="232">
        <f t="shared" ref="R17:R22" si="3">-Q17*0.21</f>
        <v>-11018.178703852251</v>
      </c>
      <c r="S17" s="27"/>
      <c r="T17" s="232">
        <f t="shared" ref="T17:T28" si="4">T16+P17+Q17+R17+S17</f>
        <v>9047339.5462116916</v>
      </c>
      <c r="U17" s="232">
        <f>T17-T16</f>
        <v>256616.25412872434</v>
      </c>
      <c r="V17" s="248" t="s">
        <v>573</v>
      </c>
      <c r="W17" s="232">
        <f>W16+U17*336/366</f>
        <v>9026305.4270208124</v>
      </c>
      <c r="Z17" s="50"/>
      <c r="AA17" s="51"/>
      <c r="AB17" s="50"/>
    </row>
    <row r="18" spans="1:28">
      <c r="A18" s="52">
        <f>A17+1</f>
        <v>5</v>
      </c>
      <c r="C18" s="61">
        <v>7.2190000000000004E-2</v>
      </c>
      <c r="D18" s="61">
        <v>9.5000000000000001E-2</v>
      </c>
      <c r="E18" s="534">
        <v>2</v>
      </c>
      <c r="G18" s="52">
        <v>2</v>
      </c>
      <c r="H18" s="232">
        <f t="shared" ref="H18:H28" si="5">$H$11*$C$20/12</f>
        <v>44598.304082675015</v>
      </c>
      <c r="I18" s="232">
        <f t="shared" ref="I18:I28" si="6">$I$11*$C$19/12</f>
        <v>69184.48510453332</v>
      </c>
      <c r="J18" s="232">
        <f t="shared" ref="J18:J28" si="7">$J$11*$C$18/12</f>
        <v>85472.778803099995</v>
      </c>
      <c r="K18" s="27">
        <f>(('202002 Bk Depr'!$L$18-'202002 Bk Depr'!$L$14-SUM('2020 Capital Budget'!$G$9:$G$11,'2020 Capital Budget'!$G$20:$G$21)-(1/12*$K$13))*$C$17)+SUM('2020 Capital Budget'!$G$9:$G$11,'2020 Capital Budget'!$G$20:$G$21)+(1/12*$K$13)</f>
        <v>457825.05312499998</v>
      </c>
      <c r="L18" s="232">
        <f t="shared" ref="L18:L28" si="8">SUM(H18:K18)</f>
        <v>657080.62111530825</v>
      </c>
      <c r="M18" s="232">
        <f>'202002 Bk Depr'!$L$36+'Cap&amp;OpEx 2020'!D26</f>
        <v>198749.43</v>
      </c>
      <c r="N18" s="232">
        <f>SUM('202002 Bk Depr'!P13,'202002 Bk Depr'!P15:P17)</f>
        <v>146818.34975250004</v>
      </c>
      <c r="O18" s="232">
        <f t="shared" si="0"/>
        <v>709011.70136280812</v>
      </c>
      <c r="P18" s="232">
        <f t="shared" si="1"/>
        <v>148892.45728618969</v>
      </c>
      <c r="Q18" s="232">
        <f t="shared" si="2"/>
        <v>36687.884801916654</v>
      </c>
      <c r="R18" s="232">
        <f t="shared" si="3"/>
        <v>-7704.4558084024975</v>
      </c>
      <c r="S18" s="27"/>
      <c r="T18" s="232">
        <f t="shared" si="4"/>
        <v>9225215.4324913956</v>
      </c>
      <c r="U18" s="232">
        <f t="shared" ref="U18:U28" si="9">T18-T17</f>
        <v>177875.88627970405</v>
      </c>
      <c r="V18" s="248" t="s">
        <v>563</v>
      </c>
      <c r="W18" s="232">
        <f>W17+U18*307/366</f>
        <v>9175507.3316324763</v>
      </c>
      <c r="Z18" s="50"/>
      <c r="AA18" s="51"/>
      <c r="AB18" s="50"/>
    </row>
    <row r="19" spans="1:28">
      <c r="A19" s="52">
        <f t="shared" ref="A19:A44" si="10">A18+1</f>
        <v>6</v>
      </c>
      <c r="C19" s="61">
        <v>6.6769999999999996E-2</v>
      </c>
      <c r="D19" s="61">
        <v>8.5500000000000007E-2</v>
      </c>
      <c r="E19" s="534">
        <v>3</v>
      </c>
      <c r="G19" s="52">
        <v>3</v>
      </c>
      <c r="H19" s="232">
        <f t="shared" si="5"/>
        <v>44598.304082675015</v>
      </c>
      <c r="I19" s="232">
        <f t="shared" si="6"/>
        <v>69184.48510453332</v>
      </c>
      <c r="J19" s="232">
        <f t="shared" si="7"/>
        <v>85472.778803099995</v>
      </c>
      <c r="K19" s="27">
        <f>(('202003 Bk Depr'!$L$18-'202003 Bk Depr'!$L$14-SUM('2020 Capital Budget'!$H$9:$H$11,'2020 Capital Budget'!$H$20:$H$21)-(1/12*$K$13))*$C$17)+SUM('2020 Capital Budget'!$H$9:$H$11,'2020 Capital Budget'!$H$20:$H$21)+(1/12*$K$13)</f>
        <v>487841.41150000005</v>
      </c>
      <c r="L19" s="232">
        <f t="shared" si="8"/>
        <v>687096.97949030832</v>
      </c>
      <c r="M19" s="232">
        <f>'202003 Bk Depr'!$L$36+'Cap&amp;OpEx 2020'!E26</f>
        <v>339129.05</v>
      </c>
      <c r="N19" s="232">
        <f>SUM('202003 Bk Depr'!P13,'202003 Bk Depr'!P15:P17)</f>
        <v>150528.10144950007</v>
      </c>
      <c r="O19" s="232">
        <f t="shared" si="0"/>
        <v>875697.9280408083</v>
      </c>
      <c r="P19" s="232">
        <f t="shared" si="1"/>
        <v>183896.56488856973</v>
      </c>
      <c r="Q19" s="232">
        <f t="shared" si="2"/>
        <v>45022.196135816666</v>
      </c>
      <c r="R19" s="232">
        <f t="shared" si="3"/>
        <v>-9454.6611885214988</v>
      </c>
      <c r="S19" s="27"/>
      <c r="T19" s="232">
        <f t="shared" si="4"/>
        <v>9444679.5323272608</v>
      </c>
      <c r="U19" s="232">
        <f t="shared" si="9"/>
        <v>219464.0998358652</v>
      </c>
      <c r="V19" s="248" t="s">
        <v>564</v>
      </c>
      <c r="W19" s="232">
        <f>W18+U19*276/366</f>
        <v>9341004.849541489</v>
      </c>
      <c r="Z19" s="50"/>
      <c r="AA19" s="51"/>
      <c r="AB19" s="50"/>
    </row>
    <row r="20" spans="1:28">
      <c r="A20" s="52">
        <f t="shared" si="10"/>
        <v>7</v>
      </c>
      <c r="C20" s="61">
        <v>6.1769999999999999E-2</v>
      </c>
      <c r="D20" s="61">
        <v>7.6999999999999999E-2</v>
      </c>
      <c r="E20" s="534">
        <v>4</v>
      </c>
      <c r="G20" s="52">
        <v>4</v>
      </c>
      <c r="H20" s="232">
        <f t="shared" si="5"/>
        <v>44598.304082675015</v>
      </c>
      <c r="I20" s="232">
        <f t="shared" si="6"/>
        <v>69184.48510453332</v>
      </c>
      <c r="J20" s="232">
        <f t="shared" si="7"/>
        <v>85472.778803099995</v>
      </c>
      <c r="K20" s="27">
        <f>(('202004 Bk Depr'!$L$18-'202004 Bk Depr'!$L$14-SUM('2020 Capital Budget'!$I$9:$I$11,'2020 Capital Budget'!$I$20:$I$21)-(1/12*$K$13))*$C$17)+SUM('2020 Capital Budget'!$I$9:$I$11,'2020 Capital Budget'!$I$20:$I$21)+(1/12*$K$13)</f>
        <v>484085.08012499998</v>
      </c>
      <c r="L20" s="232">
        <f t="shared" si="8"/>
        <v>683340.64811530826</v>
      </c>
      <c r="M20" s="232">
        <f>'202004 Bk Depr'!$L$36+'Cap&amp;OpEx 2020'!F26</f>
        <v>339733.32</v>
      </c>
      <c r="N20" s="232">
        <f>SUM('202004 Bk Depr'!P13,'202004 Bk Depr'!P15:P17)</f>
        <v>154447.83410400007</v>
      </c>
      <c r="O20" s="232">
        <f t="shared" si="0"/>
        <v>868626.1340113082</v>
      </c>
      <c r="P20" s="232">
        <f t="shared" si="1"/>
        <v>182411.48814237473</v>
      </c>
      <c r="Q20" s="232">
        <f t="shared" si="2"/>
        <v>44668.606434341666</v>
      </c>
      <c r="R20" s="232">
        <f t="shared" si="3"/>
        <v>-9380.4073512117502</v>
      </c>
      <c r="S20" s="27"/>
      <c r="T20" s="232">
        <f t="shared" si="4"/>
        <v>9662379.2195527647</v>
      </c>
      <c r="U20" s="232">
        <f t="shared" si="9"/>
        <v>217699.68722550385</v>
      </c>
      <c r="V20" s="248" t="s">
        <v>565</v>
      </c>
      <c r="W20" s="232">
        <f>W19+U20*246/366</f>
        <v>9487327.5901356805</v>
      </c>
      <c r="Z20" s="153"/>
      <c r="AA20" s="51"/>
      <c r="AB20" s="50"/>
    </row>
    <row r="21" spans="1:28">
      <c r="A21" s="52">
        <f t="shared" si="10"/>
        <v>8</v>
      </c>
      <c r="C21" s="61">
        <v>5.713E-2</v>
      </c>
      <c r="D21" s="61">
        <v>6.93E-2</v>
      </c>
      <c r="E21" s="534">
        <v>5</v>
      </c>
      <c r="G21" s="52">
        <v>5</v>
      </c>
      <c r="H21" s="232">
        <f t="shared" si="5"/>
        <v>44598.304082675015</v>
      </c>
      <c r="I21" s="232">
        <f t="shared" si="6"/>
        <v>69184.48510453332</v>
      </c>
      <c r="J21" s="232">
        <f t="shared" si="7"/>
        <v>85472.778803099995</v>
      </c>
      <c r="K21" s="27">
        <f>(('202005 Bk Depr'!$L$18-'202005 Bk Depr'!$L$14-SUM('2020 Capital Budget'!$J$9:$J$11,'2020 Capital Budget'!$J$20:$J$21)-(1/12*$K$13))*$C$17)+SUM('2020 Capital Budget'!$J$9:$J$11,'2020 Capital Budget'!$J$20:$J$21)+(1/12*$K$13)</f>
        <v>432482.52875000006</v>
      </c>
      <c r="L21" s="232">
        <f t="shared" si="8"/>
        <v>631738.09674030845</v>
      </c>
      <c r="M21" s="232">
        <f>'202005 Bk Depr'!$L$36+'Cap&amp;OpEx 2020'!G26</f>
        <v>336087.33999999997</v>
      </c>
      <c r="N21" s="232">
        <f>SUM('202005 Bk Depr'!P13,'202005 Bk Depr'!P15:P17)</f>
        <v>158363.47416600006</v>
      </c>
      <c r="O21" s="232">
        <f t="shared" si="0"/>
        <v>809461.96257430839</v>
      </c>
      <c r="P21" s="232">
        <f t="shared" si="1"/>
        <v>169987.01214060475</v>
      </c>
      <c r="Q21" s="232">
        <f t="shared" si="2"/>
        <v>41710.397862491671</v>
      </c>
      <c r="R21" s="232">
        <f t="shared" si="3"/>
        <v>-8759.1835511232512</v>
      </c>
      <c r="S21" s="27"/>
      <c r="T21" s="232">
        <f t="shared" si="4"/>
        <v>9865317.446004739</v>
      </c>
      <c r="U21" s="232">
        <f t="shared" si="9"/>
        <v>202938.22645197436</v>
      </c>
      <c r="V21" s="248" t="s">
        <v>566</v>
      </c>
      <c r="W21" s="232">
        <f>W20+U21*215/366</f>
        <v>9606539.9362755008</v>
      </c>
      <c r="Z21" s="50"/>
      <c r="AA21" s="51"/>
      <c r="AB21" s="50"/>
    </row>
    <row r="22" spans="1:28">
      <c r="A22" s="52">
        <f t="shared" si="10"/>
        <v>9</v>
      </c>
      <c r="C22" s="61">
        <v>5.2850000000000001E-2</v>
      </c>
      <c r="D22" s="61">
        <v>6.2300000000000001E-2</v>
      </c>
      <c r="E22" s="534">
        <v>6</v>
      </c>
      <c r="G22" s="52">
        <v>6</v>
      </c>
      <c r="H22" s="232">
        <f t="shared" si="5"/>
        <v>44598.304082675015</v>
      </c>
      <c r="I22" s="232">
        <f t="shared" si="6"/>
        <v>69184.48510453332</v>
      </c>
      <c r="J22" s="232">
        <f t="shared" si="7"/>
        <v>85472.778803099995</v>
      </c>
      <c r="K22" s="27">
        <f>(('202006 Bk Depr'!$L$18-'202006 Bk Depr'!$L$14-SUM('2020 Capital Budget'!$K$9:$K$11,'2020 Capital Budget'!$K$20:$K$21)-(1/12*$K$13))*$C$17)+SUM('2020 Capital Budget'!$K$9:$K$11,'2020 Capital Budget'!$K$20:$K$21)+(1/12*$K$13)</f>
        <v>468102.38349999994</v>
      </c>
      <c r="L22" s="232">
        <f t="shared" si="8"/>
        <v>667357.95149030827</v>
      </c>
      <c r="M22" s="232">
        <f>'202006 Bk Depr'!$L$36+'Cap&amp;OpEx 2020'!H26</f>
        <v>344014.56</v>
      </c>
      <c r="N22" s="232">
        <f>SUM('202006 Bk Depr'!P13,'202006 Bk Depr'!P15:P17)</f>
        <v>162254.27887200005</v>
      </c>
      <c r="O22" s="232">
        <f t="shared" si="0"/>
        <v>849118.23261830816</v>
      </c>
      <c r="P22" s="232">
        <f t="shared" si="1"/>
        <v>178314.82884984469</v>
      </c>
      <c r="Q22" s="232">
        <f t="shared" si="2"/>
        <v>43693.211364691662</v>
      </c>
      <c r="R22" s="232">
        <f t="shared" si="3"/>
        <v>-9175.5743865852492</v>
      </c>
      <c r="S22" s="27"/>
      <c r="T22" s="232">
        <f t="shared" si="4"/>
        <v>10078149.91183269</v>
      </c>
      <c r="U22" s="232">
        <f t="shared" si="9"/>
        <v>212832.46582795121</v>
      </c>
      <c r="V22" s="248" t="s">
        <v>567</v>
      </c>
      <c r="W22" s="232">
        <f>W21+U22*185/366</f>
        <v>9714119.1881284267</v>
      </c>
      <c r="Z22" s="50"/>
      <c r="AA22" s="50"/>
      <c r="AB22" s="50"/>
    </row>
    <row r="23" spans="1:28">
      <c r="A23" s="52">
        <f t="shared" si="10"/>
        <v>10</v>
      </c>
      <c r="C23" s="61">
        <v>4.888E-2</v>
      </c>
      <c r="D23" s="61">
        <v>5.8999999999999997E-2</v>
      </c>
      <c r="E23" s="534">
        <v>7</v>
      </c>
      <c r="G23" s="52">
        <v>7</v>
      </c>
      <c r="H23" s="232">
        <f>$H$11*$C$20/12</f>
        <v>44598.304082675015</v>
      </c>
      <c r="I23" s="232">
        <f t="shared" si="6"/>
        <v>69184.48510453332</v>
      </c>
      <c r="J23" s="232">
        <f t="shared" si="7"/>
        <v>85472.778803099995</v>
      </c>
      <c r="K23" s="27">
        <f>(('202007 Bk Depr'!$L$18-'202007 Bk Depr'!$L$14-SUM('2020 Capital Budget'!$L$9:$L$11,'2020 Capital Budget'!$L$20:$L$21)-(1/12*$K$13))*$C$17)+SUM('2020 Capital Budget'!$L$9:$L$11,'2020 Capital Budget'!$L$20:$L$21)+(1/12*$K$13)</f>
        <v>472475.49812500004</v>
      </c>
      <c r="L23" s="232">
        <f t="shared" si="8"/>
        <v>671731.06611530832</v>
      </c>
      <c r="M23" s="232">
        <f>'202007 Bk Depr'!$L$36+'Cap&amp;OpEx 2020'!I26</f>
        <v>340742.40000000002</v>
      </c>
      <c r="N23" s="232">
        <f>SUM('202007 Bk Depr'!P13,'202007 Bk Depr'!P15:P17)</f>
        <v>166324.12938000006</v>
      </c>
      <c r="O23" s="232">
        <f t="shared" si="0"/>
        <v>846149.33673530829</v>
      </c>
      <c r="P23" s="232">
        <f>O23*0.21</f>
        <v>177691.36071441474</v>
      </c>
      <c r="Q23" s="232">
        <f t="shared" si="2"/>
        <v>43544.766570541666</v>
      </c>
      <c r="R23" s="232">
        <f>-Q23*0.21</f>
        <v>-9144.4009798137486</v>
      </c>
      <c r="S23" s="27"/>
      <c r="T23" s="232">
        <f t="shared" si="4"/>
        <v>10290241.638137834</v>
      </c>
      <c r="U23" s="232">
        <f t="shared" si="9"/>
        <v>212091.72630514391</v>
      </c>
      <c r="V23" s="248" t="s">
        <v>568</v>
      </c>
      <c r="W23" s="232">
        <f>W22+U23*154/366</f>
        <v>9803359.9691420663</v>
      </c>
      <c r="Z23" s="50"/>
      <c r="AA23" s="50"/>
      <c r="AB23" s="50"/>
    </row>
    <row r="24" spans="1:28">
      <c r="A24" s="52">
        <f t="shared" si="10"/>
        <v>11</v>
      </c>
      <c r="C24" s="61">
        <v>4.5220000000000003E-2</v>
      </c>
      <c r="D24" s="61">
        <v>5.8999999999999997E-2</v>
      </c>
      <c r="E24" s="534">
        <v>8</v>
      </c>
      <c r="G24" s="52">
        <v>8</v>
      </c>
      <c r="H24" s="232">
        <f t="shared" si="5"/>
        <v>44598.304082675015</v>
      </c>
      <c r="I24" s="232">
        <f t="shared" si="6"/>
        <v>69184.48510453332</v>
      </c>
      <c r="J24" s="232">
        <f t="shared" si="7"/>
        <v>85472.778803099995</v>
      </c>
      <c r="K24" s="27">
        <f>(('202008 Bk Depr'!$L$18-'202008 Bk Depr'!$L$14-SUM('2020 Capital Budget'!$M$9:$M$11,'2020 Capital Budget'!$M$20:$M$21)-(1/12*$K$13))*$C$17)+SUM('2020 Capital Budget'!$M$9:$M$11,'2020 Capital Budget'!$M$20:$M$21)+(1/12*$K$13)</f>
        <v>503230.49137499998</v>
      </c>
      <c r="L24" s="232">
        <f t="shared" si="8"/>
        <v>702486.05936530838</v>
      </c>
      <c r="M24" s="232">
        <f>'202008 Bk Depr'!$L$36+'Cap&amp;OpEx 2020'!J26</f>
        <v>378655.77</v>
      </c>
      <c r="N24" s="232">
        <f>SUM('202008 Bk Depr'!P13,'202008 Bk Depr'!P15:P17)</f>
        <v>170501.62030200008</v>
      </c>
      <c r="O24" s="232">
        <f t="shared" si="0"/>
        <v>910640.20906330831</v>
      </c>
      <c r="P24" s="232">
        <f t="shared" ref="P24:P28" si="11">O24*0.21</f>
        <v>191234.44390329474</v>
      </c>
      <c r="Q24" s="232">
        <f t="shared" si="2"/>
        <v>46769.310186941671</v>
      </c>
      <c r="R24" s="232">
        <f t="shared" ref="R24:R28" si="12">-Q24*0.21</f>
        <v>-9821.5551392577509</v>
      </c>
      <c r="S24" s="27"/>
      <c r="T24" s="232">
        <f t="shared" si="4"/>
        <v>10518423.837088812</v>
      </c>
      <c r="U24" s="232">
        <f t="shared" si="9"/>
        <v>228182.198950978</v>
      </c>
      <c r="V24" s="248" t="s">
        <v>569</v>
      </c>
      <c r="W24" s="232">
        <f>W23+U24*123/366</f>
        <v>9880044.1507567391</v>
      </c>
      <c r="Z24" s="50"/>
      <c r="AA24" s="50"/>
      <c r="AB24" s="50"/>
    </row>
    <row r="25" spans="1:28">
      <c r="A25" s="52">
        <f t="shared" si="10"/>
        <v>12</v>
      </c>
      <c r="C25" s="61">
        <v>4.462E-2</v>
      </c>
      <c r="D25" s="61">
        <v>5.91E-2</v>
      </c>
      <c r="E25" s="534">
        <v>9</v>
      </c>
      <c r="G25" s="52">
        <v>9</v>
      </c>
      <c r="H25" s="232">
        <f t="shared" si="5"/>
        <v>44598.304082675015</v>
      </c>
      <c r="I25" s="232">
        <f t="shared" si="6"/>
        <v>69184.48510453332</v>
      </c>
      <c r="J25" s="232">
        <f t="shared" si="7"/>
        <v>85472.778803099995</v>
      </c>
      <c r="K25" s="27">
        <f>(('202009 Bk Depr'!$L$18-'202009 Bk Depr'!$L$14-SUM('2020 Capital Budget'!$N$9:$N$11,'2020 Capital Budget'!$N$20:$N$21)-(1/12*$K$13))*$C$17)+SUM('2020 Capital Budget'!$N$9:$N$11,'2020 Capital Budget'!$N$20:$N$21)+(1/12*$K$13)</f>
        <v>452419.84324999998</v>
      </c>
      <c r="L25" s="232">
        <f t="shared" si="8"/>
        <v>651675.41124030831</v>
      </c>
      <c r="M25" s="232">
        <f>'202009 Bk Depr'!$L$36+'Cap&amp;OpEx 2020'!K26</f>
        <v>390210.38</v>
      </c>
      <c r="N25" s="232">
        <f>SUM('202009 Bk Depr'!P13,'202009 Bk Depr'!P15:P17)</f>
        <v>174586.39877250008</v>
      </c>
      <c r="O25" s="232">
        <f t="shared" si="0"/>
        <v>867299.39246780821</v>
      </c>
      <c r="P25" s="232">
        <f t="shared" si="11"/>
        <v>182132.87241823971</v>
      </c>
      <c r="Q25" s="232">
        <f t="shared" si="2"/>
        <v>44602.269357166668</v>
      </c>
      <c r="R25" s="232">
        <f t="shared" si="12"/>
        <v>-9366.4765650049994</v>
      </c>
      <c r="S25" s="27"/>
      <c r="T25" s="232">
        <f t="shared" si="4"/>
        <v>10735792.502299214</v>
      </c>
      <c r="U25" s="232">
        <f t="shared" si="9"/>
        <v>217368.66521040164</v>
      </c>
      <c r="V25" s="248" t="s">
        <v>570</v>
      </c>
      <c r="W25" s="232">
        <f>W24+U25*93/366</f>
        <v>9935277.1722446289</v>
      </c>
    </row>
    <row r="26" spans="1:28">
      <c r="A26" s="52">
        <f t="shared" si="10"/>
        <v>13</v>
      </c>
      <c r="C26" s="61">
        <v>4.4609999999999997E-2</v>
      </c>
      <c r="D26" s="61">
        <v>5.8999999999999997E-2</v>
      </c>
      <c r="E26" s="534">
        <v>10</v>
      </c>
      <c r="G26" s="52">
        <v>10</v>
      </c>
      <c r="H26" s="232">
        <f t="shared" si="5"/>
        <v>44598.304082675015</v>
      </c>
      <c r="I26" s="232">
        <f t="shared" si="6"/>
        <v>69184.48510453332</v>
      </c>
      <c r="J26" s="232">
        <f t="shared" si="7"/>
        <v>85472.778803099995</v>
      </c>
      <c r="K26" s="27">
        <f>(('202010 Bk Depr'!$L$18-'202010 Bk Depr'!$L$14-SUM('2020 Capital Budget'!$O$9:$O$11,'2020 Capital Budget'!$O$20:$O$21)-(1/12*$K$13))*$C$17)+SUM('2020 Capital Budget'!$O$9:$O$11,'2020 Capital Budget'!$O$20:$O$21)+(1/12*$K$13)</f>
        <v>495349.61462500005</v>
      </c>
      <c r="L26" s="232">
        <f t="shared" si="8"/>
        <v>694605.18261530832</v>
      </c>
      <c r="M26" s="232">
        <f>'202010 Bk Depr'!$L$36+'Cap&amp;OpEx 2020'!L26</f>
        <v>412061.6</v>
      </c>
      <c r="N26" s="232">
        <f>SUM('202010 Bk Depr'!P13,'202010 Bk Depr'!P15:P17)</f>
        <v>178567.58365650006</v>
      </c>
      <c r="O26" s="232">
        <f t="shared" si="0"/>
        <v>928099.19895880809</v>
      </c>
      <c r="P26" s="232">
        <f t="shared" si="11"/>
        <v>194900.8317813497</v>
      </c>
      <c r="Q26" s="232">
        <f t="shared" si="2"/>
        <v>47642.259681716656</v>
      </c>
      <c r="R26" s="232">
        <f t="shared" si="12"/>
        <v>-10004.874533160497</v>
      </c>
      <c r="S26" s="27"/>
      <c r="T26" s="232">
        <f t="shared" si="4"/>
        <v>10968330.719229121</v>
      </c>
      <c r="U26" s="232">
        <f t="shared" si="9"/>
        <v>232538.21692990698</v>
      </c>
      <c r="V26" s="248" t="s">
        <v>571</v>
      </c>
      <c r="W26" s="232">
        <f>W25+U26*62/366</f>
        <v>9974668.8920524269</v>
      </c>
    </row>
    <row r="27" spans="1:28">
      <c r="A27" s="52">
        <f t="shared" si="10"/>
        <v>14</v>
      </c>
      <c r="C27" s="61">
        <v>4.462E-2</v>
      </c>
      <c r="D27" s="61">
        <v>5.91E-2</v>
      </c>
      <c r="E27" s="534">
        <v>11</v>
      </c>
      <c r="G27" s="52">
        <v>11</v>
      </c>
      <c r="H27" s="232">
        <f t="shared" si="5"/>
        <v>44598.304082675015</v>
      </c>
      <c r="I27" s="232">
        <f t="shared" si="6"/>
        <v>69184.48510453332</v>
      </c>
      <c r="J27" s="232">
        <f t="shared" si="7"/>
        <v>85472.778803099995</v>
      </c>
      <c r="K27" s="27">
        <f>(('202011 Bk Depr'!$L$18-'202011 Bk Depr'!$L$14-SUM('2020 Capital Budget'!$P$9:$P$11,'2020 Capital Budget'!$P$20:$P$21)-(1/12*$K$13))*$C$17)+SUM('2020 Capital Budget'!$P$9:$P$11,'2020 Capital Budget'!$P$20:$P$21)+(1/12*$K$13)</f>
        <v>471315.37775000004</v>
      </c>
      <c r="L27" s="232">
        <f t="shared" si="8"/>
        <v>670570.94574030838</v>
      </c>
      <c r="M27" s="232">
        <f>'202011 Bk Depr'!$L$36+'Cap&amp;OpEx 2020'!M26</f>
        <v>410764.13</v>
      </c>
      <c r="N27" s="232">
        <f>SUM('202011 Bk Depr'!P13,'202011 Bk Depr'!P15:P17)</f>
        <v>182413.54602000007</v>
      </c>
      <c r="O27" s="232">
        <f t="shared" si="0"/>
        <v>898921.52972030849</v>
      </c>
      <c r="P27" s="232">
        <f t="shared" si="11"/>
        <v>188773.52124126477</v>
      </c>
      <c r="Q27" s="232">
        <f t="shared" si="2"/>
        <v>46183.37621979168</v>
      </c>
      <c r="R27" s="232">
        <f t="shared" si="12"/>
        <v>-9698.5090061562532</v>
      </c>
      <c r="S27" s="27"/>
      <c r="T27" s="232">
        <f t="shared" si="4"/>
        <v>11193589.107684022</v>
      </c>
      <c r="U27" s="232">
        <f t="shared" si="9"/>
        <v>225258.38845490105</v>
      </c>
      <c r="V27" s="248" t="s">
        <v>572</v>
      </c>
      <c r="W27" s="232">
        <f>W26+U27*32/366</f>
        <v>9994363.6145402864</v>
      </c>
    </row>
    <row r="28" spans="1:28">
      <c r="A28" s="52">
        <f t="shared" si="10"/>
        <v>15</v>
      </c>
      <c r="C28" s="61">
        <v>4.4609999999999997E-2</v>
      </c>
      <c r="D28" s="61">
        <v>5.8999999999999997E-2</v>
      </c>
      <c r="E28" s="534">
        <v>12</v>
      </c>
      <c r="G28" s="52">
        <v>12</v>
      </c>
      <c r="H28" s="232">
        <f t="shared" si="5"/>
        <v>44598.304082675015</v>
      </c>
      <c r="I28" s="232">
        <f t="shared" si="6"/>
        <v>69184.48510453332</v>
      </c>
      <c r="J28" s="232">
        <f t="shared" si="7"/>
        <v>85472.778803099995</v>
      </c>
      <c r="K28" s="27">
        <f>(('202012 Bk Depr'!$L$18-'202012 Bk Depr'!$L$14-SUM('2020 Capital Budget'!$Q$9:$Q$11,'2020 Capital Budget'!$Q$20:$Q$21)-(1/12*$K$13))*$C$17)+SUM('2020 Capital Budget'!$Q$9:$Q$11,'2020 Capital Budget'!$Q$20:$Q$21)+(1/12*$K$13)</f>
        <v>460640.53474999999</v>
      </c>
      <c r="L28" s="232">
        <f t="shared" si="8"/>
        <v>659896.10274030827</v>
      </c>
      <c r="M28" s="232">
        <f>'202012 Bk Depr'!$L$36+'Cap&amp;OpEx 2020'!N26</f>
        <v>363372.49000000005</v>
      </c>
      <c r="N28" s="232">
        <f>SUM('202012 Bk Depr'!P13,'202012 Bk Depr'!P15:P17)</f>
        <v>186123.62038050007</v>
      </c>
      <c r="O28" s="232">
        <f t="shared" si="0"/>
        <v>837144.97235980816</v>
      </c>
      <c r="P28" s="232">
        <f t="shared" si="11"/>
        <v>175800.44419555971</v>
      </c>
      <c r="Q28" s="232">
        <f t="shared" si="2"/>
        <v>43094.548351766658</v>
      </c>
      <c r="R28" s="232">
        <f t="shared" si="12"/>
        <v>-9049.855153870998</v>
      </c>
      <c r="S28" s="27"/>
      <c r="T28" s="232">
        <f t="shared" si="4"/>
        <v>11403434.245077476</v>
      </c>
      <c r="U28" s="232">
        <f t="shared" si="9"/>
        <v>209845.13739345409</v>
      </c>
      <c r="V28" s="248" t="s">
        <v>562</v>
      </c>
      <c r="W28" s="232">
        <f>W27+U28*1/366</f>
        <v>9994936.9619102143</v>
      </c>
    </row>
    <row r="29" spans="1:28">
      <c r="A29" s="52">
        <f t="shared" si="10"/>
        <v>16</v>
      </c>
      <c r="C29" s="61">
        <v>4.462E-2</v>
      </c>
      <c r="D29" s="61">
        <v>5.91E-2</v>
      </c>
      <c r="E29" s="534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 t="str">
        <f t="shared" ref="S29:S43" si="13">IF(R29="","",R29*0.389)</f>
        <v/>
      </c>
      <c r="T29" s="62"/>
      <c r="W29" s="27"/>
    </row>
    <row r="30" spans="1:28">
      <c r="A30" s="52">
        <f t="shared" si="10"/>
        <v>17</v>
      </c>
      <c r="C30" s="61">
        <v>4.4609999999999997E-2</v>
      </c>
      <c r="D30" s="61">
        <v>5.8999999999999997E-2</v>
      </c>
      <c r="E30" s="534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 t="str">
        <f t="shared" si="13"/>
        <v/>
      </c>
      <c r="T30" s="27" t="str">
        <f t="shared" ref="T30:T43" si="14">IF(P30="","",T29+P30)</f>
        <v/>
      </c>
    </row>
    <row r="31" spans="1:28">
      <c r="A31" s="52">
        <f t="shared" si="10"/>
        <v>18</v>
      </c>
      <c r="C31" s="61">
        <v>4.462E-2</v>
      </c>
      <c r="D31" s="61">
        <v>5.91E-2</v>
      </c>
      <c r="E31" s="534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 t="str">
        <f t="shared" si="13"/>
        <v/>
      </c>
      <c r="T31" s="27" t="str">
        <f t="shared" si="14"/>
        <v/>
      </c>
    </row>
    <row r="32" spans="1:28">
      <c r="A32" s="52">
        <f t="shared" si="10"/>
        <v>19</v>
      </c>
      <c r="C32" s="61">
        <v>4.4609999999999997E-2</v>
      </c>
      <c r="D32" s="61">
        <v>2.9499999999999998E-2</v>
      </c>
      <c r="E32" s="534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 t="str">
        <f t="shared" si="13"/>
        <v/>
      </c>
      <c r="T32" s="27" t="str">
        <f t="shared" si="14"/>
        <v/>
      </c>
    </row>
    <row r="33" spans="1:20">
      <c r="A33" s="52">
        <f t="shared" si="10"/>
        <v>20</v>
      </c>
      <c r="C33" s="61">
        <v>4.462E-2</v>
      </c>
      <c r="D33" s="61">
        <v>0</v>
      </c>
      <c r="E33" s="534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 t="str">
        <f t="shared" si="13"/>
        <v/>
      </c>
      <c r="T33" s="27" t="str">
        <f t="shared" si="14"/>
        <v/>
      </c>
    </row>
    <row r="34" spans="1:20">
      <c r="A34" s="52">
        <f t="shared" si="10"/>
        <v>21</v>
      </c>
      <c r="C34" s="61">
        <v>4.4609999999999997E-2</v>
      </c>
      <c r="D34" s="61">
        <v>0</v>
      </c>
      <c r="E34" s="534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 t="str">
        <f t="shared" si="13"/>
        <v/>
      </c>
      <c r="T34" s="27" t="str">
        <f t="shared" si="14"/>
        <v/>
      </c>
    </row>
    <row r="35" spans="1:20">
      <c r="A35" s="52">
        <f t="shared" si="10"/>
        <v>22</v>
      </c>
      <c r="C35" s="61">
        <v>4.462E-2</v>
      </c>
      <c r="D35" s="61">
        <v>0</v>
      </c>
      <c r="E35" s="534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tr">
        <f t="shared" si="13"/>
        <v/>
      </c>
      <c r="T35" s="27" t="str">
        <f t="shared" si="14"/>
        <v/>
      </c>
    </row>
    <row r="36" spans="1:20">
      <c r="A36" s="52">
        <f t="shared" si="10"/>
        <v>23</v>
      </c>
      <c r="C36" s="61">
        <v>4.4609999999999997E-2</v>
      </c>
      <c r="D36" s="61">
        <v>0</v>
      </c>
      <c r="E36" s="534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 t="str">
        <f t="shared" si="13"/>
        <v/>
      </c>
      <c r="T36" s="27" t="str">
        <f t="shared" si="14"/>
        <v/>
      </c>
    </row>
    <row r="37" spans="1:20">
      <c r="A37" s="52">
        <f t="shared" si="10"/>
        <v>24</v>
      </c>
      <c r="C37" s="61">
        <v>2.231E-2</v>
      </c>
      <c r="D37" s="61">
        <v>0</v>
      </c>
      <c r="E37" s="534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 t="str">
        <f t="shared" si="13"/>
        <v/>
      </c>
      <c r="T37" s="27" t="str">
        <f t="shared" si="14"/>
        <v/>
      </c>
    </row>
    <row r="38" spans="1:20">
      <c r="A38" s="52">
        <f t="shared" si="10"/>
        <v>25</v>
      </c>
      <c r="C38" s="61">
        <v>0</v>
      </c>
      <c r="D38" s="61">
        <v>0</v>
      </c>
      <c r="E38" s="534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 t="str">
        <f t="shared" si="13"/>
        <v/>
      </c>
      <c r="T38" s="27" t="str">
        <f t="shared" si="14"/>
        <v/>
      </c>
    </row>
    <row r="39" spans="1:20">
      <c r="A39" s="52">
        <f t="shared" si="10"/>
        <v>26</v>
      </c>
      <c r="C39" s="61">
        <v>0</v>
      </c>
      <c r="E39" s="534">
        <v>23</v>
      </c>
      <c r="H39" s="27"/>
      <c r="I39" s="27"/>
      <c r="J39" s="27"/>
      <c r="K39" s="27"/>
      <c r="L39" s="27"/>
      <c r="O39" s="27"/>
      <c r="P39" s="27"/>
      <c r="Q39" s="27"/>
      <c r="R39" s="27"/>
      <c r="S39" s="27" t="str">
        <f t="shared" si="13"/>
        <v/>
      </c>
      <c r="T39" s="27" t="str">
        <f t="shared" si="14"/>
        <v/>
      </c>
    </row>
    <row r="40" spans="1:20">
      <c r="A40" s="52">
        <f t="shared" si="10"/>
        <v>27</v>
      </c>
      <c r="C40" s="61">
        <v>0</v>
      </c>
      <c r="E40" s="534">
        <v>24</v>
      </c>
      <c r="H40" s="27"/>
      <c r="I40" s="27"/>
      <c r="J40" s="27"/>
      <c r="K40" s="27"/>
      <c r="L40" s="27"/>
      <c r="O40" s="27"/>
      <c r="P40" s="27"/>
      <c r="Q40" s="27"/>
      <c r="R40" s="27"/>
      <c r="S40" s="27" t="str">
        <f t="shared" si="13"/>
        <v/>
      </c>
      <c r="T40" s="27" t="str">
        <f t="shared" si="14"/>
        <v/>
      </c>
    </row>
    <row r="41" spans="1:20">
      <c r="A41" s="52">
        <f t="shared" si="10"/>
        <v>28</v>
      </c>
      <c r="C41" s="61">
        <v>0</v>
      </c>
      <c r="E41" s="534">
        <v>25</v>
      </c>
      <c r="H41" s="27"/>
      <c r="I41" s="27"/>
      <c r="J41" s="27"/>
      <c r="K41" s="27"/>
      <c r="L41" s="27"/>
      <c r="O41" s="27"/>
      <c r="P41" s="27"/>
      <c r="Q41" s="27"/>
      <c r="R41" s="27"/>
      <c r="S41" s="27" t="str">
        <f t="shared" si="13"/>
        <v/>
      </c>
      <c r="T41" s="27" t="str">
        <f t="shared" si="14"/>
        <v/>
      </c>
    </row>
    <row r="42" spans="1:20">
      <c r="A42" s="52">
        <f t="shared" si="10"/>
        <v>29</v>
      </c>
      <c r="C42" s="61">
        <v>0</v>
      </c>
      <c r="E42" s="534">
        <v>26</v>
      </c>
      <c r="H42" s="27"/>
      <c r="I42" s="27"/>
      <c r="J42" s="27"/>
      <c r="K42" s="27"/>
      <c r="L42" s="27"/>
      <c r="O42" s="27"/>
      <c r="P42" s="27"/>
      <c r="Q42" s="27"/>
      <c r="R42" s="27"/>
      <c r="S42" s="27" t="str">
        <f t="shared" si="13"/>
        <v/>
      </c>
      <c r="T42" s="27" t="str">
        <f t="shared" si="14"/>
        <v/>
      </c>
    </row>
    <row r="43" spans="1:20">
      <c r="A43" s="52">
        <f t="shared" si="10"/>
        <v>30</v>
      </c>
      <c r="C43" s="61">
        <v>0</v>
      </c>
      <c r="E43" s="534">
        <v>27</v>
      </c>
      <c r="L43" s="27"/>
      <c r="O43" s="27"/>
      <c r="P43" s="27"/>
      <c r="Q43" s="27"/>
      <c r="R43" s="27"/>
      <c r="S43" s="27" t="str">
        <f t="shared" si="13"/>
        <v/>
      </c>
      <c r="T43" s="27" t="str">
        <f t="shared" si="14"/>
        <v/>
      </c>
    </row>
    <row r="44" spans="1:20">
      <c r="A44" s="52">
        <f t="shared" si="10"/>
        <v>31</v>
      </c>
      <c r="E44" s="507"/>
      <c r="H44" s="27">
        <f>SUM(H17:H43)</f>
        <v>535179.64899210015</v>
      </c>
      <c r="I44" s="27">
        <f>SUM(I17:I43)</f>
        <v>830213.82125440007</v>
      </c>
      <c r="J44" s="27">
        <f t="shared" ref="J44:S44" si="15">SUM(J17:J43)</f>
        <v>1025673.3456371999</v>
      </c>
      <c r="K44" s="27">
        <f>SUM(K17:K43)</f>
        <v>5783757.0356249996</v>
      </c>
      <c r="L44" s="27">
        <f t="shared" si="15"/>
        <v>8174823.8515087003</v>
      </c>
      <c r="M44" s="27">
        <f t="shared" si="15"/>
        <v>4223690.6899999995</v>
      </c>
      <c r="N44" s="27">
        <f t="shared" si="15"/>
        <v>1973739.5855235006</v>
      </c>
      <c r="O44" s="27">
        <f t="shared" si="15"/>
        <v>10424774.9559852</v>
      </c>
      <c r="P44" s="27">
        <f t="shared" si="15"/>
        <v>2189202.7407568921</v>
      </c>
      <c r="Q44" s="27">
        <f t="shared" si="15"/>
        <v>536086.34460457496</v>
      </c>
      <c r="R44" s="27">
        <f t="shared" si="15"/>
        <v>-112578.13236696075</v>
      </c>
      <c r="S44" s="27">
        <f t="shared" si="15"/>
        <v>0</v>
      </c>
      <c r="T44" s="27">
        <f>AVERAGE(T16:T28)</f>
        <v>10094124.340770768</v>
      </c>
    </row>
    <row r="45" spans="1:20">
      <c r="E45" s="507"/>
      <c r="H45" s="27"/>
      <c r="I45" s="27"/>
      <c r="J45" s="27"/>
      <c r="K45" s="27"/>
      <c r="L45" s="27"/>
      <c r="M45" s="27"/>
      <c r="N45" s="27"/>
      <c r="T45" s="27"/>
    </row>
    <row r="46" spans="1:20">
      <c r="B46" s="60" t="s">
        <v>166</v>
      </c>
      <c r="C46" s="52" t="s">
        <v>617</v>
      </c>
      <c r="E46" s="507"/>
      <c r="Q46" s="27"/>
      <c r="R46" s="27"/>
      <c r="S46" s="27"/>
    </row>
    <row r="47" spans="1:20">
      <c r="B47" s="60" t="s">
        <v>167</v>
      </c>
      <c r="C47" s="52" t="s">
        <v>618</v>
      </c>
      <c r="E47" s="507"/>
      <c r="Q47" s="54"/>
      <c r="R47" s="54"/>
      <c r="S47" s="54"/>
    </row>
    <row r="48" spans="1:20">
      <c r="B48" s="60" t="s">
        <v>168</v>
      </c>
      <c r="C48" s="52" t="s">
        <v>619</v>
      </c>
      <c r="D48" s="246"/>
      <c r="E48" s="507"/>
      <c r="Q48" s="48"/>
      <c r="R48" s="48"/>
      <c r="S48" s="48"/>
    </row>
    <row r="49" spans="1:20">
      <c r="B49" s="60" t="s">
        <v>177</v>
      </c>
      <c r="C49" s="52" t="s">
        <v>560</v>
      </c>
      <c r="D49" s="246"/>
      <c r="E49" s="507"/>
      <c r="Q49" s="48"/>
      <c r="R49" s="48"/>
      <c r="S49" s="48"/>
    </row>
    <row r="50" spans="1:20">
      <c r="A50" s="54"/>
      <c r="B50" s="54"/>
      <c r="C50" s="54"/>
      <c r="D50" s="54" t="s">
        <v>24</v>
      </c>
      <c r="E50" s="506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49"/>
      <c r="R50" s="49"/>
      <c r="S50" s="49"/>
      <c r="T50" s="54"/>
    </row>
    <row r="51" spans="1:20" ht="26.4">
      <c r="A51" s="54"/>
      <c r="B51" s="54"/>
      <c r="C51" s="55"/>
      <c r="D51" s="54" t="s">
        <v>25</v>
      </c>
      <c r="E51" s="528" t="s">
        <v>614</v>
      </c>
      <c r="F51" s="54"/>
      <c r="G51" s="54"/>
      <c r="H51" s="54">
        <v>2017</v>
      </c>
      <c r="I51" s="54">
        <v>2018</v>
      </c>
      <c r="J51" s="54">
        <v>2019</v>
      </c>
      <c r="K51" s="54">
        <v>2020</v>
      </c>
      <c r="L51" s="54"/>
      <c r="M51" s="54" t="s">
        <v>35</v>
      </c>
      <c r="N51" s="54"/>
      <c r="O51" s="54"/>
      <c r="P51" s="55" t="s">
        <v>182</v>
      </c>
      <c r="T51" s="49"/>
    </row>
    <row r="52" spans="1:20">
      <c r="A52" s="54" t="s">
        <v>4</v>
      </c>
      <c r="B52" s="54"/>
      <c r="C52" s="54"/>
      <c r="D52" s="54" t="s">
        <v>26</v>
      </c>
      <c r="E52" s="529" t="s">
        <v>615</v>
      </c>
      <c r="F52" s="54"/>
      <c r="G52" s="54"/>
      <c r="H52" s="54" t="s">
        <v>28</v>
      </c>
      <c r="I52" s="54" t="s">
        <v>29</v>
      </c>
      <c r="J52" s="54" t="s">
        <v>30</v>
      </c>
      <c r="K52" s="54" t="s">
        <v>31</v>
      </c>
      <c r="L52" s="54" t="s">
        <v>34</v>
      </c>
      <c r="M52" s="54" t="s">
        <v>36</v>
      </c>
      <c r="N52" s="54" t="s">
        <v>38</v>
      </c>
      <c r="O52" s="54"/>
      <c r="P52" s="54" t="s">
        <v>34</v>
      </c>
      <c r="T52" s="49"/>
    </row>
    <row r="53" spans="1:20">
      <c r="A53" s="443" t="s">
        <v>5</v>
      </c>
      <c r="B53" s="443"/>
      <c r="C53" s="443"/>
      <c r="D53" s="443" t="s">
        <v>2</v>
      </c>
      <c r="E53" s="530" t="s">
        <v>616</v>
      </c>
      <c r="F53" s="443"/>
      <c r="G53" s="443" t="s">
        <v>108</v>
      </c>
      <c r="H53" s="443" t="s">
        <v>20</v>
      </c>
      <c r="I53" s="443" t="s">
        <v>20</v>
      </c>
      <c r="J53" s="443" t="s">
        <v>20</v>
      </c>
      <c r="K53" s="443" t="s">
        <v>20</v>
      </c>
      <c r="L53" s="443" t="s">
        <v>0</v>
      </c>
      <c r="M53" s="443" t="s">
        <v>37</v>
      </c>
      <c r="N53" s="443" t="s">
        <v>0</v>
      </c>
      <c r="O53" s="443" t="s">
        <v>39</v>
      </c>
      <c r="P53" s="56" t="s">
        <v>497</v>
      </c>
      <c r="T53" s="49"/>
    </row>
    <row r="54" spans="1:20">
      <c r="C54" s="57"/>
      <c r="D54" s="57" t="s">
        <v>71</v>
      </c>
      <c r="E54" s="531"/>
      <c r="F54" s="58"/>
      <c r="G54" s="58"/>
      <c r="H54" s="531" t="s">
        <v>166</v>
      </c>
      <c r="I54" s="531" t="s">
        <v>167</v>
      </c>
      <c r="J54" s="531" t="s">
        <v>168</v>
      </c>
      <c r="K54" s="531" t="s">
        <v>177</v>
      </c>
      <c r="T54" s="50"/>
    </row>
    <row r="55" spans="1:20">
      <c r="A55" s="52">
        <v>1</v>
      </c>
      <c r="C55" s="57" t="s">
        <v>70</v>
      </c>
      <c r="D55" s="59"/>
      <c r="E55" s="531"/>
      <c r="H55" s="27">
        <f>H11+H13</f>
        <v>13471451.920000002</v>
      </c>
      <c r="I55" s="27">
        <f>I11+I13</f>
        <v>12433934.719999999</v>
      </c>
      <c r="J55" s="27">
        <f>J11</f>
        <v>14207969.879999999</v>
      </c>
      <c r="K55" s="27">
        <f>K11</f>
        <v>12220426.549999997</v>
      </c>
      <c r="L55" s="62"/>
      <c r="T55" s="50"/>
    </row>
    <row r="56" spans="1:20">
      <c r="A56" s="52">
        <v>2</v>
      </c>
      <c r="C56" s="57" t="s">
        <v>74</v>
      </c>
      <c r="D56" s="59"/>
      <c r="E56" s="531"/>
      <c r="H56" s="27"/>
      <c r="I56" s="27"/>
      <c r="J56" s="27"/>
      <c r="K56" s="27">
        <f>K12</f>
        <v>5325491.040000001</v>
      </c>
      <c r="T56" s="50"/>
    </row>
    <row r="57" spans="1:20">
      <c r="A57" s="52">
        <v>3</v>
      </c>
      <c r="C57" s="57" t="s">
        <v>185</v>
      </c>
      <c r="D57" s="59"/>
      <c r="E57" s="531"/>
      <c r="H57" s="27"/>
      <c r="I57" s="27"/>
      <c r="J57" s="27"/>
      <c r="K57" s="27"/>
      <c r="T57" s="50"/>
    </row>
    <row r="58" spans="1:20">
      <c r="C58" s="59"/>
      <c r="E58" s="532"/>
      <c r="T58" s="50"/>
    </row>
    <row r="59" spans="1:20">
      <c r="C59" s="529" t="s">
        <v>620</v>
      </c>
      <c r="E59" s="533"/>
      <c r="H59" s="196"/>
      <c r="I59" s="196"/>
      <c r="J59" s="196"/>
      <c r="K59" s="196"/>
      <c r="L59" s="196"/>
      <c r="M59" s="196"/>
      <c r="N59" s="245"/>
      <c r="T59" s="50"/>
    </row>
    <row r="60" spans="1:20">
      <c r="C60" s="529" t="s">
        <v>621</v>
      </c>
      <c r="E60" s="533"/>
      <c r="H60" s="531" t="s">
        <v>166</v>
      </c>
      <c r="I60" s="531" t="s">
        <v>167</v>
      </c>
      <c r="J60" s="531" t="s">
        <v>168</v>
      </c>
      <c r="K60" s="531" t="s">
        <v>177</v>
      </c>
      <c r="T60" s="51"/>
    </row>
    <row r="61" spans="1:20">
      <c r="A61" s="52">
        <f>A57+1</f>
        <v>4</v>
      </c>
      <c r="C61" s="61">
        <v>3.7499999999999999E-2</v>
      </c>
      <c r="D61" s="61">
        <v>0.05</v>
      </c>
      <c r="E61" s="534">
        <v>1</v>
      </c>
      <c r="G61" s="52">
        <v>1</v>
      </c>
      <c r="H61" s="27">
        <f>$H$55*$C$64/12</f>
        <v>69344.298758200006</v>
      </c>
      <c r="I61" s="27">
        <f>$I$55*$C$63/12</f>
        <v>69184.48510453332</v>
      </c>
      <c r="J61" s="27">
        <f>$J$55*$C$62/12</f>
        <v>85472.778803099995</v>
      </c>
      <c r="K61" s="27">
        <f>K17</f>
        <v>597989.21875</v>
      </c>
      <c r="L61" s="27">
        <f>SUM(H61:K61)</f>
        <v>821990.78141583339</v>
      </c>
      <c r="M61" s="232">
        <f>M17</f>
        <v>370170.22</v>
      </c>
      <c r="N61" s="232">
        <f>N17</f>
        <v>142810.64866800004</v>
      </c>
      <c r="O61" s="27">
        <f t="shared" ref="O61:O72" si="16">L61+M61-N61</f>
        <v>1049350.3527478334</v>
      </c>
      <c r="P61" s="27">
        <f>O61*0.05</f>
        <v>52467.517637391669</v>
      </c>
      <c r="T61" s="51"/>
    </row>
    <row r="62" spans="1:20">
      <c r="A62" s="52">
        <f>A61+1</f>
        <v>5</v>
      </c>
      <c r="C62" s="61">
        <v>7.2190000000000004E-2</v>
      </c>
      <c r="D62" s="61">
        <v>9.5000000000000001E-2</v>
      </c>
      <c r="E62" s="534">
        <v>2</v>
      </c>
      <c r="G62" s="52">
        <v>2</v>
      </c>
      <c r="H62" s="27">
        <f t="shared" ref="H62:H72" si="17">$H$55*$C$64/12</f>
        <v>69344.298758200006</v>
      </c>
      <c r="I62" s="27">
        <f t="shared" ref="I62:I72" si="18">$I$55*$C$63/12</f>
        <v>69184.48510453332</v>
      </c>
      <c r="J62" s="27">
        <f t="shared" ref="J62:J72" si="19">$J$55*$C$62/12</f>
        <v>85472.778803099995</v>
      </c>
      <c r="K62" s="27">
        <f t="shared" ref="K62:K72" si="20">K18</f>
        <v>457825.05312499998</v>
      </c>
      <c r="L62" s="27">
        <f t="shared" ref="L62:L72" si="21">SUM(H62:K62)</f>
        <v>681826.61579083325</v>
      </c>
      <c r="M62" s="232">
        <f t="shared" ref="M62:N71" si="22">M18</f>
        <v>198749.43</v>
      </c>
      <c r="N62" s="232">
        <f t="shared" si="22"/>
        <v>146818.34975250004</v>
      </c>
      <c r="O62" s="27">
        <f t="shared" si="16"/>
        <v>733757.69603833312</v>
      </c>
      <c r="P62" s="27">
        <f t="shared" ref="P62:P72" si="23">O62*0.05</f>
        <v>36687.884801916654</v>
      </c>
      <c r="T62" s="51"/>
    </row>
    <row r="63" spans="1:20">
      <c r="A63" s="52">
        <f t="shared" ref="A63:A88" si="24">A62+1</f>
        <v>6</v>
      </c>
      <c r="C63" s="61">
        <v>6.6769999999999996E-2</v>
      </c>
      <c r="D63" s="61">
        <v>8.5500000000000007E-2</v>
      </c>
      <c r="E63" s="534">
        <v>3</v>
      </c>
      <c r="G63" s="52">
        <v>3</v>
      </c>
      <c r="H63" s="27">
        <f>$H$55*$C$64/12</f>
        <v>69344.298758200006</v>
      </c>
      <c r="I63" s="27">
        <f t="shared" si="18"/>
        <v>69184.48510453332</v>
      </c>
      <c r="J63" s="27">
        <f t="shared" si="19"/>
        <v>85472.778803099995</v>
      </c>
      <c r="K63" s="27">
        <f t="shared" si="20"/>
        <v>487841.41150000005</v>
      </c>
      <c r="L63" s="27">
        <f t="shared" si="21"/>
        <v>711842.97416583332</v>
      </c>
      <c r="M63" s="232">
        <f t="shared" si="22"/>
        <v>339129.05</v>
      </c>
      <c r="N63" s="232">
        <f t="shared" si="22"/>
        <v>150528.10144950007</v>
      </c>
      <c r="O63" s="27">
        <f t="shared" si="16"/>
        <v>900443.9227163333</v>
      </c>
      <c r="P63" s="27">
        <f t="shared" si="23"/>
        <v>45022.196135816666</v>
      </c>
      <c r="T63" s="51"/>
    </row>
    <row r="64" spans="1:20">
      <c r="A64" s="52">
        <f t="shared" si="24"/>
        <v>7</v>
      </c>
      <c r="C64" s="61">
        <v>6.1769999999999999E-2</v>
      </c>
      <c r="D64" s="61">
        <v>7.6999999999999999E-2</v>
      </c>
      <c r="E64" s="534">
        <v>4</v>
      </c>
      <c r="G64" s="52">
        <v>4</v>
      </c>
      <c r="H64" s="27">
        <f t="shared" si="17"/>
        <v>69344.298758200006</v>
      </c>
      <c r="I64" s="27">
        <f t="shared" si="18"/>
        <v>69184.48510453332</v>
      </c>
      <c r="J64" s="27">
        <f t="shared" si="19"/>
        <v>85472.778803099995</v>
      </c>
      <c r="K64" s="27">
        <f t="shared" si="20"/>
        <v>484085.08012499998</v>
      </c>
      <c r="L64" s="27">
        <f t="shared" si="21"/>
        <v>708086.64279083326</v>
      </c>
      <c r="M64" s="232">
        <f t="shared" si="22"/>
        <v>339733.32</v>
      </c>
      <c r="N64" s="232">
        <f t="shared" si="22"/>
        <v>154447.83410400007</v>
      </c>
      <c r="O64" s="27">
        <f t="shared" si="16"/>
        <v>893372.1286868332</v>
      </c>
      <c r="P64" s="27">
        <f t="shared" si="23"/>
        <v>44668.606434341666</v>
      </c>
      <c r="T64" s="51"/>
    </row>
    <row r="65" spans="1:20">
      <c r="A65" s="52">
        <f t="shared" si="24"/>
        <v>8</v>
      </c>
      <c r="C65" s="61">
        <v>5.713E-2</v>
      </c>
      <c r="D65" s="61">
        <v>6.93E-2</v>
      </c>
      <c r="E65" s="534">
        <v>5</v>
      </c>
      <c r="G65" s="52">
        <v>5</v>
      </c>
      <c r="H65" s="27">
        <f t="shared" si="17"/>
        <v>69344.298758200006</v>
      </c>
      <c r="I65" s="27">
        <f t="shared" si="18"/>
        <v>69184.48510453332</v>
      </c>
      <c r="J65" s="27">
        <f t="shared" si="19"/>
        <v>85472.778803099995</v>
      </c>
      <c r="K65" s="27">
        <f t="shared" si="20"/>
        <v>432482.52875000006</v>
      </c>
      <c r="L65" s="27">
        <f t="shared" si="21"/>
        <v>656484.09141583345</v>
      </c>
      <c r="M65" s="232">
        <f t="shared" si="22"/>
        <v>336087.33999999997</v>
      </c>
      <c r="N65" s="232">
        <f t="shared" si="22"/>
        <v>158363.47416600006</v>
      </c>
      <c r="O65" s="27">
        <f t="shared" si="16"/>
        <v>834207.95724983339</v>
      </c>
      <c r="P65" s="27">
        <f t="shared" si="23"/>
        <v>41710.397862491671</v>
      </c>
      <c r="T65" s="51"/>
    </row>
    <row r="66" spans="1:20">
      <c r="A66" s="52">
        <f t="shared" si="24"/>
        <v>9</v>
      </c>
      <c r="C66" s="61">
        <v>5.2850000000000001E-2</v>
      </c>
      <c r="D66" s="61">
        <v>6.2300000000000001E-2</v>
      </c>
      <c r="E66" s="534">
        <v>6</v>
      </c>
      <c r="G66" s="52">
        <v>6</v>
      </c>
      <c r="H66" s="27">
        <f t="shared" si="17"/>
        <v>69344.298758200006</v>
      </c>
      <c r="I66" s="27">
        <f t="shared" si="18"/>
        <v>69184.48510453332</v>
      </c>
      <c r="J66" s="27">
        <f t="shared" si="19"/>
        <v>85472.778803099995</v>
      </c>
      <c r="K66" s="27">
        <f t="shared" si="20"/>
        <v>468102.38349999994</v>
      </c>
      <c r="L66" s="27">
        <f t="shared" si="21"/>
        <v>692103.94616583327</v>
      </c>
      <c r="M66" s="232">
        <f t="shared" si="22"/>
        <v>344014.56</v>
      </c>
      <c r="N66" s="232">
        <f t="shared" si="22"/>
        <v>162254.27887200005</v>
      </c>
      <c r="O66" s="27">
        <f t="shared" si="16"/>
        <v>873864.22729383316</v>
      </c>
      <c r="P66" s="27">
        <f t="shared" si="23"/>
        <v>43693.211364691662</v>
      </c>
      <c r="T66" s="51"/>
    </row>
    <row r="67" spans="1:20">
      <c r="A67" s="52">
        <f t="shared" si="24"/>
        <v>10</v>
      </c>
      <c r="C67" s="61">
        <v>4.888E-2</v>
      </c>
      <c r="D67" s="61">
        <v>5.8999999999999997E-2</v>
      </c>
      <c r="E67" s="534">
        <v>7</v>
      </c>
      <c r="G67" s="52">
        <v>7</v>
      </c>
      <c r="H67" s="27">
        <f t="shared" si="17"/>
        <v>69344.298758200006</v>
      </c>
      <c r="I67" s="27">
        <f t="shared" si="18"/>
        <v>69184.48510453332</v>
      </c>
      <c r="J67" s="27">
        <f t="shared" si="19"/>
        <v>85472.778803099995</v>
      </c>
      <c r="K67" s="27">
        <f t="shared" si="20"/>
        <v>472475.49812500004</v>
      </c>
      <c r="L67" s="27">
        <f t="shared" si="21"/>
        <v>696477.06079083332</v>
      </c>
      <c r="M67" s="232">
        <f t="shared" si="22"/>
        <v>340742.40000000002</v>
      </c>
      <c r="N67" s="232">
        <f t="shared" si="22"/>
        <v>166324.12938000006</v>
      </c>
      <c r="O67" s="27">
        <f t="shared" si="16"/>
        <v>870895.33141083329</v>
      </c>
      <c r="P67" s="27">
        <f t="shared" si="23"/>
        <v>43544.766570541666</v>
      </c>
      <c r="T67" s="51"/>
    </row>
    <row r="68" spans="1:20">
      <c r="A68" s="52">
        <f t="shared" si="24"/>
        <v>11</v>
      </c>
      <c r="C68" s="61">
        <v>4.5220000000000003E-2</v>
      </c>
      <c r="D68" s="61">
        <v>5.8999999999999997E-2</v>
      </c>
      <c r="E68" s="534">
        <v>8</v>
      </c>
      <c r="G68" s="52">
        <v>8</v>
      </c>
      <c r="H68" s="27">
        <f t="shared" si="17"/>
        <v>69344.298758200006</v>
      </c>
      <c r="I68" s="27">
        <f t="shared" si="18"/>
        <v>69184.48510453332</v>
      </c>
      <c r="J68" s="27">
        <f t="shared" si="19"/>
        <v>85472.778803099995</v>
      </c>
      <c r="K68" s="27">
        <f t="shared" si="20"/>
        <v>503230.49137499998</v>
      </c>
      <c r="L68" s="27">
        <f t="shared" si="21"/>
        <v>727232.05404083338</v>
      </c>
      <c r="M68" s="232">
        <f t="shared" si="22"/>
        <v>378655.77</v>
      </c>
      <c r="N68" s="232">
        <f t="shared" si="22"/>
        <v>170501.62030200008</v>
      </c>
      <c r="O68" s="27">
        <f t="shared" si="16"/>
        <v>935386.20373883331</v>
      </c>
      <c r="P68" s="27">
        <f t="shared" si="23"/>
        <v>46769.310186941671</v>
      </c>
      <c r="T68" s="51"/>
    </row>
    <row r="69" spans="1:20">
      <c r="A69" s="52">
        <f t="shared" si="24"/>
        <v>12</v>
      </c>
      <c r="C69" s="61">
        <v>4.462E-2</v>
      </c>
      <c r="D69" s="61">
        <v>5.91E-2</v>
      </c>
      <c r="E69" s="534">
        <v>9</v>
      </c>
      <c r="G69" s="52">
        <v>9</v>
      </c>
      <c r="H69" s="27">
        <f t="shared" si="17"/>
        <v>69344.298758200006</v>
      </c>
      <c r="I69" s="27">
        <f t="shared" si="18"/>
        <v>69184.48510453332</v>
      </c>
      <c r="J69" s="27">
        <f t="shared" si="19"/>
        <v>85472.778803099995</v>
      </c>
      <c r="K69" s="27">
        <f t="shared" si="20"/>
        <v>452419.84324999998</v>
      </c>
      <c r="L69" s="27">
        <f t="shared" si="21"/>
        <v>676421.40591583331</v>
      </c>
      <c r="M69" s="232">
        <f t="shared" si="22"/>
        <v>390210.38</v>
      </c>
      <c r="N69" s="232">
        <f t="shared" si="22"/>
        <v>174586.39877250008</v>
      </c>
      <c r="O69" s="27">
        <f t="shared" si="16"/>
        <v>892045.38714333333</v>
      </c>
      <c r="P69" s="27">
        <f t="shared" si="23"/>
        <v>44602.269357166668</v>
      </c>
      <c r="T69" s="51"/>
    </row>
    <row r="70" spans="1:20">
      <c r="A70" s="52">
        <f t="shared" si="24"/>
        <v>13</v>
      </c>
      <c r="C70" s="61">
        <v>4.4609999999999997E-2</v>
      </c>
      <c r="D70" s="61">
        <v>5.8999999999999997E-2</v>
      </c>
      <c r="E70" s="534">
        <v>10</v>
      </c>
      <c r="G70" s="52">
        <v>10</v>
      </c>
      <c r="H70" s="27">
        <f t="shared" si="17"/>
        <v>69344.298758200006</v>
      </c>
      <c r="I70" s="27">
        <f t="shared" si="18"/>
        <v>69184.48510453332</v>
      </c>
      <c r="J70" s="27">
        <f t="shared" si="19"/>
        <v>85472.778803099995</v>
      </c>
      <c r="K70" s="27">
        <f t="shared" si="20"/>
        <v>495349.61462500005</v>
      </c>
      <c r="L70" s="27">
        <f t="shared" si="21"/>
        <v>719351.17729083332</v>
      </c>
      <c r="M70" s="232">
        <f t="shared" si="22"/>
        <v>412061.6</v>
      </c>
      <c r="N70" s="232">
        <f t="shared" si="22"/>
        <v>178567.58365650006</v>
      </c>
      <c r="O70" s="27">
        <f t="shared" si="16"/>
        <v>952845.19363433309</v>
      </c>
      <c r="P70" s="27">
        <f t="shared" si="23"/>
        <v>47642.259681716656</v>
      </c>
      <c r="T70" s="51"/>
    </row>
    <row r="71" spans="1:20">
      <c r="A71" s="52">
        <f t="shared" si="24"/>
        <v>14</v>
      </c>
      <c r="C71" s="61">
        <v>4.462E-2</v>
      </c>
      <c r="D71" s="61">
        <v>5.91E-2</v>
      </c>
      <c r="E71" s="534">
        <v>11</v>
      </c>
      <c r="G71" s="52">
        <v>11</v>
      </c>
      <c r="H71" s="27">
        <f t="shared" si="17"/>
        <v>69344.298758200006</v>
      </c>
      <c r="I71" s="27">
        <f t="shared" si="18"/>
        <v>69184.48510453332</v>
      </c>
      <c r="J71" s="27">
        <f t="shared" si="19"/>
        <v>85472.778803099995</v>
      </c>
      <c r="K71" s="27">
        <f t="shared" si="20"/>
        <v>471315.37775000004</v>
      </c>
      <c r="L71" s="27">
        <f t="shared" si="21"/>
        <v>695316.94041583338</v>
      </c>
      <c r="M71" s="232">
        <f t="shared" si="22"/>
        <v>410764.13</v>
      </c>
      <c r="N71" s="232">
        <f t="shared" si="22"/>
        <v>182413.54602000007</v>
      </c>
      <c r="O71" s="27">
        <f t="shared" si="16"/>
        <v>923667.52439583349</v>
      </c>
      <c r="P71" s="27">
        <f t="shared" si="23"/>
        <v>46183.37621979168</v>
      </c>
      <c r="T71" s="51"/>
    </row>
    <row r="72" spans="1:20">
      <c r="A72" s="52">
        <f t="shared" si="24"/>
        <v>15</v>
      </c>
      <c r="C72" s="61">
        <v>4.4609999999999997E-2</v>
      </c>
      <c r="D72" s="61">
        <v>5.8999999999999997E-2</v>
      </c>
      <c r="E72" s="534">
        <v>12</v>
      </c>
      <c r="G72" s="52">
        <v>12</v>
      </c>
      <c r="H72" s="27">
        <f t="shared" si="17"/>
        <v>69344.298758200006</v>
      </c>
      <c r="I72" s="27">
        <f t="shared" si="18"/>
        <v>69184.48510453332</v>
      </c>
      <c r="J72" s="27">
        <f t="shared" si="19"/>
        <v>85472.778803099995</v>
      </c>
      <c r="K72" s="27">
        <f t="shared" si="20"/>
        <v>460640.53474999999</v>
      </c>
      <c r="L72" s="27">
        <f t="shared" si="21"/>
        <v>684642.09741583327</v>
      </c>
      <c r="M72" s="232">
        <f>M28</f>
        <v>363372.49000000005</v>
      </c>
      <c r="N72" s="232">
        <f t="shared" ref="N72" si="25">N28</f>
        <v>186123.62038050007</v>
      </c>
      <c r="O72" s="27">
        <f t="shared" si="16"/>
        <v>861890.96703533316</v>
      </c>
      <c r="P72" s="27">
        <f t="shared" si="23"/>
        <v>43094.548351766658</v>
      </c>
      <c r="T72" s="51"/>
    </row>
    <row r="73" spans="1:20">
      <c r="A73" s="52">
        <f t="shared" si="24"/>
        <v>16</v>
      </c>
      <c r="C73" s="61">
        <v>4.462E-2</v>
      </c>
      <c r="D73" s="61">
        <v>5.91E-2</v>
      </c>
      <c r="E73" s="534">
        <v>13</v>
      </c>
      <c r="H73" s="27"/>
      <c r="I73" s="27"/>
      <c r="J73" s="27"/>
      <c r="K73" s="27"/>
      <c r="L73" s="27"/>
      <c r="M73" s="27"/>
      <c r="N73" s="27"/>
      <c r="O73" s="27" t="str">
        <f t="shared" ref="O73:O87" si="26">IF(N73=0,"",L73+M73-N73)</f>
        <v/>
      </c>
      <c r="P73" s="27" t="str">
        <f t="shared" ref="P73:P87" si="27">IF(O73="","",O73*0.389)</f>
        <v/>
      </c>
      <c r="Q73" s="51"/>
      <c r="R73" s="51"/>
      <c r="S73" s="51"/>
      <c r="T73" s="27" t="str">
        <f t="shared" ref="T73:T87" si="28">IF(P73="","",T72+P73)</f>
        <v/>
      </c>
    </row>
    <row r="74" spans="1:20">
      <c r="A74" s="52">
        <f t="shared" si="24"/>
        <v>17</v>
      </c>
      <c r="C74" s="61">
        <v>4.4609999999999997E-2</v>
      </c>
      <c r="D74" s="61">
        <v>5.8999999999999997E-2</v>
      </c>
      <c r="E74" s="534">
        <v>14</v>
      </c>
      <c r="H74" s="27"/>
      <c r="I74" s="27"/>
      <c r="J74" s="27"/>
      <c r="K74" s="27"/>
      <c r="L74" s="27"/>
      <c r="M74" s="27"/>
      <c r="N74" s="27"/>
      <c r="O74" s="27" t="str">
        <f t="shared" si="26"/>
        <v/>
      </c>
      <c r="P74" s="27" t="str">
        <f t="shared" si="27"/>
        <v/>
      </c>
      <c r="Q74" s="51"/>
      <c r="R74" s="51"/>
      <c r="S74" s="51"/>
      <c r="T74" s="27" t="str">
        <f t="shared" si="28"/>
        <v/>
      </c>
    </row>
    <row r="75" spans="1:20">
      <c r="A75" s="52">
        <f t="shared" si="24"/>
        <v>18</v>
      </c>
      <c r="C75" s="61">
        <v>4.462E-2</v>
      </c>
      <c r="D75" s="61">
        <v>5.91E-2</v>
      </c>
      <c r="E75" s="534">
        <v>15</v>
      </c>
      <c r="H75" s="27"/>
      <c r="I75" s="27"/>
      <c r="J75" s="27"/>
      <c r="K75" s="27"/>
      <c r="L75" s="27"/>
      <c r="M75" s="27"/>
      <c r="N75" s="27"/>
      <c r="O75" s="27" t="str">
        <f t="shared" si="26"/>
        <v/>
      </c>
      <c r="P75" s="27" t="str">
        <f t="shared" si="27"/>
        <v/>
      </c>
      <c r="Q75" s="51"/>
      <c r="R75" s="51"/>
      <c r="S75" s="51"/>
      <c r="T75" s="27" t="str">
        <f t="shared" si="28"/>
        <v/>
      </c>
    </row>
    <row r="76" spans="1:20">
      <c r="A76" s="52">
        <f t="shared" si="24"/>
        <v>19</v>
      </c>
      <c r="C76" s="61">
        <v>4.4609999999999997E-2</v>
      </c>
      <c r="D76" s="61">
        <v>2.9499999999999998E-2</v>
      </c>
      <c r="E76" s="534">
        <v>16</v>
      </c>
      <c r="H76" s="27"/>
      <c r="I76" s="27"/>
      <c r="J76" s="27"/>
      <c r="K76" s="27"/>
      <c r="L76" s="27"/>
      <c r="M76" s="27"/>
      <c r="N76" s="27"/>
      <c r="O76" s="27" t="str">
        <f t="shared" si="26"/>
        <v/>
      </c>
      <c r="P76" s="27" t="str">
        <f t="shared" si="27"/>
        <v/>
      </c>
      <c r="Q76" s="51"/>
      <c r="R76" s="51"/>
      <c r="S76" s="51"/>
      <c r="T76" s="27" t="str">
        <f t="shared" si="28"/>
        <v/>
      </c>
    </row>
    <row r="77" spans="1:20">
      <c r="A77" s="52">
        <f t="shared" si="24"/>
        <v>20</v>
      </c>
      <c r="C77" s="61">
        <v>4.462E-2</v>
      </c>
      <c r="D77" s="61">
        <v>0</v>
      </c>
      <c r="E77" s="534">
        <v>17</v>
      </c>
      <c r="H77" s="27"/>
      <c r="I77" s="27"/>
      <c r="J77" s="27"/>
      <c r="K77" s="27"/>
      <c r="L77" s="27"/>
      <c r="M77" s="27"/>
      <c r="N77" s="27"/>
      <c r="O77" s="27" t="str">
        <f t="shared" si="26"/>
        <v/>
      </c>
      <c r="P77" s="27" t="str">
        <f t="shared" si="27"/>
        <v/>
      </c>
      <c r="Q77" s="51"/>
      <c r="R77" s="51"/>
      <c r="S77" s="51"/>
      <c r="T77" s="27" t="str">
        <f t="shared" si="28"/>
        <v/>
      </c>
    </row>
    <row r="78" spans="1:20">
      <c r="A78" s="52">
        <f t="shared" si="24"/>
        <v>21</v>
      </c>
      <c r="C78" s="61">
        <v>4.4609999999999997E-2</v>
      </c>
      <c r="D78" s="61">
        <v>0</v>
      </c>
      <c r="E78" s="534">
        <v>18</v>
      </c>
      <c r="H78" s="27"/>
      <c r="I78" s="27"/>
      <c r="J78" s="27"/>
      <c r="K78" s="27"/>
      <c r="L78" s="27"/>
      <c r="M78" s="27"/>
      <c r="N78" s="27"/>
      <c r="O78" s="27" t="str">
        <f t="shared" si="26"/>
        <v/>
      </c>
      <c r="P78" s="27" t="str">
        <f t="shared" si="27"/>
        <v/>
      </c>
      <c r="Q78" s="51"/>
      <c r="R78" s="51"/>
      <c r="S78" s="51"/>
      <c r="T78" s="27" t="str">
        <f t="shared" si="28"/>
        <v/>
      </c>
    </row>
    <row r="79" spans="1:20">
      <c r="A79" s="52">
        <f t="shared" si="24"/>
        <v>22</v>
      </c>
      <c r="C79" s="61">
        <v>4.462E-2</v>
      </c>
      <c r="D79" s="61">
        <v>0</v>
      </c>
      <c r="E79" s="534">
        <v>19</v>
      </c>
      <c r="H79" s="27"/>
      <c r="I79" s="27"/>
      <c r="J79" s="27"/>
      <c r="K79" s="27"/>
      <c r="L79" s="27"/>
      <c r="M79" s="27"/>
      <c r="N79" s="27"/>
      <c r="O79" s="27" t="str">
        <f t="shared" si="26"/>
        <v/>
      </c>
      <c r="P79" s="27" t="str">
        <f t="shared" si="27"/>
        <v/>
      </c>
      <c r="Q79" s="51"/>
      <c r="R79" s="51"/>
      <c r="S79" s="51"/>
      <c r="T79" s="27" t="str">
        <f t="shared" si="28"/>
        <v/>
      </c>
    </row>
    <row r="80" spans="1:20">
      <c r="A80" s="52">
        <f t="shared" si="24"/>
        <v>23</v>
      </c>
      <c r="C80" s="61">
        <v>4.4609999999999997E-2</v>
      </c>
      <c r="D80" s="61">
        <v>0</v>
      </c>
      <c r="E80" s="534">
        <v>20</v>
      </c>
      <c r="H80" s="27"/>
      <c r="I80" s="27"/>
      <c r="J80" s="27"/>
      <c r="K80" s="27"/>
      <c r="L80" s="27"/>
      <c r="M80" s="27"/>
      <c r="N80" s="27"/>
      <c r="O80" s="27" t="str">
        <f t="shared" si="26"/>
        <v/>
      </c>
      <c r="P80" s="27" t="str">
        <f t="shared" si="27"/>
        <v/>
      </c>
      <c r="Q80" s="51"/>
      <c r="R80" s="51"/>
      <c r="S80" s="51"/>
      <c r="T80" s="27" t="str">
        <f t="shared" si="28"/>
        <v/>
      </c>
    </row>
    <row r="81" spans="1:20">
      <c r="A81" s="52">
        <f t="shared" si="24"/>
        <v>24</v>
      </c>
      <c r="C81" s="61">
        <v>2.231E-2</v>
      </c>
      <c r="D81" s="61">
        <v>0</v>
      </c>
      <c r="E81" s="534">
        <v>21</v>
      </c>
      <c r="H81" s="27"/>
      <c r="I81" s="27"/>
      <c r="J81" s="27"/>
      <c r="K81" s="27"/>
      <c r="L81" s="27"/>
      <c r="M81" s="27"/>
      <c r="N81" s="27"/>
      <c r="O81" s="27" t="str">
        <f t="shared" si="26"/>
        <v/>
      </c>
      <c r="P81" s="27" t="str">
        <f t="shared" si="27"/>
        <v/>
      </c>
      <c r="Q81" s="51"/>
      <c r="R81" s="51"/>
      <c r="S81" s="51"/>
      <c r="T81" s="27" t="str">
        <f t="shared" si="28"/>
        <v/>
      </c>
    </row>
    <row r="82" spans="1:20">
      <c r="A82" s="52">
        <f t="shared" si="24"/>
        <v>25</v>
      </c>
      <c r="C82" s="61">
        <v>0</v>
      </c>
      <c r="D82" s="61">
        <v>0</v>
      </c>
      <c r="E82" s="534">
        <v>22</v>
      </c>
      <c r="H82" s="27"/>
      <c r="I82" s="27"/>
      <c r="J82" s="27"/>
      <c r="K82" s="27"/>
      <c r="L82" s="27"/>
      <c r="M82" s="27"/>
      <c r="N82" s="27"/>
      <c r="O82" s="27" t="str">
        <f t="shared" si="26"/>
        <v/>
      </c>
      <c r="P82" s="27" t="str">
        <f t="shared" si="27"/>
        <v/>
      </c>
      <c r="Q82" s="51"/>
      <c r="R82" s="51"/>
      <c r="S82" s="51"/>
      <c r="T82" s="27" t="str">
        <f t="shared" si="28"/>
        <v/>
      </c>
    </row>
    <row r="83" spans="1:20">
      <c r="A83" s="52">
        <f t="shared" si="24"/>
        <v>26</v>
      </c>
      <c r="C83" s="61">
        <v>0</v>
      </c>
      <c r="E83" s="534">
        <v>23</v>
      </c>
      <c r="H83" s="27"/>
      <c r="I83" s="27"/>
      <c r="J83" s="27"/>
      <c r="K83" s="27"/>
      <c r="L83" s="27"/>
      <c r="O83" s="27" t="str">
        <f t="shared" si="26"/>
        <v/>
      </c>
      <c r="P83" s="27" t="str">
        <f t="shared" si="27"/>
        <v/>
      </c>
      <c r="Q83" s="51"/>
      <c r="R83" s="51"/>
      <c r="S83" s="51"/>
      <c r="T83" s="27" t="str">
        <f t="shared" si="28"/>
        <v/>
      </c>
    </row>
    <row r="84" spans="1:20">
      <c r="A84" s="52">
        <f t="shared" si="24"/>
        <v>27</v>
      </c>
      <c r="C84" s="61">
        <v>0</v>
      </c>
      <c r="E84" s="534">
        <v>24</v>
      </c>
      <c r="H84" s="27"/>
      <c r="I84" s="27"/>
      <c r="J84" s="27"/>
      <c r="K84" s="27"/>
      <c r="L84" s="27"/>
      <c r="O84" s="27" t="str">
        <f t="shared" si="26"/>
        <v/>
      </c>
      <c r="P84" s="27" t="str">
        <f t="shared" si="27"/>
        <v/>
      </c>
      <c r="Q84" s="51"/>
      <c r="R84" s="51"/>
      <c r="S84" s="51"/>
      <c r="T84" s="27" t="str">
        <f t="shared" si="28"/>
        <v/>
      </c>
    </row>
    <row r="85" spans="1:20">
      <c r="A85" s="52">
        <f t="shared" si="24"/>
        <v>28</v>
      </c>
      <c r="C85" s="61">
        <v>0</v>
      </c>
      <c r="E85" s="534">
        <v>25</v>
      </c>
      <c r="H85" s="27"/>
      <c r="I85" s="27"/>
      <c r="J85" s="27"/>
      <c r="K85" s="27"/>
      <c r="L85" s="27"/>
      <c r="O85" s="27" t="str">
        <f t="shared" si="26"/>
        <v/>
      </c>
      <c r="P85" s="27" t="str">
        <f t="shared" si="27"/>
        <v/>
      </c>
      <c r="Q85" s="51"/>
      <c r="R85" s="51"/>
      <c r="S85" s="51"/>
      <c r="T85" s="27" t="str">
        <f t="shared" si="28"/>
        <v/>
      </c>
    </row>
    <row r="86" spans="1:20">
      <c r="A86" s="52">
        <f t="shared" si="24"/>
        <v>29</v>
      </c>
      <c r="C86" s="61">
        <v>0</v>
      </c>
      <c r="E86" s="534">
        <v>26</v>
      </c>
      <c r="H86" s="27"/>
      <c r="I86" s="27"/>
      <c r="J86" s="27"/>
      <c r="K86" s="27"/>
      <c r="L86" s="27"/>
      <c r="O86" s="27" t="str">
        <f t="shared" si="26"/>
        <v/>
      </c>
      <c r="P86" s="27" t="str">
        <f t="shared" si="27"/>
        <v/>
      </c>
      <c r="Q86" s="51"/>
      <c r="R86" s="51"/>
      <c r="S86" s="51"/>
      <c r="T86" s="27" t="str">
        <f t="shared" si="28"/>
        <v/>
      </c>
    </row>
    <row r="87" spans="1:20">
      <c r="A87" s="52">
        <f t="shared" si="24"/>
        <v>30</v>
      </c>
      <c r="C87" s="61">
        <v>0</v>
      </c>
      <c r="E87" s="534">
        <v>27</v>
      </c>
      <c r="L87" s="27"/>
      <c r="O87" s="27" t="str">
        <f t="shared" si="26"/>
        <v/>
      </c>
      <c r="P87" s="27" t="str">
        <f t="shared" si="27"/>
        <v/>
      </c>
      <c r="T87" s="27" t="str">
        <f t="shared" si="28"/>
        <v/>
      </c>
    </row>
    <row r="88" spans="1:20">
      <c r="A88" s="52">
        <f t="shared" si="24"/>
        <v>31</v>
      </c>
      <c r="E88" s="507"/>
      <c r="H88" s="27">
        <f t="shared" ref="H88:P88" si="29">SUM(H61:H87)</f>
        <v>832131.58509840013</v>
      </c>
      <c r="I88" s="27">
        <f t="shared" si="29"/>
        <v>830213.82125440007</v>
      </c>
      <c r="J88" s="27">
        <f t="shared" si="29"/>
        <v>1025673.3456371999</v>
      </c>
      <c r="K88" s="27">
        <f t="shared" si="29"/>
        <v>5783757.0356249996</v>
      </c>
      <c r="L88" s="27">
        <f t="shared" si="29"/>
        <v>8471775.7876149993</v>
      </c>
      <c r="M88" s="27">
        <f t="shared" si="29"/>
        <v>4223690.6899999995</v>
      </c>
      <c r="N88" s="27">
        <f t="shared" si="29"/>
        <v>1973739.5855235006</v>
      </c>
      <c r="O88" s="27">
        <f t="shared" si="29"/>
        <v>10721726.892091498</v>
      </c>
      <c r="P88" s="27">
        <f t="shared" si="29"/>
        <v>536086.34460457496</v>
      </c>
      <c r="Q88" s="27"/>
      <c r="R88" s="27"/>
      <c r="S88" s="27"/>
      <c r="T88" s="27"/>
    </row>
    <row r="89" spans="1:20">
      <c r="H89" s="27"/>
      <c r="I89" s="27"/>
      <c r="J89" s="27"/>
      <c r="K89" s="27"/>
      <c r="L89" s="27"/>
      <c r="M89" s="27"/>
      <c r="N89" s="27"/>
      <c r="T89" s="27"/>
    </row>
    <row r="90" spans="1:20">
      <c r="B90" s="52" t="s">
        <v>166</v>
      </c>
      <c r="C90" s="52" t="s">
        <v>617</v>
      </c>
    </row>
    <row r="91" spans="1:20">
      <c r="B91" s="60" t="s">
        <v>167</v>
      </c>
      <c r="C91" s="52" t="s">
        <v>618</v>
      </c>
    </row>
    <row r="92" spans="1:20">
      <c r="B92" s="60" t="s">
        <v>168</v>
      </c>
      <c r="C92" s="52" t="s">
        <v>619</v>
      </c>
      <c r="D92" s="246"/>
    </row>
    <row r="93" spans="1:20">
      <c r="B93" s="60" t="s">
        <v>177</v>
      </c>
      <c r="C93" s="52" t="s">
        <v>560</v>
      </c>
    </row>
  </sheetData>
  <pageMargins left="0.7" right="0.7" top="0.75" bottom="0.75" header="0.3" footer="0.3"/>
  <pageSetup scale="42" orientation="landscape" r:id="rId1"/>
  <headerFooter>
    <oddFooter>&amp;R&amp;"Times New Roman,Bold"&amp;17Exhibit 4
Page 17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workbookViewId="0"/>
  </sheetViews>
  <sheetFormatPr defaultColWidth="9.21875" defaultRowHeight="21"/>
  <cols>
    <col min="1" max="1" width="7" style="262" customWidth="1"/>
    <col min="2" max="2" width="54.77734375" style="461" customWidth="1"/>
    <col min="3" max="3" width="18.77734375" style="461" customWidth="1"/>
    <col min="4" max="5" width="14.77734375" style="461" customWidth="1"/>
    <col min="6" max="8" width="17.77734375" style="461" customWidth="1"/>
    <col min="9" max="9" width="15.77734375" style="461" customWidth="1"/>
    <col min="10" max="10" width="6.21875" style="461" customWidth="1"/>
    <col min="11" max="12" width="9.21875" style="461"/>
    <col min="13" max="13" width="12.5546875" style="461" customWidth="1"/>
    <col min="14" max="14" width="15.5546875" style="461" customWidth="1"/>
    <col min="15" max="15" width="16" style="461" bestFit="1" customWidth="1"/>
    <col min="16" max="16" width="15.21875" style="461" bestFit="1" customWidth="1"/>
    <col min="17" max="17" width="16" style="461" bestFit="1" customWidth="1"/>
    <col min="18" max="16384" width="9.21875" style="461"/>
  </cols>
  <sheetData>
    <row r="1" spans="1:17">
      <c r="A1" s="257" t="s">
        <v>67</v>
      </c>
      <c r="B1" s="257"/>
      <c r="C1" s="257"/>
      <c r="D1" s="257"/>
      <c r="E1" s="257"/>
      <c r="F1" s="257"/>
      <c r="G1" s="257"/>
      <c r="H1" s="257"/>
      <c r="I1" s="257"/>
    </row>
    <row r="2" spans="1:17">
      <c r="A2" s="258" t="s">
        <v>255</v>
      </c>
      <c r="B2" s="258"/>
      <c r="C2" s="258"/>
      <c r="D2" s="258"/>
      <c r="E2" s="258"/>
      <c r="F2" s="258"/>
      <c r="G2" s="258"/>
      <c r="H2" s="258"/>
      <c r="I2" s="258"/>
      <c r="J2" s="259"/>
      <c r="K2" s="260"/>
    </row>
    <row r="3" spans="1:17">
      <c r="A3" s="257" t="s">
        <v>75</v>
      </c>
      <c r="B3" s="257"/>
      <c r="C3" s="257"/>
      <c r="D3" s="257"/>
      <c r="E3" s="257"/>
      <c r="F3" s="257"/>
      <c r="G3" s="257"/>
      <c r="H3" s="257"/>
      <c r="I3" s="257"/>
      <c r="J3" s="260"/>
    </row>
    <row r="4" spans="1:17" ht="15.75" customHeight="1">
      <c r="A4" s="261"/>
    </row>
    <row r="5" spans="1:17" ht="15.75" customHeight="1"/>
    <row r="6" spans="1:17" s="462" customFormat="1" ht="62.4">
      <c r="A6" s="263" t="s">
        <v>66</v>
      </c>
      <c r="B6" s="263" t="s">
        <v>241</v>
      </c>
      <c r="C6" s="264" t="s">
        <v>507</v>
      </c>
      <c r="D6" s="263" t="s">
        <v>64</v>
      </c>
      <c r="E6" s="263" t="s">
        <v>160</v>
      </c>
      <c r="F6" s="263" t="s">
        <v>65</v>
      </c>
      <c r="G6" s="265" t="s">
        <v>256</v>
      </c>
      <c r="H6" s="266" t="s">
        <v>505</v>
      </c>
      <c r="I6" s="266" t="s">
        <v>259</v>
      </c>
      <c r="N6" s="463" t="s">
        <v>588</v>
      </c>
      <c r="O6" s="463" t="s">
        <v>589</v>
      </c>
    </row>
    <row r="7" spans="1:17" s="462" customFormat="1" ht="15.6">
      <c r="A7" s="267"/>
      <c r="B7" s="268"/>
      <c r="C7" s="269"/>
      <c r="D7" s="270"/>
      <c r="E7" s="270"/>
      <c r="F7" s="271"/>
      <c r="G7" s="271"/>
      <c r="H7" s="272"/>
      <c r="I7" s="272"/>
      <c r="J7" s="273"/>
      <c r="K7" s="273"/>
    </row>
    <row r="8" spans="1:17" s="462" customFormat="1" ht="15.6">
      <c r="B8" s="274" t="s">
        <v>503</v>
      </c>
      <c r="C8" s="435"/>
      <c r="D8" s="270"/>
      <c r="E8" s="270"/>
      <c r="F8" s="271"/>
      <c r="G8" s="271"/>
      <c r="H8" s="272"/>
      <c r="I8" s="272"/>
      <c r="J8" s="273"/>
      <c r="K8" s="273"/>
    </row>
    <row r="9" spans="1:17" s="462" customFormat="1" ht="15.6">
      <c r="A9" s="275">
        <v>1</v>
      </c>
      <c r="B9" s="276" t="s">
        <v>452</v>
      </c>
      <c r="C9" s="464">
        <v>231221838.02025786</v>
      </c>
      <c r="D9" s="277">
        <f>C9/$C$12</f>
        <v>0.68190874821622838</v>
      </c>
      <c r="E9" s="278">
        <f>D9*E$12</f>
        <v>6419439.7323561832</v>
      </c>
      <c r="F9" s="465">
        <v>3587761</v>
      </c>
      <c r="G9" s="279">
        <f>E9/F9</f>
        <v>1.7892606927708348</v>
      </c>
      <c r="H9" s="280">
        <f>G30</f>
        <v>8.1806262861226456E-2</v>
      </c>
      <c r="I9" s="280">
        <f>SUM(G9:H9)</f>
        <v>1.8710669556320612</v>
      </c>
      <c r="J9" s="273"/>
      <c r="K9" s="273"/>
      <c r="N9" s="280">
        <v>1.1844309681963812</v>
      </c>
      <c r="O9" s="280">
        <v>1.0220568912686945</v>
      </c>
    </row>
    <row r="10" spans="1:17" s="462" customFormat="1" ht="15.6">
      <c r="A10" s="275">
        <v>2</v>
      </c>
      <c r="B10" s="276" t="s">
        <v>496</v>
      </c>
      <c r="C10" s="464">
        <v>96042056.63315475</v>
      </c>
      <c r="D10" s="277">
        <f t="shared" ref="D10:D11" si="0">C10/$C$12</f>
        <v>0.28324279045428558</v>
      </c>
      <c r="E10" s="278">
        <f>D10*E$12</f>
        <v>2666427.1835520142</v>
      </c>
      <c r="F10" s="465">
        <f>300937+12</f>
        <v>300949</v>
      </c>
      <c r="G10" s="279">
        <f>E10/F10</f>
        <v>8.8600632783362432</v>
      </c>
      <c r="H10" s="280">
        <f t="shared" ref="H10:H11" si="1">G31</f>
        <v>0.40508835210158317</v>
      </c>
      <c r="I10" s="280">
        <f>SUM(G10:H10)</f>
        <v>9.2651516304378259</v>
      </c>
      <c r="J10" s="273"/>
      <c r="K10" s="273"/>
      <c r="N10" s="280">
        <v>5.9322548893247342</v>
      </c>
      <c r="O10" s="280">
        <v>5.1189998853453451</v>
      </c>
    </row>
    <row r="11" spans="1:17" s="462" customFormat="1" ht="15.6">
      <c r="A11" s="275">
        <v>3</v>
      </c>
      <c r="B11" s="276" t="s">
        <v>453</v>
      </c>
      <c r="C11" s="466">
        <v>11816427.493941773</v>
      </c>
      <c r="D11" s="281">
        <f t="shared" si="0"/>
        <v>3.4848461329486116E-2</v>
      </c>
      <c r="E11" s="282">
        <f>D11*E$12</f>
        <v>328060.89943143696</v>
      </c>
      <c r="F11" s="303">
        <f>3006+60+24</f>
        <v>3090</v>
      </c>
      <c r="G11" s="279">
        <f>E11/F11</f>
        <v>106.16857586777896</v>
      </c>
      <c r="H11" s="280">
        <f t="shared" si="1"/>
        <v>4.8541022893604575</v>
      </c>
      <c r="I11" s="280">
        <f>SUM(G11:H11)</f>
        <v>111.02267815713941</v>
      </c>
      <c r="J11" s="273"/>
      <c r="K11" s="273"/>
      <c r="N11" s="280">
        <v>74.625225067832176</v>
      </c>
      <c r="O11" s="280">
        <v>64.394825524698092</v>
      </c>
    </row>
    <row r="12" spans="1:17" s="462" customFormat="1" ht="16.2" thickBot="1">
      <c r="A12" s="283">
        <v>4</v>
      </c>
      <c r="B12" s="284" t="s">
        <v>3</v>
      </c>
      <c r="C12" s="285">
        <f>SUM(C9:C11)</f>
        <v>339080322.14735436</v>
      </c>
      <c r="D12" s="286">
        <f>SUM(D9:D11)</f>
        <v>1</v>
      </c>
      <c r="E12" s="356">
        <f>'Rev Req 2020-Distr'!Q31</f>
        <v>9413927.8153396342</v>
      </c>
      <c r="F12" s="287">
        <f>SUM(F9:F11)</f>
        <v>3891800</v>
      </c>
      <c r="G12" s="288"/>
      <c r="H12" s="289"/>
      <c r="I12" s="288"/>
      <c r="J12" s="273"/>
      <c r="K12" s="273"/>
    </row>
    <row r="13" spans="1:17" s="462" customFormat="1" ht="16.2" thickTop="1">
      <c r="A13" s="275"/>
      <c r="E13" s="467"/>
      <c r="H13" s="468"/>
      <c r="J13" s="273"/>
      <c r="K13" s="273"/>
      <c r="N13" s="293">
        <v>6233241.5794719569</v>
      </c>
      <c r="O13" s="469">
        <f>E12/N13-1</f>
        <v>0.51027803034984021</v>
      </c>
      <c r="P13" s="462" t="s">
        <v>591</v>
      </c>
    </row>
    <row r="14" spans="1:17" s="462" customFormat="1" ht="15.6">
      <c r="A14" s="275"/>
      <c r="E14" s="467"/>
      <c r="H14" s="468"/>
      <c r="J14" s="273"/>
      <c r="K14" s="273"/>
    </row>
    <row r="15" spans="1:17" s="462" customFormat="1" ht="15.6">
      <c r="A15" s="275"/>
      <c r="E15" s="467"/>
      <c r="H15" s="468"/>
      <c r="J15" s="273"/>
      <c r="K15" s="273"/>
    </row>
    <row r="16" spans="1:17" s="462" customFormat="1" ht="63" customHeight="1">
      <c r="A16" s="263" t="s">
        <v>66</v>
      </c>
      <c r="B16" s="263" t="s">
        <v>240</v>
      </c>
      <c r="C16" s="264" t="s">
        <v>507</v>
      </c>
      <c r="D16" s="263" t="s">
        <v>64</v>
      </c>
      <c r="E16" s="263" t="s">
        <v>160</v>
      </c>
      <c r="F16" s="264" t="s">
        <v>258</v>
      </c>
      <c r="G16" s="266" t="s">
        <v>257</v>
      </c>
      <c r="H16" s="265" t="s">
        <v>506</v>
      </c>
      <c r="I16" s="266" t="s">
        <v>464</v>
      </c>
      <c r="J16" s="273"/>
      <c r="K16" s="273"/>
      <c r="Q16" s="463" t="s">
        <v>590</v>
      </c>
    </row>
    <row r="17" spans="1:19" s="462" customFormat="1" ht="15.6">
      <c r="A17" s="291"/>
      <c r="B17" s="291"/>
      <c r="C17" s="292"/>
      <c r="D17" s="291"/>
      <c r="E17" s="291"/>
      <c r="F17" s="291"/>
      <c r="G17" s="290"/>
      <c r="H17" s="290"/>
      <c r="I17" s="290"/>
      <c r="J17" s="273"/>
      <c r="K17" s="273"/>
    </row>
    <row r="18" spans="1:19" s="462" customFormat="1" ht="15.6">
      <c r="A18" s="291"/>
      <c r="B18" s="274" t="s">
        <v>503</v>
      </c>
      <c r="C18" s="292"/>
      <c r="D18" s="291"/>
      <c r="E18" s="291"/>
      <c r="F18" s="291"/>
      <c r="G18" s="290"/>
      <c r="H18" s="290"/>
      <c r="I18" s="290"/>
      <c r="J18" s="273"/>
      <c r="K18" s="273"/>
    </row>
    <row r="19" spans="1:19" s="462" customFormat="1" ht="15.6">
      <c r="A19" s="275">
        <v>5</v>
      </c>
      <c r="B19" s="276" t="s">
        <v>452</v>
      </c>
      <c r="C19" s="293">
        <f>C9</f>
        <v>231221838.02025786</v>
      </c>
      <c r="D19" s="277">
        <f>C19/$C$23</f>
        <v>0.66898076300140608</v>
      </c>
      <c r="E19" s="278">
        <f>D19*E$23</f>
        <v>4566281.2395834969</v>
      </c>
      <c r="F19" s="465">
        <v>19344464.899848823</v>
      </c>
      <c r="G19" s="294">
        <f t="shared" ref="G19:G22" si="2">E19/F19</f>
        <v>0.23605104939445404</v>
      </c>
      <c r="H19" s="470">
        <f>G40</f>
        <v>1.7146784963562082E-3</v>
      </c>
      <c r="I19" s="470">
        <f>G19+H19</f>
        <v>0.23776572789081024</v>
      </c>
      <c r="J19" s="273"/>
      <c r="K19" s="273"/>
      <c r="N19" s="470">
        <v>9.3102754071653415E-2</v>
      </c>
      <c r="O19" s="470">
        <v>8.3902780900292767E-2</v>
      </c>
      <c r="Q19" s="470">
        <v>0.24010709539688194</v>
      </c>
      <c r="R19" s="470">
        <f>I19-Q19</f>
        <v>-2.3413675060716954E-3</v>
      </c>
      <c r="S19" s="469">
        <f>R19/Q19</f>
        <v>-9.7513465905768506E-3</v>
      </c>
    </row>
    <row r="20" spans="1:19" s="462" customFormat="1" ht="15.6">
      <c r="A20" s="275">
        <v>6</v>
      </c>
      <c r="B20" s="276" t="s">
        <v>496</v>
      </c>
      <c r="C20" s="293">
        <f>C10</f>
        <v>96042056.63315475</v>
      </c>
      <c r="D20" s="277">
        <f t="shared" ref="D20:D22" si="3">C20/$C$23</f>
        <v>0.27787292444688122</v>
      </c>
      <c r="E20" s="278">
        <f>D20*E$23</f>
        <v>1896685.2143808645</v>
      </c>
      <c r="F20" s="465">
        <v>9952828.3076364025</v>
      </c>
      <c r="G20" s="294">
        <f t="shared" si="2"/>
        <v>0.19056746039973529</v>
      </c>
      <c r="H20" s="470">
        <f t="shared" ref="H20:H22" si="4">G41</f>
        <v>1.3842849980582061E-3</v>
      </c>
      <c r="I20" s="470">
        <f t="shared" ref="I20:I22" si="5">G20+H20</f>
        <v>0.1919517453977935</v>
      </c>
      <c r="J20" s="273"/>
      <c r="K20" s="273"/>
      <c r="N20" s="470">
        <v>7.5559993384652982E-2</v>
      </c>
      <c r="O20" s="470">
        <v>6.8093512732190262E-2</v>
      </c>
      <c r="Q20" s="470">
        <v>0.19384196558804118</v>
      </c>
      <c r="R20" s="470">
        <f t="shared" ref="R20:R22" si="6">I20-Q20</f>
        <v>-1.8902201902476767E-3</v>
      </c>
      <c r="S20" s="469">
        <f t="shared" ref="S20:S22" si="7">R20/Q20</f>
        <v>-9.7513465905769339E-3</v>
      </c>
    </row>
    <row r="21" spans="1:19" s="462" customFormat="1" ht="15.6">
      <c r="A21" s="275">
        <v>7</v>
      </c>
      <c r="B21" s="276" t="s">
        <v>453</v>
      </c>
      <c r="C21" s="293">
        <f>C11</f>
        <v>11816427.493941773</v>
      </c>
      <c r="D21" s="277">
        <f t="shared" si="3"/>
        <v>3.4187785844671768E-2</v>
      </c>
      <c r="E21" s="278">
        <f>D21*E$23</f>
        <v>233356.55337086998</v>
      </c>
      <c r="F21" s="465">
        <v>2009575.3421721507</v>
      </c>
      <c r="G21" s="294">
        <f t="shared" si="2"/>
        <v>0.11612232120575026</v>
      </c>
      <c r="H21" s="470">
        <f t="shared" si="4"/>
        <v>8.4351434839732831E-4</v>
      </c>
      <c r="I21" s="470">
        <f t="shared" si="5"/>
        <v>0.11696583555414759</v>
      </c>
      <c r="J21" s="273"/>
      <c r="K21" s="273"/>
      <c r="N21" s="470">
        <v>4.5285870415331594E-2</v>
      </c>
      <c r="O21" s="470">
        <v>4.0810935199751174E-2</v>
      </c>
      <c r="Q21" s="470">
        <v>0.11811764161600682</v>
      </c>
      <c r="R21" s="470">
        <f t="shared" si="6"/>
        <v>-1.1518060618592313E-3</v>
      </c>
      <c r="S21" s="469">
        <f t="shared" si="7"/>
        <v>-9.7513465905768922E-3</v>
      </c>
    </row>
    <row r="22" spans="1:19" s="462" customFormat="1" ht="15.6">
      <c r="A22" s="275">
        <v>8</v>
      </c>
      <c r="B22" s="276" t="s">
        <v>454</v>
      </c>
      <c r="C22" s="282">
        <v>6552692.7436461346</v>
      </c>
      <c r="D22" s="281">
        <f t="shared" si="3"/>
        <v>1.8958526707041005E-2</v>
      </c>
      <c r="E22" s="282">
        <f>D22*E$23</f>
        <v>129405.7611523907</v>
      </c>
      <c r="F22" s="303">
        <v>13291726.750302574</v>
      </c>
      <c r="G22" s="294">
        <f t="shared" si="2"/>
        <v>9.7358126286672952E-3</v>
      </c>
      <c r="H22" s="470">
        <f t="shared" si="4"/>
        <v>7.0721094448653762E-5</v>
      </c>
      <c r="I22" s="470">
        <f t="shared" si="5"/>
        <v>9.8065337231159483E-3</v>
      </c>
      <c r="J22" s="273"/>
      <c r="K22" s="273"/>
      <c r="N22" s="470">
        <v>5.3534845773711773E-3</v>
      </c>
      <c r="O22" s="470">
        <v>4.8244785884913773E-3</v>
      </c>
      <c r="Q22" s="470">
        <v>9.9031023060239271E-3</v>
      </c>
      <c r="R22" s="470">
        <f t="shared" si="6"/>
        <v>-9.6568582907978831E-5</v>
      </c>
      <c r="S22" s="469">
        <f t="shared" si="7"/>
        <v>-9.7513465905767153E-3</v>
      </c>
    </row>
    <row r="23" spans="1:19" s="462" customFormat="1" ht="16.2" thickBot="1">
      <c r="A23" s="283">
        <v>9</v>
      </c>
      <c r="B23" s="284" t="s">
        <v>3</v>
      </c>
      <c r="C23" s="285">
        <f>SUM(C19:C22)</f>
        <v>345633014.89100051</v>
      </c>
      <c r="D23" s="286">
        <f>SUM(D19:D22)</f>
        <v>1</v>
      </c>
      <c r="E23" s="356">
        <f>'Rev Req 2020-Trans'!Q31</f>
        <v>6825728.768487622</v>
      </c>
      <c r="F23" s="287">
        <f>SUM(F19:F22)</f>
        <v>44598595.29995995</v>
      </c>
      <c r="H23" s="468"/>
      <c r="J23" s="273"/>
      <c r="K23" s="273"/>
    </row>
    <row r="24" spans="1:19" s="462" customFormat="1" ht="16.2" thickTop="1">
      <c r="A24" s="275"/>
      <c r="E24" s="467"/>
      <c r="H24" s="468"/>
      <c r="J24" s="273"/>
      <c r="K24" s="273"/>
      <c r="N24" s="293">
        <v>2754611.0843713838</v>
      </c>
      <c r="O24" s="469">
        <f>E23/N24-1</f>
        <v>1.4779283025521144</v>
      </c>
      <c r="P24" s="462" t="s">
        <v>591</v>
      </c>
    </row>
    <row r="25" spans="1:19" s="462" customFormat="1" ht="15.6">
      <c r="A25" s="275"/>
      <c r="E25" s="467"/>
      <c r="H25" s="468"/>
      <c r="J25" s="273"/>
      <c r="K25" s="273"/>
    </row>
    <row r="26" spans="1:19" s="462" customFormat="1" ht="15.6">
      <c r="A26" s="275"/>
      <c r="E26" s="467"/>
      <c r="H26" s="468"/>
      <c r="J26" s="273"/>
      <c r="K26" s="273"/>
    </row>
    <row r="27" spans="1:19" s="462" customFormat="1" ht="63" customHeight="1">
      <c r="A27" s="263" t="s">
        <v>66</v>
      </c>
      <c r="B27" s="263" t="s">
        <v>241</v>
      </c>
      <c r="C27" s="264" t="s">
        <v>507</v>
      </c>
      <c r="D27" s="263" t="s">
        <v>64</v>
      </c>
      <c r="E27" s="263" t="s">
        <v>498</v>
      </c>
      <c r="F27" s="263" t="s">
        <v>65</v>
      </c>
      <c r="G27" s="265" t="s">
        <v>505</v>
      </c>
      <c r="H27" s="468"/>
      <c r="J27" s="273"/>
      <c r="K27" s="273"/>
    </row>
    <row r="28" spans="1:19" s="462" customFormat="1" ht="15.6">
      <c r="A28" s="275"/>
      <c r="E28" s="467"/>
      <c r="H28" s="468"/>
      <c r="J28" s="273"/>
      <c r="K28" s="273"/>
    </row>
    <row r="29" spans="1:19" s="462" customFormat="1" ht="15.6">
      <c r="B29" s="274" t="s">
        <v>504</v>
      </c>
      <c r="C29" s="269"/>
      <c r="D29" s="270"/>
      <c r="E29" s="295"/>
      <c r="F29" s="271"/>
      <c r="G29" s="271"/>
      <c r="H29" s="296"/>
      <c r="I29" s="271"/>
      <c r="J29" s="273"/>
      <c r="K29" s="273"/>
    </row>
    <row r="30" spans="1:19" s="462" customFormat="1" ht="15.6">
      <c r="A30" s="275">
        <v>10</v>
      </c>
      <c r="B30" s="276" t="s">
        <v>452</v>
      </c>
      <c r="C30" s="297">
        <f>C9</f>
        <v>231221838.02025786</v>
      </c>
      <c r="D30" s="277">
        <f>C30/$C$33</f>
        <v>0.68190874821622838</v>
      </c>
      <c r="E30" s="297">
        <f>D30*E$33</f>
        <v>293501.3194492567</v>
      </c>
      <c r="F30" s="358">
        <f>F9</f>
        <v>3587761</v>
      </c>
      <c r="G30" s="279">
        <f>IF(E30=0,0,E30/F30)</f>
        <v>8.1806262861226456E-2</v>
      </c>
      <c r="H30" s="279"/>
      <c r="I30" s="279"/>
      <c r="J30" s="273"/>
      <c r="K30" s="273"/>
    </row>
    <row r="31" spans="1:19" s="462" customFormat="1" ht="15.6">
      <c r="A31" s="275">
        <v>11</v>
      </c>
      <c r="B31" s="276" t="s">
        <v>496</v>
      </c>
      <c r="C31" s="297">
        <f>C10</f>
        <v>96042056.63315475</v>
      </c>
      <c r="D31" s="277">
        <f>C31/$C$33</f>
        <v>0.28324279045428558</v>
      </c>
      <c r="E31" s="297">
        <f>D31*E$33</f>
        <v>121910.93447661935</v>
      </c>
      <c r="F31" s="358">
        <f t="shared" ref="F31:F32" si="8">F10</f>
        <v>300949</v>
      </c>
      <c r="G31" s="279">
        <f t="shared" ref="G31:G32" si="9">IF(E31=0,0,E31/F31)</f>
        <v>0.40508835210158317</v>
      </c>
      <c r="H31" s="279"/>
      <c r="I31" s="279"/>
      <c r="J31" s="298"/>
      <c r="K31" s="273"/>
    </row>
    <row r="32" spans="1:19" s="462" customFormat="1" ht="15.6">
      <c r="A32" s="275">
        <v>12</v>
      </c>
      <c r="B32" s="276" t="s">
        <v>453</v>
      </c>
      <c r="C32" s="282">
        <f>C11</f>
        <v>11816427.493941773</v>
      </c>
      <c r="D32" s="281">
        <f>C32/$C$33</f>
        <v>3.4848461329486116E-2</v>
      </c>
      <c r="E32" s="282">
        <f>D32*E$33</f>
        <v>14999.176074123814</v>
      </c>
      <c r="F32" s="359">
        <f t="shared" si="8"/>
        <v>3090</v>
      </c>
      <c r="G32" s="279">
        <f t="shared" si="9"/>
        <v>4.8541022893604575</v>
      </c>
      <c r="H32" s="279"/>
      <c r="I32" s="279"/>
      <c r="J32" s="298"/>
      <c r="K32" s="273"/>
    </row>
    <row r="33" spans="1:9" s="462" customFormat="1" ht="16.2" thickBot="1">
      <c r="A33" s="283">
        <v>13</v>
      </c>
      <c r="B33" s="284" t="s">
        <v>3</v>
      </c>
      <c r="C33" s="285">
        <f>SUM(C30:C32)</f>
        <v>339080322.14735436</v>
      </c>
      <c r="D33" s="286">
        <f>SUM(D30:D32)</f>
        <v>1</v>
      </c>
      <c r="E33" s="357">
        <f>'OU Collection'!G23</f>
        <v>430411.42999999982</v>
      </c>
      <c r="F33" s="287">
        <f>SUM(F30:F32)</f>
        <v>3891800</v>
      </c>
      <c r="H33" s="288"/>
      <c r="I33" s="288"/>
    </row>
    <row r="34" spans="1:9" s="462" customFormat="1" ht="16.2" thickTop="1">
      <c r="A34" s="275"/>
      <c r="E34" s="467"/>
    </row>
    <row r="35" spans="1:9" ht="15.75" customHeight="1"/>
    <row r="36" spans="1:9" ht="15.75" customHeight="1"/>
    <row r="37" spans="1:9" ht="63" customHeight="1">
      <c r="A37" s="263" t="s">
        <v>66</v>
      </c>
      <c r="B37" s="263" t="s">
        <v>240</v>
      </c>
      <c r="C37" s="264" t="s">
        <v>507</v>
      </c>
      <c r="D37" s="263" t="s">
        <v>64</v>
      </c>
      <c r="E37" s="263" t="s">
        <v>498</v>
      </c>
      <c r="F37" s="263" t="s">
        <v>258</v>
      </c>
      <c r="G37" s="265" t="s">
        <v>506</v>
      </c>
    </row>
    <row r="38" spans="1:9" ht="15.75" customHeight="1">
      <c r="A38" s="291"/>
      <c r="B38" s="291"/>
      <c r="C38" s="292"/>
      <c r="D38" s="291"/>
      <c r="E38" s="291"/>
      <c r="F38" s="291"/>
      <c r="G38" s="290"/>
    </row>
    <row r="39" spans="1:9" ht="15.75" customHeight="1">
      <c r="A39" s="291"/>
      <c r="B39" s="274" t="s">
        <v>504</v>
      </c>
      <c r="C39" s="292"/>
      <c r="D39" s="291"/>
      <c r="E39" s="291"/>
      <c r="F39" s="291"/>
      <c r="G39" s="290"/>
    </row>
    <row r="40" spans="1:9" ht="15.75" customHeight="1">
      <c r="A40" s="275">
        <v>14</v>
      </c>
      <c r="B40" s="276" t="s">
        <v>452</v>
      </c>
      <c r="C40" s="293">
        <f>C19</f>
        <v>231221838.02025786</v>
      </c>
      <c r="D40" s="277">
        <f>C40/$C$44</f>
        <v>0.66898076300140608</v>
      </c>
      <c r="E40" s="299">
        <f>D40*E$44</f>
        <v>33169.537987288226</v>
      </c>
      <c r="F40" s="300">
        <f>F19</f>
        <v>19344464.899848823</v>
      </c>
      <c r="G40" s="294">
        <f>IF(E40=0,0,E40/F40)</f>
        <v>1.7146784963562082E-3</v>
      </c>
    </row>
    <row r="41" spans="1:9" ht="15.75" customHeight="1">
      <c r="A41" s="275">
        <v>15</v>
      </c>
      <c r="B41" s="276" t="s">
        <v>496</v>
      </c>
      <c r="C41" s="293">
        <f>C20</f>
        <v>96042056.63315475</v>
      </c>
      <c r="D41" s="277">
        <f>C41/$C$44</f>
        <v>0.27787292444688122</v>
      </c>
      <c r="E41" s="299">
        <f t="shared" ref="E41:E43" si="10">D41*E$44</f>
        <v>13777.550914510117</v>
      </c>
      <c r="F41" s="300">
        <f>F20</f>
        <v>9952828.3076364025</v>
      </c>
      <c r="G41" s="294">
        <f t="shared" ref="G41:G43" si="11">IF(E41=0,0,E41/F41)</f>
        <v>1.3842849980582061E-3</v>
      </c>
    </row>
    <row r="42" spans="1:9" ht="15.75" customHeight="1">
      <c r="A42" s="275">
        <v>16</v>
      </c>
      <c r="B42" s="276" t="s">
        <v>453</v>
      </c>
      <c r="C42" s="293">
        <f>C21</f>
        <v>11816427.493941773</v>
      </c>
      <c r="D42" s="277">
        <f t="shared" ref="D42:D43" si="12">C42/$C$44</f>
        <v>3.4187785844671768E-2</v>
      </c>
      <c r="E42" s="299">
        <f t="shared" si="10"/>
        <v>1695.1056353076799</v>
      </c>
      <c r="F42" s="300">
        <f>F21</f>
        <v>2009575.3421721507</v>
      </c>
      <c r="G42" s="294">
        <f t="shared" si="11"/>
        <v>8.4351434839732831E-4</v>
      </c>
    </row>
    <row r="43" spans="1:9" ht="15.75" customHeight="1">
      <c r="A43" s="275">
        <v>17</v>
      </c>
      <c r="B43" s="276" t="s">
        <v>454</v>
      </c>
      <c r="C43" s="301">
        <f>C22</f>
        <v>6552692.7436461346</v>
      </c>
      <c r="D43" s="281">
        <f t="shared" si="12"/>
        <v>1.8958526707041005E-2</v>
      </c>
      <c r="E43" s="302">
        <f t="shared" si="10"/>
        <v>940.00546289384602</v>
      </c>
      <c r="F43" s="303">
        <f>F22</f>
        <v>13291726.750302574</v>
      </c>
      <c r="G43" s="294">
        <f t="shared" si="11"/>
        <v>7.0721094448653762E-5</v>
      </c>
    </row>
    <row r="44" spans="1:9" ht="16.5" customHeight="1" thickBot="1">
      <c r="A44" s="283">
        <v>18</v>
      </c>
      <c r="B44" s="284" t="s">
        <v>3</v>
      </c>
      <c r="C44" s="285">
        <f>SUM(C40:C43)</f>
        <v>345633014.89100051</v>
      </c>
      <c r="D44" s="286">
        <f>SUM(D40:D43)</f>
        <v>1</v>
      </c>
      <c r="E44" s="357">
        <f>'OU Collection'!G44</f>
        <v>49582.199999999866</v>
      </c>
      <c r="F44" s="287">
        <f>SUM(F40:F43)</f>
        <v>44598595.29995995</v>
      </c>
      <c r="G44" s="462"/>
    </row>
    <row r="45" spans="1:9" ht="15.75" customHeight="1" thickTop="1"/>
  </sheetData>
  <printOptions horizontalCentered="1"/>
  <pageMargins left="0.5" right="0.5" top="1" bottom="0.75" header="0.3" footer="0.3"/>
  <pageSetup scale="55" orientation="landscape" r:id="rId1"/>
  <headerFooter scaleWithDoc="0" alignWithMargins="0">
    <oddFooter>&amp;R&amp;"Times New Roman,Bold"Exhibit 2
Page 1 of 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6A51-FCA5-4448-889F-460430BC9084}">
  <sheetPr>
    <pageSetUpPr fitToPage="1"/>
  </sheetPr>
  <dimension ref="A1:Y87"/>
  <sheetViews>
    <sheetView zoomScale="85" zoomScaleNormal="85" workbookViewId="0"/>
  </sheetViews>
  <sheetFormatPr defaultColWidth="9.21875" defaultRowHeight="13.2"/>
  <cols>
    <col min="1" max="1" width="5.21875" style="52" customWidth="1"/>
    <col min="2" max="2" width="3.21875" style="52" customWidth="1"/>
    <col min="3" max="3" width="11.77734375" style="52" customWidth="1"/>
    <col min="4" max="4" width="11.77734375" style="52" hidden="1" customWidth="1"/>
    <col min="5" max="5" width="8.88671875" style="52" bestFit="1" customWidth="1"/>
    <col min="6" max="6" width="1.21875" style="52" customWidth="1"/>
    <col min="7" max="7" width="6.21875" style="52" bestFit="1" customWidth="1"/>
    <col min="8" max="8" width="14.21875" style="52" customWidth="1"/>
    <col min="9" max="9" width="15" style="52" bestFit="1" customWidth="1"/>
    <col min="10" max="10" width="13.77734375" style="52" bestFit="1" customWidth="1"/>
    <col min="11" max="11" width="14.44140625" style="52" bestFit="1" customWidth="1"/>
    <col min="12" max="12" width="13.77734375" style="52" bestFit="1" customWidth="1"/>
    <col min="13" max="13" width="11.5546875" style="52" bestFit="1" customWidth="1"/>
    <col min="14" max="14" width="10.77734375" style="52" customWidth="1"/>
    <col min="15" max="15" width="11.44140625" style="52" customWidth="1"/>
    <col min="16" max="16" width="11.21875" style="52" customWidth="1"/>
    <col min="17" max="17" width="14.77734375" style="52" customWidth="1"/>
    <col min="18" max="18" width="12" style="52" customWidth="1"/>
    <col min="19" max="19" width="9.21875" style="52"/>
    <col min="20" max="20" width="13.77734375" style="52" customWidth="1"/>
    <col min="21" max="23" width="9.21875" style="52"/>
    <col min="24" max="24" width="11.77734375" style="52" customWidth="1"/>
    <col min="25" max="16384" width="9.21875" style="52"/>
  </cols>
  <sheetData>
    <row r="1" spans="1:25" ht="17.399999999999999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5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5" ht="17.399999999999999">
      <c r="A3" s="192" t="s">
        <v>609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5">
      <c r="A4" s="53"/>
    </row>
    <row r="6" spans="1:25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5" ht="26.4">
      <c r="A7" s="54"/>
      <c r="B7" s="54"/>
      <c r="C7" s="55"/>
      <c r="D7" s="54" t="s">
        <v>25</v>
      </c>
      <c r="E7" s="528" t="s">
        <v>614</v>
      </c>
      <c r="F7" s="54"/>
      <c r="G7" s="54"/>
      <c r="H7" s="54">
        <v>2020</v>
      </c>
      <c r="I7" s="54"/>
      <c r="J7" s="54" t="s">
        <v>35</v>
      </c>
      <c r="K7" s="54"/>
      <c r="L7" s="54"/>
      <c r="M7" s="55" t="s">
        <v>181</v>
      </c>
      <c r="N7" s="55" t="s">
        <v>182</v>
      </c>
      <c r="O7" s="55" t="s">
        <v>187</v>
      </c>
      <c r="P7" s="55" t="s">
        <v>189</v>
      </c>
      <c r="Q7" s="54" t="s">
        <v>41</v>
      </c>
      <c r="R7" s="55" t="s">
        <v>164</v>
      </c>
      <c r="S7" s="55"/>
      <c r="T7" s="55" t="s">
        <v>236</v>
      </c>
    </row>
    <row r="8" spans="1:25">
      <c r="A8" s="54" t="s">
        <v>4</v>
      </c>
      <c r="B8" s="54"/>
      <c r="C8" s="54"/>
      <c r="D8" s="54" t="s">
        <v>26</v>
      </c>
      <c r="E8" s="529" t="s">
        <v>615</v>
      </c>
      <c r="F8" s="54"/>
      <c r="G8" s="54"/>
      <c r="H8" s="54" t="s">
        <v>31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188</v>
      </c>
      <c r="P8" s="54" t="s">
        <v>190</v>
      </c>
      <c r="Q8" s="54" t="s">
        <v>40</v>
      </c>
      <c r="R8" s="54" t="s">
        <v>237</v>
      </c>
      <c r="S8" s="54" t="s">
        <v>164</v>
      </c>
      <c r="T8" s="54" t="s">
        <v>40</v>
      </c>
    </row>
    <row r="9" spans="1:25">
      <c r="A9" s="459" t="s">
        <v>5</v>
      </c>
      <c r="B9" s="459"/>
      <c r="C9" s="459"/>
      <c r="D9" s="459" t="s">
        <v>2</v>
      </c>
      <c r="E9" s="530" t="s">
        <v>616</v>
      </c>
      <c r="F9" s="459"/>
      <c r="G9" s="459" t="s">
        <v>108</v>
      </c>
      <c r="H9" s="459" t="s">
        <v>20</v>
      </c>
      <c r="I9" s="459" t="s">
        <v>0</v>
      </c>
      <c r="J9" s="459" t="s">
        <v>37</v>
      </c>
      <c r="K9" s="459" t="s">
        <v>0</v>
      </c>
      <c r="L9" s="459" t="s">
        <v>39</v>
      </c>
      <c r="M9" s="56" t="s">
        <v>348</v>
      </c>
      <c r="N9" s="56" t="s">
        <v>186</v>
      </c>
      <c r="O9" s="56" t="s">
        <v>348</v>
      </c>
      <c r="P9" s="56" t="s">
        <v>12</v>
      </c>
      <c r="Q9" s="459" t="s">
        <v>42</v>
      </c>
      <c r="R9" s="56" t="s">
        <v>238</v>
      </c>
      <c r="S9" s="56" t="s">
        <v>239</v>
      </c>
      <c r="T9" s="459" t="s">
        <v>42</v>
      </c>
    </row>
    <row r="10" spans="1:25">
      <c r="C10" s="57"/>
      <c r="D10" s="57" t="s">
        <v>71</v>
      </c>
      <c r="E10" s="531"/>
      <c r="F10" s="58"/>
      <c r="G10" s="58"/>
      <c r="H10" s="532" t="s">
        <v>166</v>
      </c>
    </row>
    <row r="11" spans="1:25">
      <c r="A11" s="52">
        <v>1</v>
      </c>
      <c r="C11" s="57" t="s">
        <v>70</v>
      </c>
      <c r="D11" s="59"/>
      <c r="E11" s="531"/>
      <c r="H11" s="27">
        <f>SUM('2020 Capital Budget'!R16:R19,'2020 Capital Budget'!R22:R24,'2020 Capital Budget'!R28)</f>
        <v>44456280.680000007</v>
      </c>
      <c r="I11" s="27"/>
    </row>
    <row r="12" spans="1:25">
      <c r="A12" s="52">
        <v>2</v>
      </c>
      <c r="C12" s="57" t="s">
        <v>74</v>
      </c>
      <c r="D12" s="59"/>
      <c r="E12" s="531"/>
      <c r="H12" s="232">
        <v>0</v>
      </c>
    </row>
    <row r="13" spans="1:25">
      <c r="A13" s="52">
        <v>3</v>
      </c>
      <c r="C13" s="57" t="s">
        <v>185</v>
      </c>
      <c r="D13" s="59"/>
      <c r="E13" s="531"/>
      <c r="H13" s="232">
        <v>0</v>
      </c>
    </row>
    <row r="14" spans="1:25">
      <c r="C14" s="59"/>
      <c r="E14" s="532"/>
      <c r="V14" s="50"/>
      <c r="W14" s="50"/>
      <c r="X14" s="50"/>
      <c r="Y14" s="50"/>
    </row>
    <row r="15" spans="1:25">
      <c r="C15" s="529" t="s">
        <v>620</v>
      </c>
      <c r="E15" s="533"/>
      <c r="H15" s="196"/>
      <c r="I15" s="196"/>
      <c r="J15" s="196"/>
      <c r="K15" s="245"/>
      <c r="V15" s="50"/>
      <c r="W15" s="50"/>
      <c r="X15" s="50"/>
      <c r="Y15" s="50"/>
    </row>
    <row r="16" spans="1:25">
      <c r="C16" s="529" t="s">
        <v>621</v>
      </c>
      <c r="E16" s="533"/>
      <c r="H16" s="532" t="s">
        <v>166</v>
      </c>
      <c r="P16" s="232">
        <v>0</v>
      </c>
      <c r="Q16" s="232">
        <f>P16</f>
        <v>0</v>
      </c>
      <c r="T16" s="232">
        <f>Q16</f>
        <v>0</v>
      </c>
      <c r="V16" s="50"/>
      <c r="W16" s="50"/>
      <c r="X16" s="50"/>
      <c r="Y16" s="50"/>
    </row>
    <row r="17" spans="1:25">
      <c r="A17" s="52">
        <f>A13+1</f>
        <v>4</v>
      </c>
      <c r="C17" s="61">
        <v>3.7499999999999999E-2</v>
      </c>
      <c r="D17" s="61">
        <v>0.05</v>
      </c>
      <c r="E17" s="534">
        <v>1</v>
      </c>
      <c r="G17" s="52">
        <v>1</v>
      </c>
      <c r="H17" s="232">
        <f>(('202001 Bk Depr'!$L$14-(1/12*$H$13))*$C$17)+(1/12*$H$13)</f>
        <v>0</v>
      </c>
      <c r="I17" s="232">
        <f t="shared" ref="I17:I28" si="0">SUM(H17:H17)</f>
        <v>0</v>
      </c>
      <c r="J17" s="232">
        <v>0</v>
      </c>
      <c r="K17" s="232">
        <f>'202001 Bk Depr'!P14</f>
        <v>0</v>
      </c>
      <c r="L17" s="232">
        <f t="shared" ref="L17:L28" si="1">I17+J17-K17</f>
        <v>0</v>
      </c>
      <c r="M17" s="232">
        <f t="shared" ref="M17:M22" si="2">L17*0.21</f>
        <v>0</v>
      </c>
      <c r="N17" s="232">
        <f t="shared" ref="N17:N28" si="3">M58</f>
        <v>0</v>
      </c>
      <c r="O17" s="232">
        <f t="shared" ref="O17:O22" si="4">-N17*0.21</f>
        <v>0</v>
      </c>
      <c r="P17" s="27"/>
      <c r="Q17" s="232">
        <f t="shared" ref="Q17:Q28" si="5">Q16+M17+N17+O17+P17</f>
        <v>0</v>
      </c>
      <c r="R17" s="232">
        <f>Q17-Q16</f>
        <v>0</v>
      </c>
      <c r="S17" s="248" t="s">
        <v>573</v>
      </c>
      <c r="T17" s="232">
        <f>T16+R17*336/366</f>
        <v>0</v>
      </c>
      <c r="W17" s="50"/>
      <c r="X17" s="51"/>
      <c r="Y17" s="50"/>
    </row>
    <row r="18" spans="1:25">
      <c r="A18" s="52">
        <f>A17+1</f>
        <v>5</v>
      </c>
      <c r="C18" s="61">
        <v>7.2190000000000004E-2</v>
      </c>
      <c r="D18" s="61">
        <v>9.5000000000000001E-2</v>
      </c>
      <c r="E18" s="534">
        <v>2</v>
      </c>
      <c r="G18" s="52">
        <v>2</v>
      </c>
      <c r="H18" s="232">
        <f>(('202002 Bk Depr'!$L$14-(1/12*$H$13))*$C$17)+(1/12*$H$13)</f>
        <v>0</v>
      </c>
      <c r="I18" s="232">
        <f t="shared" si="0"/>
        <v>0</v>
      </c>
      <c r="J18" s="232">
        <v>0</v>
      </c>
      <c r="K18" s="232">
        <f>'202002 Bk Depr'!P14</f>
        <v>0</v>
      </c>
      <c r="L18" s="232">
        <f t="shared" si="1"/>
        <v>0</v>
      </c>
      <c r="M18" s="232">
        <f t="shared" si="2"/>
        <v>0</v>
      </c>
      <c r="N18" s="232">
        <f t="shared" si="3"/>
        <v>0</v>
      </c>
      <c r="O18" s="232">
        <f t="shared" si="4"/>
        <v>0</v>
      </c>
      <c r="P18" s="27"/>
      <c r="Q18" s="232">
        <f t="shared" si="5"/>
        <v>0</v>
      </c>
      <c r="R18" s="232">
        <f t="shared" ref="R18:R28" si="6">Q18-Q17</f>
        <v>0</v>
      </c>
      <c r="S18" s="248" t="s">
        <v>563</v>
      </c>
      <c r="T18" s="232">
        <f>T17+R18*307/366</f>
        <v>0</v>
      </c>
      <c r="W18" s="50"/>
      <c r="X18" s="51"/>
      <c r="Y18" s="50"/>
    </row>
    <row r="19" spans="1:25">
      <c r="A19" s="52">
        <f t="shared" ref="A19:A44" si="7">A18+1</f>
        <v>6</v>
      </c>
      <c r="C19" s="61">
        <v>6.6769999999999996E-2</v>
      </c>
      <c r="D19" s="61">
        <v>8.5500000000000007E-2</v>
      </c>
      <c r="E19" s="534">
        <v>3</v>
      </c>
      <c r="G19" s="52">
        <v>3</v>
      </c>
      <c r="H19" s="232">
        <f>(('202003 Bk Depr'!$L$14-(1/12*$H$13))*$C$17)+(1/12*$H$13)</f>
        <v>0</v>
      </c>
      <c r="I19" s="232">
        <f t="shared" si="0"/>
        <v>0</v>
      </c>
      <c r="J19" s="232">
        <v>0</v>
      </c>
      <c r="K19" s="232">
        <f>'202003 Bk Depr'!P14</f>
        <v>0</v>
      </c>
      <c r="L19" s="232">
        <f t="shared" si="1"/>
        <v>0</v>
      </c>
      <c r="M19" s="232">
        <f t="shared" si="2"/>
        <v>0</v>
      </c>
      <c r="N19" s="232">
        <f t="shared" si="3"/>
        <v>0</v>
      </c>
      <c r="O19" s="232">
        <f t="shared" si="4"/>
        <v>0</v>
      </c>
      <c r="P19" s="27"/>
      <c r="Q19" s="232">
        <f t="shared" si="5"/>
        <v>0</v>
      </c>
      <c r="R19" s="232">
        <f t="shared" si="6"/>
        <v>0</v>
      </c>
      <c r="S19" s="248" t="s">
        <v>564</v>
      </c>
      <c r="T19" s="232">
        <f>T18+R19*276/366</f>
        <v>0</v>
      </c>
      <c r="W19" s="50"/>
      <c r="X19" s="51"/>
      <c r="Y19" s="50"/>
    </row>
    <row r="20" spans="1:25">
      <c r="A20" s="52">
        <f t="shared" si="7"/>
        <v>7</v>
      </c>
      <c r="C20" s="61">
        <v>6.1769999999999999E-2</v>
      </c>
      <c r="D20" s="61">
        <v>7.6999999999999999E-2</v>
      </c>
      <c r="E20" s="534">
        <v>4</v>
      </c>
      <c r="G20" s="52">
        <v>4</v>
      </c>
      <c r="H20" s="232">
        <f>(('202004 Bk Depr'!$L$14-(1/12*$H$13))*$C$17)+(1/12*$H$13)</f>
        <v>0</v>
      </c>
      <c r="I20" s="232">
        <f t="shared" si="0"/>
        <v>0</v>
      </c>
      <c r="J20" s="232">
        <v>0</v>
      </c>
      <c r="K20" s="232">
        <f>'202004 Bk Depr'!P14</f>
        <v>0</v>
      </c>
      <c r="L20" s="232">
        <f t="shared" si="1"/>
        <v>0</v>
      </c>
      <c r="M20" s="232">
        <f t="shared" si="2"/>
        <v>0</v>
      </c>
      <c r="N20" s="232">
        <f t="shared" si="3"/>
        <v>0</v>
      </c>
      <c r="O20" s="232">
        <f t="shared" si="4"/>
        <v>0</v>
      </c>
      <c r="P20" s="27"/>
      <c r="Q20" s="232">
        <f t="shared" si="5"/>
        <v>0</v>
      </c>
      <c r="R20" s="232">
        <f t="shared" si="6"/>
        <v>0</v>
      </c>
      <c r="S20" s="248" t="s">
        <v>565</v>
      </c>
      <c r="T20" s="232">
        <f>T19+R20*246/366</f>
        <v>0</v>
      </c>
      <c r="W20" s="153"/>
      <c r="X20" s="51"/>
      <c r="Y20" s="50"/>
    </row>
    <row r="21" spans="1:25">
      <c r="A21" s="52">
        <f t="shared" si="7"/>
        <v>8</v>
      </c>
      <c r="C21" s="61">
        <v>5.713E-2</v>
      </c>
      <c r="D21" s="61">
        <v>6.93E-2</v>
      </c>
      <c r="E21" s="534">
        <v>5</v>
      </c>
      <c r="G21" s="52">
        <v>5</v>
      </c>
      <c r="H21" s="27">
        <f>(('202005 Bk Depr'!$L$14-(1/12*$H$13))*$C$17)+(1/12*$H$13)</f>
        <v>986983.7096249999</v>
      </c>
      <c r="I21" s="232">
        <f t="shared" si="0"/>
        <v>986983.7096249999</v>
      </c>
      <c r="J21" s="232">
        <v>0</v>
      </c>
      <c r="K21" s="232">
        <f>'202005 Bk Depr'!P14</f>
        <v>22481.295608124998</v>
      </c>
      <c r="L21" s="232">
        <f t="shared" si="1"/>
        <v>964502.41401687486</v>
      </c>
      <c r="M21" s="232">
        <f t="shared" si="2"/>
        <v>202545.5069435437</v>
      </c>
      <c r="N21" s="232">
        <f t="shared" si="3"/>
        <v>48225.120700843749</v>
      </c>
      <c r="O21" s="232">
        <f t="shared" si="4"/>
        <v>-10127.275347177187</v>
      </c>
      <c r="P21" s="27"/>
      <c r="Q21" s="232">
        <f t="shared" si="5"/>
        <v>240643.35229721025</v>
      </c>
      <c r="R21" s="232">
        <f t="shared" si="6"/>
        <v>240643.35229721025</v>
      </c>
      <c r="S21" s="248" t="s">
        <v>566</v>
      </c>
      <c r="T21" s="232">
        <f>T20+R21*215/366</f>
        <v>141361.53208715902</v>
      </c>
      <c r="W21" s="50"/>
      <c r="X21" s="51"/>
      <c r="Y21" s="50"/>
    </row>
    <row r="22" spans="1:25">
      <c r="A22" s="52">
        <f t="shared" si="7"/>
        <v>9</v>
      </c>
      <c r="C22" s="61">
        <v>5.2850000000000001E-2</v>
      </c>
      <c r="D22" s="61">
        <v>6.2300000000000001E-2</v>
      </c>
      <c r="E22" s="534">
        <v>6</v>
      </c>
      <c r="G22" s="52">
        <v>6</v>
      </c>
      <c r="H22" s="27">
        <f>(('202006 Bk Depr'!$L$14-(1/12*$H$13))*$C$17)+(1/12*$H$13)</f>
        <v>5156.0557500000004</v>
      </c>
      <c r="I22" s="232">
        <f t="shared" si="0"/>
        <v>5156.0557500000004</v>
      </c>
      <c r="J22" s="232">
        <v>0</v>
      </c>
      <c r="K22" s="232">
        <f>'202006 Bk Depr'!P14</f>
        <v>45080.034708333325</v>
      </c>
      <c r="L22" s="232">
        <f t="shared" si="1"/>
        <v>-39923.978958333326</v>
      </c>
      <c r="M22" s="232">
        <f t="shared" si="2"/>
        <v>-8384.0355812499984</v>
      </c>
      <c r="N22" s="232">
        <f t="shared" si="3"/>
        <v>-1996.1989479166664</v>
      </c>
      <c r="O22" s="232">
        <f t="shared" si="4"/>
        <v>419.20177906249995</v>
      </c>
      <c r="P22" s="27"/>
      <c r="Q22" s="232">
        <f t="shared" si="5"/>
        <v>230682.31954710608</v>
      </c>
      <c r="R22" s="232">
        <f t="shared" si="6"/>
        <v>-9961.0327501041756</v>
      </c>
      <c r="S22" s="248" t="s">
        <v>567</v>
      </c>
      <c r="T22" s="232">
        <f>T21+R22*185/366</f>
        <v>136326.58383915556</v>
      </c>
      <c r="W22" s="50"/>
      <c r="X22" s="50"/>
      <c r="Y22" s="50"/>
    </row>
    <row r="23" spans="1:25">
      <c r="A23" s="52">
        <f t="shared" si="7"/>
        <v>10</v>
      </c>
      <c r="C23" s="61">
        <v>4.888E-2</v>
      </c>
      <c r="D23" s="61">
        <v>5.8999999999999997E-2</v>
      </c>
      <c r="E23" s="534">
        <v>7</v>
      </c>
      <c r="G23" s="52">
        <v>7</v>
      </c>
      <c r="H23" s="27">
        <f>(('202007 Bk Depr'!$L$14-(1/12*$H$13))*$C$17)+(1/12*$H$13)</f>
        <v>5156.0557500000004</v>
      </c>
      <c r="I23" s="232">
        <f t="shared" si="0"/>
        <v>5156.0557500000004</v>
      </c>
      <c r="J23" s="232">
        <v>0</v>
      </c>
      <c r="K23" s="232">
        <f>'202007 Bk Depr'!P14</f>
        <v>45314.921692499993</v>
      </c>
      <c r="L23" s="232">
        <f t="shared" si="1"/>
        <v>-40158.865942499993</v>
      </c>
      <c r="M23" s="232">
        <f>L23*0.21</f>
        <v>-8433.3618479249981</v>
      </c>
      <c r="N23" s="232">
        <f t="shared" si="3"/>
        <v>-2007.9432971249998</v>
      </c>
      <c r="O23" s="232">
        <f>-N23*0.21</f>
        <v>421.66809239624996</v>
      </c>
      <c r="P23" s="27"/>
      <c r="Q23" s="232">
        <f t="shared" si="5"/>
        <v>220662.68249445234</v>
      </c>
      <c r="R23" s="232">
        <f t="shared" si="6"/>
        <v>-10019.637052653736</v>
      </c>
      <c r="S23" s="248" t="s">
        <v>568</v>
      </c>
      <c r="T23" s="232">
        <f>T22+R23*154/366</f>
        <v>132110.67098093513</v>
      </c>
      <c r="W23" s="50"/>
      <c r="X23" s="50"/>
      <c r="Y23" s="50"/>
    </row>
    <row r="24" spans="1:25">
      <c r="A24" s="52">
        <f t="shared" si="7"/>
        <v>11</v>
      </c>
      <c r="C24" s="61">
        <v>4.5220000000000003E-2</v>
      </c>
      <c r="D24" s="61">
        <v>5.8999999999999997E-2</v>
      </c>
      <c r="E24" s="534">
        <v>8</v>
      </c>
      <c r="G24" s="52">
        <v>8</v>
      </c>
      <c r="H24" s="27">
        <f>(('202008 Bk Depr'!$L$14-(1/12*$H$13))*$C$17)+(1/12*$H$13)</f>
        <v>4931.0557500000004</v>
      </c>
      <c r="I24" s="232">
        <f t="shared" si="0"/>
        <v>4931.0557500000004</v>
      </c>
      <c r="J24" s="232">
        <v>0</v>
      </c>
      <c r="K24" s="232">
        <f>'202008 Bk Depr'!P14</f>
        <v>45544.68367666666</v>
      </c>
      <c r="L24" s="232">
        <f t="shared" si="1"/>
        <v>-40613.627926666661</v>
      </c>
      <c r="M24" s="232">
        <f t="shared" ref="M24:M28" si="8">L24*0.21</f>
        <v>-8528.8618645999977</v>
      </c>
      <c r="N24" s="232">
        <f t="shared" si="3"/>
        <v>-2030.6813963333332</v>
      </c>
      <c r="O24" s="232">
        <f t="shared" ref="O24:O28" si="9">-N24*0.21</f>
        <v>426.44309322999993</v>
      </c>
      <c r="P24" s="27"/>
      <c r="Q24" s="232">
        <f t="shared" si="5"/>
        <v>210529.58232674899</v>
      </c>
      <c r="R24" s="232">
        <f t="shared" si="6"/>
        <v>-10133.100167703349</v>
      </c>
      <c r="S24" s="248" t="s">
        <v>569</v>
      </c>
      <c r="T24" s="232">
        <f>T23+R24*123/366</f>
        <v>128705.28485900204</v>
      </c>
      <c r="W24" s="50"/>
      <c r="X24" s="50"/>
      <c r="Y24" s="50"/>
    </row>
    <row r="25" spans="1:25">
      <c r="A25" s="52">
        <f t="shared" si="7"/>
        <v>12</v>
      </c>
      <c r="C25" s="61">
        <v>4.462E-2</v>
      </c>
      <c r="D25" s="61">
        <v>5.91E-2</v>
      </c>
      <c r="E25" s="534">
        <v>9</v>
      </c>
      <c r="G25" s="52">
        <v>9</v>
      </c>
      <c r="H25" s="27">
        <f>(('202009 Bk Depr'!$L$14-(1/12*$H$13))*$C$17)+(1/12*$H$13)</f>
        <v>4437.0074999999997</v>
      </c>
      <c r="I25" s="232">
        <f t="shared" si="0"/>
        <v>4437.0074999999997</v>
      </c>
      <c r="J25" s="232">
        <v>0</v>
      </c>
      <c r="K25" s="232">
        <f>'202009 Bk Depr'!P14</f>
        <v>45758.067339583329</v>
      </c>
      <c r="L25" s="232">
        <f t="shared" si="1"/>
        <v>-41321.059839583329</v>
      </c>
      <c r="M25" s="232">
        <f t="shared" si="8"/>
        <v>-8677.422566312498</v>
      </c>
      <c r="N25" s="232">
        <f t="shared" si="3"/>
        <v>-2066.0529919791666</v>
      </c>
      <c r="O25" s="232">
        <f t="shared" si="9"/>
        <v>433.87112831562496</v>
      </c>
      <c r="P25" s="27"/>
      <c r="Q25" s="232">
        <f t="shared" si="5"/>
        <v>200219.97789677294</v>
      </c>
      <c r="R25" s="232">
        <f t="shared" si="6"/>
        <v>-10309.604429976054</v>
      </c>
      <c r="S25" s="248" t="s">
        <v>570</v>
      </c>
      <c r="T25" s="232">
        <f>T24+R25*93/366</f>
        <v>126085.631274336</v>
      </c>
    </row>
    <row r="26" spans="1:25">
      <c r="A26" s="52">
        <f t="shared" si="7"/>
        <v>13</v>
      </c>
      <c r="C26" s="61">
        <v>4.4609999999999997E-2</v>
      </c>
      <c r="D26" s="61">
        <v>5.8999999999999997E-2</v>
      </c>
      <c r="E26" s="534">
        <v>10</v>
      </c>
      <c r="G26" s="52">
        <v>10</v>
      </c>
      <c r="H26" s="27">
        <f>(('202010 Bk Depr'!$L$14-(1/12*$H$13))*$C$17)+(1/12*$H$13)</f>
        <v>2115121.0181249999</v>
      </c>
      <c r="I26" s="232">
        <f t="shared" si="0"/>
        <v>2115121.0181249999</v>
      </c>
      <c r="J26" s="232">
        <v>0</v>
      </c>
      <c r="K26" s="232">
        <f>'202010 Bk Depr'!P14</f>
        <v>94036.889034374995</v>
      </c>
      <c r="L26" s="232">
        <f t="shared" si="1"/>
        <v>2021084.1290906249</v>
      </c>
      <c r="M26" s="232">
        <f t="shared" si="8"/>
        <v>424427.66710903123</v>
      </c>
      <c r="N26" s="232">
        <f t="shared" si="3"/>
        <v>101054.20645453125</v>
      </c>
      <c r="O26" s="232">
        <f t="shared" si="9"/>
        <v>-21221.383355451562</v>
      </c>
      <c r="P26" s="27"/>
      <c r="Q26" s="232">
        <f t="shared" si="5"/>
        <v>704480.46810488391</v>
      </c>
      <c r="R26" s="232">
        <f t="shared" si="6"/>
        <v>504260.490208111</v>
      </c>
      <c r="S26" s="248" t="s">
        <v>571</v>
      </c>
      <c r="T26" s="232">
        <f>T25+R26*62/366</f>
        <v>211506.80721122911</v>
      </c>
    </row>
    <row r="27" spans="1:25">
      <c r="A27" s="52">
        <f t="shared" si="7"/>
        <v>14</v>
      </c>
      <c r="C27" s="61">
        <v>4.462E-2</v>
      </c>
      <c r="D27" s="61">
        <v>5.91E-2</v>
      </c>
      <c r="E27" s="534">
        <v>11</v>
      </c>
      <c r="G27" s="52">
        <v>11</v>
      </c>
      <c r="H27" s="27">
        <f>(('202011 Bk Depr'!$L$14-(1/12*$H$13))*$C$17)+(1/12*$H$13)</f>
        <v>140402.77687499998</v>
      </c>
      <c r="I27" s="232">
        <f t="shared" si="0"/>
        <v>140402.77687499998</v>
      </c>
      <c r="J27" s="232">
        <v>0</v>
      </c>
      <c r="K27" s="232">
        <f>'202011 Bk Depr'!P14</f>
        <v>145412.70880937501</v>
      </c>
      <c r="L27" s="232">
        <f t="shared" si="1"/>
        <v>-5009.9319343750249</v>
      </c>
      <c r="M27" s="232">
        <f t="shared" si="8"/>
        <v>-1052.0857062187551</v>
      </c>
      <c r="N27" s="232">
        <f t="shared" si="3"/>
        <v>-250.49659671875125</v>
      </c>
      <c r="O27" s="232">
        <f t="shared" si="9"/>
        <v>52.604285310937762</v>
      </c>
      <c r="P27" s="27"/>
      <c r="Q27" s="232">
        <f t="shared" si="5"/>
        <v>703230.49008725735</v>
      </c>
      <c r="R27" s="232">
        <f t="shared" si="6"/>
        <v>-1249.9780176265631</v>
      </c>
      <c r="S27" s="248" t="s">
        <v>572</v>
      </c>
      <c r="T27" s="232">
        <f>T26+R27*32/366</f>
        <v>211397.51951569892</v>
      </c>
    </row>
    <row r="28" spans="1:25">
      <c r="A28" s="52">
        <f t="shared" si="7"/>
        <v>15</v>
      </c>
      <c r="C28" s="61">
        <v>4.4609999999999997E-2</v>
      </c>
      <c r="D28" s="61">
        <v>5.8999999999999997E-2</v>
      </c>
      <c r="E28" s="534">
        <v>12</v>
      </c>
      <c r="G28" s="52">
        <v>12</v>
      </c>
      <c r="H28" s="27">
        <f>(('202012 Bk Depr'!$L$14-(1/12*$H$13))*$C$17)+(1/12*$H$13)</f>
        <v>33106.409250000004</v>
      </c>
      <c r="I28" s="232">
        <f t="shared" si="0"/>
        <v>33106.409250000004</v>
      </c>
      <c r="J28" s="232">
        <v>0</v>
      </c>
      <c r="K28" s="232">
        <f>'202012 Bk Depr'!P14</f>
        <v>149364.86249333335</v>
      </c>
      <c r="L28" s="232">
        <f t="shared" si="1"/>
        <v>-116258.45324333335</v>
      </c>
      <c r="M28" s="232">
        <f t="shared" si="8"/>
        <v>-24414.275181100002</v>
      </c>
      <c r="N28" s="232">
        <f t="shared" si="3"/>
        <v>-5812.9226621666676</v>
      </c>
      <c r="O28" s="232">
        <f t="shared" si="9"/>
        <v>1220.7137590550001</v>
      </c>
      <c r="P28" s="27"/>
      <c r="Q28" s="232">
        <f t="shared" si="5"/>
        <v>674224.00600304571</v>
      </c>
      <c r="R28" s="232">
        <f t="shared" si="6"/>
        <v>-29006.484084211639</v>
      </c>
      <c r="S28" s="248" t="s">
        <v>562</v>
      </c>
      <c r="T28" s="232">
        <f>T27+R28*1/366</f>
        <v>211318.26682694425</v>
      </c>
    </row>
    <row r="29" spans="1:25">
      <c r="A29" s="52">
        <f t="shared" si="7"/>
        <v>16</v>
      </c>
      <c r="C29" s="61">
        <v>4.462E-2</v>
      </c>
      <c r="D29" s="61">
        <v>5.91E-2</v>
      </c>
      <c r="E29" s="534">
        <v>13</v>
      </c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0">IF(O29="","",O29*0.389)</f>
        <v/>
      </c>
      <c r="Q29" s="62"/>
      <c r="T29" s="27"/>
    </row>
    <row r="30" spans="1:25">
      <c r="A30" s="52">
        <f t="shared" si="7"/>
        <v>17</v>
      </c>
      <c r="C30" s="61">
        <v>4.4609999999999997E-2</v>
      </c>
      <c r="D30" s="61">
        <v>5.8999999999999997E-2</v>
      </c>
      <c r="E30" s="534">
        <v>14</v>
      </c>
      <c r="H30" s="27"/>
      <c r="I30" s="27"/>
      <c r="J30" s="27"/>
      <c r="K30" s="27"/>
      <c r="L30" s="27"/>
      <c r="M30" s="27"/>
      <c r="N30" s="27"/>
      <c r="O30" s="27"/>
      <c r="P30" s="27" t="str">
        <f t="shared" si="10"/>
        <v/>
      </c>
      <c r="Q30" s="27" t="str">
        <f t="shared" ref="Q30:Q43" si="11">IF(M30="","",Q29+M30)</f>
        <v/>
      </c>
    </row>
    <row r="31" spans="1:25">
      <c r="A31" s="52">
        <f t="shared" si="7"/>
        <v>18</v>
      </c>
      <c r="C31" s="61">
        <v>4.462E-2</v>
      </c>
      <c r="D31" s="61">
        <v>5.91E-2</v>
      </c>
      <c r="E31" s="534">
        <v>15</v>
      </c>
      <c r="H31" s="27"/>
      <c r="I31" s="27"/>
      <c r="J31" s="27"/>
      <c r="K31" s="27"/>
      <c r="L31" s="27"/>
      <c r="M31" s="27"/>
      <c r="N31" s="27"/>
      <c r="O31" s="27"/>
      <c r="P31" s="27" t="str">
        <f t="shared" si="10"/>
        <v/>
      </c>
      <c r="Q31" s="27" t="str">
        <f t="shared" si="11"/>
        <v/>
      </c>
    </row>
    <row r="32" spans="1:25">
      <c r="A32" s="52">
        <f t="shared" si="7"/>
        <v>19</v>
      </c>
      <c r="C32" s="61">
        <v>4.4609999999999997E-2</v>
      </c>
      <c r="D32" s="61">
        <v>2.9499999999999998E-2</v>
      </c>
      <c r="E32" s="534">
        <v>16</v>
      </c>
      <c r="H32" s="27"/>
      <c r="I32" s="27"/>
      <c r="J32" s="27"/>
      <c r="K32" s="27"/>
      <c r="L32" s="27"/>
      <c r="M32" s="27"/>
      <c r="N32" s="27"/>
      <c r="O32" s="27"/>
      <c r="P32" s="27" t="str">
        <f t="shared" si="10"/>
        <v/>
      </c>
      <c r="Q32" s="27" t="str">
        <f t="shared" si="11"/>
        <v/>
      </c>
    </row>
    <row r="33" spans="1:17">
      <c r="A33" s="52">
        <f t="shared" si="7"/>
        <v>20</v>
      </c>
      <c r="C33" s="61">
        <v>4.462E-2</v>
      </c>
      <c r="D33" s="61">
        <v>0</v>
      </c>
      <c r="E33" s="534">
        <v>17</v>
      </c>
      <c r="H33" s="27"/>
      <c r="I33" s="27"/>
      <c r="J33" s="27"/>
      <c r="K33" s="27"/>
      <c r="L33" s="27"/>
      <c r="M33" s="27"/>
      <c r="N33" s="27"/>
      <c r="O33" s="27"/>
      <c r="P33" s="27" t="str">
        <f t="shared" si="10"/>
        <v/>
      </c>
      <c r="Q33" s="27" t="str">
        <f t="shared" si="11"/>
        <v/>
      </c>
    </row>
    <row r="34" spans="1:17">
      <c r="A34" s="52">
        <f t="shared" si="7"/>
        <v>21</v>
      </c>
      <c r="C34" s="61">
        <v>4.4609999999999997E-2</v>
      </c>
      <c r="D34" s="61">
        <v>0</v>
      </c>
      <c r="E34" s="534">
        <v>18</v>
      </c>
      <c r="H34" s="27"/>
      <c r="I34" s="27"/>
      <c r="J34" s="27"/>
      <c r="K34" s="27"/>
      <c r="L34" s="27"/>
      <c r="M34" s="27"/>
      <c r="N34" s="27"/>
      <c r="O34" s="27"/>
      <c r="P34" s="27" t="str">
        <f t="shared" si="10"/>
        <v/>
      </c>
      <c r="Q34" s="27" t="str">
        <f t="shared" si="11"/>
        <v/>
      </c>
    </row>
    <row r="35" spans="1:17">
      <c r="A35" s="52">
        <f t="shared" si="7"/>
        <v>22</v>
      </c>
      <c r="C35" s="61">
        <v>4.462E-2</v>
      </c>
      <c r="D35" s="61">
        <v>0</v>
      </c>
      <c r="E35" s="534">
        <v>19</v>
      </c>
      <c r="H35" s="27"/>
      <c r="I35" s="27"/>
      <c r="J35" s="27"/>
      <c r="K35" s="27"/>
      <c r="L35" s="27"/>
      <c r="M35" s="27"/>
      <c r="N35" s="27"/>
      <c r="O35" s="27"/>
      <c r="P35" s="27" t="str">
        <f t="shared" si="10"/>
        <v/>
      </c>
      <c r="Q35" s="27" t="str">
        <f t="shared" si="11"/>
        <v/>
      </c>
    </row>
    <row r="36" spans="1:17">
      <c r="A36" s="52">
        <f t="shared" si="7"/>
        <v>23</v>
      </c>
      <c r="C36" s="61">
        <v>4.4609999999999997E-2</v>
      </c>
      <c r="D36" s="61">
        <v>0</v>
      </c>
      <c r="E36" s="534">
        <v>20</v>
      </c>
      <c r="H36" s="27"/>
      <c r="I36" s="27"/>
      <c r="J36" s="27"/>
      <c r="K36" s="27"/>
      <c r="L36" s="27"/>
      <c r="M36" s="27"/>
      <c r="N36" s="27"/>
      <c r="O36" s="27"/>
      <c r="P36" s="27" t="str">
        <f t="shared" si="10"/>
        <v/>
      </c>
      <c r="Q36" s="27" t="str">
        <f t="shared" si="11"/>
        <v/>
      </c>
    </row>
    <row r="37" spans="1:17">
      <c r="A37" s="52">
        <f t="shared" si="7"/>
        <v>24</v>
      </c>
      <c r="C37" s="61">
        <v>2.231E-2</v>
      </c>
      <c r="D37" s="61">
        <v>0</v>
      </c>
      <c r="E37" s="534">
        <v>21</v>
      </c>
      <c r="H37" s="27"/>
      <c r="I37" s="27"/>
      <c r="J37" s="27"/>
      <c r="K37" s="27"/>
      <c r="L37" s="27"/>
      <c r="M37" s="27"/>
      <c r="N37" s="27"/>
      <c r="O37" s="27"/>
      <c r="P37" s="27" t="str">
        <f t="shared" si="10"/>
        <v/>
      </c>
      <c r="Q37" s="27" t="str">
        <f t="shared" si="11"/>
        <v/>
      </c>
    </row>
    <row r="38" spans="1:17">
      <c r="A38" s="52">
        <f t="shared" si="7"/>
        <v>25</v>
      </c>
      <c r="C38" s="61">
        <v>0</v>
      </c>
      <c r="D38" s="61">
        <v>0</v>
      </c>
      <c r="E38" s="534">
        <v>22</v>
      </c>
      <c r="H38" s="27"/>
      <c r="I38" s="27"/>
      <c r="J38" s="27"/>
      <c r="K38" s="27"/>
      <c r="L38" s="27"/>
      <c r="M38" s="27"/>
      <c r="N38" s="27"/>
      <c r="O38" s="27"/>
      <c r="P38" s="27" t="str">
        <f t="shared" si="10"/>
        <v/>
      </c>
      <c r="Q38" s="27" t="str">
        <f t="shared" si="11"/>
        <v/>
      </c>
    </row>
    <row r="39" spans="1:17">
      <c r="A39" s="52">
        <f t="shared" si="7"/>
        <v>26</v>
      </c>
      <c r="C39" s="61">
        <v>0</v>
      </c>
      <c r="E39" s="534">
        <v>23</v>
      </c>
      <c r="H39" s="27"/>
      <c r="I39" s="27"/>
      <c r="L39" s="27"/>
      <c r="M39" s="27"/>
      <c r="N39" s="27"/>
      <c r="O39" s="27"/>
      <c r="P39" s="27" t="str">
        <f t="shared" si="10"/>
        <v/>
      </c>
      <c r="Q39" s="27" t="str">
        <f t="shared" si="11"/>
        <v/>
      </c>
    </row>
    <row r="40" spans="1:17">
      <c r="A40" s="52">
        <f t="shared" si="7"/>
        <v>27</v>
      </c>
      <c r="C40" s="61">
        <v>0</v>
      </c>
      <c r="E40" s="534">
        <v>24</v>
      </c>
      <c r="H40" s="27"/>
      <c r="I40" s="27"/>
      <c r="L40" s="27"/>
      <c r="M40" s="27"/>
      <c r="N40" s="27"/>
      <c r="O40" s="27"/>
      <c r="P40" s="27" t="str">
        <f t="shared" si="10"/>
        <v/>
      </c>
      <c r="Q40" s="27" t="str">
        <f t="shared" si="11"/>
        <v/>
      </c>
    </row>
    <row r="41" spans="1:17">
      <c r="A41" s="52">
        <f t="shared" si="7"/>
        <v>28</v>
      </c>
      <c r="C41" s="61">
        <v>0</v>
      </c>
      <c r="E41" s="534">
        <v>25</v>
      </c>
      <c r="H41" s="27"/>
      <c r="I41" s="27"/>
      <c r="L41" s="27"/>
      <c r="M41" s="27"/>
      <c r="N41" s="27"/>
      <c r="O41" s="27"/>
      <c r="P41" s="27" t="str">
        <f t="shared" si="10"/>
        <v/>
      </c>
      <c r="Q41" s="27" t="str">
        <f t="shared" si="11"/>
        <v/>
      </c>
    </row>
    <row r="42" spans="1:17">
      <c r="A42" s="52">
        <f t="shared" si="7"/>
        <v>29</v>
      </c>
      <c r="C42" s="61">
        <v>0</v>
      </c>
      <c r="E42" s="534">
        <v>26</v>
      </c>
      <c r="H42" s="27"/>
      <c r="I42" s="27"/>
      <c r="L42" s="27"/>
      <c r="M42" s="27"/>
      <c r="N42" s="27"/>
      <c r="O42" s="27"/>
      <c r="P42" s="27" t="str">
        <f t="shared" si="10"/>
        <v/>
      </c>
      <c r="Q42" s="27" t="str">
        <f t="shared" si="11"/>
        <v/>
      </c>
    </row>
    <row r="43" spans="1:17">
      <c r="A43" s="52">
        <f t="shared" si="7"/>
        <v>30</v>
      </c>
      <c r="C43" s="61">
        <v>0</v>
      </c>
      <c r="E43" s="534">
        <v>27</v>
      </c>
      <c r="I43" s="27"/>
      <c r="L43" s="27"/>
      <c r="M43" s="27"/>
      <c r="N43" s="27"/>
      <c r="O43" s="27"/>
      <c r="P43" s="27" t="str">
        <f t="shared" si="10"/>
        <v/>
      </c>
      <c r="Q43" s="27" t="str">
        <f t="shared" si="11"/>
        <v/>
      </c>
    </row>
    <row r="44" spans="1:17">
      <c r="A44" s="52">
        <f t="shared" si="7"/>
        <v>31</v>
      </c>
      <c r="E44" s="507"/>
      <c r="H44" s="27">
        <f>SUM(H17:H43)</f>
        <v>3295294.0886249999</v>
      </c>
      <c r="I44" s="27">
        <f t="shared" ref="I44:P44" si="12">SUM(I17:I43)</f>
        <v>3295294.0886249999</v>
      </c>
      <c r="J44" s="232">
        <f t="shared" si="12"/>
        <v>0</v>
      </c>
      <c r="K44" s="27">
        <f t="shared" si="12"/>
        <v>592993.46336229169</v>
      </c>
      <c r="L44" s="27">
        <f t="shared" si="12"/>
        <v>2702300.6252627084</v>
      </c>
      <c r="M44" s="27">
        <f t="shared" si="12"/>
        <v>567483.13130516873</v>
      </c>
      <c r="N44" s="27">
        <f t="shared" si="12"/>
        <v>135115.0312631354</v>
      </c>
      <c r="O44" s="27">
        <f t="shared" si="12"/>
        <v>-28374.156565258436</v>
      </c>
      <c r="P44" s="232">
        <f t="shared" si="12"/>
        <v>0</v>
      </c>
      <c r="Q44" s="27">
        <f>AVERAGE(Q16:Q28)</f>
        <v>244974.83682749828</v>
      </c>
    </row>
    <row r="45" spans="1:17">
      <c r="E45" s="507"/>
      <c r="H45" s="27"/>
      <c r="I45" s="27"/>
      <c r="J45" s="27"/>
      <c r="K45" s="27"/>
      <c r="Q45" s="27"/>
    </row>
    <row r="46" spans="1:17">
      <c r="B46" s="60" t="s">
        <v>166</v>
      </c>
      <c r="C46" s="52" t="s">
        <v>560</v>
      </c>
      <c r="D46" s="246"/>
      <c r="E46" s="507"/>
      <c r="N46" s="48"/>
      <c r="O46" s="48"/>
      <c r="P46" s="48"/>
    </row>
    <row r="47" spans="1:17">
      <c r="A47" s="54"/>
      <c r="B47" s="54"/>
      <c r="C47" s="54"/>
      <c r="D47" s="54" t="s">
        <v>24</v>
      </c>
      <c r="E47" s="506"/>
      <c r="F47" s="54"/>
      <c r="G47" s="54"/>
      <c r="H47" s="54"/>
      <c r="I47" s="54"/>
      <c r="J47" s="54"/>
      <c r="K47" s="54"/>
      <c r="L47" s="54"/>
      <c r="M47" s="54"/>
      <c r="N47" s="49"/>
      <c r="O47" s="49"/>
      <c r="P47" s="49"/>
      <c r="Q47" s="54"/>
    </row>
    <row r="48" spans="1:17" ht="26.4">
      <c r="A48" s="54"/>
      <c r="B48" s="54"/>
      <c r="C48" s="55"/>
      <c r="D48" s="54" t="s">
        <v>25</v>
      </c>
      <c r="E48" s="528" t="s">
        <v>614</v>
      </c>
      <c r="F48" s="54"/>
      <c r="G48" s="54"/>
      <c r="H48" s="54">
        <v>2020</v>
      </c>
      <c r="I48" s="54"/>
      <c r="J48" s="54" t="s">
        <v>35</v>
      </c>
      <c r="K48" s="54"/>
      <c r="L48" s="54"/>
      <c r="M48" s="55" t="s">
        <v>182</v>
      </c>
      <c r="Q48" s="49"/>
    </row>
    <row r="49" spans="1:17">
      <c r="A49" s="54" t="s">
        <v>4</v>
      </c>
      <c r="B49" s="54"/>
      <c r="C49" s="54"/>
      <c r="D49" s="54" t="s">
        <v>26</v>
      </c>
      <c r="E49" s="529" t="s">
        <v>615</v>
      </c>
      <c r="F49" s="54"/>
      <c r="G49" s="54"/>
      <c r="H49" s="54" t="s">
        <v>31</v>
      </c>
      <c r="I49" s="54" t="s">
        <v>34</v>
      </c>
      <c r="J49" s="54" t="s">
        <v>36</v>
      </c>
      <c r="K49" s="54" t="s">
        <v>38</v>
      </c>
      <c r="L49" s="54"/>
      <c r="M49" s="54" t="s">
        <v>34</v>
      </c>
      <c r="Q49" s="49"/>
    </row>
    <row r="50" spans="1:17">
      <c r="A50" s="459" t="s">
        <v>5</v>
      </c>
      <c r="B50" s="459"/>
      <c r="C50" s="459"/>
      <c r="D50" s="459" t="s">
        <v>2</v>
      </c>
      <c r="E50" s="530" t="s">
        <v>616</v>
      </c>
      <c r="F50" s="459"/>
      <c r="G50" s="459" t="s">
        <v>108</v>
      </c>
      <c r="H50" s="459" t="s">
        <v>20</v>
      </c>
      <c r="I50" s="459" t="s">
        <v>0</v>
      </c>
      <c r="J50" s="459" t="s">
        <v>37</v>
      </c>
      <c r="K50" s="459" t="s">
        <v>0</v>
      </c>
      <c r="L50" s="459" t="s">
        <v>39</v>
      </c>
      <c r="M50" s="56" t="s">
        <v>497</v>
      </c>
      <c r="Q50" s="49"/>
    </row>
    <row r="51" spans="1:17">
      <c r="C51" s="57"/>
      <c r="D51" s="57" t="s">
        <v>71</v>
      </c>
      <c r="E51" s="531"/>
      <c r="F51" s="58"/>
      <c r="G51" s="58"/>
      <c r="H51" s="532" t="s">
        <v>166</v>
      </c>
      <c r="Q51" s="50"/>
    </row>
    <row r="52" spans="1:17">
      <c r="A52" s="52">
        <v>1</v>
      </c>
      <c r="C52" s="57" t="s">
        <v>70</v>
      </c>
      <c r="D52" s="59"/>
      <c r="E52" s="531"/>
      <c r="H52" s="27">
        <f>H11</f>
        <v>44456280.680000007</v>
      </c>
      <c r="I52" s="62"/>
      <c r="Q52" s="50"/>
    </row>
    <row r="53" spans="1:17">
      <c r="A53" s="52">
        <v>2</v>
      </c>
      <c r="C53" s="57" t="s">
        <v>74</v>
      </c>
      <c r="D53" s="59"/>
      <c r="E53" s="531"/>
      <c r="H53" s="232">
        <f>H12</f>
        <v>0</v>
      </c>
      <c r="Q53" s="50"/>
    </row>
    <row r="54" spans="1:17">
      <c r="A54" s="52">
        <v>3</v>
      </c>
      <c r="C54" s="57" t="s">
        <v>185</v>
      </c>
      <c r="D54" s="59"/>
      <c r="E54" s="531"/>
      <c r="H54" s="27"/>
      <c r="Q54" s="50"/>
    </row>
    <row r="55" spans="1:17">
      <c r="C55" s="59"/>
      <c r="E55" s="532"/>
      <c r="Q55" s="50"/>
    </row>
    <row r="56" spans="1:17">
      <c r="C56" s="529" t="s">
        <v>620</v>
      </c>
      <c r="E56" s="533"/>
      <c r="H56" s="196"/>
      <c r="I56" s="196"/>
      <c r="J56" s="196"/>
      <c r="K56" s="245"/>
      <c r="Q56" s="50"/>
    </row>
    <row r="57" spans="1:17">
      <c r="C57" s="529" t="s">
        <v>621</v>
      </c>
      <c r="E57" s="533"/>
      <c r="H57" s="532" t="s">
        <v>166</v>
      </c>
      <c r="Q57" s="51"/>
    </row>
    <row r="58" spans="1:17">
      <c r="A58" s="52">
        <f>A54+1</f>
        <v>4</v>
      </c>
      <c r="C58" s="61">
        <v>3.7499999999999999E-2</v>
      </c>
      <c r="D58" s="61">
        <v>0.05</v>
      </c>
      <c r="E58" s="534">
        <v>1</v>
      </c>
      <c r="G58" s="52">
        <v>1</v>
      </c>
      <c r="H58" s="232">
        <f t="shared" ref="H58:H69" si="13">H17</f>
        <v>0</v>
      </c>
      <c r="I58" s="232">
        <f t="shared" ref="I58:I69" si="14">SUM(H58:H58)</f>
        <v>0</v>
      </c>
      <c r="J58" s="232">
        <f t="shared" ref="J58:K69" si="15">J17</f>
        <v>0</v>
      </c>
      <c r="K58" s="232">
        <f t="shared" si="15"/>
        <v>0</v>
      </c>
      <c r="L58" s="232">
        <f t="shared" ref="L58:L69" si="16">I58+J58-K58</f>
        <v>0</v>
      </c>
      <c r="M58" s="232">
        <f>L58*0.05</f>
        <v>0</v>
      </c>
      <c r="Q58" s="51"/>
    </row>
    <row r="59" spans="1:17">
      <c r="A59" s="52">
        <f>A58+1</f>
        <v>5</v>
      </c>
      <c r="C59" s="61">
        <v>7.2190000000000004E-2</v>
      </c>
      <c r="D59" s="61">
        <v>9.5000000000000001E-2</v>
      </c>
      <c r="E59" s="534">
        <v>2</v>
      </c>
      <c r="G59" s="52">
        <v>2</v>
      </c>
      <c r="H59" s="232">
        <f t="shared" si="13"/>
        <v>0</v>
      </c>
      <c r="I59" s="232">
        <f t="shared" si="14"/>
        <v>0</v>
      </c>
      <c r="J59" s="232">
        <f t="shared" si="15"/>
        <v>0</v>
      </c>
      <c r="K59" s="232">
        <f t="shared" si="15"/>
        <v>0</v>
      </c>
      <c r="L59" s="232">
        <f t="shared" si="16"/>
        <v>0</v>
      </c>
      <c r="M59" s="232">
        <f t="shared" ref="M59:M69" si="17">L59*0.05</f>
        <v>0</v>
      </c>
      <c r="Q59" s="51"/>
    </row>
    <row r="60" spans="1:17">
      <c r="A60" s="52">
        <f t="shared" ref="A60:A85" si="18">A59+1</f>
        <v>6</v>
      </c>
      <c r="C60" s="61">
        <v>6.6769999999999996E-2</v>
      </c>
      <c r="D60" s="61">
        <v>8.5500000000000007E-2</v>
      </c>
      <c r="E60" s="534">
        <v>3</v>
      </c>
      <c r="G60" s="52">
        <v>3</v>
      </c>
      <c r="H60" s="232">
        <f t="shared" si="13"/>
        <v>0</v>
      </c>
      <c r="I60" s="232">
        <f t="shared" si="14"/>
        <v>0</v>
      </c>
      <c r="J60" s="232">
        <f t="shared" si="15"/>
        <v>0</v>
      </c>
      <c r="K60" s="232">
        <f t="shared" si="15"/>
        <v>0</v>
      </c>
      <c r="L60" s="232">
        <f t="shared" si="16"/>
        <v>0</v>
      </c>
      <c r="M60" s="232">
        <f t="shared" si="17"/>
        <v>0</v>
      </c>
      <c r="Q60" s="51"/>
    </row>
    <row r="61" spans="1:17">
      <c r="A61" s="52">
        <f t="shared" si="18"/>
        <v>7</v>
      </c>
      <c r="C61" s="61">
        <v>6.1769999999999999E-2</v>
      </c>
      <c r="D61" s="61">
        <v>7.6999999999999999E-2</v>
      </c>
      <c r="E61" s="534">
        <v>4</v>
      </c>
      <c r="G61" s="52">
        <v>4</v>
      </c>
      <c r="H61" s="232">
        <f t="shared" si="13"/>
        <v>0</v>
      </c>
      <c r="I61" s="232">
        <f t="shared" si="14"/>
        <v>0</v>
      </c>
      <c r="J61" s="232">
        <f t="shared" si="15"/>
        <v>0</v>
      </c>
      <c r="K61" s="232">
        <f t="shared" si="15"/>
        <v>0</v>
      </c>
      <c r="L61" s="232">
        <f t="shared" si="16"/>
        <v>0</v>
      </c>
      <c r="M61" s="232">
        <f t="shared" si="17"/>
        <v>0</v>
      </c>
      <c r="Q61" s="51"/>
    </row>
    <row r="62" spans="1:17">
      <c r="A62" s="52">
        <f t="shared" si="18"/>
        <v>8</v>
      </c>
      <c r="C62" s="61">
        <v>5.713E-2</v>
      </c>
      <c r="D62" s="61">
        <v>6.93E-2</v>
      </c>
      <c r="E62" s="534">
        <v>5</v>
      </c>
      <c r="G62" s="52">
        <v>5</v>
      </c>
      <c r="H62" s="27">
        <f t="shared" si="13"/>
        <v>986983.7096249999</v>
      </c>
      <c r="I62" s="27">
        <f t="shared" si="14"/>
        <v>986983.7096249999</v>
      </c>
      <c r="J62" s="232">
        <f t="shared" si="15"/>
        <v>0</v>
      </c>
      <c r="K62" s="232">
        <f t="shared" si="15"/>
        <v>22481.295608124998</v>
      </c>
      <c r="L62" s="27">
        <f t="shared" si="16"/>
        <v>964502.41401687486</v>
      </c>
      <c r="M62" s="27">
        <f t="shared" si="17"/>
        <v>48225.120700843749</v>
      </c>
      <c r="Q62" s="51"/>
    </row>
    <row r="63" spans="1:17">
      <c r="A63" s="52">
        <f t="shared" si="18"/>
        <v>9</v>
      </c>
      <c r="C63" s="61">
        <v>5.2850000000000001E-2</v>
      </c>
      <c r="D63" s="61">
        <v>6.2300000000000001E-2</v>
      </c>
      <c r="E63" s="534">
        <v>6</v>
      </c>
      <c r="G63" s="52">
        <v>6</v>
      </c>
      <c r="H63" s="27">
        <f t="shared" si="13"/>
        <v>5156.0557500000004</v>
      </c>
      <c r="I63" s="27">
        <f t="shared" si="14"/>
        <v>5156.0557500000004</v>
      </c>
      <c r="J63" s="232">
        <f t="shared" si="15"/>
        <v>0</v>
      </c>
      <c r="K63" s="232">
        <f t="shared" si="15"/>
        <v>45080.034708333325</v>
      </c>
      <c r="L63" s="27">
        <f t="shared" si="16"/>
        <v>-39923.978958333326</v>
      </c>
      <c r="M63" s="27">
        <f t="shared" si="17"/>
        <v>-1996.1989479166664</v>
      </c>
      <c r="Q63" s="51"/>
    </row>
    <row r="64" spans="1:17">
      <c r="A64" s="52">
        <f t="shared" si="18"/>
        <v>10</v>
      </c>
      <c r="C64" s="61">
        <v>4.888E-2</v>
      </c>
      <c r="D64" s="61">
        <v>5.8999999999999997E-2</v>
      </c>
      <c r="E64" s="534">
        <v>7</v>
      </c>
      <c r="G64" s="52">
        <v>7</v>
      </c>
      <c r="H64" s="27">
        <f t="shared" si="13"/>
        <v>5156.0557500000004</v>
      </c>
      <c r="I64" s="27">
        <f t="shared" si="14"/>
        <v>5156.0557500000004</v>
      </c>
      <c r="J64" s="232">
        <f t="shared" si="15"/>
        <v>0</v>
      </c>
      <c r="K64" s="232">
        <f t="shared" si="15"/>
        <v>45314.921692499993</v>
      </c>
      <c r="L64" s="27">
        <f t="shared" si="16"/>
        <v>-40158.865942499993</v>
      </c>
      <c r="M64" s="27">
        <f t="shared" si="17"/>
        <v>-2007.9432971249998</v>
      </c>
      <c r="Q64" s="51"/>
    </row>
    <row r="65" spans="1:17">
      <c r="A65" s="52">
        <f t="shared" si="18"/>
        <v>11</v>
      </c>
      <c r="C65" s="61">
        <v>4.5220000000000003E-2</v>
      </c>
      <c r="D65" s="61">
        <v>5.8999999999999997E-2</v>
      </c>
      <c r="E65" s="534">
        <v>8</v>
      </c>
      <c r="G65" s="52">
        <v>8</v>
      </c>
      <c r="H65" s="27">
        <f t="shared" si="13"/>
        <v>4931.0557500000004</v>
      </c>
      <c r="I65" s="27">
        <f t="shared" si="14"/>
        <v>4931.0557500000004</v>
      </c>
      <c r="J65" s="232">
        <f t="shared" si="15"/>
        <v>0</v>
      </c>
      <c r="K65" s="232">
        <f t="shared" si="15"/>
        <v>45544.68367666666</v>
      </c>
      <c r="L65" s="27">
        <f t="shared" si="16"/>
        <v>-40613.627926666661</v>
      </c>
      <c r="M65" s="27">
        <f t="shared" si="17"/>
        <v>-2030.6813963333332</v>
      </c>
      <c r="Q65" s="51"/>
    </row>
    <row r="66" spans="1:17">
      <c r="A66" s="52">
        <f t="shared" si="18"/>
        <v>12</v>
      </c>
      <c r="C66" s="61">
        <v>4.462E-2</v>
      </c>
      <c r="D66" s="61">
        <v>5.91E-2</v>
      </c>
      <c r="E66" s="534">
        <v>9</v>
      </c>
      <c r="G66" s="52">
        <v>9</v>
      </c>
      <c r="H66" s="27">
        <f t="shared" si="13"/>
        <v>4437.0074999999997</v>
      </c>
      <c r="I66" s="27">
        <f t="shared" si="14"/>
        <v>4437.0074999999997</v>
      </c>
      <c r="J66" s="232">
        <f t="shared" si="15"/>
        <v>0</v>
      </c>
      <c r="K66" s="232">
        <f t="shared" si="15"/>
        <v>45758.067339583329</v>
      </c>
      <c r="L66" s="27">
        <f t="shared" si="16"/>
        <v>-41321.059839583329</v>
      </c>
      <c r="M66" s="27">
        <f t="shared" si="17"/>
        <v>-2066.0529919791666</v>
      </c>
      <c r="Q66" s="51"/>
    </row>
    <row r="67" spans="1:17">
      <c r="A67" s="52">
        <f t="shared" si="18"/>
        <v>13</v>
      </c>
      <c r="C67" s="61">
        <v>4.4609999999999997E-2</v>
      </c>
      <c r="D67" s="61">
        <v>5.8999999999999997E-2</v>
      </c>
      <c r="E67" s="534">
        <v>10</v>
      </c>
      <c r="G67" s="52">
        <v>10</v>
      </c>
      <c r="H67" s="27">
        <f t="shared" si="13"/>
        <v>2115121.0181249999</v>
      </c>
      <c r="I67" s="27">
        <f t="shared" si="14"/>
        <v>2115121.0181249999</v>
      </c>
      <c r="J67" s="232">
        <f t="shared" si="15"/>
        <v>0</v>
      </c>
      <c r="K67" s="232">
        <f t="shared" si="15"/>
        <v>94036.889034374995</v>
      </c>
      <c r="L67" s="27">
        <f t="shared" si="16"/>
        <v>2021084.1290906249</v>
      </c>
      <c r="M67" s="27">
        <f t="shared" si="17"/>
        <v>101054.20645453125</v>
      </c>
      <c r="Q67" s="51"/>
    </row>
    <row r="68" spans="1:17">
      <c r="A68" s="52">
        <f t="shared" si="18"/>
        <v>14</v>
      </c>
      <c r="C68" s="61">
        <v>4.462E-2</v>
      </c>
      <c r="D68" s="61">
        <v>5.91E-2</v>
      </c>
      <c r="E68" s="534">
        <v>11</v>
      </c>
      <c r="G68" s="52">
        <v>11</v>
      </c>
      <c r="H68" s="27">
        <f t="shared" si="13"/>
        <v>140402.77687499998</v>
      </c>
      <c r="I68" s="27">
        <f t="shared" si="14"/>
        <v>140402.77687499998</v>
      </c>
      <c r="J68" s="232">
        <f t="shared" si="15"/>
        <v>0</v>
      </c>
      <c r="K68" s="232">
        <f t="shared" si="15"/>
        <v>145412.70880937501</v>
      </c>
      <c r="L68" s="27">
        <f t="shared" si="16"/>
        <v>-5009.9319343750249</v>
      </c>
      <c r="M68" s="27">
        <f t="shared" si="17"/>
        <v>-250.49659671875125</v>
      </c>
      <c r="Q68" s="51"/>
    </row>
    <row r="69" spans="1:17">
      <c r="A69" s="52">
        <f t="shared" si="18"/>
        <v>15</v>
      </c>
      <c r="C69" s="61">
        <v>4.4609999999999997E-2</v>
      </c>
      <c r="D69" s="61">
        <v>5.8999999999999997E-2</v>
      </c>
      <c r="E69" s="534">
        <v>12</v>
      </c>
      <c r="G69" s="52">
        <v>12</v>
      </c>
      <c r="H69" s="27">
        <f t="shared" si="13"/>
        <v>33106.409250000004</v>
      </c>
      <c r="I69" s="27">
        <f t="shared" si="14"/>
        <v>33106.409250000004</v>
      </c>
      <c r="J69" s="232">
        <f t="shared" si="15"/>
        <v>0</v>
      </c>
      <c r="K69" s="232">
        <f t="shared" si="15"/>
        <v>149364.86249333335</v>
      </c>
      <c r="L69" s="27">
        <f t="shared" si="16"/>
        <v>-116258.45324333335</v>
      </c>
      <c r="M69" s="27">
        <f t="shared" si="17"/>
        <v>-5812.9226621666676</v>
      </c>
      <c r="Q69" s="51"/>
    </row>
    <row r="70" spans="1:17">
      <c r="A70" s="52">
        <f t="shared" si="18"/>
        <v>16</v>
      </c>
      <c r="C70" s="61">
        <v>4.462E-2</v>
      </c>
      <c r="D70" s="61">
        <v>5.91E-2</v>
      </c>
      <c r="E70" s="534">
        <v>13</v>
      </c>
      <c r="H70" s="27"/>
      <c r="I70" s="27"/>
      <c r="J70" s="27"/>
      <c r="K70" s="27"/>
      <c r="L70" s="27" t="str">
        <f t="shared" ref="L70:L84" si="19">IF(K70=0,"",I70+J70-K70)</f>
        <v/>
      </c>
      <c r="M70" s="27" t="str">
        <f t="shared" ref="M70:M84" si="20">IF(L70="","",L70*0.389)</f>
        <v/>
      </c>
      <c r="N70" s="51"/>
      <c r="O70" s="51"/>
      <c r="P70" s="51"/>
      <c r="Q70" s="27" t="str">
        <f t="shared" ref="Q70:Q84" si="21">IF(M70="","",Q69+M70)</f>
        <v/>
      </c>
    </row>
    <row r="71" spans="1:17">
      <c r="A71" s="52">
        <f t="shared" si="18"/>
        <v>17</v>
      </c>
      <c r="C71" s="61">
        <v>4.4609999999999997E-2</v>
      </c>
      <c r="D71" s="61">
        <v>5.8999999999999997E-2</v>
      </c>
      <c r="E71" s="534">
        <v>14</v>
      </c>
      <c r="H71" s="27"/>
      <c r="I71" s="27"/>
      <c r="J71" s="27"/>
      <c r="K71" s="27"/>
      <c r="L71" s="27" t="str">
        <f t="shared" si="19"/>
        <v/>
      </c>
      <c r="M71" s="27" t="str">
        <f t="shared" si="20"/>
        <v/>
      </c>
      <c r="N71" s="51"/>
      <c r="O71" s="51"/>
      <c r="P71" s="51"/>
      <c r="Q71" s="27" t="str">
        <f t="shared" si="21"/>
        <v/>
      </c>
    </row>
    <row r="72" spans="1:17">
      <c r="A72" s="52">
        <f t="shared" si="18"/>
        <v>18</v>
      </c>
      <c r="C72" s="61">
        <v>4.462E-2</v>
      </c>
      <c r="D72" s="61">
        <v>5.91E-2</v>
      </c>
      <c r="E72" s="534">
        <v>15</v>
      </c>
      <c r="H72" s="27"/>
      <c r="I72" s="27"/>
      <c r="J72" s="27"/>
      <c r="K72" s="27"/>
      <c r="L72" s="27" t="str">
        <f t="shared" si="19"/>
        <v/>
      </c>
      <c r="M72" s="27" t="str">
        <f t="shared" si="20"/>
        <v/>
      </c>
      <c r="N72" s="51"/>
      <c r="O72" s="51"/>
      <c r="P72" s="51"/>
      <c r="Q72" s="27" t="str">
        <f t="shared" si="21"/>
        <v/>
      </c>
    </row>
    <row r="73" spans="1:17">
      <c r="A73" s="52">
        <f t="shared" si="18"/>
        <v>19</v>
      </c>
      <c r="C73" s="61">
        <v>4.4609999999999997E-2</v>
      </c>
      <c r="D73" s="61">
        <v>2.9499999999999998E-2</v>
      </c>
      <c r="E73" s="534">
        <v>16</v>
      </c>
      <c r="H73" s="27"/>
      <c r="I73" s="27"/>
      <c r="J73" s="27"/>
      <c r="K73" s="27"/>
      <c r="L73" s="27" t="str">
        <f t="shared" si="19"/>
        <v/>
      </c>
      <c r="M73" s="27" t="str">
        <f t="shared" si="20"/>
        <v/>
      </c>
      <c r="N73" s="51"/>
      <c r="O73" s="51"/>
      <c r="P73" s="51"/>
      <c r="Q73" s="27" t="str">
        <f t="shared" si="21"/>
        <v/>
      </c>
    </row>
    <row r="74" spans="1:17">
      <c r="A74" s="52">
        <f t="shared" si="18"/>
        <v>20</v>
      </c>
      <c r="C74" s="61">
        <v>4.462E-2</v>
      </c>
      <c r="D74" s="61">
        <v>0</v>
      </c>
      <c r="E74" s="534">
        <v>17</v>
      </c>
      <c r="H74" s="27"/>
      <c r="I74" s="27"/>
      <c r="J74" s="27"/>
      <c r="K74" s="27"/>
      <c r="L74" s="27" t="str">
        <f t="shared" si="19"/>
        <v/>
      </c>
      <c r="M74" s="27" t="str">
        <f t="shared" si="20"/>
        <v/>
      </c>
      <c r="N74" s="51"/>
      <c r="O74" s="51"/>
      <c r="P74" s="51"/>
      <c r="Q74" s="27" t="str">
        <f t="shared" si="21"/>
        <v/>
      </c>
    </row>
    <row r="75" spans="1:17">
      <c r="A75" s="52">
        <f t="shared" si="18"/>
        <v>21</v>
      </c>
      <c r="C75" s="61">
        <v>4.4609999999999997E-2</v>
      </c>
      <c r="D75" s="61">
        <v>0</v>
      </c>
      <c r="E75" s="534">
        <v>18</v>
      </c>
      <c r="H75" s="27"/>
      <c r="I75" s="27"/>
      <c r="J75" s="27"/>
      <c r="K75" s="27"/>
      <c r="L75" s="27" t="str">
        <f t="shared" si="19"/>
        <v/>
      </c>
      <c r="M75" s="27" t="str">
        <f t="shared" si="20"/>
        <v/>
      </c>
      <c r="N75" s="51"/>
      <c r="O75" s="51"/>
      <c r="P75" s="51"/>
      <c r="Q75" s="27" t="str">
        <f t="shared" si="21"/>
        <v/>
      </c>
    </row>
    <row r="76" spans="1:17">
      <c r="A76" s="52">
        <f t="shared" si="18"/>
        <v>22</v>
      </c>
      <c r="C76" s="61">
        <v>4.462E-2</v>
      </c>
      <c r="D76" s="61">
        <v>0</v>
      </c>
      <c r="E76" s="534">
        <v>19</v>
      </c>
      <c r="H76" s="27"/>
      <c r="I76" s="27"/>
      <c r="J76" s="27"/>
      <c r="K76" s="27"/>
      <c r="L76" s="27" t="str">
        <f t="shared" si="19"/>
        <v/>
      </c>
      <c r="M76" s="27" t="str">
        <f t="shared" si="20"/>
        <v/>
      </c>
      <c r="N76" s="51"/>
      <c r="O76" s="51"/>
      <c r="P76" s="51"/>
      <c r="Q76" s="27" t="str">
        <f t="shared" si="21"/>
        <v/>
      </c>
    </row>
    <row r="77" spans="1:17">
      <c r="A77" s="52">
        <f t="shared" si="18"/>
        <v>23</v>
      </c>
      <c r="C77" s="61">
        <v>4.4609999999999997E-2</v>
      </c>
      <c r="D77" s="61">
        <v>0</v>
      </c>
      <c r="E77" s="534">
        <v>20</v>
      </c>
      <c r="H77" s="27"/>
      <c r="I77" s="27"/>
      <c r="J77" s="27"/>
      <c r="K77" s="27"/>
      <c r="L77" s="27" t="str">
        <f t="shared" si="19"/>
        <v/>
      </c>
      <c r="M77" s="27" t="str">
        <f t="shared" si="20"/>
        <v/>
      </c>
      <c r="N77" s="51"/>
      <c r="O77" s="51"/>
      <c r="P77" s="51"/>
      <c r="Q77" s="27" t="str">
        <f t="shared" si="21"/>
        <v/>
      </c>
    </row>
    <row r="78" spans="1:17">
      <c r="A78" s="52">
        <f t="shared" si="18"/>
        <v>24</v>
      </c>
      <c r="C78" s="61">
        <v>2.231E-2</v>
      </c>
      <c r="D78" s="61">
        <v>0</v>
      </c>
      <c r="E78" s="534">
        <v>21</v>
      </c>
      <c r="H78" s="27"/>
      <c r="I78" s="27"/>
      <c r="J78" s="27"/>
      <c r="K78" s="27"/>
      <c r="L78" s="27" t="str">
        <f t="shared" si="19"/>
        <v/>
      </c>
      <c r="M78" s="27" t="str">
        <f t="shared" si="20"/>
        <v/>
      </c>
      <c r="N78" s="51"/>
      <c r="O78" s="51"/>
      <c r="P78" s="51"/>
      <c r="Q78" s="27" t="str">
        <f t="shared" si="21"/>
        <v/>
      </c>
    </row>
    <row r="79" spans="1:17">
      <c r="A79" s="52">
        <f t="shared" si="18"/>
        <v>25</v>
      </c>
      <c r="C79" s="61">
        <v>0</v>
      </c>
      <c r="D79" s="61">
        <v>0</v>
      </c>
      <c r="E79" s="534">
        <v>22</v>
      </c>
      <c r="H79" s="27"/>
      <c r="I79" s="27"/>
      <c r="J79" s="27"/>
      <c r="K79" s="27"/>
      <c r="L79" s="27" t="str">
        <f t="shared" si="19"/>
        <v/>
      </c>
      <c r="M79" s="27" t="str">
        <f t="shared" si="20"/>
        <v/>
      </c>
      <c r="N79" s="51"/>
      <c r="O79" s="51"/>
      <c r="P79" s="51"/>
      <c r="Q79" s="27" t="str">
        <f t="shared" si="21"/>
        <v/>
      </c>
    </row>
    <row r="80" spans="1:17">
      <c r="A80" s="52">
        <f t="shared" si="18"/>
        <v>26</v>
      </c>
      <c r="C80" s="61">
        <v>0</v>
      </c>
      <c r="E80" s="534">
        <v>23</v>
      </c>
      <c r="H80" s="27"/>
      <c r="I80" s="27"/>
      <c r="L80" s="27" t="str">
        <f t="shared" si="19"/>
        <v/>
      </c>
      <c r="M80" s="27" t="str">
        <f t="shared" si="20"/>
        <v/>
      </c>
      <c r="N80" s="51"/>
      <c r="O80" s="51"/>
      <c r="P80" s="51"/>
      <c r="Q80" s="27" t="str">
        <f t="shared" si="21"/>
        <v/>
      </c>
    </row>
    <row r="81" spans="1:17">
      <c r="A81" s="52">
        <f t="shared" si="18"/>
        <v>27</v>
      </c>
      <c r="C81" s="61">
        <v>0</v>
      </c>
      <c r="E81" s="534">
        <v>24</v>
      </c>
      <c r="H81" s="27"/>
      <c r="I81" s="27"/>
      <c r="L81" s="27" t="str">
        <f t="shared" si="19"/>
        <v/>
      </c>
      <c r="M81" s="27" t="str">
        <f t="shared" si="20"/>
        <v/>
      </c>
      <c r="N81" s="51"/>
      <c r="O81" s="51"/>
      <c r="P81" s="51"/>
      <c r="Q81" s="27" t="str">
        <f t="shared" si="21"/>
        <v/>
      </c>
    </row>
    <row r="82" spans="1:17">
      <c r="A82" s="52">
        <f t="shared" si="18"/>
        <v>28</v>
      </c>
      <c r="C82" s="61">
        <v>0</v>
      </c>
      <c r="E82" s="534">
        <v>25</v>
      </c>
      <c r="H82" s="27"/>
      <c r="I82" s="27"/>
      <c r="L82" s="27" t="str">
        <f t="shared" si="19"/>
        <v/>
      </c>
      <c r="M82" s="27" t="str">
        <f t="shared" si="20"/>
        <v/>
      </c>
      <c r="N82" s="51"/>
      <c r="O82" s="51"/>
      <c r="P82" s="51"/>
      <c r="Q82" s="27" t="str">
        <f t="shared" si="21"/>
        <v/>
      </c>
    </row>
    <row r="83" spans="1:17">
      <c r="A83" s="52">
        <f t="shared" si="18"/>
        <v>29</v>
      </c>
      <c r="C83" s="61">
        <v>0</v>
      </c>
      <c r="E83" s="534">
        <v>26</v>
      </c>
      <c r="H83" s="27"/>
      <c r="I83" s="27"/>
      <c r="L83" s="27" t="str">
        <f t="shared" si="19"/>
        <v/>
      </c>
      <c r="M83" s="27" t="str">
        <f t="shared" si="20"/>
        <v/>
      </c>
      <c r="N83" s="51"/>
      <c r="O83" s="51"/>
      <c r="P83" s="51"/>
      <c r="Q83" s="27" t="str">
        <f t="shared" si="21"/>
        <v/>
      </c>
    </row>
    <row r="84" spans="1:17">
      <c r="A84" s="52">
        <f t="shared" si="18"/>
        <v>30</v>
      </c>
      <c r="C84" s="61">
        <v>0</v>
      </c>
      <c r="E84" s="534">
        <v>27</v>
      </c>
      <c r="I84" s="27"/>
      <c r="L84" s="27" t="str">
        <f t="shared" si="19"/>
        <v/>
      </c>
      <c r="M84" s="27" t="str">
        <f t="shared" si="20"/>
        <v/>
      </c>
      <c r="Q84" s="27" t="str">
        <f t="shared" si="21"/>
        <v/>
      </c>
    </row>
    <row r="85" spans="1:17">
      <c r="A85" s="52">
        <f t="shared" si="18"/>
        <v>31</v>
      </c>
      <c r="E85" s="507"/>
      <c r="H85" s="27">
        <f t="shared" ref="H85:M85" si="22">SUM(H58:H84)</f>
        <v>3295294.0886249999</v>
      </c>
      <c r="I85" s="27">
        <f t="shared" si="22"/>
        <v>3295294.0886249999</v>
      </c>
      <c r="J85" s="232">
        <f t="shared" si="22"/>
        <v>0</v>
      </c>
      <c r="K85" s="27">
        <f t="shared" si="22"/>
        <v>592993.46336229169</v>
      </c>
      <c r="L85" s="27">
        <f t="shared" si="22"/>
        <v>2702300.6252627084</v>
      </c>
      <c r="M85" s="27">
        <f t="shared" si="22"/>
        <v>135115.0312631354</v>
      </c>
      <c r="N85" s="27"/>
      <c r="O85" s="27"/>
      <c r="P85" s="27"/>
      <c r="Q85" s="27"/>
    </row>
    <row r="86" spans="1:17">
      <c r="H86" s="27"/>
      <c r="I86" s="27"/>
      <c r="J86" s="27"/>
      <c r="K86" s="27"/>
      <c r="Q86" s="27"/>
    </row>
    <row r="87" spans="1:17">
      <c r="B87" s="60" t="s">
        <v>166</v>
      </c>
      <c r="C87" s="52" t="s">
        <v>560</v>
      </c>
    </row>
  </sheetData>
  <pageMargins left="0.7" right="0.7" top="0.75" bottom="0.75" header="0.3" footer="0.3"/>
  <pageSetup scale="43" orientation="landscape" r:id="rId1"/>
  <headerFooter>
    <oddFooter>&amp;R&amp;"Times New Roman,Bold"&amp;17Exhibit 4
Page 18 of 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E969-ECA9-4CD4-9552-5229A0EEC498}">
  <dimension ref="A1:W46"/>
  <sheetViews>
    <sheetView workbookViewId="0"/>
  </sheetViews>
  <sheetFormatPr defaultRowHeight="13.2"/>
  <cols>
    <col min="3" max="3" width="12.5546875" bestFit="1" customWidth="1"/>
    <col min="4" max="4" width="32.77734375" bestFit="1" customWidth="1"/>
    <col min="5" max="5" width="5.21875" customWidth="1"/>
    <col min="6" max="18" width="10.77734375" customWidth="1"/>
    <col min="22" max="22" width="12.21875" bestFit="1" customWidth="1"/>
  </cols>
  <sheetData>
    <row r="1" spans="1:23">
      <c r="A1" s="2" t="s">
        <v>275</v>
      </c>
    </row>
    <row r="2" spans="1:23">
      <c r="A2" s="2" t="s">
        <v>276</v>
      </c>
      <c r="V2" s="455">
        <f>'202001 Bk Depr'!F18</f>
        <v>55802508.359999999</v>
      </c>
      <c r="W2" s="452" t="s">
        <v>596</v>
      </c>
    </row>
    <row r="3" spans="1:23">
      <c r="A3" s="2"/>
      <c r="V3" s="455">
        <f>SUM(F9:Q15,F20:Q26)</f>
        <v>61998179.32000003</v>
      </c>
      <c r="W3" s="452" t="s">
        <v>595</v>
      </c>
    </row>
    <row r="4" spans="1:23">
      <c r="A4" s="2"/>
      <c r="V4" s="455">
        <v>43422247.100000001</v>
      </c>
      <c r="W4" s="452" t="s">
        <v>597</v>
      </c>
    </row>
    <row r="5" spans="1:23">
      <c r="V5" s="455">
        <f>SUM(V2:V4)</f>
        <v>161222934.78000003</v>
      </c>
      <c r="W5" s="452" t="s">
        <v>598</v>
      </c>
    </row>
    <row r="6" spans="1:23">
      <c r="V6" s="455">
        <f>'202012 Bk Depr'!R18</f>
        <v>161222934.98000002</v>
      </c>
      <c r="W6" s="452" t="s">
        <v>600</v>
      </c>
    </row>
    <row r="7" spans="1:23">
      <c r="A7" t="s">
        <v>278</v>
      </c>
      <c r="B7" t="s">
        <v>139</v>
      </c>
      <c r="C7" t="s">
        <v>141</v>
      </c>
      <c r="D7" t="s">
        <v>279</v>
      </c>
      <c r="E7" t="s">
        <v>143</v>
      </c>
      <c r="F7" t="s">
        <v>280</v>
      </c>
      <c r="G7" t="s">
        <v>281</v>
      </c>
      <c r="H7" t="s">
        <v>282</v>
      </c>
      <c r="I7" t="s">
        <v>283</v>
      </c>
      <c r="J7" t="s">
        <v>284</v>
      </c>
      <c r="K7" t="s">
        <v>285</v>
      </c>
      <c r="L7" t="s">
        <v>286</v>
      </c>
      <c r="M7" t="s">
        <v>287</v>
      </c>
      <c r="N7" t="s">
        <v>288</v>
      </c>
      <c r="O7" t="s">
        <v>289</v>
      </c>
      <c r="P7" t="s">
        <v>290</v>
      </c>
      <c r="Q7" t="s">
        <v>291</v>
      </c>
      <c r="R7" s="439" t="s">
        <v>292</v>
      </c>
      <c r="T7" t="s">
        <v>593</v>
      </c>
      <c r="V7" s="456">
        <f>V5-V6</f>
        <v>-0.19999998807907104</v>
      </c>
      <c r="W7" s="452" t="s">
        <v>599</v>
      </c>
    </row>
    <row r="8" spans="1:23">
      <c r="A8" t="s">
        <v>293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40"/>
    </row>
    <row r="9" spans="1:23">
      <c r="A9">
        <v>380</v>
      </c>
      <c r="B9" t="s">
        <v>113</v>
      </c>
      <c r="C9" s="423" t="s">
        <v>114</v>
      </c>
      <c r="D9" s="423" t="s">
        <v>115</v>
      </c>
      <c r="E9" s="241">
        <v>2020</v>
      </c>
      <c r="F9" s="3">
        <v>272955.91000000003</v>
      </c>
      <c r="G9" s="3">
        <v>197503.53</v>
      </c>
      <c r="H9" s="3">
        <v>204105.59</v>
      </c>
      <c r="I9" s="3">
        <v>203611.15</v>
      </c>
      <c r="J9" s="3">
        <v>195746.58000000002</v>
      </c>
      <c r="K9" s="3">
        <v>206673.71</v>
      </c>
      <c r="L9" s="3">
        <v>218170.45</v>
      </c>
      <c r="M9" s="3">
        <v>225352.21</v>
      </c>
      <c r="N9" s="3">
        <v>209956.13</v>
      </c>
      <c r="O9" s="3">
        <v>224703.7</v>
      </c>
      <c r="P9" s="3">
        <v>218690.37</v>
      </c>
      <c r="Q9" s="3">
        <v>197400.95</v>
      </c>
      <c r="R9" s="440">
        <f>SUM(F9:Q9)</f>
        <v>2574870.2800000003</v>
      </c>
    </row>
    <row r="10" spans="1:23">
      <c r="A10">
        <v>380</v>
      </c>
      <c r="C10" s="423" t="s">
        <v>116</v>
      </c>
      <c r="D10" s="423" t="s">
        <v>117</v>
      </c>
      <c r="E10" s="241">
        <v>2020</v>
      </c>
      <c r="F10" s="3">
        <v>9638.59</v>
      </c>
      <c r="G10" s="3">
        <v>7847.55</v>
      </c>
      <c r="H10" s="3">
        <v>7318.49</v>
      </c>
      <c r="I10" s="3">
        <v>5758.1</v>
      </c>
      <c r="J10" s="3">
        <v>1680</v>
      </c>
      <c r="K10" s="3">
        <v>1680</v>
      </c>
      <c r="L10" s="3">
        <v>1680</v>
      </c>
      <c r="M10" s="3">
        <v>1680</v>
      </c>
      <c r="N10" s="3">
        <v>279.99</v>
      </c>
      <c r="O10" s="3">
        <v>-1281.52</v>
      </c>
      <c r="P10" s="3">
        <v>-781.52</v>
      </c>
      <c r="Q10" s="3">
        <v>179.99</v>
      </c>
      <c r="R10" s="440">
        <f t="shared" ref="R10:R28" si="0">SUM(F10:Q10)</f>
        <v>35679.67</v>
      </c>
    </row>
    <row r="11" spans="1:23">
      <c r="A11">
        <v>380</v>
      </c>
      <c r="C11" s="423" t="s">
        <v>118</v>
      </c>
      <c r="D11" s="423" t="s">
        <v>119</v>
      </c>
      <c r="E11" s="241">
        <v>2020</v>
      </c>
      <c r="F11" s="3">
        <v>1602.41</v>
      </c>
      <c r="G11" s="3">
        <v>2418.6</v>
      </c>
      <c r="H11" s="3">
        <v>8820.98</v>
      </c>
      <c r="I11" s="3">
        <v>0</v>
      </c>
      <c r="J11" s="3">
        <v>10410.49</v>
      </c>
      <c r="K11" s="3">
        <v>28000</v>
      </c>
      <c r="L11" s="3">
        <v>8960</v>
      </c>
      <c r="M11" s="3">
        <v>15540.98</v>
      </c>
      <c r="N11" s="3">
        <v>0</v>
      </c>
      <c r="O11" s="3">
        <v>4020.98</v>
      </c>
      <c r="P11" s="3">
        <v>5760</v>
      </c>
      <c r="Q11" s="3">
        <v>8970.49</v>
      </c>
      <c r="R11" s="440">
        <f t="shared" si="0"/>
        <v>94504.93</v>
      </c>
    </row>
    <row r="12" spans="1:23">
      <c r="A12">
        <v>380</v>
      </c>
      <c r="C12" s="423" t="s">
        <v>120</v>
      </c>
      <c r="D12" s="423" t="s">
        <v>121</v>
      </c>
      <c r="E12" s="243">
        <v>2020</v>
      </c>
      <c r="F12" s="3">
        <v>400544.57</v>
      </c>
      <c r="G12" s="3">
        <v>353879.43</v>
      </c>
      <c r="H12" s="3">
        <v>376742.97000000003</v>
      </c>
      <c r="I12" s="3">
        <v>379997.03</v>
      </c>
      <c r="J12" s="3">
        <v>356833.49</v>
      </c>
      <c r="K12" s="3">
        <v>377387.61</v>
      </c>
      <c r="L12" s="3">
        <v>402077.31</v>
      </c>
      <c r="M12" s="3">
        <v>427652.17</v>
      </c>
      <c r="N12" s="3">
        <v>394613.91000000003</v>
      </c>
      <c r="O12" s="3">
        <v>434809.86</v>
      </c>
      <c r="P12" s="3">
        <v>404388.89</v>
      </c>
      <c r="Q12" s="3">
        <v>403425.66000000003</v>
      </c>
      <c r="R12" s="440">
        <f t="shared" si="0"/>
        <v>4712352.9000000004</v>
      </c>
    </row>
    <row r="13" spans="1:23">
      <c r="A13">
        <v>380</v>
      </c>
      <c r="C13" s="423" t="s">
        <v>122</v>
      </c>
      <c r="D13" s="423" t="s">
        <v>219</v>
      </c>
      <c r="E13" s="243">
        <v>2020</v>
      </c>
      <c r="F13" s="3">
        <v>12064.7</v>
      </c>
      <c r="G13" s="3">
        <v>-8772.380000000001</v>
      </c>
      <c r="H13" s="3">
        <v>1680</v>
      </c>
      <c r="I13" s="3">
        <v>1680</v>
      </c>
      <c r="J13" s="3">
        <v>2240</v>
      </c>
      <c r="K13" s="3">
        <v>1680</v>
      </c>
      <c r="L13" s="3">
        <v>1680</v>
      </c>
      <c r="M13" s="3">
        <v>1680</v>
      </c>
      <c r="N13" s="3">
        <v>2714.88</v>
      </c>
      <c r="O13" s="3">
        <v>1680</v>
      </c>
      <c r="P13" s="3">
        <v>1680</v>
      </c>
      <c r="Q13" s="3">
        <v>1680</v>
      </c>
      <c r="R13" s="440">
        <f t="shared" si="0"/>
        <v>21687.200000000001</v>
      </c>
    </row>
    <row r="14" spans="1:23">
      <c r="A14">
        <v>380</v>
      </c>
      <c r="C14" s="423" t="s">
        <v>296</v>
      </c>
      <c r="D14" s="423" t="s">
        <v>297</v>
      </c>
      <c r="E14" s="243">
        <v>2020</v>
      </c>
      <c r="F14" s="3">
        <v>405.41</v>
      </c>
      <c r="G14" s="3">
        <v>6405.07</v>
      </c>
      <c r="H14" s="3">
        <v>0</v>
      </c>
      <c r="I14" s="3">
        <v>0</v>
      </c>
      <c r="J14" s="3">
        <v>16340.98</v>
      </c>
      <c r="K14" s="3">
        <v>0</v>
      </c>
      <c r="L14" s="3">
        <v>0</v>
      </c>
      <c r="M14" s="3">
        <v>2240</v>
      </c>
      <c r="N14" s="3">
        <v>0</v>
      </c>
      <c r="O14" s="3">
        <v>0</v>
      </c>
      <c r="P14" s="3">
        <v>0</v>
      </c>
      <c r="Q14" s="3">
        <v>0</v>
      </c>
      <c r="R14" s="440">
        <f t="shared" si="0"/>
        <v>25391.46</v>
      </c>
    </row>
    <row r="15" spans="1:23">
      <c r="A15">
        <v>380</v>
      </c>
      <c r="C15" s="423" t="s">
        <v>223</v>
      </c>
      <c r="D15" s="423" t="s">
        <v>224</v>
      </c>
      <c r="E15" s="243">
        <v>2020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40">
        <f t="shared" si="0"/>
        <v>0</v>
      </c>
    </row>
    <row r="16" spans="1:23">
      <c r="C16" s="426" t="s">
        <v>575</v>
      </c>
      <c r="D16" s="426" t="s">
        <v>575</v>
      </c>
      <c r="E16">
        <v>2020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40">
        <f>SUM(F16:Q16)</f>
        <v>0</v>
      </c>
      <c r="S16" s="452" t="s">
        <v>611</v>
      </c>
    </row>
    <row r="17" spans="1:20">
      <c r="C17" s="426" t="s">
        <v>576</v>
      </c>
      <c r="D17" s="426" t="s">
        <v>577</v>
      </c>
      <c r="E17">
        <v>2020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440">
        <f>SUM(F17:Q17)</f>
        <v>0</v>
      </c>
      <c r="S17" s="452"/>
    </row>
    <row r="18" spans="1:20">
      <c r="C18" s="426" t="s">
        <v>578</v>
      </c>
      <c r="D18" s="426" t="s">
        <v>578</v>
      </c>
      <c r="E18">
        <v>2020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40">
        <f>SUM(F18:Q18)</f>
        <v>0</v>
      </c>
      <c r="S18" s="452" t="s">
        <v>611</v>
      </c>
    </row>
    <row r="19" spans="1:20">
      <c r="C19" s="426" t="s">
        <v>579</v>
      </c>
      <c r="D19" s="426" t="s">
        <v>579</v>
      </c>
      <c r="E19">
        <v>2020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40">
        <f>SUM(F19:Q19)</f>
        <v>0</v>
      </c>
      <c r="S19" s="452" t="s">
        <v>611</v>
      </c>
    </row>
    <row r="20" spans="1:20">
      <c r="A20">
        <v>380</v>
      </c>
      <c r="C20" s="425" t="s">
        <v>130</v>
      </c>
      <c r="D20" s="425" t="s">
        <v>131</v>
      </c>
      <c r="E20" s="241">
        <v>2020</v>
      </c>
      <c r="F20" s="3">
        <v>272853.78000000003</v>
      </c>
      <c r="G20" s="3">
        <v>126983.18000000001</v>
      </c>
      <c r="H20" s="3">
        <v>192023.61000000002</v>
      </c>
      <c r="I20" s="3">
        <v>197037</v>
      </c>
      <c r="J20" s="3">
        <v>181697.86000000002</v>
      </c>
      <c r="K20" s="3">
        <v>194602.01</v>
      </c>
      <c r="L20" s="3">
        <v>203361.61000000002</v>
      </c>
      <c r="M20" s="3">
        <v>221772.75</v>
      </c>
      <c r="N20" s="3">
        <v>203774.59</v>
      </c>
      <c r="O20" s="3">
        <v>231704.58000000002</v>
      </c>
      <c r="P20" s="3">
        <v>213876.1</v>
      </c>
      <c r="Q20" s="3">
        <v>220456.66</v>
      </c>
      <c r="R20" s="440">
        <f t="shared" si="0"/>
        <v>2460143.7300000004</v>
      </c>
    </row>
    <row r="21" spans="1:20">
      <c r="A21">
        <v>380</v>
      </c>
      <c r="C21" s="425" t="s">
        <v>132</v>
      </c>
      <c r="D21" s="425" t="s">
        <v>133</v>
      </c>
      <c r="E21" s="241">
        <v>2020</v>
      </c>
      <c r="F21" s="3">
        <v>0</v>
      </c>
      <c r="G21" s="3">
        <v>89483.97</v>
      </c>
      <c r="H21" s="3">
        <v>39237.129999999997</v>
      </c>
      <c r="I21" s="3">
        <v>38758.11</v>
      </c>
      <c r="J21" s="3">
        <v>4573.26</v>
      </c>
      <c r="K21" s="3">
        <v>-1680.01</v>
      </c>
      <c r="L21" s="3">
        <v>-1680</v>
      </c>
      <c r="M21" s="3">
        <v>-1680</v>
      </c>
      <c r="N21" s="3">
        <v>-1680.01</v>
      </c>
      <c r="O21" s="3">
        <v>-1680.01</v>
      </c>
      <c r="P21" s="3">
        <v>-1680</v>
      </c>
      <c r="Q21" s="3">
        <v>-1680.01</v>
      </c>
      <c r="R21" s="440">
        <f t="shared" si="0"/>
        <v>160292.43</v>
      </c>
    </row>
    <row r="22" spans="1:20">
      <c r="C22" s="426" t="s">
        <v>318</v>
      </c>
      <c r="D22" s="426" t="s">
        <v>319</v>
      </c>
      <c r="E22">
        <v>2020</v>
      </c>
      <c r="F22" s="3">
        <v>18474.86</v>
      </c>
      <c r="G22" s="3">
        <v>40000</v>
      </c>
      <c r="H22" s="3">
        <v>914942.98</v>
      </c>
      <c r="I22" s="3">
        <v>2109317.44</v>
      </c>
      <c r="J22" s="3">
        <v>2114189.23</v>
      </c>
      <c r="K22" s="3">
        <v>2190744.19</v>
      </c>
      <c r="L22" s="3">
        <v>2126966.64</v>
      </c>
      <c r="M22" s="3">
        <v>2141438.9700000002</v>
      </c>
      <c r="N22" s="3">
        <v>2128988.3199999998</v>
      </c>
      <c r="O22" s="3">
        <v>2111159.65</v>
      </c>
      <c r="P22" s="3">
        <v>2003349.39</v>
      </c>
      <c r="Q22" s="3">
        <v>458230.95</v>
      </c>
      <c r="R22" s="440">
        <f>SUM(F22:Q22)</f>
        <v>18357802.620000001</v>
      </c>
      <c r="S22" s="452" t="s">
        <v>605</v>
      </c>
      <c r="T22" s="454">
        <v>44105</v>
      </c>
    </row>
    <row r="23" spans="1:20">
      <c r="C23" s="426" t="s">
        <v>320</v>
      </c>
      <c r="D23" s="449" t="s">
        <v>321</v>
      </c>
      <c r="E23">
        <v>2020</v>
      </c>
      <c r="F23" s="3">
        <v>1308517.07</v>
      </c>
      <c r="G23" s="3">
        <v>2400000</v>
      </c>
      <c r="H23" s="3">
        <v>2196920.83</v>
      </c>
      <c r="I23" s="3">
        <v>123920.2</v>
      </c>
      <c r="J23" s="3">
        <v>135520.20000000001</v>
      </c>
      <c r="K23" s="3">
        <v>137494.82</v>
      </c>
      <c r="L23" s="3">
        <v>137494.82</v>
      </c>
      <c r="M23" s="3">
        <v>131494.82</v>
      </c>
      <c r="N23" s="3">
        <v>118320.2</v>
      </c>
      <c r="O23" s="3">
        <v>118320.2</v>
      </c>
      <c r="P23" s="3">
        <v>112720.2</v>
      </c>
      <c r="Q23" s="3">
        <v>114694.82</v>
      </c>
      <c r="R23" s="440">
        <f>SUM(F23:Q23)</f>
        <v>7035418.1800000025</v>
      </c>
      <c r="S23" s="452" t="s">
        <v>605</v>
      </c>
      <c r="T23" s="454">
        <v>43952</v>
      </c>
    </row>
    <row r="24" spans="1:20">
      <c r="C24" s="426" t="s">
        <v>322</v>
      </c>
      <c r="D24" s="426" t="s">
        <v>323</v>
      </c>
      <c r="E24">
        <v>2020</v>
      </c>
      <c r="F24" s="3">
        <v>1321307.6400000001</v>
      </c>
      <c r="G24" s="3">
        <v>1199999.99</v>
      </c>
      <c r="H24" s="3">
        <v>1598333.53</v>
      </c>
      <c r="I24" s="3">
        <v>988323.36</v>
      </c>
      <c r="J24" s="3">
        <v>2261993.65</v>
      </c>
      <c r="K24" s="3">
        <v>2214018.84</v>
      </c>
      <c r="L24" s="3">
        <v>1888343.56</v>
      </c>
      <c r="M24" s="3">
        <v>1885425.35</v>
      </c>
      <c r="N24" s="3">
        <v>1886065.6800000002</v>
      </c>
      <c r="O24" s="3">
        <v>1877313.26</v>
      </c>
      <c r="P24" s="3">
        <v>1628004.46</v>
      </c>
      <c r="Q24" s="3">
        <v>309911.81</v>
      </c>
      <c r="R24" s="440">
        <f>SUM(F24:Q24)</f>
        <v>19059041.129999999</v>
      </c>
      <c r="S24" s="452" t="s">
        <v>605</v>
      </c>
      <c r="T24" s="454">
        <v>44105</v>
      </c>
    </row>
    <row r="25" spans="1:20">
      <c r="A25">
        <v>380</v>
      </c>
      <c r="C25" s="447">
        <v>414000002</v>
      </c>
      <c r="D25" s="448" t="s">
        <v>574</v>
      </c>
      <c r="E25" s="241">
        <v>2020</v>
      </c>
      <c r="F25" s="3">
        <v>591645.46</v>
      </c>
      <c r="G25" s="3">
        <v>621619.76</v>
      </c>
      <c r="H25" s="3">
        <v>590526.67000000004</v>
      </c>
      <c r="I25" s="3">
        <v>656208.84</v>
      </c>
      <c r="J25" s="3">
        <v>647901.23</v>
      </c>
      <c r="K25" s="3">
        <v>656310.35</v>
      </c>
      <c r="L25" s="3">
        <v>715801.04</v>
      </c>
      <c r="M25" s="3">
        <v>650149.20000000007</v>
      </c>
      <c r="N25" s="3">
        <v>671715.03</v>
      </c>
      <c r="O25" s="3">
        <v>573693.73</v>
      </c>
      <c r="P25" s="3">
        <v>539275.85</v>
      </c>
      <c r="Q25" s="3">
        <v>536559.80000000005</v>
      </c>
      <c r="R25" s="440">
        <f t="shared" si="0"/>
        <v>7451406.96</v>
      </c>
    </row>
    <row r="26" spans="1:20">
      <c r="C26" s="447" t="s">
        <v>484</v>
      </c>
      <c r="D26" s="448" t="s">
        <v>485</v>
      </c>
      <c r="E26" s="241">
        <v>2020</v>
      </c>
      <c r="F26" s="3">
        <v>71861.759999999995</v>
      </c>
      <c r="G26" s="3">
        <v>-62273.93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40">
        <f t="shared" si="0"/>
        <v>9587.8299999999945</v>
      </c>
    </row>
    <row r="27" spans="1:20">
      <c r="C27" s="424" t="s">
        <v>123</v>
      </c>
      <c r="D27" s="424" t="s">
        <v>124</v>
      </c>
      <c r="E27" s="243">
        <v>2020</v>
      </c>
      <c r="F27" s="3">
        <v>15172.2</v>
      </c>
      <c r="G27" s="3">
        <v>-15172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440">
        <f t="shared" si="0"/>
        <v>0.2000000000007276</v>
      </c>
    </row>
    <row r="28" spans="1:20">
      <c r="C28" s="426" t="s">
        <v>324</v>
      </c>
      <c r="D28" s="426" t="s">
        <v>487</v>
      </c>
      <c r="E28">
        <v>2020</v>
      </c>
      <c r="F28" s="3">
        <v>4018.75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440">
        <f t="shared" si="0"/>
        <v>4018.75</v>
      </c>
      <c r="S28" s="452" t="s">
        <v>605</v>
      </c>
    </row>
    <row r="29" spans="1:20">
      <c r="A29" t="s">
        <v>326</v>
      </c>
      <c r="F29" s="436">
        <f>SUM(F9:F28)</f>
        <v>4301063.1100000003</v>
      </c>
      <c r="G29" s="437">
        <f t="shared" ref="G29:Q29" si="1">SUM(G9:G28)</f>
        <v>4959922.7700000005</v>
      </c>
      <c r="H29" s="437">
        <f t="shared" si="1"/>
        <v>6130652.7800000003</v>
      </c>
      <c r="I29" s="437">
        <f t="shared" si="1"/>
        <v>4704611.2300000004</v>
      </c>
      <c r="J29" s="437">
        <f t="shared" si="1"/>
        <v>5929126.9700000007</v>
      </c>
      <c r="K29" s="437">
        <f t="shared" si="1"/>
        <v>6006911.5199999996</v>
      </c>
      <c r="L29" s="437">
        <f t="shared" si="1"/>
        <v>5702855.4300000006</v>
      </c>
      <c r="M29" s="437">
        <f t="shared" si="1"/>
        <v>5702746.4500000002</v>
      </c>
      <c r="N29" s="437">
        <f t="shared" si="1"/>
        <v>5614748.7199999997</v>
      </c>
      <c r="O29" s="437">
        <f t="shared" si="1"/>
        <v>5574444.4299999997</v>
      </c>
      <c r="P29" s="437">
        <f t="shared" si="1"/>
        <v>5125283.74</v>
      </c>
      <c r="Q29" s="438">
        <f t="shared" si="1"/>
        <v>2249831.12</v>
      </c>
      <c r="R29" s="441">
        <f>SUM(R9:R28)</f>
        <v>62002198.270000003</v>
      </c>
    </row>
    <row r="30" spans="1:20"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</row>
    <row r="31" spans="1:20">
      <c r="A31" t="s">
        <v>327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</row>
    <row r="32" spans="1:20">
      <c r="B32" t="s">
        <v>135</v>
      </c>
      <c r="C32" s="429" t="s">
        <v>116</v>
      </c>
      <c r="D32" s="429" t="s">
        <v>117</v>
      </c>
      <c r="E32">
        <v>2020</v>
      </c>
      <c r="F32" s="3">
        <v>0</v>
      </c>
      <c r="G32" s="3">
        <v>0</v>
      </c>
      <c r="H32" s="3">
        <v>1680</v>
      </c>
      <c r="I32" s="3">
        <v>1680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1680</v>
      </c>
      <c r="P32" s="3">
        <v>1120</v>
      </c>
      <c r="Q32" s="3">
        <v>0</v>
      </c>
      <c r="R32" s="442">
        <f t="shared" ref="R32:R43" si="2">SUM(F32:Q32)</f>
        <v>6160</v>
      </c>
    </row>
    <row r="33" spans="1:19">
      <c r="C33" s="429" t="s">
        <v>118</v>
      </c>
      <c r="D33" s="429" t="s">
        <v>119</v>
      </c>
      <c r="E33">
        <v>2020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5600</v>
      </c>
      <c r="L33" s="3">
        <v>2240</v>
      </c>
      <c r="M33" s="3">
        <v>1120</v>
      </c>
      <c r="N33" s="3">
        <v>0</v>
      </c>
      <c r="O33" s="3">
        <v>0</v>
      </c>
      <c r="P33" s="3">
        <v>0</v>
      </c>
      <c r="Q33" s="3">
        <v>0</v>
      </c>
      <c r="R33" s="440">
        <f t="shared" si="2"/>
        <v>8960</v>
      </c>
    </row>
    <row r="34" spans="1:19">
      <c r="C34" s="429" t="s">
        <v>122</v>
      </c>
      <c r="D34" s="429" t="s">
        <v>219</v>
      </c>
      <c r="E34">
        <v>2020</v>
      </c>
      <c r="F34" s="3">
        <v>0</v>
      </c>
      <c r="G34" s="3">
        <v>1120</v>
      </c>
      <c r="H34" s="3">
        <v>0</v>
      </c>
      <c r="I34" s="3">
        <v>0</v>
      </c>
      <c r="J34" s="3">
        <v>0</v>
      </c>
      <c r="K34" s="3">
        <v>1120</v>
      </c>
      <c r="L34" s="3">
        <v>0</v>
      </c>
      <c r="M34" s="3">
        <v>0</v>
      </c>
      <c r="N34" s="3">
        <v>0</v>
      </c>
      <c r="O34" s="3">
        <v>1120</v>
      </c>
      <c r="P34" s="3">
        <v>0</v>
      </c>
      <c r="Q34" s="3">
        <v>0</v>
      </c>
      <c r="R34" s="440">
        <f t="shared" si="2"/>
        <v>3360</v>
      </c>
    </row>
    <row r="35" spans="1:19">
      <c r="C35" s="423" t="s">
        <v>130</v>
      </c>
      <c r="D35" s="423" t="s">
        <v>131</v>
      </c>
      <c r="E35">
        <v>2020</v>
      </c>
      <c r="F35" s="3">
        <v>-11004.01</v>
      </c>
      <c r="G35" s="3">
        <v>70557.759999999995</v>
      </c>
      <c r="H35" s="3">
        <v>28948.080000000002</v>
      </c>
      <c r="I35" s="3">
        <v>29552.350000000002</v>
      </c>
      <c r="J35" s="3">
        <v>27586.37</v>
      </c>
      <c r="K35" s="3">
        <v>28793.59</v>
      </c>
      <c r="L35" s="3">
        <v>30001.43</v>
      </c>
      <c r="M35" s="3">
        <v>33034.800000000003</v>
      </c>
      <c r="N35" s="3">
        <v>30477.41</v>
      </c>
      <c r="O35" s="3">
        <v>34296.629999999997</v>
      </c>
      <c r="P35" s="3">
        <v>31632.760000000002</v>
      </c>
      <c r="Q35" s="3">
        <v>32871.520000000004</v>
      </c>
      <c r="R35" s="440">
        <f t="shared" si="2"/>
        <v>366748.69</v>
      </c>
    </row>
    <row r="36" spans="1:19">
      <c r="C36" s="423" t="s">
        <v>132</v>
      </c>
      <c r="D36" s="423" t="s">
        <v>133</v>
      </c>
      <c r="E36">
        <v>2020</v>
      </c>
      <c r="F36" s="3">
        <v>53159.380000000005</v>
      </c>
      <c r="G36" s="3">
        <v>-52942.49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440">
        <f t="shared" si="2"/>
        <v>216.89000000000669</v>
      </c>
    </row>
    <row r="37" spans="1:19">
      <c r="C37" s="426" t="s">
        <v>318</v>
      </c>
      <c r="D37" s="426" t="s">
        <v>319</v>
      </c>
      <c r="E37">
        <v>2020</v>
      </c>
      <c r="F37" s="3">
        <v>0</v>
      </c>
      <c r="G37" s="3">
        <v>0</v>
      </c>
      <c r="H37" s="3">
        <v>56000</v>
      </c>
      <c r="I37" s="3">
        <v>56000</v>
      </c>
      <c r="J37" s="3">
        <v>56000</v>
      </c>
      <c r="K37" s="3">
        <v>56000</v>
      </c>
      <c r="L37" s="3">
        <v>56000</v>
      </c>
      <c r="M37" s="3">
        <v>56000</v>
      </c>
      <c r="N37" s="3">
        <v>56000</v>
      </c>
      <c r="O37" s="3">
        <v>56000</v>
      </c>
      <c r="P37" s="3">
        <v>56000</v>
      </c>
      <c r="Q37" s="3">
        <v>56000</v>
      </c>
      <c r="R37" s="440">
        <f t="shared" si="2"/>
        <v>560000</v>
      </c>
    </row>
    <row r="38" spans="1:19">
      <c r="C38" s="426" t="s">
        <v>320</v>
      </c>
      <c r="D38" s="426" t="s">
        <v>321</v>
      </c>
      <c r="E38">
        <v>2020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36000</v>
      </c>
      <c r="N38" s="3">
        <v>36000</v>
      </c>
      <c r="O38" s="3">
        <v>36000</v>
      </c>
      <c r="P38" s="3">
        <v>36000</v>
      </c>
      <c r="Q38" s="3">
        <v>0</v>
      </c>
      <c r="R38" s="440">
        <f t="shared" si="2"/>
        <v>144000</v>
      </c>
    </row>
    <row r="39" spans="1:19">
      <c r="C39" s="426" t="s">
        <v>322</v>
      </c>
      <c r="D39" s="426" t="s">
        <v>323</v>
      </c>
      <c r="E39">
        <v>2020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15232</v>
      </c>
      <c r="O39" s="3">
        <v>30464</v>
      </c>
      <c r="P39" s="3">
        <v>33510.400000000001</v>
      </c>
      <c r="Q39" s="3">
        <v>0</v>
      </c>
      <c r="R39" s="440">
        <f t="shared" si="2"/>
        <v>79206.399999999994</v>
      </c>
    </row>
    <row r="40" spans="1:19">
      <c r="C40" s="426" t="s">
        <v>575</v>
      </c>
      <c r="D40" s="426" t="s">
        <v>575</v>
      </c>
      <c r="E40">
        <v>2020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40">
        <f t="shared" si="2"/>
        <v>0</v>
      </c>
      <c r="S40" s="452" t="s">
        <v>611</v>
      </c>
    </row>
    <row r="41" spans="1:19">
      <c r="C41" s="447">
        <v>414000002</v>
      </c>
      <c r="D41" s="448" t="s">
        <v>574</v>
      </c>
      <c r="E41">
        <v>2020</v>
      </c>
      <c r="F41" s="3">
        <v>296262.06</v>
      </c>
      <c r="G41" s="3">
        <v>205380.23</v>
      </c>
      <c r="H41" s="3">
        <v>250820.97</v>
      </c>
      <c r="I41" s="3">
        <v>250820.97</v>
      </c>
      <c r="J41" s="3">
        <v>250820.97</v>
      </c>
      <c r="K41" s="3">
        <v>250820.97</v>
      </c>
      <c r="L41" s="3">
        <v>250820.97</v>
      </c>
      <c r="M41" s="3">
        <v>250820.97</v>
      </c>
      <c r="N41" s="3">
        <v>250820.97</v>
      </c>
      <c r="O41" s="3">
        <v>250820.97</v>
      </c>
      <c r="P41" s="3">
        <v>250820.97</v>
      </c>
      <c r="Q41" s="3">
        <v>272820.97000000003</v>
      </c>
      <c r="R41" s="440">
        <f t="shared" si="2"/>
        <v>3031851.9900000007</v>
      </c>
    </row>
    <row r="42" spans="1:19">
      <c r="C42" s="447" t="s">
        <v>484</v>
      </c>
      <c r="D42" s="448" t="s">
        <v>485</v>
      </c>
      <c r="E42">
        <v>2020</v>
      </c>
      <c r="F42" s="3">
        <v>31752.79</v>
      </c>
      <c r="G42" s="3">
        <v>-28726.07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440">
        <f t="shared" si="2"/>
        <v>3026.7200000000012</v>
      </c>
    </row>
    <row r="43" spans="1:19">
      <c r="B43" t="s">
        <v>488</v>
      </c>
      <c r="C43" s="423" t="s">
        <v>132</v>
      </c>
      <c r="D43" s="423" t="s">
        <v>133</v>
      </c>
      <c r="E43">
        <v>2020</v>
      </c>
      <c r="F43" s="3">
        <v>0</v>
      </c>
      <c r="G43" s="3">
        <v>3360</v>
      </c>
      <c r="H43" s="3">
        <v>1680</v>
      </c>
      <c r="I43" s="3">
        <v>1680</v>
      </c>
      <c r="J43" s="3">
        <v>1680</v>
      </c>
      <c r="K43" s="3">
        <v>1680</v>
      </c>
      <c r="L43" s="3">
        <v>1680</v>
      </c>
      <c r="M43" s="3">
        <v>1680</v>
      </c>
      <c r="N43" s="3">
        <v>1680</v>
      </c>
      <c r="O43" s="3">
        <v>1680</v>
      </c>
      <c r="P43" s="3">
        <v>1680</v>
      </c>
      <c r="Q43" s="3">
        <v>1680</v>
      </c>
      <c r="R43" s="440">
        <f t="shared" si="2"/>
        <v>20160</v>
      </c>
    </row>
    <row r="44" spans="1:19">
      <c r="A44" t="s">
        <v>328</v>
      </c>
      <c r="F44" s="436">
        <f>SUM(F32:F43)</f>
        <v>370170.22</v>
      </c>
      <c r="G44" s="437">
        <f t="shared" ref="G44:R44" si="3">SUM(G32:G43)</f>
        <v>198749.43</v>
      </c>
      <c r="H44" s="437">
        <f t="shared" si="3"/>
        <v>339129.05</v>
      </c>
      <c r="I44" s="437">
        <f t="shared" si="3"/>
        <v>339733.32</v>
      </c>
      <c r="J44" s="437">
        <f t="shared" si="3"/>
        <v>336087.33999999997</v>
      </c>
      <c r="K44" s="437">
        <f t="shared" si="3"/>
        <v>344014.56</v>
      </c>
      <c r="L44" s="437">
        <f t="shared" si="3"/>
        <v>340742.40000000002</v>
      </c>
      <c r="M44" s="437">
        <f t="shared" si="3"/>
        <v>378655.77</v>
      </c>
      <c r="N44" s="437">
        <f t="shared" si="3"/>
        <v>390210.38</v>
      </c>
      <c r="O44" s="437">
        <f t="shared" si="3"/>
        <v>412061.6</v>
      </c>
      <c r="P44" s="437">
        <f t="shared" si="3"/>
        <v>410764.13</v>
      </c>
      <c r="Q44" s="437">
        <f t="shared" si="3"/>
        <v>363372.49000000005</v>
      </c>
      <c r="R44" s="441">
        <f t="shared" si="3"/>
        <v>4223690.6900000004</v>
      </c>
    </row>
    <row r="45" spans="1:19"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</row>
    <row r="46" spans="1:19">
      <c r="A46" t="s">
        <v>329</v>
      </c>
      <c r="F46" s="436">
        <f>F29+F44</f>
        <v>4671233.33</v>
      </c>
      <c r="G46" s="437">
        <f t="shared" ref="G46:R46" si="4">G29+G44</f>
        <v>5158672.2</v>
      </c>
      <c r="H46" s="437">
        <f t="shared" si="4"/>
        <v>6469781.8300000001</v>
      </c>
      <c r="I46" s="437">
        <f t="shared" si="4"/>
        <v>5044344.5500000007</v>
      </c>
      <c r="J46" s="437">
        <f t="shared" si="4"/>
        <v>6265214.3100000005</v>
      </c>
      <c r="K46" s="437">
        <f t="shared" si="4"/>
        <v>6350926.0799999991</v>
      </c>
      <c r="L46" s="437">
        <f t="shared" si="4"/>
        <v>6043597.830000001</v>
      </c>
      <c r="M46" s="437">
        <f t="shared" si="4"/>
        <v>6081402.2200000007</v>
      </c>
      <c r="N46" s="437">
        <f t="shared" si="4"/>
        <v>6004959.0999999996</v>
      </c>
      <c r="O46" s="437">
        <f t="shared" si="4"/>
        <v>5986506.0299999993</v>
      </c>
      <c r="P46" s="437">
        <f t="shared" si="4"/>
        <v>5536047.8700000001</v>
      </c>
      <c r="Q46" s="437">
        <f t="shared" si="4"/>
        <v>2613203.6100000003</v>
      </c>
      <c r="R46" s="438">
        <f t="shared" si="4"/>
        <v>66225888.960000001</v>
      </c>
    </row>
  </sheetData>
  <pageMargins left="0.7" right="0.7" top="0.75" bottom="0.75" header="0.3" footer="0.3"/>
  <pageSetup scale="5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2689-4FD9-480F-858E-9838832C108F}">
  <dimension ref="A1:U37"/>
  <sheetViews>
    <sheetView workbookViewId="0"/>
  </sheetViews>
  <sheetFormatPr defaultColWidth="9.21875" defaultRowHeight="13.2"/>
  <cols>
    <col min="1" max="4" width="9.21875" style="200"/>
    <col min="5" max="5" width="11.77734375" style="200" bestFit="1" customWidth="1"/>
    <col min="6" max="7" width="9.21875" style="200"/>
    <col min="8" max="19" width="10.21875" style="200" bestFit="1" customWidth="1"/>
    <col min="20" max="20" width="11.21875" style="200" bestFit="1" customWidth="1"/>
    <col min="21" max="16384" width="9.21875" style="200"/>
  </cols>
  <sheetData>
    <row r="1" spans="1:20">
      <c r="A1" s="224" t="s">
        <v>137</v>
      </c>
      <c r="B1" s="224" t="s">
        <v>138</v>
      </c>
      <c r="C1" s="224" t="s">
        <v>139</v>
      </c>
      <c r="D1" s="224" t="s">
        <v>140</v>
      </c>
      <c r="E1" s="224" t="s">
        <v>141</v>
      </c>
      <c r="F1" s="224" t="s">
        <v>142</v>
      </c>
      <c r="G1" s="224" t="s">
        <v>143</v>
      </c>
      <c r="H1" s="224" t="s">
        <v>332</v>
      </c>
      <c r="I1" s="224" t="s">
        <v>333</v>
      </c>
      <c r="J1" s="224" t="s">
        <v>334</v>
      </c>
      <c r="K1" s="224" t="s">
        <v>335</v>
      </c>
      <c r="L1" s="224" t="s">
        <v>336</v>
      </c>
      <c r="M1" s="224" t="s">
        <v>337</v>
      </c>
      <c r="N1" s="224" t="s">
        <v>338</v>
      </c>
      <c r="O1" s="224" t="s">
        <v>339</v>
      </c>
      <c r="P1" s="224" t="s">
        <v>340</v>
      </c>
      <c r="Q1" s="224" t="s">
        <v>341</v>
      </c>
      <c r="R1" s="224" t="s">
        <v>342</v>
      </c>
      <c r="S1" s="224" t="s">
        <v>343</v>
      </c>
      <c r="T1" s="224" t="s">
        <v>144</v>
      </c>
    </row>
    <row r="2" spans="1:20">
      <c r="A2" s="200" t="s">
        <v>145</v>
      </c>
      <c r="B2" s="200" t="s">
        <v>145</v>
      </c>
      <c r="C2" s="200" t="s">
        <v>146</v>
      </c>
      <c r="D2" s="200" t="s">
        <v>195</v>
      </c>
      <c r="E2" s="200" t="s">
        <v>148</v>
      </c>
      <c r="F2" s="200" t="s">
        <v>149</v>
      </c>
      <c r="G2" s="200">
        <v>2020</v>
      </c>
      <c r="H2" s="434">
        <v>27625</v>
      </c>
      <c r="I2" s="434">
        <v>27625</v>
      </c>
      <c r="J2" s="434">
        <v>27625</v>
      </c>
      <c r="K2" s="434">
        <v>27625</v>
      </c>
      <c r="L2" s="434">
        <v>27625</v>
      </c>
      <c r="M2" s="434">
        <v>27625</v>
      </c>
      <c r="N2" s="434">
        <v>27625</v>
      </c>
      <c r="O2" s="434">
        <v>27625</v>
      </c>
      <c r="P2" s="434">
        <v>27625</v>
      </c>
      <c r="Q2" s="434">
        <v>27625</v>
      </c>
      <c r="R2" s="434">
        <v>27625</v>
      </c>
      <c r="S2" s="434">
        <v>27625</v>
      </c>
      <c r="T2" s="434">
        <f>SUM(H2:S2)</f>
        <v>331500</v>
      </c>
    </row>
    <row r="3" spans="1:20">
      <c r="A3" s="200" t="s">
        <v>150</v>
      </c>
      <c r="B3" s="200" t="s">
        <v>150</v>
      </c>
      <c r="C3" s="200" t="s">
        <v>146</v>
      </c>
      <c r="D3" s="200" t="s">
        <v>344</v>
      </c>
      <c r="E3" s="200" t="s">
        <v>171</v>
      </c>
      <c r="F3" s="200" t="s">
        <v>196</v>
      </c>
      <c r="G3" s="200">
        <v>2020</v>
      </c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>
        <f t="shared" ref="T3:T30" si="0">SUM(H3:S3)</f>
        <v>0</v>
      </c>
    </row>
    <row r="4" spans="1:20">
      <c r="A4" s="200" t="s">
        <v>150</v>
      </c>
      <c r="B4" s="200" t="s">
        <v>150</v>
      </c>
      <c r="C4" s="200" t="s">
        <v>170</v>
      </c>
      <c r="D4" s="200" t="s">
        <v>344</v>
      </c>
      <c r="E4" s="200" t="s">
        <v>171</v>
      </c>
      <c r="F4" s="200" t="s">
        <v>172</v>
      </c>
      <c r="G4" s="200">
        <v>2020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>
        <f t="shared" si="0"/>
        <v>0</v>
      </c>
    </row>
    <row r="5" spans="1:20">
      <c r="A5" s="200" t="s">
        <v>150</v>
      </c>
      <c r="B5" s="200" t="s">
        <v>150</v>
      </c>
      <c r="C5" s="200" t="s">
        <v>151</v>
      </c>
      <c r="D5" s="200" t="s">
        <v>174</v>
      </c>
      <c r="E5" s="200" t="s">
        <v>152</v>
      </c>
      <c r="F5" s="200" t="s">
        <v>153</v>
      </c>
      <c r="G5" s="200">
        <v>2020</v>
      </c>
      <c r="H5" s="434">
        <v>12466.8</v>
      </c>
      <c r="I5" s="434">
        <v>11702.38</v>
      </c>
      <c r="J5" s="434">
        <v>13891.04</v>
      </c>
      <c r="K5" s="434">
        <v>12699.68</v>
      </c>
      <c r="L5" s="434">
        <v>12265.01</v>
      </c>
      <c r="M5" s="434">
        <v>12219.61</v>
      </c>
      <c r="N5" s="434">
        <v>13647.86</v>
      </c>
      <c r="O5" s="434">
        <v>14544.66</v>
      </c>
      <c r="P5" s="434">
        <v>13390.23</v>
      </c>
      <c r="Q5" s="434">
        <v>13530.53</v>
      </c>
      <c r="R5" s="434">
        <v>12770.59</v>
      </c>
      <c r="S5" s="434">
        <v>13871.61</v>
      </c>
      <c r="T5" s="434">
        <f t="shared" si="0"/>
        <v>157000</v>
      </c>
    </row>
    <row r="6" spans="1:20">
      <c r="A6" s="200" t="s">
        <v>150</v>
      </c>
      <c r="B6" s="200" t="s">
        <v>150</v>
      </c>
      <c r="C6" s="200" t="s">
        <v>151</v>
      </c>
      <c r="D6" s="200" t="s">
        <v>174</v>
      </c>
      <c r="E6" s="200" t="s">
        <v>157</v>
      </c>
      <c r="F6" s="200" t="s">
        <v>153</v>
      </c>
      <c r="G6" s="200">
        <v>2020</v>
      </c>
      <c r="H6" s="434">
        <v>3732.1</v>
      </c>
      <c r="I6" s="434">
        <v>3503.26</v>
      </c>
      <c r="J6" s="434">
        <v>4158.46</v>
      </c>
      <c r="K6" s="434">
        <v>3801.81</v>
      </c>
      <c r="L6" s="434">
        <v>3671.69</v>
      </c>
      <c r="M6" s="434">
        <v>3658.1</v>
      </c>
      <c r="N6" s="434">
        <v>4085.66</v>
      </c>
      <c r="O6" s="434">
        <v>4354.13</v>
      </c>
      <c r="P6" s="434">
        <v>4008.54</v>
      </c>
      <c r="Q6" s="434">
        <v>4050.54</v>
      </c>
      <c r="R6" s="434">
        <v>3823.04</v>
      </c>
      <c r="S6" s="434">
        <v>4152.6499999999996</v>
      </c>
      <c r="T6" s="434">
        <f t="shared" si="0"/>
        <v>46999.98</v>
      </c>
    </row>
    <row r="7" spans="1:20">
      <c r="A7" s="200" t="s">
        <v>150</v>
      </c>
      <c r="B7" s="200" t="s">
        <v>150</v>
      </c>
      <c r="C7" s="200" t="s">
        <v>151</v>
      </c>
      <c r="D7" s="200" t="s">
        <v>580</v>
      </c>
      <c r="E7" s="200" t="s">
        <v>152</v>
      </c>
      <c r="F7" s="200" t="s">
        <v>153</v>
      </c>
      <c r="G7" s="200">
        <v>2020</v>
      </c>
      <c r="H7" s="434">
        <v>4604</v>
      </c>
      <c r="I7" s="434">
        <v>4273</v>
      </c>
      <c r="J7" s="434">
        <v>4580</v>
      </c>
      <c r="K7" s="434">
        <v>4487</v>
      </c>
      <c r="L7" s="434">
        <v>4219</v>
      </c>
      <c r="M7" s="434">
        <v>4394</v>
      </c>
      <c r="N7" s="434">
        <v>4720</v>
      </c>
      <c r="O7" s="434">
        <v>5097</v>
      </c>
      <c r="P7" s="434">
        <v>4694</v>
      </c>
      <c r="Q7" s="434">
        <v>5105</v>
      </c>
      <c r="R7" s="434">
        <v>4745</v>
      </c>
      <c r="S7" s="434">
        <v>4978</v>
      </c>
      <c r="T7" s="434">
        <f t="shared" si="0"/>
        <v>55896</v>
      </c>
    </row>
    <row r="8" spans="1:20">
      <c r="A8" s="200" t="s">
        <v>150</v>
      </c>
      <c r="B8" s="200" t="s">
        <v>150</v>
      </c>
      <c r="C8" s="200" t="s">
        <v>151</v>
      </c>
      <c r="D8" s="200" t="s">
        <v>580</v>
      </c>
      <c r="E8" s="200" t="s">
        <v>157</v>
      </c>
      <c r="F8" s="200" t="s">
        <v>153</v>
      </c>
      <c r="G8" s="200">
        <v>2020</v>
      </c>
      <c r="H8" s="434">
        <v>1891</v>
      </c>
      <c r="I8" s="434">
        <v>1732</v>
      </c>
      <c r="J8" s="434">
        <v>1628</v>
      </c>
      <c r="K8" s="434">
        <v>1749</v>
      </c>
      <c r="L8" s="434">
        <v>1590</v>
      </c>
      <c r="M8" s="434">
        <v>1751</v>
      </c>
      <c r="N8" s="434">
        <v>1792</v>
      </c>
      <c r="O8" s="434">
        <v>1968</v>
      </c>
      <c r="P8" s="434">
        <v>1812</v>
      </c>
      <c r="Q8" s="434">
        <v>2147</v>
      </c>
      <c r="R8" s="434">
        <v>1963</v>
      </c>
      <c r="S8" s="434">
        <v>1978</v>
      </c>
      <c r="T8" s="434">
        <f t="shared" si="0"/>
        <v>22001</v>
      </c>
    </row>
    <row r="9" spans="1:20">
      <c r="A9" s="200" t="s">
        <v>150</v>
      </c>
      <c r="B9" s="200" t="s">
        <v>150</v>
      </c>
      <c r="C9" s="200" t="s">
        <v>151</v>
      </c>
      <c r="D9" s="200" t="s">
        <v>175</v>
      </c>
      <c r="E9" s="200" t="s">
        <v>152</v>
      </c>
      <c r="F9" s="200" t="s">
        <v>153</v>
      </c>
      <c r="G9" s="200">
        <v>2020</v>
      </c>
      <c r="H9" s="434">
        <v>3165.07</v>
      </c>
      <c r="I9" s="434">
        <v>2971</v>
      </c>
      <c r="J9" s="434">
        <v>3526.66</v>
      </c>
      <c r="K9" s="434">
        <v>3224.2</v>
      </c>
      <c r="L9" s="434">
        <v>3113.84</v>
      </c>
      <c r="M9" s="434">
        <v>3102.32</v>
      </c>
      <c r="N9" s="434">
        <v>3464.92</v>
      </c>
      <c r="O9" s="434">
        <v>3692.6</v>
      </c>
      <c r="P9" s="434">
        <v>3399.51</v>
      </c>
      <c r="Q9" s="434">
        <v>3435.13</v>
      </c>
      <c r="R9" s="434">
        <v>3242.2</v>
      </c>
      <c r="S9" s="434">
        <v>3521.72</v>
      </c>
      <c r="T9" s="434">
        <f t="shared" si="0"/>
        <v>39859.17</v>
      </c>
    </row>
    <row r="10" spans="1:20">
      <c r="A10" s="200" t="s">
        <v>150</v>
      </c>
      <c r="B10" s="200" t="s">
        <v>150</v>
      </c>
      <c r="C10" s="200" t="s">
        <v>151</v>
      </c>
      <c r="D10" s="200" t="s">
        <v>175</v>
      </c>
      <c r="E10" s="200" t="s">
        <v>157</v>
      </c>
      <c r="F10" s="200" t="s">
        <v>153</v>
      </c>
      <c r="G10" s="200">
        <v>2020</v>
      </c>
      <c r="H10" s="434">
        <v>947.5</v>
      </c>
      <c r="I10" s="434">
        <v>889.41</v>
      </c>
      <c r="J10" s="434">
        <v>1055.75</v>
      </c>
      <c r="K10" s="434">
        <v>965.2</v>
      </c>
      <c r="L10" s="434">
        <v>932.16</v>
      </c>
      <c r="M10" s="434">
        <v>928.71</v>
      </c>
      <c r="N10" s="434">
        <v>1037.26</v>
      </c>
      <c r="O10" s="434">
        <v>1105.42</v>
      </c>
      <c r="P10" s="434">
        <v>1017.69</v>
      </c>
      <c r="Q10" s="434">
        <v>1028.3499999999999</v>
      </c>
      <c r="R10" s="434">
        <v>970.59</v>
      </c>
      <c r="S10" s="434">
        <v>1054.28</v>
      </c>
      <c r="T10" s="434">
        <f t="shared" si="0"/>
        <v>11932.320000000002</v>
      </c>
    </row>
    <row r="11" spans="1:20">
      <c r="A11" s="200" t="s">
        <v>150</v>
      </c>
      <c r="B11" s="200" t="s">
        <v>150</v>
      </c>
      <c r="C11" s="200" t="s">
        <v>151</v>
      </c>
      <c r="D11" s="200" t="s">
        <v>195</v>
      </c>
      <c r="E11" s="200" t="s">
        <v>152</v>
      </c>
      <c r="F11" s="200" t="s">
        <v>153</v>
      </c>
      <c r="G11" s="200">
        <v>2020</v>
      </c>
      <c r="H11" s="434">
        <v>13451.74</v>
      </c>
      <c r="I11" s="434">
        <v>12404.92</v>
      </c>
      <c r="J11" s="434">
        <v>12506.71</v>
      </c>
      <c r="K11" s="434">
        <v>12785.75</v>
      </c>
      <c r="L11" s="434">
        <v>11833.12</v>
      </c>
      <c r="M11" s="434">
        <v>12651.21</v>
      </c>
      <c r="N11" s="434">
        <v>13282.5</v>
      </c>
      <c r="O11" s="434">
        <v>14456.95</v>
      </c>
      <c r="P11" s="434">
        <v>13313.83</v>
      </c>
      <c r="Q11" s="434">
        <v>15088.64</v>
      </c>
      <c r="R11" s="434">
        <v>13911.56</v>
      </c>
      <c r="S11" s="434">
        <v>14313.08</v>
      </c>
      <c r="T11" s="434">
        <f t="shared" si="0"/>
        <v>160000.00999999998</v>
      </c>
    </row>
    <row r="12" spans="1:20">
      <c r="A12" s="200" t="s">
        <v>150</v>
      </c>
      <c r="B12" s="200" t="s">
        <v>150</v>
      </c>
      <c r="C12" s="200" t="s">
        <v>151</v>
      </c>
      <c r="D12" s="200" t="s">
        <v>195</v>
      </c>
      <c r="E12" s="200" t="s">
        <v>157</v>
      </c>
      <c r="F12" s="200" t="s">
        <v>153</v>
      </c>
      <c r="G12" s="200">
        <v>2020</v>
      </c>
      <c r="H12" s="434">
        <v>22531.67</v>
      </c>
      <c r="I12" s="434">
        <v>20778.25</v>
      </c>
      <c r="J12" s="434">
        <v>20948.73</v>
      </c>
      <c r="K12" s="434">
        <v>21416.12</v>
      </c>
      <c r="L12" s="434">
        <v>19820.48</v>
      </c>
      <c r="M12" s="434">
        <v>21190.77</v>
      </c>
      <c r="N12" s="434">
        <v>22248.19</v>
      </c>
      <c r="O12" s="434">
        <v>24215.39</v>
      </c>
      <c r="P12" s="434">
        <v>22300.66</v>
      </c>
      <c r="Q12" s="434">
        <v>25273.47</v>
      </c>
      <c r="R12" s="434">
        <v>23301.86</v>
      </c>
      <c r="S12" s="434">
        <v>23974.400000000001</v>
      </c>
      <c r="T12" s="434">
        <f t="shared" si="0"/>
        <v>267999.99</v>
      </c>
    </row>
    <row r="13" spans="1:20">
      <c r="A13" s="200" t="s">
        <v>150</v>
      </c>
      <c r="B13" s="200" t="s">
        <v>150</v>
      </c>
      <c r="C13" s="200" t="s">
        <v>151</v>
      </c>
      <c r="D13" s="200" t="s">
        <v>158</v>
      </c>
      <c r="E13" s="200" t="s">
        <v>152</v>
      </c>
      <c r="F13" s="200" t="s">
        <v>153</v>
      </c>
      <c r="G13" s="200">
        <v>2020</v>
      </c>
      <c r="H13" s="434">
        <v>3018.27</v>
      </c>
      <c r="I13" s="434">
        <v>2667.69</v>
      </c>
      <c r="J13" s="434">
        <v>1512.95</v>
      </c>
      <c r="K13" s="434">
        <v>2390.84</v>
      </c>
      <c r="L13" s="434">
        <v>1925.09</v>
      </c>
      <c r="M13" s="434">
        <v>2560.4699999999998</v>
      </c>
      <c r="N13" s="434">
        <v>2228.02</v>
      </c>
      <c r="O13" s="434">
        <v>2599.29</v>
      </c>
      <c r="P13" s="434">
        <v>2396.23</v>
      </c>
      <c r="Q13" s="434">
        <v>3640.44</v>
      </c>
      <c r="R13" s="434">
        <v>3190.23</v>
      </c>
      <c r="S13" s="434">
        <v>2870.48</v>
      </c>
      <c r="T13" s="434">
        <f t="shared" si="0"/>
        <v>30999.999999999996</v>
      </c>
    </row>
    <row r="14" spans="1:20">
      <c r="A14" s="200" t="s">
        <v>150</v>
      </c>
      <c r="B14" s="200" t="s">
        <v>150</v>
      </c>
      <c r="C14" s="200" t="s">
        <v>151</v>
      </c>
      <c r="D14" s="200" t="s">
        <v>158</v>
      </c>
      <c r="E14" s="200" t="s">
        <v>157</v>
      </c>
      <c r="F14" s="200" t="s">
        <v>153</v>
      </c>
      <c r="G14" s="200">
        <v>2020</v>
      </c>
      <c r="H14" s="434">
        <v>2628.82</v>
      </c>
      <c r="I14" s="434">
        <v>2323.4699999999998</v>
      </c>
      <c r="J14" s="434">
        <v>1317.73</v>
      </c>
      <c r="K14" s="434">
        <v>2082.35</v>
      </c>
      <c r="L14" s="434">
        <v>1676.69</v>
      </c>
      <c r="M14" s="434">
        <v>2230.09</v>
      </c>
      <c r="N14" s="434">
        <v>1940.53</v>
      </c>
      <c r="O14" s="434">
        <v>2263.9</v>
      </c>
      <c r="P14" s="434">
        <v>2087.04</v>
      </c>
      <c r="Q14" s="434">
        <v>3170.71</v>
      </c>
      <c r="R14" s="434">
        <v>2778.59</v>
      </c>
      <c r="S14" s="434">
        <v>2500.09</v>
      </c>
      <c r="T14" s="434">
        <f t="shared" si="0"/>
        <v>27000.010000000002</v>
      </c>
    </row>
    <row r="15" spans="1:20">
      <c r="A15" s="200" t="s">
        <v>150</v>
      </c>
      <c r="B15" s="200" t="s">
        <v>150</v>
      </c>
      <c r="C15" s="200" t="s">
        <v>151</v>
      </c>
      <c r="D15" s="200" t="s">
        <v>159</v>
      </c>
      <c r="E15" s="200" t="s">
        <v>152</v>
      </c>
      <c r="F15" s="200" t="s">
        <v>153</v>
      </c>
      <c r="G15" s="200">
        <v>2020</v>
      </c>
      <c r="H15" s="434">
        <v>273.18</v>
      </c>
      <c r="I15" s="434">
        <v>241.45</v>
      </c>
      <c r="J15" s="434">
        <v>136.94</v>
      </c>
      <c r="K15" s="434">
        <v>216.39</v>
      </c>
      <c r="L15" s="434">
        <v>174.24</v>
      </c>
      <c r="M15" s="434">
        <v>231.75</v>
      </c>
      <c r="N15" s="434">
        <v>201.66</v>
      </c>
      <c r="O15" s="434">
        <v>235.26</v>
      </c>
      <c r="P15" s="434">
        <v>216.88</v>
      </c>
      <c r="Q15" s="434">
        <v>329.5</v>
      </c>
      <c r="R15" s="434">
        <v>288.75</v>
      </c>
      <c r="S15" s="434">
        <v>259.81</v>
      </c>
      <c r="T15" s="434">
        <f t="shared" si="0"/>
        <v>2805.81</v>
      </c>
    </row>
    <row r="16" spans="1:20">
      <c r="A16" s="200" t="s">
        <v>150</v>
      </c>
      <c r="B16" s="200" t="s">
        <v>150</v>
      </c>
      <c r="C16" s="200" t="s">
        <v>151</v>
      </c>
      <c r="D16" s="200" t="s">
        <v>159</v>
      </c>
      <c r="E16" s="200" t="s">
        <v>157</v>
      </c>
      <c r="F16" s="200" t="s">
        <v>153</v>
      </c>
      <c r="G16" s="200">
        <v>2020</v>
      </c>
      <c r="H16" s="434">
        <v>237.93</v>
      </c>
      <c r="I16" s="434">
        <v>210.3</v>
      </c>
      <c r="J16" s="434">
        <v>119.27</v>
      </c>
      <c r="K16" s="434">
        <v>188.47</v>
      </c>
      <c r="L16" s="434">
        <v>151.76</v>
      </c>
      <c r="M16" s="434">
        <v>201.85</v>
      </c>
      <c r="N16" s="434">
        <v>175.64</v>
      </c>
      <c r="O16" s="434">
        <v>204.91</v>
      </c>
      <c r="P16" s="434">
        <v>188.9</v>
      </c>
      <c r="Q16" s="434">
        <v>286.98</v>
      </c>
      <c r="R16" s="434">
        <v>251.49</v>
      </c>
      <c r="S16" s="434">
        <v>226.28</v>
      </c>
      <c r="T16" s="434">
        <f t="shared" si="0"/>
        <v>2443.7800000000002</v>
      </c>
    </row>
    <row r="17" spans="1:21">
      <c r="A17" s="200" t="s">
        <v>150</v>
      </c>
      <c r="B17" s="200" t="s">
        <v>150</v>
      </c>
      <c r="C17" s="200" t="s">
        <v>151</v>
      </c>
      <c r="D17" s="200" t="s">
        <v>344</v>
      </c>
      <c r="E17" s="200" t="s">
        <v>171</v>
      </c>
      <c r="F17" s="200" t="s">
        <v>197</v>
      </c>
      <c r="G17" s="200">
        <v>2020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>
        <f t="shared" si="0"/>
        <v>0</v>
      </c>
    </row>
    <row r="18" spans="1:21">
      <c r="A18" s="200" t="s">
        <v>150</v>
      </c>
      <c r="B18" s="200" t="s">
        <v>150</v>
      </c>
      <c r="C18" s="200" t="s">
        <v>151</v>
      </c>
      <c r="D18" s="200" t="s">
        <v>346</v>
      </c>
      <c r="E18" s="200" t="s">
        <v>152</v>
      </c>
      <c r="F18" s="200" t="s">
        <v>153</v>
      </c>
      <c r="G18" s="200">
        <v>2020</v>
      </c>
      <c r="H18" s="434">
        <v>2185.91</v>
      </c>
      <c r="I18" s="434">
        <v>2015.8</v>
      </c>
      <c r="J18" s="434">
        <v>2032.34</v>
      </c>
      <c r="K18" s="434">
        <v>2077.6799999999998</v>
      </c>
      <c r="L18" s="434">
        <v>1922.88</v>
      </c>
      <c r="M18" s="434">
        <v>2055.8200000000002</v>
      </c>
      <c r="N18" s="434">
        <v>2158.41</v>
      </c>
      <c r="O18" s="434">
        <v>2349.25</v>
      </c>
      <c r="P18" s="434">
        <v>2163.5</v>
      </c>
      <c r="Q18" s="434">
        <v>2451.9</v>
      </c>
      <c r="R18" s="434">
        <v>2260.63</v>
      </c>
      <c r="S18" s="434">
        <v>2325.87</v>
      </c>
      <c r="T18" s="434">
        <f t="shared" si="0"/>
        <v>25999.99</v>
      </c>
    </row>
    <row r="19" spans="1:21">
      <c r="A19" s="200" t="s">
        <v>150</v>
      </c>
      <c r="B19" s="200" t="s">
        <v>150</v>
      </c>
      <c r="C19" s="200" t="s">
        <v>151</v>
      </c>
      <c r="D19" s="200" t="s">
        <v>346</v>
      </c>
      <c r="E19" s="200" t="s">
        <v>157</v>
      </c>
      <c r="F19" s="200" t="s">
        <v>153</v>
      </c>
      <c r="G19" s="200">
        <v>2020</v>
      </c>
      <c r="H19" s="434">
        <v>916.4</v>
      </c>
      <c r="I19" s="434">
        <v>845.09</v>
      </c>
      <c r="J19" s="434">
        <v>852.02</v>
      </c>
      <c r="K19" s="434">
        <v>871.03</v>
      </c>
      <c r="L19" s="434">
        <v>806.13</v>
      </c>
      <c r="M19" s="434">
        <v>861.86</v>
      </c>
      <c r="N19" s="434">
        <v>904.87</v>
      </c>
      <c r="O19" s="434">
        <v>984.88</v>
      </c>
      <c r="P19" s="434">
        <v>907</v>
      </c>
      <c r="Q19" s="434">
        <v>1027.9100000000001</v>
      </c>
      <c r="R19" s="434">
        <v>947.72</v>
      </c>
      <c r="S19" s="434">
        <v>975.08</v>
      </c>
      <c r="T19" s="434">
        <f t="shared" si="0"/>
        <v>10899.99</v>
      </c>
    </row>
    <row r="20" spans="1:21">
      <c r="A20" s="200" t="s">
        <v>150</v>
      </c>
      <c r="B20" s="200" t="s">
        <v>150</v>
      </c>
      <c r="C20" s="200" t="s">
        <v>151</v>
      </c>
      <c r="D20" s="200" t="s">
        <v>347</v>
      </c>
      <c r="E20" s="200" t="s">
        <v>152</v>
      </c>
      <c r="F20" s="200" t="s">
        <v>153</v>
      </c>
      <c r="G20" s="200">
        <v>2020</v>
      </c>
      <c r="H20" s="434">
        <v>196.73</v>
      </c>
      <c r="I20" s="434">
        <v>181.42</v>
      </c>
      <c r="J20" s="434">
        <v>182.91</v>
      </c>
      <c r="K20" s="434">
        <v>186.99</v>
      </c>
      <c r="L20" s="434">
        <v>173.06</v>
      </c>
      <c r="M20" s="434">
        <v>185.02</v>
      </c>
      <c r="N20" s="434">
        <v>194.26</v>
      </c>
      <c r="O20" s="434">
        <v>211.43</v>
      </c>
      <c r="P20" s="434">
        <v>194.72</v>
      </c>
      <c r="Q20" s="434">
        <v>220.67</v>
      </c>
      <c r="R20" s="434">
        <v>203.46</v>
      </c>
      <c r="S20" s="434">
        <v>209.33</v>
      </c>
      <c r="T20" s="434">
        <f t="shared" si="0"/>
        <v>2340</v>
      </c>
    </row>
    <row r="21" spans="1:21">
      <c r="A21" s="200" t="s">
        <v>150</v>
      </c>
      <c r="B21" s="200" t="s">
        <v>150</v>
      </c>
      <c r="C21" s="200" t="s">
        <v>151</v>
      </c>
      <c r="D21" s="200" t="s">
        <v>347</v>
      </c>
      <c r="E21" s="200" t="s">
        <v>157</v>
      </c>
      <c r="F21" s="200" t="s">
        <v>153</v>
      </c>
      <c r="G21" s="200">
        <v>2020</v>
      </c>
      <c r="H21" s="434">
        <v>82.48</v>
      </c>
      <c r="I21" s="434">
        <v>76.06</v>
      </c>
      <c r="J21" s="434">
        <v>76.680000000000007</v>
      </c>
      <c r="K21" s="434">
        <v>78.39</v>
      </c>
      <c r="L21" s="434">
        <v>72.55</v>
      </c>
      <c r="M21" s="434">
        <v>77.569999999999993</v>
      </c>
      <c r="N21" s="434">
        <v>81.44</v>
      </c>
      <c r="O21" s="434">
        <v>88.64</v>
      </c>
      <c r="P21" s="434">
        <v>81.63</v>
      </c>
      <c r="Q21" s="434">
        <v>92.51</v>
      </c>
      <c r="R21" s="434">
        <v>85.29</v>
      </c>
      <c r="S21" s="434">
        <v>87.76</v>
      </c>
      <c r="T21" s="434">
        <f t="shared" si="0"/>
        <v>981</v>
      </c>
    </row>
    <row r="22" spans="1:21">
      <c r="A22" s="200" t="s">
        <v>150</v>
      </c>
      <c r="B22" s="200" t="s">
        <v>150</v>
      </c>
      <c r="C22" s="200" t="s">
        <v>176</v>
      </c>
      <c r="D22" s="200" t="s">
        <v>344</v>
      </c>
      <c r="E22" s="200" t="s">
        <v>171</v>
      </c>
      <c r="F22" s="200" t="s">
        <v>198</v>
      </c>
      <c r="G22" s="200">
        <v>2020</v>
      </c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>
        <f t="shared" si="0"/>
        <v>0</v>
      </c>
    </row>
    <row r="23" spans="1:21">
      <c r="A23" s="200" t="s">
        <v>150</v>
      </c>
      <c r="B23" s="200" t="s">
        <v>150</v>
      </c>
      <c r="C23" s="200" t="s">
        <v>199</v>
      </c>
      <c r="D23" s="200" t="s">
        <v>344</v>
      </c>
      <c r="E23" s="200" t="s">
        <v>171</v>
      </c>
      <c r="F23" s="200" t="s">
        <v>200</v>
      </c>
      <c r="G23" s="200">
        <v>2020</v>
      </c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>
        <f t="shared" si="0"/>
        <v>0</v>
      </c>
    </row>
    <row r="24" spans="1:21">
      <c r="A24" s="200" t="s">
        <v>150</v>
      </c>
      <c r="B24" s="200" t="s">
        <v>150</v>
      </c>
      <c r="C24" s="200" t="s">
        <v>201</v>
      </c>
      <c r="D24" s="200" t="s">
        <v>344</v>
      </c>
      <c r="E24" s="200" t="s">
        <v>171</v>
      </c>
      <c r="F24" s="200" t="s">
        <v>202</v>
      </c>
      <c r="G24" s="200">
        <v>2020</v>
      </c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>
        <f t="shared" si="0"/>
        <v>0</v>
      </c>
    </row>
    <row r="25" spans="1:21">
      <c r="A25" s="200" t="s">
        <v>154</v>
      </c>
      <c r="B25" s="200" t="s">
        <v>173</v>
      </c>
      <c r="C25" s="200" t="s">
        <v>151</v>
      </c>
      <c r="D25" s="200" t="s">
        <v>147</v>
      </c>
      <c r="E25" s="200" t="s">
        <v>155</v>
      </c>
      <c r="F25" s="200" t="s">
        <v>345</v>
      </c>
      <c r="G25" s="200">
        <v>2020</v>
      </c>
      <c r="H25" s="434">
        <v>0</v>
      </c>
      <c r="I25" s="434">
        <v>1218</v>
      </c>
      <c r="J25" s="434">
        <v>0</v>
      </c>
      <c r="K25" s="434">
        <v>781.79</v>
      </c>
      <c r="L25" s="434">
        <v>2000</v>
      </c>
      <c r="M25" s="434">
        <v>0</v>
      </c>
      <c r="N25" s="434">
        <v>0.03</v>
      </c>
      <c r="O25" s="434">
        <v>0</v>
      </c>
      <c r="P25" s="434">
        <v>0</v>
      </c>
      <c r="Q25" s="434">
        <v>0</v>
      </c>
      <c r="R25" s="434">
        <v>0</v>
      </c>
      <c r="S25" s="434">
        <v>0</v>
      </c>
      <c r="T25" s="434">
        <f t="shared" si="0"/>
        <v>3999.82</v>
      </c>
    </row>
    <row r="26" spans="1:21">
      <c r="A26" s="200" t="s">
        <v>154</v>
      </c>
      <c r="B26" s="200" t="s">
        <v>173</v>
      </c>
      <c r="C26" s="200" t="s">
        <v>151</v>
      </c>
      <c r="D26" s="200" t="s">
        <v>147</v>
      </c>
      <c r="E26" s="200" t="s">
        <v>492</v>
      </c>
      <c r="F26" s="200" t="s">
        <v>493</v>
      </c>
      <c r="G26" s="200">
        <v>2020</v>
      </c>
      <c r="H26" s="434">
        <v>1000</v>
      </c>
      <c r="I26" s="434">
        <v>1000</v>
      </c>
      <c r="J26" s="434">
        <v>5981.59</v>
      </c>
      <c r="K26" s="434">
        <v>2720.09</v>
      </c>
      <c r="L26" s="434">
        <v>1000</v>
      </c>
      <c r="M26" s="434">
        <v>0</v>
      </c>
      <c r="N26" s="434">
        <v>700</v>
      </c>
      <c r="O26" s="434">
        <v>700</v>
      </c>
      <c r="P26" s="434">
        <v>0</v>
      </c>
      <c r="Q26" s="434">
        <v>790</v>
      </c>
      <c r="R26" s="434">
        <v>1641.83</v>
      </c>
      <c r="S26" s="434">
        <v>1466.47</v>
      </c>
      <c r="T26" s="434">
        <f t="shared" si="0"/>
        <v>16999.98</v>
      </c>
    </row>
    <row r="27" spans="1:21">
      <c r="A27" s="200" t="s">
        <v>156</v>
      </c>
      <c r="B27" s="200" t="s">
        <v>203</v>
      </c>
      <c r="C27" s="200" t="s">
        <v>151</v>
      </c>
      <c r="D27" s="200" t="s">
        <v>174</v>
      </c>
      <c r="E27" s="200" t="s">
        <v>494</v>
      </c>
      <c r="F27" s="200" t="s">
        <v>493</v>
      </c>
      <c r="G27" s="200">
        <v>2020</v>
      </c>
      <c r="H27" s="434">
        <v>0</v>
      </c>
      <c r="I27" s="434">
        <v>0</v>
      </c>
      <c r="J27" s="434">
        <v>1000</v>
      </c>
      <c r="K27" s="434">
        <v>0</v>
      </c>
      <c r="L27" s="434">
        <v>0</v>
      </c>
      <c r="M27" s="434">
        <v>1000</v>
      </c>
      <c r="N27" s="434">
        <v>0</v>
      </c>
      <c r="O27" s="434">
        <v>0</v>
      </c>
      <c r="P27" s="434">
        <v>1000</v>
      </c>
      <c r="Q27" s="434">
        <v>0</v>
      </c>
      <c r="R27" s="434">
        <v>0</v>
      </c>
      <c r="S27" s="434">
        <v>0</v>
      </c>
      <c r="T27" s="434">
        <f t="shared" si="0"/>
        <v>3000</v>
      </c>
    </row>
    <row r="28" spans="1:21">
      <c r="A28" s="200" t="s">
        <v>156</v>
      </c>
      <c r="B28" s="200" t="s">
        <v>203</v>
      </c>
      <c r="C28" s="200" t="s">
        <v>151</v>
      </c>
      <c r="D28" s="200" t="s">
        <v>580</v>
      </c>
      <c r="E28" s="200" t="s">
        <v>494</v>
      </c>
      <c r="F28" s="200" t="s">
        <v>493</v>
      </c>
      <c r="G28" s="200">
        <v>2020</v>
      </c>
      <c r="H28" s="434">
        <v>0</v>
      </c>
      <c r="I28" s="434">
        <v>0</v>
      </c>
      <c r="J28" s="434">
        <v>167</v>
      </c>
      <c r="K28" s="434">
        <v>0</v>
      </c>
      <c r="L28" s="434">
        <v>0</v>
      </c>
      <c r="M28" s="434">
        <v>167</v>
      </c>
      <c r="N28" s="434">
        <v>0</v>
      </c>
      <c r="O28" s="434">
        <v>0</v>
      </c>
      <c r="P28" s="434">
        <v>167</v>
      </c>
      <c r="Q28" s="434">
        <v>0</v>
      </c>
      <c r="R28" s="434">
        <v>0</v>
      </c>
      <c r="S28" s="434">
        <v>0</v>
      </c>
      <c r="T28" s="434">
        <f t="shared" si="0"/>
        <v>501</v>
      </c>
    </row>
    <row r="29" spans="1:21">
      <c r="A29" s="200" t="s">
        <v>156</v>
      </c>
      <c r="B29" s="200" t="s">
        <v>203</v>
      </c>
      <c r="C29" s="200" t="s">
        <v>151</v>
      </c>
      <c r="D29" s="200" t="s">
        <v>175</v>
      </c>
      <c r="E29" s="200" t="s">
        <v>494</v>
      </c>
      <c r="F29" s="200" t="s">
        <v>493</v>
      </c>
      <c r="G29" s="200">
        <v>2020</v>
      </c>
      <c r="H29" s="434">
        <v>0</v>
      </c>
      <c r="I29" s="434">
        <v>0</v>
      </c>
      <c r="J29" s="434">
        <v>253.88</v>
      </c>
      <c r="K29" s="434">
        <v>0</v>
      </c>
      <c r="L29" s="434">
        <v>0</v>
      </c>
      <c r="M29" s="434">
        <v>253.88</v>
      </c>
      <c r="N29" s="434">
        <v>0</v>
      </c>
      <c r="O29" s="434">
        <v>0</v>
      </c>
      <c r="P29" s="434">
        <v>253.88</v>
      </c>
      <c r="Q29" s="434">
        <v>0</v>
      </c>
      <c r="R29" s="434">
        <v>0</v>
      </c>
      <c r="S29" s="434">
        <v>0</v>
      </c>
      <c r="T29" s="434">
        <f t="shared" si="0"/>
        <v>761.64</v>
      </c>
    </row>
    <row r="30" spans="1:21">
      <c r="A30" s="224" t="s">
        <v>582</v>
      </c>
      <c r="B30" s="224" t="s">
        <v>582</v>
      </c>
      <c r="C30" s="224" t="s">
        <v>583</v>
      </c>
      <c r="D30" s="224" t="s">
        <v>147</v>
      </c>
      <c r="E30" s="224" t="s">
        <v>584</v>
      </c>
      <c r="F30" s="224" t="s">
        <v>585</v>
      </c>
      <c r="G30" s="224" t="s">
        <v>581</v>
      </c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>
        <f t="shared" si="0"/>
        <v>0</v>
      </c>
      <c r="U30" s="452" t="s">
        <v>611</v>
      </c>
    </row>
    <row r="31" spans="1:21">
      <c r="H31" s="450">
        <f>SUM(H2:H30)</f>
        <v>100954.59999999999</v>
      </c>
      <c r="I31" s="450">
        <f t="shared" ref="I31:S31" si="1">SUM(I2:I30)</f>
        <v>96658.5</v>
      </c>
      <c r="J31" s="450">
        <f t="shared" si="1"/>
        <v>103553.65999999999</v>
      </c>
      <c r="K31" s="450">
        <f t="shared" si="1"/>
        <v>100347.77999999997</v>
      </c>
      <c r="L31" s="450">
        <f t="shared" si="1"/>
        <v>94972.700000000026</v>
      </c>
      <c r="M31" s="450">
        <f t="shared" si="1"/>
        <v>97346.030000000028</v>
      </c>
      <c r="N31" s="450">
        <f t="shared" si="1"/>
        <v>100488.25000000001</v>
      </c>
      <c r="O31" s="450">
        <f t="shared" si="1"/>
        <v>106696.70999999998</v>
      </c>
      <c r="P31" s="450">
        <f t="shared" si="1"/>
        <v>101218.24000000001</v>
      </c>
      <c r="Q31" s="450">
        <f t="shared" si="1"/>
        <v>109294.28</v>
      </c>
      <c r="R31" s="450">
        <f t="shared" si="1"/>
        <v>104000.83</v>
      </c>
      <c r="S31" s="450">
        <f t="shared" si="1"/>
        <v>106389.90999999997</v>
      </c>
      <c r="T31" s="450">
        <f>SUM(T2:T30)</f>
        <v>1221921.49</v>
      </c>
    </row>
    <row r="33" spans="6:20">
      <c r="F33" s="211" t="s">
        <v>601</v>
      </c>
      <c r="G33" s="200">
        <v>2020</v>
      </c>
      <c r="H33" s="450">
        <f>SUM(H2:H29)</f>
        <v>100954.59999999999</v>
      </c>
      <c r="I33" s="450">
        <f t="shared" ref="I33:T33" si="2">SUM(I2:I29)</f>
        <v>96658.5</v>
      </c>
      <c r="J33" s="450">
        <f t="shared" si="2"/>
        <v>103553.65999999999</v>
      </c>
      <c r="K33" s="450">
        <f t="shared" si="2"/>
        <v>100347.77999999997</v>
      </c>
      <c r="L33" s="450">
        <f t="shared" si="2"/>
        <v>94972.700000000026</v>
      </c>
      <c r="M33" s="450">
        <f t="shared" si="2"/>
        <v>97346.030000000028</v>
      </c>
      <c r="N33" s="450">
        <f t="shared" si="2"/>
        <v>100488.25000000001</v>
      </c>
      <c r="O33" s="450">
        <f t="shared" si="2"/>
        <v>106696.70999999998</v>
      </c>
      <c r="P33" s="450">
        <f t="shared" si="2"/>
        <v>101218.24000000001</v>
      </c>
      <c r="Q33" s="450">
        <f t="shared" si="2"/>
        <v>109294.28</v>
      </c>
      <c r="R33" s="450">
        <f t="shared" si="2"/>
        <v>104000.83</v>
      </c>
      <c r="S33" s="450">
        <f t="shared" si="2"/>
        <v>106389.90999999997</v>
      </c>
      <c r="T33" s="450">
        <f t="shared" si="2"/>
        <v>1221921.49</v>
      </c>
    </row>
    <row r="34" spans="6:20">
      <c r="F34" s="211" t="s">
        <v>602</v>
      </c>
      <c r="G34" s="200">
        <v>2020</v>
      </c>
      <c r="H34" s="450">
        <f>H30</f>
        <v>0</v>
      </c>
      <c r="I34" s="450">
        <f t="shared" ref="I34:T34" si="3">I30</f>
        <v>0</v>
      </c>
      <c r="J34" s="450">
        <f t="shared" si="3"/>
        <v>0</v>
      </c>
      <c r="K34" s="450">
        <f t="shared" si="3"/>
        <v>0</v>
      </c>
      <c r="L34" s="450">
        <f t="shared" si="3"/>
        <v>0</v>
      </c>
      <c r="M34" s="450">
        <f t="shared" si="3"/>
        <v>0</v>
      </c>
      <c r="N34" s="450">
        <f t="shared" si="3"/>
        <v>0</v>
      </c>
      <c r="O34" s="450">
        <f t="shared" si="3"/>
        <v>0</v>
      </c>
      <c r="P34" s="450">
        <f t="shared" si="3"/>
        <v>0</v>
      </c>
      <c r="Q34" s="450">
        <f t="shared" si="3"/>
        <v>0</v>
      </c>
      <c r="R34" s="450">
        <f t="shared" si="3"/>
        <v>0</v>
      </c>
      <c r="S34" s="450">
        <f t="shared" si="3"/>
        <v>0</v>
      </c>
      <c r="T34" s="450">
        <f t="shared" si="3"/>
        <v>0</v>
      </c>
    </row>
    <row r="35" spans="6:20"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</row>
    <row r="36" spans="6:20">
      <c r="F36" s="211" t="s">
        <v>592</v>
      </c>
      <c r="G36" s="200">
        <v>2020</v>
      </c>
      <c r="H36" s="434">
        <v>68347</v>
      </c>
      <c r="I36" s="434">
        <v>68347</v>
      </c>
      <c r="J36" s="434">
        <v>68347</v>
      </c>
      <c r="K36" s="434">
        <v>68347</v>
      </c>
      <c r="L36" s="434">
        <v>68347</v>
      </c>
      <c r="M36" s="434">
        <v>68347</v>
      </c>
      <c r="N36" s="434">
        <v>68347</v>
      </c>
      <c r="O36" s="434">
        <v>68347</v>
      </c>
      <c r="P36" s="434">
        <v>68347</v>
      </c>
      <c r="Q36" s="434">
        <v>68347</v>
      </c>
      <c r="R36" s="434">
        <v>68347</v>
      </c>
      <c r="S36" s="434">
        <v>68347</v>
      </c>
      <c r="T36" s="434">
        <f>SUM(H36:S36)</f>
        <v>820164</v>
      </c>
    </row>
    <row r="37" spans="6:20">
      <c r="F37" s="211" t="s">
        <v>459</v>
      </c>
      <c r="G37" s="200">
        <v>2020</v>
      </c>
      <c r="H37" s="434">
        <v>20186</v>
      </c>
      <c r="I37" s="434">
        <v>20186</v>
      </c>
      <c r="J37" s="434">
        <v>20186</v>
      </c>
      <c r="K37" s="434">
        <v>20186</v>
      </c>
      <c r="L37" s="434">
        <v>20186</v>
      </c>
      <c r="M37" s="434">
        <v>20186</v>
      </c>
      <c r="N37" s="434">
        <v>20186</v>
      </c>
      <c r="O37" s="434">
        <v>20186</v>
      </c>
      <c r="P37" s="434">
        <v>20186</v>
      </c>
      <c r="Q37" s="434">
        <v>20186</v>
      </c>
      <c r="R37" s="434">
        <v>64595</v>
      </c>
      <c r="S37" s="434">
        <v>64595</v>
      </c>
      <c r="T37" s="434">
        <f>SUM(H37:S37)</f>
        <v>331050</v>
      </c>
    </row>
  </sheetData>
  <pageMargins left="0.75" right="0.75" top="1" bottom="1" header="0.5" footer="0.5"/>
  <pageSetup scale="6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FB86-159C-44AD-849B-AA80AFEC6AAF}">
  <dimension ref="A1:N11"/>
  <sheetViews>
    <sheetView workbookViewId="0"/>
  </sheetViews>
  <sheetFormatPr defaultColWidth="8.77734375" defaultRowHeight="13.2"/>
  <cols>
    <col min="1" max="1" width="17.77734375" style="508" bestFit="1" customWidth="1"/>
    <col min="2" max="14" width="14" style="508" bestFit="1" customWidth="1"/>
    <col min="15" max="16384" width="8.77734375" style="508"/>
  </cols>
  <sheetData>
    <row r="1" spans="1:14">
      <c r="A1" s="508" t="s">
        <v>622</v>
      </c>
    </row>
    <row r="2" spans="1:14">
      <c r="A2" s="508" t="s">
        <v>12</v>
      </c>
    </row>
    <row r="3" spans="1:14">
      <c r="A3" s="508" t="s">
        <v>623</v>
      </c>
    </row>
    <row r="5" spans="1:14">
      <c r="B5" s="509">
        <v>43831</v>
      </c>
      <c r="C5" s="509">
        <v>43862</v>
      </c>
      <c r="D5" s="509">
        <v>43891</v>
      </c>
      <c r="E5" s="509">
        <v>43922</v>
      </c>
      <c r="F5" s="509">
        <v>43952</v>
      </c>
      <c r="G5" s="509">
        <v>43983</v>
      </c>
      <c r="H5" s="509">
        <v>44013</v>
      </c>
      <c r="I5" s="509">
        <v>44044</v>
      </c>
      <c r="J5" s="509">
        <v>44075</v>
      </c>
      <c r="K5" s="509">
        <v>44105</v>
      </c>
      <c r="L5" s="509">
        <v>44136</v>
      </c>
      <c r="M5" s="509">
        <v>44166</v>
      </c>
      <c r="N5" s="510" t="s">
        <v>3</v>
      </c>
    </row>
    <row r="6" spans="1:14"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</row>
    <row r="7" spans="1:14">
      <c r="A7" s="508" t="s">
        <v>624</v>
      </c>
      <c r="B7" s="511"/>
      <c r="C7" s="511"/>
      <c r="D7" s="511"/>
      <c r="E7" s="511"/>
      <c r="F7" s="511"/>
      <c r="G7" s="511"/>
      <c r="H7" s="511"/>
      <c r="I7" s="511"/>
      <c r="J7" s="511"/>
      <c r="K7" s="511">
        <v>2729692.3755785851</v>
      </c>
      <c r="L7" s="511"/>
      <c r="M7" s="511"/>
      <c r="N7" s="512">
        <f>SUM(B7:M7)</f>
        <v>2729692.3755785851</v>
      </c>
    </row>
    <row r="8" spans="1:14">
      <c r="A8" s="508" t="s">
        <v>625</v>
      </c>
      <c r="B8" s="512">
        <v>95826.869175680084</v>
      </c>
      <c r="C8" s="512">
        <f>B8</f>
        <v>95826.869175680084</v>
      </c>
      <c r="D8" s="512">
        <f t="shared" ref="D8:M8" si="0">C8</f>
        <v>95826.869175680084</v>
      </c>
      <c r="E8" s="512">
        <f t="shared" si="0"/>
        <v>95826.869175680084</v>
      </c>
      <c r="F8" s="512">
        <f t="shared" si="0"/>
        <v>95826.869175680084</v>
      </c>
      <c r="G8" s="512">
        <f t="shared" si="0"/>
        <v>95826.869175680084</v>
      </c>
      <c r="H8" s="512">
        <f t="shared" si="0"/>
        <v>95826.869175680084</v>
      </c>
      <c r="I8" s="512">
        <f t="shared" si="0"/>
        <v>95826.869175680084</v>
      </c>
      <c r="J8" s="512">
        <f t="shared" si="0"/>
        <v>95826.869175680084</v>
      </c>
      <c r="K8" s="512">
        <f t="shared" si="0"/>
        <v>95826.869175680084</v>
      </c>
      <c r="L8" s="512">
        <f t="shared" si="0"/>
        <v>95826.869175680084</v>
      </c>
      <c r="M8" s="512">
        <f t="shared" si="0"/>
        <v>95826.869175680084</v>
      </c>
      <c r="N8" s="512">
        <f>SUM(B8:M8)</f>
        <v>1149922.4301081609</v>
      </c>
    </row>
    <row r="11" spans="1:14">
      <c r="A11" s="508" t="s">
        <v>3</v>
      </c>
      <c r="B11" s="513">
        <f>SUM(B7:B8)</f>
        <v>95826.869175680084</v>
      </c>
      <c r="C11" s="513">
        <f t="shared" ref="C11:N11" si="1">SUM(C7:C8)</f>
        <v>95826.869175680084</v>
      </c>
      <c r="D11" s="513">
        <f t="shared" si="1"/>
        <v>95826.869175680084</v>
      </c>
      <c r="E11" s="513">
        <f t="shared" si="1"/>
        <v>95826.869175680084</v>
      </c>
      <c r="F11" s="513">
        <f t="shared" si="1"/>
        <v>95826.869175680084</v>
      </c>
      <c r="G11" s="513">
        <f t="shared" si="1"/>
        <v>95826.869175680084</v>
      </c>
      <c r="H11" s="513">
        <f t="shared" si="1"/>
        <v>95826.869175680084</v>
      </c>
      <c r="I11" s="513">
        <f t="shared" si="1"/>
        <v>95826.869175680084</v>
      </c>
      <c r="J11" s="513">
        <f t="shared" si="1"/>
        <v>95826.869175680084</v>
      </c>
      <c r="K11" s="513">
        <f t="shared" si="1"/>
        <v>2825519.2447542651</v>
      </c>
      <c r="L11" s="513">
        <f t="shared" si="1"/>
        <v>95826.869175680084</v>
      </c>
      <c r="M11" s="513">
        <f t="shared" si="1"/>
        <v>95826.869175680084</v>
      </c>
      <c r="N11" s="513">
        <f t="shared" si="1"/>
        <v>3879614.8056867458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J1048576"/>
  <sheetViews>
    <sheetView zoomScale="50" zoomScaleNormal="50" workbookViewId="0"/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19.21875" style="72" customWidth="1"/>
    <col min="18" max="18" width="13.77734375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15">
        <v>2018</v>
      </c>
      <c r="E6" s="95">
        <v>2019</v>
      </c>
      <c r="F6" s="95">
        <f>$E$6</f>
        <v>2019</v>
      </c>
      <c r="G6" s="95">
        <f>$E$6</f>
        <v>2019</v>
      </c>
      <c r="H6" s="95">
        <f>$E$6</f>
        <v>2019</v>
      </c>
      <c r="I6" s="95">
        <f>$E$6</f>
        <v>2019</v>
      </c>
      <c r="J6" s="95">
        <f>$E$6</f>
        <v>2019</v>
      </c>
      <c r="K6" s="95">
        <f t="shared" ref="K6:Q6" si="0">$E$6</f>
        <v>2019</v>
      </c>
      <c r="L6" s="95">
        <f t="shared" si="0"/>
        <v>2019</v>
      </c>
      <c r="M6" s="95">
        <f t="shared" si="0"/>
        <v>2019</v>
      </c>
      <c r="N6" s="95">
        <f t="shared" si="0"/>
        <v>2019</v>
      </c>
      <c r="O6" s="95">
        <f t="shared" si="0"/>
        <v>2019</v>
      </c>
      <c r="P6" s="95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455</v>
      </c>
      <c r="D11" s="371">
        <f>'Rev Req 2018-Distr'!P11</f>
        <v>35115997.550000004</v>
      </c>
      <c r="E11" s="372">
        <f>SUM('201901 Bk Depr'!R13,'201901 Bk Depr'!R14:R16,'201901 Bk Depr'!R20,'201901 Bk Depr'!R21:R22)</f>
        <v>35883592.280000001</v>
      </c>
      <c r="F11" s="372">
        <f>SUM('201902 Bk Depr'!R13,'201902 Bk Depr'!R14:R16,'201902 Bk Depr'!R20,'201902 Bk Depr'!R21:R22)</f>
        <v>36492977.160000004</v>
      </c>
      <c r="G11" s="372">
        <f>SUM('201903 Bk Depr'!R13,'201903 Bk Depr'!R14:R16,'201903 Bk Depr'!R20,'201903 Bk Depr'!R21:R22)</f>
        <v>37982216.370000005</v>
      </c>
      <c r="H11" s="372">
        <f>SUM('201904 Bk Depr'!R13,'201904 Bk Depr'!R14:R16,'201904 Bk Depr'!R20,'201904 Bk Depr'!R21:R22)</f>
        <v>41956291.920000002</v>
      </c>
      <c r="I11" s="372">
        <f>SUM('201905 Bk Depr'!R13,'201905 Bk Depr'!R14:R16,'201905 Bk Depr'!R20,'201905 Bk Depr'!R21:R22)</f>
        <v>43708828.920000002</v>
      </c>
      <c r="J11" s="372">
        <f>SUM('201906 Bk Depr'!R13,'201906 Bk Depr'!R14:R16,'201906 Bk Depr'!R20,'201906 Bk Depr'!R21:R22)</f>
        <v>45526302.380000003</v>
      </c>
      <c r="K11" s="372">
        <f>SUM('201907 Bk Depr'!R13,'201907 Bk Depr'!R14:R16,'201907 Bk Depr'!R20,'201907 Bk Depr'!R21:R22)</f>
        <v>47157804.270000003</v>
      </c>
      <c r="L11" s="372">
        <f>SUM('201908 Bk Depr'!R13,'201908 Bk Depr'!R14:R16,'201908 Bk Depr'!R20,'201908 Bk Depr'!R21:R22)</f>
        <v>48795483.160000004</v>
      </c>
      <c r="M11" s="372">
        <f>SUM('201909 Bk Depr'!R13,'201909 Bk Depr'!R14:R16,'201909 Bk Depr'!R20,'201909 Bk Depr'!R21:R22)</f>
        <v>50551755.920000002</v>
      </c>
      <c r="N11" s="372">
        <f>SUM('201910 Bk Depr'!R13,'201910 Bk Depr'!R14:R16,'201910 Bk Depr'!R20,'201910 Bk Depr'!R21:R22)</f>
        <v>52204029.25</v>
      </c>
      <c r="O11" s="372">
        <f>SUM('201911 Bk Depr'!R13,'201911 Bk Depr'!R14:R16,'201911 Bk Depr'!R20,'201911 Bk Depr'!R21:R22)</f>
        <v>54138786.820000008</v>
      </c>
      <c r="P11" s="372">
        <f>SUM('201912 Bk Depr'!R13,'201912 Bk Depr'!R14:R16,'201912 Bk Depr'!R20,'201912 Bk Depr'!R21:R22)</f>
        <v>55802508.359999999</v>
      </c>
      <c r="Q11" s="373">
        <f>AVERAGE(D11:P11)</f>
        <v>45024351.873846158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f>'201812 Bk Depr'!R31</f>
        <v>3466154.7800000003</v>
      </c>
      <c r="E12" s="372">
        <f>SUM('201901 Bk Depr'!R28,'201901 Bk Depr'!R29:R30)</f>
        <v>3771412.14</v>
      </c>
      <c r="F12" s="372">
        <f>SUM('201902 Bk Depr'!R28,'201902 Bk Depr'!R29:R30)</f>
        <v>3942589.82</v>
      </c>
      <c r="G12" s="372">
        <f>SUM('201903 Bk Depr'!R28,'201903 Bk Depr'!R29:R30)</f>
        <v>4127777.28</v>
      </c>
      <c r="H12" s="372">
        <f>SUM('201904 Bk Depr'!R28,'201904 Bk Depr'!R29:R30)</f>
        <v>4500793.04</v>
      </c>
      <c r="I12" s="372">
        <f>SUM('201905 Bk Depr'!R28,'201905 Bk Depr'!R29:R30)</f>
        <v>4893125.6100000003</v>
      </c>
      <c r="J12" s="372">
        <f>SUM('201906 Bk Depr'!R28,'201906 Bk Depr'!R29:R30)</f>
        <v>5343996.8600000003</v>
      </c>
      <c r="K12" s="372">
        <f>SUM('201907 Bk Depr'!R28,'201907 Bk Depr'!R29:R30)</f>
        <v>5728715.1799999997</v>
      </c>
      <c r="L12" s="372">
        <f>SUM('201908 Bk Depr'!R28,'201908 Bk Depr'!R29:R30)</f>
        <v>6102920.8499999996</v>
      </c>
      <c r="M12" s="372">
        <f>SUM('201909 Bk Depr'!R28,'201909 Bk Depr'!R29:R30)</f>
        <v>6571139.8199999994</v>
      </c>
      <c r="N12" s="372">
        <f>SUM('201910 Bk Depr'!R28,'201910 Bk Depr'!R29:R30)</f>
        <v>6984604.5799999991</v>
      </c>
      <c r="O12" s="372">
        <f>SUM('201911 Bk Depr'!R28,'201911 Bk Depr'!R29:R30)</f>
        <v>7487648.1899999995</v>
      </c>
      <c r="P12" s="372">
        <f>SUM('201912 Bk Depr'!R28,'201912 Bk Depr'!R29:R30)</f>
        <v>8089722.0599999996</v>
      </c>
      <c r="Q12" s="373">
        <f>AVERAGE(D12:P12)</f>
        <v>5462353.8623076919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9">
        <f>'Rev Req 2018-Distr'!P13</f>
        <v>-875631.05568375043</v>
      </c>
      <c r="E13" s="380">
        <f>-'Cap&amp;OpEx 2019'!C23-SUM('201901 Bk Depr'!P13,'201901 Bk Depr'!P14:P16)+D13</f>
        <v>-961776.73846500041</v>
      </c>
      <c r="F13" s="380">
        <f>-'Cap&amp;OpEx 2019'!C23-SUM('201902 Bk Depr'!P13,'201902 Bk Depr'!P14:P16)+E13</f>
        <v>-1049772.9643845004</v>
      </c>
      <c r="G13" s="380">
        <f>-'Cap&amp;OpEx 2019'!C23-SUM('201903 Bk Depr'!P13,'201903 Bk Depr'!P14:P16)+F13</f>
        <v>-1140592.4320470004</v>
      </c>
      <c r="H13" s="380">
        <f>-'Cap&amp;OpEx 2019'!C23-SUM('201904 Bk Depr'!P13,'201904 Bk Depr'!P14:P16)+G13</f>
        <v>-1238761.1011312504</v>
      </c>
      <c r="I13" s="380">
        <f>-'Cap&amp;OpEx 2019'!C23-SUM('201905 Bk Depr'!P13,'201905 Bk Depr'!P14:P16)+H13</f>
        <v>-1344620.5994647504</v>
      </c>
      <c r="J13" s="380">
        <f>-'Cap&amp;OpEx 2019'!C23-SUM('201906 Bk Depr'!P13,'201906 Bk Depr'!P14:P16)+I13</f>
        <v>-1455271.4297715004</v>
      </c>
      <c r="K13" s="380">
        <f>-'Cap&amp;OpEx 2019'!C23-SUM('201907 Bk Depr'!P13,'201907 Bk Depr'!P14:P16)+J13</f>
        <v>-1570548.2366265005</v>
      </c>
      <c r="L13" s="380">
        <f>-'Cap&amp;OpEx 2019'!C23-SUM('201908 Bk Depr'!P13,'201908 Bk Depr'!P14:P16)+K13</f>
        <v>-1690207.7984070005</v>
      </c>
      <c r="M13" s="380">
        <f>-'Cap&amp;OpEx 2019'!C23-SUM('201909 Bk Depr'!P13,'201909 Bk Depr'!P14:P16)+L13</f>
        <v>-1814421.5389972506</v>
      </c>
      <c r="N13" s="380">
        <f>-'Cap&amp;OpEx 2019'!C23-SUM('201910 Bk Depr'!P13,'201910 Bk Depr'!P14:P16)+M13</f>
        <v>-1943210.4620752507</v>
      </c>
      <c r="O13" s="380">
        <f>-'Cap&amp;OpEx 2019'!C23-SUM('201911 Bk Depr'!P13,'201911 Bk Depr'!P14:P16)+N13</f>
        <v>-2076774.4082085006</v>
      </c>
      <c r="P13" s="380">
        <f>-'Cap&amp;OpEx 2019'!C23-SUM('201912 Bk Depr'!P13,'201912 Bk Depr'!P14:P16)+O13</f>
        <v>-2215132.9283872508</v>
      </c>
      <c r="Q13" s="378">
        <f>AVERAGE(D13:P13)</f>
        <v>-1490517.0533576543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411">
        <f t="shared" ref="D14:Q14" si="1">SUM(D11:D13)</f>
        <v>37706521.274316259</v>
      </c>
      <c r="E14" s="372">
        <f t="shared" si="1"/>
        <v>38693227.681534998</v>
      </c>
      <c r="F14" s="372">
        <f t="shared" si="1"/>
        <v>39385794.015615501</v>
      </c>
      <c r="G14" s="372">
        <f t="shared" si="1"/>
        <v>40969401.217953004</v>
      </c>
      <c r="H14" s="372">
        <f t="shared" si="1"/>
        <v>45218323.858868748</v>
      </c>
      <c r="I14" s="372">
        <f t="shared" si="1"/>
        <v>47257333.930535249</v>
      </c>
      <c r="J14" s="372">
        <f t="shared" si="1"/>
        <v>49415027.810228504</v>
      </c>
      <c r="K14" s="372">
        <f t="shared" si="1"/>
        <v>51315971.213373505</v>
      </c>
      <c r="L14" s="372">
        <f t="shared" si="1"/>
        <v>53208196.211593002</v>
      </c>
      <c r="M14" s="372">
        <f t="shared" si="1"/>
        <v>55308474.201002754</v>
      </c>
      <c r="N14" s="372">
        <f t="shared" si="1"/>
        <v>57245423.36792475</v>
      </c>
      <c r="O14" s="372">
        <f t="shared" si="1"/>
        <v>59549660.601791501</v>
      </c>
      <c r="P14" s="372">
        <f t="shared" si="1"/>
        <v>61677097.491612747</v>
      </c>
      <c r="Q14" s="373">
        <f t="shared" si="1"/>
        <v>48996188.682796195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9">
        <f>-'Tax Depr 2018'!T28</f>
        <v>-4917626.0404467797</v>
      </c>
      <c r="E16" s="380">
        <f>-'Tax Depr 2019'!U17</f>
        <v>-6039893.0326117678</v>
      </c>
      <c r="F16" s="380">
        <f>-'Tax Depr 2019'!U18</f>
        <v>-6133489.2221725304</v>
      </c>
      <c r="G16" s="380">
        <f>-'Tax Depr 2019'!U19</f>
        <v>-6377886.7500703642</v>
      </c>
      <c r="H16" s="380">
        <f>-'Tax Depr 2019'!U20</f>
        <v>-6600788.4206031896</v>
      </c>
      <c r="I16" s="380">
        <f>-'Tax Depr 2019'!U21</f>
        <v>-6764716.9626887953</v>
      </c>
      <c r="J16" s="380">
        <f>-'Tax Depr 2019'!U22</f>
        <v>-6893614.6355128642</v>
      </c>
      <c r="K16" s="380">
        <f>-'Tax Depr 2019'!U23</f>
        <v>-6993549.6411533915</v>
      </c>
      <c r="L16" s="380">
        <f>-'Tax Depr 2019'!U24</f>
        <v>-7066531.9160917224</v>
      </c>
      <c r="M16" s="380">
        <f>-'Tax Depr 2019'!U25</f>
        <v>-7132544.6886731377</v>
      </c>
      <c r="N16" s="380">
        <f>-'Tax Depr 2019'!U26</f>
        <v>-7171764.9195508212</v>
      </c>
      <c r="O16" s="380">
        <f>-'Tax Depr 2019'!U27</f>
        <v>-7191241.4302449282</v>
      </c>
      <c r="P16" s="380">
        <f>-'Tax Depr 2019'!U28</f>
        <v>-7191980.1669364031</v>
      </c>
      <c r="Q16" s="378">
        <f>P16</f>
        <v>-7191980.1669364031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71">
        <f t="shared" ref="D18:Q18" si="2">SUM(D14:D16)</f>
        <v>32788895.233869478</v>
      </c>
      <c r="E18" s="372">
        <f>SUM(E14:E16)</f>
        <v>32653334.648923229</v>
      </c>
      <c r="F18" s="372">
        <f t="shared" si="2"/>
        <v>33252304.793442972</v>
      </c>
      <c r="G18" s="372">
        <f t="shared" si="2"/>
        <v>34591514.467882641</v>
      </c>
      <c r="H18" s="372">
        <f t="shared" si="2"/>
        <v>38617535.438265562</v>
      </c>
      <c r="I18" s="372">
        <f t="shared" si="2"/>
        <v>40492616.967846453</v>
      </c>
      <c r="J18" s="372">
        <f t="shared" si="2"/>
        <v>42521413.174715638</v>
      </c>
      <c r="K18" s="372">
        <f t="shared" si="2"/>
        <v>44322421.572220117</v>
      </c>
      <c r="L18" s="372">
        <f t="shared" si="2"/>
        <v>46141664.295501277</v>
      </c>
      <c r="M18" s="372">
        <f t="shared" si="2"/>
        <v>48175929.512329616</v>
      </c>
      <c r="N18" s="372">
        <f t="shared" si="2"/>
        <v>50073658.448373929</v>
      </c>
      <c r="O18" s="372">
        <f t="shared" si="2"/>
        <v>52358419.171546571</v>
      </c>
      <c r="P18" s="372">
        <f t="shared" si="2"/>
        <v>54485117.324676342</v>
      </c>
      <c r="Q18" s="373">
        <f t="shared" si="2"/>
        <v>41804208.51585979</v>
      </c>
      <c r="R18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ROR!$G$12/12</f>
        <v>7.4333333333333335E-3</v>
      </c>
      <c r="J20" s="37">
        <f>ROR!$G$12/12</f>
        <v>7.4333333333333335E-3</v>
      </c>
      <c r="K20" s="37">
        <f>ROR!$G$12/12</f>
        <v>7.4333333333333335E-3</v>
      </c>
      <c r="L20" s="37">
        <f>ROR!$G$12/12</f>
        <v>7.4333333333333335E-3</v>
      </c>
      <c r="M20" s="37">
        <f>ROR!$G$12/12</f>
        <v>7.4333333333333335E-3</v>
      </c>
      <c r="N20" s="37">
        <f>ROR!$G$12/12</f>
        <v>7.4333333333333335E-3</v>
      </c>
      <c r="O20" s="37">
        <f>ROR!$G$12/12</f>
        <v>7.4333333333333335E-3</v>
      </c>
      <c r="P20" s="37">
        <f>ROR!$G$12/12</f>
        <v>7.4333333333333335E-3</v>
      </c>
      <c r="Q20" s="127">
        <f>SUM(E20:P20)</f>
        <v>8.8400000000000006E-2</v>
      </c>
      <c r="R20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402">
        <f t="shared" ref="D22:Q22" si="3">D18*D20</f>
        <v>237173.00885832257</v>
      </c>
      <c r="E22" s="403">
        <f>E18*E20</f>
        <v>236192.45396054472</v>
      </c>
      <c r="F22" s="403">
        <f t="shared" si="3"/>
        <v>240525.00467257085</v>
      </c>
      <c r="G22" s="403">
        <f t="shared" si="3"/>
        <v>250211.95465101779</v>
      </c>
      <c r="H22" s="403">
        <f t="shared" si="3"/>
        <v>279333.5063367876</v>
      </c>
      <c r="I22" s="403">
        <f t="shared" si="3"/>
        <v>300995.11946099199</v>
      </c>
      <c r="J22" s="403">
        <f t="shared" si="3"/>
        <v>316075.83793205291</v>
      </c>
      <c r="K22" s="403">
        <f t="shared" si="3"/>
        <v>329463.33368683618</v>
      </c>
      <c r="L22" s="403">
        <f t="shared" si="3"/>
        <v>342986.37126322614</v>
      </c>
      <c r="M22" s="403">
        <f t="shared" si="3"/>
        <v>358107.74270831683</v>
      </c>
      <c r="N22" s="403">
        <f t="shared" si="3"/>
        <v>372214.19446624623</v>
      </c>
      <c r="O22" s="403">
        <f t="shared" si="3"/>
        <v>389197.58250849618</v>
      </c>
      <c r="P22" s="403">
        <f t="shared" si="3"/>
        <v>405006.03878009412</v>
      </c>
      <c r="Q22" s="404">
        <f t="shared" si="3"/>
        <v>3695492.0328020058</v>
      </c>
      <c r="R2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71">
        <f>'Rev Req 2018-Distr'!P25</f>
        <v>83420.177508000022</v>
      </c>
      <c r="E25" s="372">
        <f>'201901 Bk Depr'!P25</f>
        <v>86145.682781250041</v>
      </c>
      <c r="F25" s="372">
        <f>'201902 Bk Depr'!P25</f>
        <v>87996.225919500022</v>
      </c>
      <c r="G25" s="372">
        <f>'201903 Bk Depr'!P25</f>
        <v>90819.467662500028</v>
      </c>
      <c r="H25" s="372">
        <f>'201904 Bk Depr'!P25</f>
        <v>98168.669084250025</v>
      </c>
      <c r="I25" s="372">
        <f>'201905 Bk Depr'!P25</f>
        <v>105859.49833350003</v>
      </c>
      <c r="J25" s="372">
        <f>'201906 Bk Depr'!P25</f>
        <v>110650.83030675002</v>
      </c>
      <c r="K25" s="372">
        <f>'201907 Bk Depr'!P25</f>
        <v>115276.80685500003</v>
      </c>
      <c r="L25" s="372">
        <f>'201908 Bk Depr'!P25</f>
        <v>119659.56178050005</v>
      </c>
      <c r="M25" s="372">
        <f>'201909 Bk Depr'!P25</f>
        <v>124213.74059025005</v>
      </c>
      <c r="N25" s="372">
        <f>'201910 Bk Depr'!P25</f>
        <v>128788.92307800002</v>
      </c>
      <c r="O25" s="372">
        <f>'201911 Bk Depr'!P25</f>
        <v>133563.94613325002</v>
      </c>
      <c r="P25" s="372">
        <f>'201912 Bk Depr'!P25</f>
        <v>138358.52017875004</v>
      </c>
      <c r="Q25" s="373">
        <f>SUM(E25:P25)</f>
        <v>1339501.8727035001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71">
        <f>'Rev Req 2018-Distr'!P26</f>
        <v>177111.56000000003</v>
      </c>
      <c r="E26" s="372">
        <f>'Cap&amp;OpEx 2019'!C31</f>
        <v>13468.560000000001</v>
      </c>
      <c r="F26" s="372">
        <f>'Cap&amp;OpEx 2019'!D31</f>
        <v>-994.94999999999709</v>
      </c>
      <c r="G26" s="372">
        <f>'Cap&amp;OpEx 2019'!E31</f>
        <v>7399.9800000000114</v>
      </c>
      <c r="H26" s="372">
        <f>'Cap&amp;OpEx 2019'!F31</f>
        <v>23537.760000000009</v>
      </c>
      <c r="I26" s="372">
        <f>'Cap&amp;OpEx 2019'!G31</f>
        <v>154764.51</v>
      </c>
      <c r="J26" s="372">
        <f>'Cap&amp;OpEx 2019'!H31</f>
        <v>138836.32</v>
      </c>
      <c r="K26" s="372">
        <f>'Cap&amp;OpEx 2019'!I31</f>
        <v>70058.930000000008</v>
      </c>
      <c r="L26" s="372">
        <f>'Cap&amp;OpEx 2019'!J31</f>
        <v>75650.09</v>
      </c>
      <c r="M26" s="372">
        <f>'Cap&amp;OpEx 2019'!K31</f>
        <v>94599.16</v>
      </c>
      <c r="N26" s="372">
        <f>'Cap&amp;OpEx 2019'!L31</f>
        <v>69510.05</v>
      </c>
      <c r="O26" s="372">
        <f>'Cap&amp;OpEx 2019'!M31</f>
        <v>74100.510000000009</v>
      </c>
      <c r="P26" s="372">
        <f>'Cap&amp;OpEx 2019'!N31</f>
        <v>92177.96</v>
      </c>
      <c r="Q26" s="373">
        <f t="shared" ref="Q26:Q27" si="4">SUM(E26:P26)</f>
        <v>813108.88000000012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71">
        <f>'Rev Req 2018-Distr'!P27</f>
        <v>20784</v>
      </c>
      <c r="E27" s="372">
        <f>'Cap&amp;OpEx 2019'!C32</f>
        <v>40112</v>
      </c>
      <c r="F27" s="372">
        <f>'Cap&amp;OpEx 2019'!D32</f>
        <v>40112</v>
      </c>
      <c r="G27" s="372">
        <f>'Cap&amp;OpEx 2019'!E32</f>
        <v>40112</v>
      </c>
      <c r="H27" s="372">
        <f>'Cap&amp;OpEx 2019'!F32</f>
        <v>40112</v>
      </c>
      <c r="I27" s="372">
        <f>'Cap&amp;OpEx 2019'!G32</f>
        <v>40112</v>
      </c>
      <c r="J27" s="372">
        <f>'Cap&amp;OpEx 2019'!H32</f>
        <v>40112</v>
      </c>
      <c r="K27" s="372">
        <f>'Cap&amp;OpEx 2019'!I32</f>
        <v>40112</v>
      </c>
      <c r="L27" s="372">
        <f>'Cap&amp;OpEx 2019'!J32</f>
        <v>40112</v>
      </c>
      <c r="M27" s="372">
        <f>'Cap&amp;OpEx 2019'!K32</f>
        <v>40112</v>
      </c>
      <c r="N27" s="372">
        <f>'Cap&amp;OpEx 2019'!L32</f>
        <v>40112</v>
      </c>
      <c r="O27" s="372">
        <f>'Cap&amp;OpEx 2019'!M32</f>
        <v>40112</v>
      </c>
      <c r="P27" s="372">
        <f>'Cap&amp;OpEx 2019'!N32</f>
        <v>40112</v>
      </c>
      <c r="Q27" s="373">
        <f t="shared" si="4"/>
        <v>481344</v>
      </c>
      <c r="R27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71">
        <f>SUM(D25:D28)</f>
        <v>281315.73750800005</v>
      </c>
      <c r="E29" s="372">
        <f t="shared" ref="E29:P29" si="5">SUM(E25:E28)</f>
        <v>139726.24278125004</v>
      </c>
      <c r="F29" s="372">
        <f t="shared" si="5"/>
        <v>127113.27591950003</v>
      </c>
      <c r="G29" s="372">
        <f t="shared" si="5"/>
        <v>138331.44766250002</v>
      </c>
      <c r="H29" s="372">
        <f t="shared" si="5"/>
        <v>161818.42908425003</v>
      </c>
      <c r="I29" s="372">
        <f t="shared" si="5"/>
        <v>300736.00833350001</v>
      </c>
      <c r="J29" s="372">
        <f t="shared" si="5"/>
        <v>289599.15030675003</v>
      </c>
      <c r="K29" s="372">
        <f t="shared" si="5"/>
        <v>225447.73685500002</v>
      </c>
      <c r="L29" s="372">
        <f t="shared" si="5"/>
        <v>235421.65178050005</v>
      </c>
      <c r="M29" s="372">
        <f t="shared" si="5"/>
        <v>258924.90059025004</v>
      </c>
      <c r="N29" s="372">
        <f t="shared" si="5"/>
        <v>238410.97307800001</v>
      </c>
      <c r="O29" s="372">
        <f t="shared" si="5"/>
        <v>247776.45613325003</v>
      </c>
      <c r="P29" s="372">
        <f t="shared" si="5"/>
        <v>270648.48017875006</v>
      </c>
      <c r="Q29" s="373">
        <f>SUM(Q25:Q28)</f>
        <v>2633954.7527035</v>
      </c>
      <c r="R29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8">
        <f t="shared" ref="D31:Q31" si="6">D22+D29</f>
        <v>518488.74636632262</v>
      </c>
      <c r="E31" s="409">
        <f t="shared" si="6"/>
        <v>375918.69674179476</v>
      </c>
      <c r="F31" s="409">
        <f t="shared" si="6"/>
        <v>367638.28059207089</v>
      </c>
      <c r="G31" s="409">
        <f t="shared" si="6"/>
        <v>388543.40231351781</v>
      </c>
      <c r="H31" s="409">
        <f t="shared" si="6"/>
        <v>441151.9354210376</v>
      </c>
      <c r="I31" s="409">
        <f t="shared" si="6"/>
        <v>601731.12779449206</v>
      </c>
      <c r="J31" s="409">
        <f t="shared" si="6"/>
        <v>605674.98823880288</v>
      </c>
      <c r="K31" s="409">
        <f t="shared" si="6"/>
        <v>554911.0705418362</v>
      </c>
      <c r="L31" s="409">
        <f t="shared" si="6"/>
        <v>578408.02304372622</v>
      </c>
      <c r="M31" s="409">
        <f t="shared" si="6"/>
        <v>617032.64329856681</v>
      </c>
      <c r="N31" s="409">
        <f t="shared" si="6"/>
        <v>610625.16754424619</v>
      </c>
      <c r="O31" s="409">
        <f t="shared" si="6"/>
        <v>636974.03864174616</v>
      </c>
      <c r="P31" s="409">
        <f t="shared" si="6"/>
        <v>675654.51895884424</v>
      </c>
      <c r="Q31" s="410">
        <f t="shared" si="6"/>
        <v>6329446.7855055053</v>
      </c>
      <c r="R31"/>
    </row>
    <row r="32" spans="1:19" s="31" customFormat="1" ht="2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 ht="21">
      <c r="B35" s="30" t="s">
        <v>470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21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2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21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 ht="21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 ht="21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 ht="21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 ht="21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21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21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1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 ht="21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 ht="21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 ht="21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 ht="21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 ht="21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 ht="21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 ht="21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21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21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21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21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21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 ht="21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J1048492"/>
  <sheetViews>
    <sheetView workbookViewId="0"/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19.21875" style="72" customWidth="1"/>
    <col min="18" max="18" width="20.77734375" bestFit="1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/>
      <c r="E5" s="228"/>
      <c r="F5" s="228"/>
      <c r="G5" s="228"/>
      <c r="H5" s="228"/>
      <c r="I5" s="228"/>
      <c r="J5" s="228"/>
      <c r="K5" s="228"/>
      <c r="L5" s="229"/>
      <c r="M5" s="229"/>
      <c r="N5" s="229"/>
      <c r="O5" s="229"/>
      <c r="P5" s="229"/>
      <c r="Q5" s="230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31">
        <v>2018</v>
      </c>
      <c r="E6" s="132">
        <v>2019</v>
      </c>
      <c r="F6" s="132">
        <f>$E$6</f>
        <v>2019</v>
      </c>
      <c r="G6" s="132">
        <f>$E$6</f>
        <v>2019</v>
      </c>
      <c r="H6" s="132">
        <f>$E$6</f>
        <v>2019</v>
      </c>
      <c r="I6" s="132">
        <f>$E$6</f>
        <v>2019</v>
      </c>
      <c r="J6" s="132">
        <f>$E$6</f>
        <v>2019</v>
      </c>
      <c r="K6" s="132">
        <f t="shared" ref="K6:Q6" si="0">$E$6</f>
        <v>2019</v>
      </c>
      <c r="L6" s="132">
        <f t="shared" si="0"/>
        <v>2019</v>
      </c>
      <c r="M6" s="132">
        <f t="shared" si="0"/>
        <v>2019</v>
      </c>
      <c r="N6" s="132">
        <f t="shared" si="0"/>
        <v>2019</v>
      </c>
      <c r="O6" s="132">
        <f t="shared" si="0"/>
        <v>2019</v>
      </c>
      <c r="P6" s="132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462</v>
      </c>
      <c r="D11" s="371">
        <f>'Rev Req 2018-Trans'!P11</f>
        <v>11207438.539999999</v>
      </c>
      <c r="E11" s="372">
        <f>'Cap&amp;OpEx 2019'!C11+D11</f>
        <v>11864591.74</v>
      </c>
      <c r="F11" s="372">
        <f>'Cap&amp;OpEx 2019'!D11+E11</f>
        <v>12426920.369999999</v>
      </c>
      <c r="G11" s="372">
        <f>'Cap&amp;OpEx 2019'!E11+F11</f>
        <v>15217857.67</v>
      </c>
      <c r="H11" s="372">
        <f>'Cap&amp;OpEx 2019'!F11+G11</f>
        <v>16484315.449999999</v>
      </c>
      <c r="I11" s="372">
        <f>'Cap&amp;OpEx 2019'!G11+H11</f>
        <v>19551518.379999999</v>
      </c>
      <c r="J11" s="372">
        <f>'Cap&amp;OpEx 2019'!H11+I11</f>
        <v>20801914.799999997</v>
      </c>
      <c r="K11" s="372">
        <f>'Cap&amp;OpEx 2019'!I11+J11</f>
        <v>23420482.129999999</v>
      </c>
      <c r="L11" s="372">
        <f>'Cap&amp;OpEx 2019'!J11+K11</f>
        <v>26447799.649999999</v>
      </c>
      <c r="M11" s="372">
        <f>'Cap&amp;OpEx 2019'!K11+L11</f>
        <v>31360379.030000001</v>
      </c>
      <c r="N11" s="372">
        <f>'Cap&amp;OpEx 2019'!L11+M11</f>
        <v>37085782.100000001</v>
      </c>
      <c r="O11" s="372">
        <f>'Cap&amp;OpEx 2019'!M11+N11</f>
        <v>42365586.899999999</v>
      </c>
      <c r="P11" s="372">
        <f>'Cap&amp;OpEx 2019'!N11+O11</f>
        <v>44002739.890000001</v>
      </c>
      <c r="Q11" s="373">
        <f>AVERAGE(D11:P11)</f>
        <v>24018255.896153845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f>'Cap&amp;OpEx 2018'!N26</f>
        <v>0</v>
      </c>
      <c r="E12" s="372">
        <f>'Cap&amp;OpEx 2019'!C26+D12</f>
        <v>0</v>
      </c>
      <c r="F12" s="372">
        <f>'Cap&amp;OpEx 2019'!D26+E12</f>
        <v>0</v>
      </c>
      <c r="G12" s="372">
        <f>'Cap&amp;OpEx 2019'!E26+F12</f>
        <v>0</v>
      </c>
      <c r="H12" s="372">
        <f>'Cap&amp;OpEx 2019'!F26+G12</f>
        <v>0</v>
      </c>
      <c r="I12" s="372">
        <f>'Cap&amp;OpEx 2019'!G26+H12</f>
        <v>0</v>
      </c>
      <c r="J12" s="372">
        <f>'Cap&amp;OpEx 2019'!H26+I12</f>
        <v>0</v>
      </c>
      <c r="K12" s="372">
        <f>'Cap&amp;OpEx 2019'!I26+J12</f>
        <v>0</v>
      </c>
      <c r="L12" s="372">
        <f>'Cap&amp;OpEx 2019'!J26+K12</f>
        <v>0</v>
      </c>
      <c r="M12" s="372">
        <f>'Cap&amp;OpEx 2019'!K26+L12</f>
        <v>0</v>
      </c>
      <c r="N12" s="372">
        <f>'Cap&amp;OpEx 2019'!L26+M12</f>
        <v>0</v>
      </c>
      <c r="O12" s="372">
        <f>'Cap&amp;OpEx 2019'!M26+N12</f>
        <v>0</v>
      </c>
      <c r="P12" s="372">
        <f>'Cap&amp;OpEx 2019'!N26+O12</f>
        <v>0</v>
      </c>
      <c r="Q12" s="373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6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8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371">
        <f>SUM(D11:D13)</f>
        <v>11207438.539999999</v>
      </c>
      <c r="E14" s="372">
        <f t="shared" ref="E14:Q14" si="2">SUM(E11:E13)</f>
        <v>11864591.74</v>
      </c>
      <c r="F14" s="372">
        <f t="shared" si="2"/>
        <v>12426920.369999999</v>
      </c>
      <c r="G14" s="372">
        <f t="shared" si="2"/>
        <v>15217857.67</v>
      </c>
      <c r="H14" s="372">
        <f t="shared" si="2"/>
        <v>16484315.449999999</v>
      </c>
      <c r="I14" s="372">
        <f t="shared" si="2"/>
        <v>19551518.379999999</v>
      </c>
      <c r="J14" s="372">
        <f t="shared" si="2"/>
        <v>20801914.799999997</v>
      </c>
      <c r="K14" s="372">
        <f t="shared" si="2"/>
        <v>23420482.129999999</v>
      </c>
      <c r="L14" s="372">
        <f t="shared" si="2"/>
        <v>26447799.649999999</v>
      </c>
      <c r="M14" s="372">
        <f t="shared" si="2"/>
        <v>31360379.030000001</v>
      </c>
      <c r="N14" s="372">
        <f t="shared" si="2"/>
        <v>37085782.100000001</v>
      </c>
      <c r="O14" s="372">
        <f t="shared" si="2"/>
        <v>42365586.899999999</v>
      </c>
      <c r="P14" s="372">
        <f t="shared" si="2"/>
        <v>44002739.890000001</v>
      </c>
      <c r="Q14" s="373">
        <f t="shared" si="2"/>
        <v>24018255.896153845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6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8">
        <f t="shared" ref="Q16" si="3"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71">
        <f>SUM(D14:D16)</f>
        <v>11207438.539999999</v>
      </c>
      <c r="E18" s="372">
        <f t="shared" ref="E18:O18" si="4">SUM(E14:E16)</f>
        <v>11864591.74</v>
      </c>
      <c r="F18" s="372">
        <f t="shared" si="4"/>
        <v>12426920.369999999</v>
      </c>
      <c r="G18" s="372">
        <f t="shared" si="4"/>
        <v>15217857.67</v>
      </c>
      <c r="H18" s="372">
        <f t="shared" si="4"/>
        <v>16484315.449999999</v>
      </c>
      <c r="I18" s="372">
        <f t="shared" si="4"/>
        <v>19551518.379999999</v>
      </c>
      <c r="J18" s="372">
        <f t="shared" si="4"/>
        <v>20801914.799999997</v>
      </c>
      <c r="K18" s="372">
        <f t="shared" si="4"/>
        <v>23420482.129999999</v>
      </c>
      <c r="L18" s="372">
        <f t="shared" si="4"/>
        <v>26447799.649999999</v>
      </c>
      <c r="M18" s="372">
        <f t="shared" si="4"/>
        <v>31360379.030000001</v>
      </c>
      <c r="N18" s="372">
        <f t="shared" si="4"/>
        <v>37085782.100000001</v>
      </c>
      <c r="O18" s="372">
        <f t="shared" si="4"/>
        <v>42365586.899999999</v>
      </c>
      <c r="P18" s="372">
        <f>SUM(P14:P16)</f>
        <v>44002739.890000001</v>
      </c>
      <c r="Q18" s="373">
        <f>SUM(Q14:Q16)</f>
        <v>24018255.896153845</v>
      </c>
      <c r="R18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ROR!$G$12/12</f>
        <v>7.4333333333333335E-3</v>
      </c>
      <c r="J20" s="37">
        <f>ROR!$G$12/12</f>
        <v>7.4333333333333335E-3</v>
      </c>
      <c r="K20" s="37">
        <f>ROR!$G$12/12</f>
        <v>7.4333333333333335E-3</v>
      </c>
      <c r="L20" s="37">
        <f>ROR!$G$12/12</f>
        <v>7.4333333333333335E-3</v>
      </c>
      <c r="M20" s="37">
        <f>ROR!$G$12/12</f>
        <v>7.4333333333333335E-3</v>
      </c>
      <c r="N20" s="37">
        <f>ROR!$G$12/12</f>
        <v>7.4333333333333335E-3</v>
      </c>
      <c r="O20" s="37">
        <f>ROR!$G$12/12</f>
        <v>7.4333333333333335E-3</v>
      </c>
      <c r="P20" s="37">
        <f>ROR!$G$12/12</f>
        <v>7.4333333333333335E-3</v>
      </c>
      <c r="Q20" s="127">
        <f>SUM(E20:P20)</f>
        <v>8.8400000000000006E-2</v>
      </c>
      <c r="R20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402">
        <f t="shared" ref="D22:O22" si="5">D18*D20</f>
        <v>81067.138772666673</v>
      </c>
      <c r="E22" s="403">
        <f>E18*E20</f>
        <v>85820.546919333341</v>
      </c>
      <c r="F22" s="403">
        <f t="shared" si="5"/>
        <v>89888.057342999993</v>
      </c>
      <c r="G22" s="403">
        <f t="shared" si="5"/>
        <v>110075.83714633335</v>
      </c>
      <c r="H22" s="403">
        <f t="shared" si="5"/>
        <v>119236.54842166667</v>
      </c>
      <c r="I22" s="403">
        <f t="shared" si="5"/>
        <v>145332.95329133334</v>
      </c>
      <c r="J22" s="403">
        <f t="shared" si="5"/>
        <v>154627.56667999999</v>
      </c>
      <c r="K22" s="403">
        <f t="shared" si="5"/>
        <v>174092.25049966667</v>
      </c>
      <c r="L22" s="403">
        <f t="shared" si="5"/>
        <v>196595.31073166666</v>
      </c>
      <c r="M22" s="403">
        <f t="shared" si="5"/>
        <v>233112.15078966669</v>
      </c>
      <c r="N22" s="403">
        <f t="shared" si="5"/>
        <v>275670.9802766667</v>
      </c>
      <c r="O22" s="403">
        <f t="shared" si="5"/>
        <v>314917.52928999998</v>
      </c>
      <c r="P22" s="403">
        <f>P18*P20</f>
        <v>327087.03318233334</v>
      </c>
      <c r="Q22" s="404">
        <f>Q18*Q20</f>
        <v>2123213.8212199998</v>
      </c>
      <c r="R2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74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5">
        <v>0</v>
      </c>
      <c r="M25" s="375">
        <v>0</v>
      </c>
      <c r="N25" s="375">
        <v>0</v>
      </c>
      <c r="O25" s="375">
        <v>0</v>
      </c>
      <c r="P25" s="375">
        <v>0</v>
      </c>
      <c r="Q25" s="373">
        <f>SUM(E25:P25)</f>
        <v>0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74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  <c r="J26" s="375">
        <v>0</v>
      </c>
      <c r="K26" s="375">
        <v>0</v>
      </c>
      <c r="L26" s="375">
        <v>0</v>
      </c>
      <c r="M26" s="375">
        <v>0</v>
      </c>
      <c r="N26" s="375">
        <v>0</v>
      </c>
      <c r="O26" s="375">
        <v>0</v>
      </c>
      <c r="P26" s="375">
        <v>0</v>
      </c>
      <c r="Q26" s="373">
        <f>SUM(E26:P26)</f>
        <v>0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71">
        <f>'Cap&amp;OpEx 2018'!N33</f>
        <v>440.78</v>
      </c>
      <c r="E27" s="372">
        <f>'Cap&amp;OpEx 2019'!C33</f>
        <v>7144.99</v>
      </c>
      <c r="F27" s="372">
        <f>'Cap&amp;OpEx 2019'!D33</f>
        <v>7144.99</v>
      </c>
      <c r="G27" s="372">
        <f>'Cap&amp;OpEx 2019'!E33</f>
        <v>7144.99</v>
      </c>
      <c r="H27" s="372">
        <f>'Cap&amp;OpEx 2019'!F33</f>
        <v>7144.99</v>
      </c>
      <c r="I27" s="372">
        <f>'Cap&amp;OpEx 2019'!G33</f>
        <v>7144.99</v>
      </c>
      <c r="J27" s="372">
        <f>'Cap&amp;OpEx 2019'!H33</f>
        <v>7144.99</v>
      </c>
      <c r="K27" s="372">
        <f>'Cap&amp;OpEx 2019'!I33</f>
        <v>7144.99</v>
      </c>
      <c r="L27" s="372">
        <f>'Cap&amp;OpEx 2019'!J33</f>
        <v>7144.99</v>
      </c>
      <c r="M27" s="372">
        <f>'Cap&amp;OpEx 2019'!K33</f>
        <v>7144.99</v>
      </c>
      <c r="N27" s="372">
        <f>'Cap&amp;OpEx 2019'!L33</f>
        <v>7144.99</v>
      </c>
      <c r="O27" s="372">
        <f>'Cap&amp;OpEx 2019'!M33</f>
        <v>7144.99</v>
      </c>
      <c r="P27" s="372">
        <f>'Cap&amp;OpEx 2019'!N33</f>
        <v>7144.99</v>
      </c>
      <c r="Q27" s="373">
        <f>SUM(E27:P27)</f>
        <v>85739.88</v>
      </c>
      <c r="R27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71">
        <f>SUM(D25:D28)</f>
        <v>440.78</v>
      </c>
      <c r="E29" s="372">
        <f t="shared" ref="E29:Q29" si="6">SUM(E25:E28)</f>
        <v>7144.99</v>
      </c>
      <c r="F29" s="372">
        <f t="shared" si="6"/>
        <v>7144.99</v>
      </c>
      <c r="G29" s="372">
        <f t="shared" si="6"/>
        <v>7144.99</v>
      </c>
      <c r="H29" s="372">
        <f t="shared" si="6"/>
        <v>7144.99</v>
      </c>
      <c r="I29" s="372">
        <f t="shared" si="6"/>
        <v>7144.99</v>
      </c>
      <c r="J29" s="372">
        <f t="shared" si="6"/>
        <v>7144.99</v>
      </c>
      <c r="K29" s="372">
        <f t="shared" si="6"/>
        <v>7144.99</v>
      </c>
      <c r="L29" s="372">
        <f t="shared" si="6"/>
        <v>7144.99</v>
      </c>
      <c r="M29" s="372">
        <f t="shared" si="6"/>
        <v>7144.99</v>
      </c>
      <c r="N29" s="372">
        <f t="shared" si="6"/>
        <v>7144.99</v>
      </c>
      <c r="O29" s="372">
        <f t="shared" si="6"/>
        <v>7144.99</v>
      </c>
      <c r="P29" s="372">
        <f t="shared" si="6"/>
        <v>7144.99</v>
      </c>
      <c r="Q29" s="373">
        <f t="shared" si="6"/>
        <v>85739.88</v>
      </c>
      <c r="R29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8">
        <f>D22+D29</f>
        <v>81507.918772666671</v>
      </c>
      <c r="E31" s="409">
        <f t="shared" ref="E31:Q31" si="7">E22+E29</f>
        <v>92965.536919333346</v>
      </c>
      <c r="F31" s="409">
        <f t="shared" si="7"/>
        <v>97033.047342999998</v>
      </c>
      <c r="G31" s="409">
        <f t="shared" si="7"/>
        <v>117220.82714633335</v>
      </c>
      <c r="H31" s="409">
        <f t="shared" si="7"/>
        <v>126381.53842166667</v>
      </c>
      <c r="I31" s="409">
        <f t="shared" si="7"/>
        <v>152477.94329133333</v>
      </c>
      <c r="J31" s="409">
        <f t="shared" si="7"/>
        <v>161772.55667999998</v>
      </c>
      <c r="K31" s="409">
        <f t="shared" si="7"/>
        <v>181237.24049966666</v>
      </c>
      <c r="L31" s="409">
        <f t="shared" si="7"/>
        <v>203740.30073166665</v>
      </c>
      <c r="M31" s="409">
        <f t="shared" si="7"/>
        <v>240257.14078966668</v>
      </c>
      <c r="N31" s="409">
        <f t="shared" si="7"/>
        <v>282815.97027666669</v>
      </c>
      <c r="O31" s="409">
        <f t="shared" si="7"/>
        <v>322062.51928999997</v>
      </c>
      <c r="P31" s="409">
        <f>P22+P29</f>
        <v>334232.02318233333</v>
      </c>
      <c r="Q31" s="410">
        <f t="shared" si="7"/>
        <v>2208953.7012199997</v>
      </c>
      <c r="R31"/>
    </row>
    <row r="32" spans="1:19" s="31" customFormat="1" ht="21">
      <c r="A32" s="32"/>
      <c r="B32" s="32"/>
      <c r="D32" s="80"/>
      <c r="P32" s="80"/>
      <c r="R32"/>
    </row>
    <row r="33" spans="1:18" customFormat="1" ht="21" customHeight="1"/>
    <row r="34" spans="1:1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 ht="21">
      <c r="A35" s="79"/>
      <c r="B35" s="30" t="s">
        <v>470</v>
      </c>
      <c r="Q35" s="80"/>
      <c r="R35"/>
    </row>
    <row r="1048492" spans="19:19" ht="21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D50"/>
  <sheetViews>
    <sheetView workbookViewId="0"/>
  </sheetViews>
  <sheetFormatPr defaultColWidth="9.21875" defaultRowHeight="15.6"/>
  <cols>
    <col min="1" max="1" width="9.21875" style="28"/>
    <col min="2" max="2" width="38.77734375" style="26" bestFit="1" customWidth="1"/>
    <col min="3" max="15" width="15.77734375" style="26" customWidth="1"/>
    <col min="16" max="16" width="12.21875" style="28" bestFit="1" customWidth="1"/>
    <col min="17" max="17" width="16.21875" style="28" bestFit="1" customWidth="1"/>
    <col min="18" max="30" width="14.77734375" style="28" customWidth="1"/>
    <col min="31" max="31" width="9.21875" style="28"/>
    <col min="32" max="32" width="10.5546875" style="28" bestFit="1" customWidth="1"/>
    <col min="33" max="16384" width="9.21875" style="28"/>
  </cols>
  <sheetData>
    <row r="1" spans="1:30" ht="17.399999999999999">
      <c r="A1" s="192" t="s">
        <v>67</v>
      </c>
      <c r="B1" s="198"/>
      <c r="C1" s="198"/>
      <c r="D1" s="198"/>
      <c r="E1" s="198"/>
      <c r="F1" s="198"/>
      <c r="G1" s="198"/>
      <c r="H1" s="198"/>
      <c r="I1" s="192"/>
      <c r="J1" s="192"/>
      <c r="K1" s="192"/>
      <c r="L1" s="192"/>
      <c r="M1" s="192"/>
      <c r="N1" s="192"/>
      <c r="O1" s="192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7.399999999999999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7.399999999999999">
      <c r="A3" s="192" t="s">
        <v>161</v>
      </c>
      <c r="B3" s="198"/>
      <c r="C3" s="198"/>
      <c r="D3" s="198"/>
      <c r="E3" s="198"/>
      <c r="F3" s="198"/>
      <c r="G3" s="198"/>
      <c r="H3" s="198"/>
      <c r="I3" s="192"/>
      <c r="J3" s="192"/>
      <c r="K3" s="192"/>
      <c r="L3" s="192"/>
      <c r="M3" s="192"/>
      <c r="N3" s="192"/>
      <c r="O3" s="192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28"/>
      <c r="R6" s="28"/>
      <c r="S6" s="28"/>
      <c r="T6" s="28"/>
      <c r="U6" s="28"/>
      <c r="V6" s="28"/>
      <c r="W6" s="28"/>
    </row>
    <row r="7" spans="1:30" ht="16.2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261</v>
      </c>
      <c r="F7" s="44" t="s">
        <v>262</v>
      </c>
      <c r="G7" s="44" t="s">
        <v>88</v>
      </c>
      <c r="H7" s="44" t="s">
        <v>263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2019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250</v>
      </c>
      <c r="C10" s="35">
        <f>SUM('2019 Capital Budget'!F16:F19)</f>
        <v>-2253.9899999999798</v>
      </c>
      <c r="D10" s="35">
        <f>SUM('2019 Capital Budget'!G16:G19)</f>
        <v>14667.820000000002</v>
      </c>
      <c r="E10" s="35">
        <f>SUM('2019 Capital Budget'!H16:H19)</f>
        <v>0</v>
      </c>
      <c r="F10" s="35">
        <f>SUM('2019 Capital Budget'!I16:I19)</f>
        <v>38923.71</v>
      </c>
      <c r="G10" s="35">
        <f>SUM('2019 Capital Budget'!J16:J19)</f>
        <v>20480.28</v>
      </c>
      <c r="H10" s="35">
        <f>SUM('2019 Capital Budget'!K16:K19)</f>
        <v>21271.05</v>
      </c>
      <c r="I10" s="35">
        <f>SUM('2019 Capital Budget'!L16:L19)</f>
        <v>23381.06</v>
      </c>
      <c r="J10" s="35">
        <f>SUM('2019 Capital Budget'!M16:M19)</f>
        <v>22010.240000000002</v>
      </c>
      <c r="K10" s="35">
        <f>SUM('2019 Capital Budget'!N16:N19)</f>
        <v>18961.490000000002</v>
      </c>
      <c r="L10" s="35">
        <f>SUM('2019 Capital Budget'!O16:O19)</f>
        <v>20082.560000000001</v>
      </c>
      <c r="M10" s="35">
        <f>SUM('2019 Capital Budget'!P16:P19)</f>
        <v>79871.010000000009</v>
      </c>
      <c r="N10" s="35">
        <f>SUM('2019 Capital Budget'!Q16:Q19)</f>
        <v>14014.550000000001</v>
      </c>
      <c r="O10" s="35">
        <f>SUM(C10:N10)</f>
        <v>271409.78000000003</v>
      </c>
      <c r="P10" s="46"/>
    </row>
    <row r="11" spans="1:30">
      <c r="A11" s="38">
        <f>A10+1</f>
        <v>2</v>
      </c>
      <c r="B11" s="26" t="s">
        <v>251</v>
      </c>
      <c r="C11" s="35">
        <f>'2019 Capital Budget'!F50</f>
        <v>657153.20000000112</v>
      </c>
      <c r="D11" s="35">
        <f>'2019 Capital Budget'!G50</f>
        <v>562328.62999999896</v>
      </c>
      <c r="E11" s="35">
        <f>'2019 Capital Budget'!H50</f>
        <v>2790937.3000000007</v>
      </c>
      <c r="F11" s="35">
        <f>'2019 Capital Budget'!I50</f>
        <v>1266457.7799999993</v>
      </c>
      <c r="G11" s="35">
        <f>'2019 Capital Budget'!J50</f>
        <v>3067202.9299999997</v>
      </c>
      <c r="H11" s="35">
        <f>'2019 Capital Budget'!K50</f>
        <v>1250396.4199999981</v>
      </c>
      <c r="I11" s="35">
        <f>'2019 Capital Budget'!L50</f>
        <v>2618567.3300000019</v>
      </c>
      <c r="J11" s="35">
        <f>'2019 Capital Budget'!M50</f>
        <v>3027317.5199999996</v>
      </c>
      <c r="K11" s="35">
        <f>'2019 Capital Budget'!N50</f>
        <v>4912579.3800000027</v>
      </c>
      <c r="L11" s="35">
        <f>'2019 Capital Budget'!O50</f>
        <v>5725403.0700000003</v>
      </c>
      <c r="M11" s="35">
        <f>'2019 Capital Budget'!P50</f>
        <v>5279804.799999997</v>
      </c>
      <c r="N11" s="35">
        <f>'2019 Capital Budget'!Q50</f>
        <v>1637152.9900000021</v>
      </c>
      <c r="O11" s="35">
        <f t="shared" ref="O11:O14" si="0">SUM(C11:N11)</f>
        <v>32795301.350000001</v>
      </c>
      <c r="P11" s="46"/>
    </row>
    <row r="12" spans="1:30">
      <c r="A12" s="38">
        <f>A11+1</f>
        <v>3</v>
      </c>
      <c r="B12" s="26" t="s">
        <v>80</v>
      </c>
      <c r="C12" s="35">
        <f>'2019 Capital Budget'!F20+'2019 Capital Budget'!F21</f>
        <v>517199.86</v>
      </c>
      <c r="D12" s="35">
        <f>'2019 Capital Budget'!G20+'2019 Capital Budget'!G21</f>
        <v>199834.85</v>
      </c>
      <c r="E12" s="35">
        <f>'2019 Capital Budget'!H20+'2019 Capital Budget'!H21</f>
        <v>0</v>
      </c>
      <c r="F12" s="35">
        <f>'2019 Capital Budget'!I20+'2019 Capital Budget'!I21</f>
        <v>528130.11</v>
      </c>
      <c r="G12" s="35">
        <f>'2019 Capital Budget'!J20+'2019 Capital Budget'!J21</f>
        <v>334113.7</v>
      </c>
      <c r="H12" s="35">
        <f>'2019 Capital Budget'!K20+'2019 Capital Budget'!K21</f>
        <v>303068.81</v>
      </c>
      <c r="I12" s="35">
        <f>'2019 Capital Budget'!L20+'2019 Capital Budget'!L21</f>
        <v>284864.46000000002</v>
      </c>
      <c r="J12" s="35">
        <f>'2019 Capital Budget'!M20+'2019 Capital Budget'!M21</f>
        <v>232409.20999999996</v>
      </c>
      <c r="K12" s="35">
        <f>'2019 Capital Budget'!N20+'2019 Capital Budget'!N21</f>
        <v>308155.68</v>
      </c>
      <c r="L12" s="35">
        <f>'2019 Capital Budget'!O20+'2019 Capital Budget'!O21</f>
        <v>200869.63</v>
      </c>
      <c r="M12" s="35">
        <f>'2019 Capital Budget'!P20+'2019 Capital Budget'!P21</f>
        <v>170062.19</v>
      </c>
      <c r="N12" s="35">
        <f>'2019 Capital Budget'!Q20+'2019 Capital Budget'!Q21</f>
        <v>239382.03</v>
      </c>
      <c r="O12" s="35">
        <f t="shared" si="0"/>
        <v>3318090.53</v>
      </c>
      <c r="P12" s="46"/>
    </row>
    <row r="13" spans="1:30">
      <c r="A13" s="38">
        <f>A12+1</f>
        <v>4</v>
      </c>
      <c r="B13" s="26" t="s">
        <v>81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  <c r="I13" s="369">
        <v>0</v>
      </c>
      <c r="J13" s="369">
        <v>0</v>
      </c>
      <c r="K13" s="369">
        <v>0</v>
      </c>
      <c r="L13" s="369">
        <v>0</v>
      </c>
      <c r="M13" s="369">
        <v>0</v>
      </c>
      <c r="N13" s="369">
        <v>0</v>
      </c>
      <c r="O13" s="35">
        <f t="shared" si="0"/>
        <v>0</v>
      </c>
      <c r="P13" s="46"/>
    </row>
    <row r="14" spans="1:30">
      <c r="A14" s="38">
        <f>A13+1</f>
        <v>5</v>
      </c>
      <c r="B14" s="26" t="s">
        <v>162</v>
      </c>
      <c r="C14" s="34">
        <f>SUM('2019 Capital Budget'!F9:F15,'2019 Capital Budget'!F25)</f>
        <v>252648.8600000001</v>
      </c>
      <c r="D14" s="34">
        <f>SUM('2019 Capital Budget'!G9:G15,'2019 Capital Budget'!G25)</f>
        <v>394882.21</v>
      </c>
      <c r="E14" s="34">
        <f>SUM('2019 Capital Budget'!H9:H15,'2019 Capital Budget'!H25)</f>
        <v>1489239.21</v>
      </c>
      <c r="F14" s="34">
        <f>SUM('2019 Capital Budget'!I9:I15,'2019 Capital Budget'!I25)</f>
        <v>3407021.7299999991</v>
      </c>
      <c r="G14" s="34">
        <f>SUM('2019 Capital Budget'!J9:J15,'2019 Capital Budget'!J25)</f>
        <v>1397943.0199999993</v>
      </c>
      <c r="H14" s="34">
        <f>SUM('2019 Capital Budget'!K9:K15,'2019 Capital Budget'!K25)</f>
        <v>1493133.6</v>
      </c>
      <c r="I14" s="34">
        <f>SUM('2019 Capital Budget'!L9:L15,'2019 Capital Budget'!L25)</f>
        <v>1323256.3699999999</v>
      </c>
      <c r="J14" s="34">
        <f>SUM('2019 Capital Budget'!M9:M15,'2019 Capital Budget'!M25)</f>
        <v>1383259.4399999995</v>
      </c>
      <c r="K14" s="34">
        <f>SUM('2019 Capital Budget'!N9:N15,'2019 Capital Budget'!N25)</f>
        <v>1429155.59</v>
      </c>
      <c r="L14" s="34">
        <f>SUM('2019 Capital Budget'!O9:O15,'2019 Capital Budget'!O25)</f>
        <v>1431321.14</v>
      </c>
      <c r="M14" s="34">
        <f>SUM('2019 Capital Budget'!P9:P15,'2019 Capital Budget'!P25)</f>
        <v>1684824.3699999999</v>
      </c>
      <c r="N14" s="34">
        <f>SUM('2019 Capital Budget'!Q9:Q15,'2019 Capital Budget'!Q25)</f>
        <v>1410324.96</v>
      </c>
      <c r="O14" s="34">
        <f t="shared" si="0"/>
        <v>17097010.499999996</v>
      </c>
      <c r="P14" s="86"/>
    </row>
    <row r="15" spans="1:30">
      <c r="A15" s="38">
        <f>A14+1</f>
        <v>6</v>
      </c>
      <c r="B15" s="26" t="s">
        <v>82</v>
      </c>
      <c r="C15" s="33">
        <f t="shared" ref="C15:H15" si="1">SUM(C10:C14)</f>
        <v>1424747.9300000013</v>
      </c>
      <c r="D15" s="33">
        <f t="shared" si="1"/>
        <v>1171713.5099999988</v>
      </c>
      <c r="E15" s="33">
        <f t="shared" si="1"/>
        <v>4280176.5100000007</v>
      </c>
      <c r="F15" s="33">
        <f t="shared" si="1"/>
        <v>5240533.3299999982</v>
      </c>
      <c r="G15" s="33">
        <f t="shared" si="1"/>
        <v>4819739.9299999988</v>
      </c>
      <c r="H15" s="33">
        <f t="shared" si="1"/>
        <v>3067869.879999998</v>
      </c>
      <c r="I15" s="33">
        <f t="shared" ref="I15:N15" si="2">SUM(I10:I14)</f>
        <v>4250069.2200000016</v>
      </c>
      <c r="J15" s="33">
        <f t="shared" si="2"/>
        <v>4664996.4099999992</v>
      </c>
      <c r="K15" s="33">
        <f t="shared" si="2"/>
        <v>6668852.1400000025</v>
      </c>
      <c r="L15" s="33">
        <f t="shared" si="2"/>
        <v>7377676.3999999994</v>
      </c>
      <c r="M15" s="33">
        <f t="shared" si="2"/>
        <v>7214562.3699999973</v>
      </c>
      <c r="N15" s="33">
        <f t="shared" si="2"/>
        <v>3300874.5300000021</v>
      </c>
      <c r="O15" s="33">
        <f>SUM(O10:O14)</f>
        <v>53481812.159999996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252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69">
        <v>0</v>
      </c>
      <c r="M17" s="369">
        <v>0</v>
      </c>
      <c r="N17" s="369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331</v>
      </c>
      <c r="C18" s="369">
        <v>0</v>
      </c>
      <c r="D18" s="369">
        <v>0</v>
      </c>
      <c r="E18" s="369">
        <v>0</v>
      </c>
      <c r="F18" s="369">
        <v>0</v>
      </c>
      <c r="G18" s="369">
        <v>0</v>
      </c>
      <c r="H18" s="369">
        <v>0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72</v>
      </c>
      <c r="C19" s="369">
        <v>0</v>
      </c>
      <c r="D19" s="369">
        <v>0</v>
      </c>
      <c r="E19" s="369">
        <v>0</v>
      </c>
      <c r="F19" s="369">
        <v>0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  <c r="L19" s="369">
        <v>0</v>
      </c>
      <c r="M19" s="369">
        <v>0</v>
      </c>
      <c r="N19" s="369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73</v>
      </c>
      <c r="C20" s="360">
        <v>0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180</v>
      </c>
      <c r="C21" s="35">
        <f t="shared" ref="C21:O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5">
        <f t="shared" si="5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179</v>
      </c>
      <c r="C23" s="370">
        <v>0</v>
      </c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0">
        <v>0</v>
      </c>
      <c r="M23" s="370">
        <v>0</v>
      </c>
      <c r="N23" s="370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253</v>
      </c>
      <c r="C25" s="453">
        <f>SUM('2019 Capital Budget'!F33:F36)</f>
        <v>1943.33</v>
      </c>
      <c r="D25" s="453">
        <f>SUM('2019 Capital Budget'!G33:G36)</f>
        <v>0</v>
      </c>
      <c r="E25" s="453">
        <f>SUM('2019 Capital Budget'!H33:H36)</f>
        <v>0</v>
      </c>
      <c r="F25" s="453">
        <f>SUM('2019 Capital Budget'!I33:I36)</f>
        <v>0</v>
      </c>
      <c r="G25" s="453">
        <f>SUM('2019 Capital Budget'!J33:J36)</f>
        <v>0</v>
      </c>
      <c r="H25" s="453">
        <f>SUM('2019 Capital Budget'!K33:K36)</f>
        <v>0</v>
      </c>
      <c r="I25" s="453">
        <f>SUM('2019 Capital Budget'!L33:L36)</f>
        <v>0</v>
      </c>
      <c r="J25" s="453">
        <f>SUM('2019 Capital Budget'!M33:M36)</f>
        <v>0</v>
      </c>
      <c r="K25" s="453">
        <f>SUM('2019 Capital Budget'!N33:N36)</f>
        <v>0</v>
      </c>
      <c r="L25" s="453">
        <f>SUM('2019 Capital Budget'!O33:O36)</f>
        <v>0</v>
      </c>
      <c r="M25" s="453">
        <f>SUM('2019 Capital Budget'!P33:P36)</f>
        <v>0</v>
      </c>
      <c r="N25" s="453">
        <f>SUM('2019 Capital Budget'!Q33:Q36)</f>
        <v>0</v>
      </c>
      <c r="O25" s="35">
        <f>SUM(C25:N25)</f>
        <v>1943.33</v>
      </c>
      <c r="P25" s="46"/>
    </row>
    <row r="26" spans="1:16" ht="16.5" customHeight="1">
      <c r="A26" s="38">
        <f>A25+1</f>
        <v>14</v>
      </c>
      <c r="B26" s="26" t="s">
        <v>330</v>
      </c>
      <c r="C26" s="33">
        <f>SUM('2019 Capital Budget'!F39:F40)</f>
        <v>0</v>
      </c>
      <c r="D26" s="33">
        <f>SUM('2019 Capital Budget'!G39:G40)</f>
        <v>0</v>
      </c>
      <c r="E26" s="33">
        <f>SUM('2019 Capital Budget'!H39:H40)</f>
        <v>0</v>
      </c>
      <c r="F26" s="33">
        <f>SUM('2019 Capital Budget'!I39:I40)</f>
        <v>0</v>
      </c>
      <c r="G26" s="33">
        <f>SUM('2019 Capital Budget'!J39:J40)</f>
        <v>0</v>
      </c>
      <c r="H26" s="33">
        <f>SUM('2019 Capital Budget'!K39:K40)</f>
        <v>0</v>
      </c>
      <c r="I26" s="33">
        <f>SUM('2019 Capital Budget'!L39:L40)</f>
        <v>0</v>
      </c>
      <c r="J26" s="33">
        <f>SUM('2019 Capital Budget'!M39:M40)</f>
        <v>0</v>
      </c>
      <c r="K26" s="33">
        <f>SUM('2019 Capital Budget'!N39:N40)</f>
        <v>0</v>
      </c>
      <c r="L26" s="33">
        <f>SUM('2019 Capital Budget'!O39:O40)</f>
        <v>0</v>
      </c>
      <c r="M26" s="33">
        <f>SUM('2019 Capital Budget'!P39:P40)</f>
        <v>0</v>
      </c>
      <c r="N26" s="33">
        <f>SUM('2019 Capital Budget'!Q39:Q40)</f>
        <v>0</v>
      </c>
      <c r="O26" s="35">
        <f>SUM(C26:N26)</f>
        <v>0</v>
      </c>
      <c r="P26" s="46"/>
    </row>
    <row r="27" spans="1:16">
      <c r="A27" s="38">
        <f t="shared" ref="A27:A29" si="6">A26+1</f>
        <v>15</v>
      </c>
      <c r="B27" s="26" t="s">
        <v>83</v>
      </c>
      <c r="C27" s="33">
        <f>SUM('2019 Capital Budget'!F37:F38,'2019 Capital Budget'!F41:F42)</f>
        <v>142325.40999999997</v>
      </c>
      <c r="D27" s="33">
        <f>SUM('2019 Capital Budget'!G37:G38,'2019 Capital Budget'!G41:G42)</f>
        <v>171177.69</v>
      </c>
      <c r="E27" s="33">
        <f>SUM('2019 Capital Budget'!H37:H38,'2019 Capital Budget'!H41:H42)</f>
        <v>183680.3</v>
      </c>
      <c r="F27" s="33">
        <f>SUM('2019 Capital Budget'!I37:I38,'2019 Capital Budget'!I41:I42)</f>
        <v>374522.92</v>
      </c>
      <c r="G27" s="33">
        <f>SUM('2019 Capital Budget'!J37:J38,'2019 Capital Budget'!J41:J42)</f>
        <v>392332.57</v>
      </c>
      <c r="H27" s="33">
        <f>SUM('2019 Capital Budget'!K37:K38,'2019 Capital Budget'!K41:K42)</f>
        <v>450871.25</v>
      </c>
      <c r="I27" s="33">
        <f>SUM('2019 Capital Budget'!L37:L38,'2019 Capital Budget'!L41:L42)</f>
        <v>384718.32</v>
      </c>
      <c r="J27" s="33">
        <f>SUM('2019 Capital Budget'!M37:M38,'2019 Capital Budget'!M41:M42)</f>
        <v>374205.67</v>
      </c>
      <c r="K27" s="33">
        <f>SUM('2019 Capital Budget'!N37:N38,'2019 Capital Budget'!N41:N42)</f>
        <v>468218.97</v>
      </c>
      <c r="L27" s="33">
        <f>SUM('2019 Capital Budget'!O37:O38,'2019 Capital Budget'!O41:O42)</f>
        <v>413464.76</v>
      </c>
      <c r="M27" s="33">
        <f>SUM('2019 Capital Budget'!P37:P38,'2019 Capital Budget'!P41:P42)</f>
        <v>503043.61</v>
      </c>
      <c r="N27" s="33">
        <f>SUM('2019 Capital Budget'!Q37:Q38,'2019 Capital Budget'!Q41:Q42)</f>
        <v>602073.87</v>
      </c>
      <c r="O27" s="35">
        <f t="shared" ref="O27:O28" si="7">SUM(C27:N27)</f>
        <v>4460635.3399999989</v>
      </c>
      <c r="P27" s="46"/>
    </row>
    <row r="28" spans="1:16">
      <c r="A28" s="38">
        <f t="shared" si="6"/>
        <v>16</v>
      </c>
      <c r="B28" s="26" t="s">
        <v>84</v>
      </c>
      <c r="C28" s="430">
        <f>SUM('2019 Capital Budget'!F30:F32)</f>
        <v>160988.62</v>
      </c>
      <c r="D28" s="430">
        <f>SUM('2019 Capital Budget'!G30:G32)</f>
        <v>-0.01</v>
      </c>
      <c r="E28" s="430">
        <f>SUM('2019 Capital Budget'!H30:H32)</f>
        <v>1507.16</v>
      </c>
      <c r="F28" s="430">
        <f>SUM('2019 Capital Budget'!I30:I32)</f>
        <v>-1507.16</v>
      </c>
      <c r="G28" s="430">
        <f>SUM('2019 Capital Budget'!J30:J32)</f>
        <v>0</v>
      </c>
      <c r="H28" s="430">
        <f>SUM('2019 Capital Budget'!K30:K32)</f>
        <v>0</v>
      </c>
      <c r="I28" s="430">
        <f>SUM('2019 Capital Budget'!L30:L32)</f>
        <v>0</v>
      </c>
      <c r="J28" s="430">
        <f>SUM('2019 Capital Budget'!M30:M32)</f>
        <v>0</v>
      </c>
      <c r="K28" s="430">
        <f>SUM('2019 Capital Budget'!N30:N32)</f>
        <v>0</v>
      </c>
      <c r="L28" s="430">
        <f>SUM('2019 Capital Budget'!O30:O32)</f>
        <v>0</v>
      </c>
      <c r="M28" s="430">
        <f>SUM('2019 Capital Budget'!P30:P32)</f>
        <v>0</v>
      </c>
      <c r="N28" s="430">
        <f>SUM('2019 Capital Budget'!Q30:Q32)</f>
        <v>0</v>
      </c>
      <c r="O28" s="34">
        <f t="shared" si="7"/>
        <v>160988.60999999999</v>
      </c>
      <c r="P28" s="86"/>
    </row>
    <row r="29" spans="1:16">
      <c r="A29" s="38">
        <f t="shared" si="6"/>
        <v>17</v>
      </c>
      <c r="B29" s="26" t="s">
        <v>85</v>
      </c>
      <c r="C29" s="33">
        <f t="shared" ref="C29:O29" si="8">SUM(C25:C28)</f>
        <v>305257.36</v>
      </c>
      <c r="D29" s="33">
        <f t="shared" si="8"/>
        <v>171177.68</v>
      </c>
      <c r="E29" s="33">
        <f t="shared" si="8"/>
        <v>185187.46</v>
      </c>
      <c r="F29" s="33">
        <f t="shared" si="8"/>
        <v>373015.76</v>
      </c>
      <c r="G29" s="33">
        <f t="shared" si="8"/>
        <v>392332.57</v>
      </c>
      <c r="H29" s="33">
        <f t="shared" si="8"/>
        <v>450871.25</v>
      </c>
      <c r="I29" s="33">
        <f t="shared" si="8"/>
        <v>384718.32</v>
      </c>
      <c r="J29" s="33">
        <f t="shared" si="8"/>
        <v>374205.67</v>
      </c>
      <c r="K29" s="33">
        <f t="shared" si="8"/>
        <v>468218.97</v>
      </c>
      <c r="L29" s="33">
        <f t="shared" si="8"/>
        <v>413464.76</v>
      </c>
      <c r="M29" s="33">
        <f t="shared" si="8"/>
        <v>503043.61</v>
      </c>
      <c r="N29" s="33">
        <f t="shared" si="8"/>
        <v>602073.87</v>
      </c>
      <c r="O29" s="33">
        <f t="shared" si="8"/>
        <v>4623567.2799999993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3">
        <f>OpEx!B11</f>
        <v>13468.560000000001</v>
      </c>
      <c r="D31" s="33">
        <f>OpEx!B12</f>
        <v>-994.94999999999709</v>
      </c>
      <c r="E31" s="33">
        <f>OpEx!B13</f>
        <v>7399.9800000000114</v>
      </c>
      <c r="F31" s="33">
        <f>OpEx!B14</f>
        <v>23537.760000000009</v>
      </c>
      <c r="G31" s="33">
        <f>OpEx!B15</f>
        <v>154764.51</v>
      </c>
      <c r="H31" s="33">
        <f>OpEx!B16</f>
        <v>138836.32</v>
      </c>
      <c r="I31" s="33">
        <f>OpEx!B17</f>
        <v>70058.930000000008</v>
      </c>
      <c r="J31" s="33">
        <f>OpEx!B18</f>
        <v>75650.09</v>
      </c>
      <c r="K31" s="33">
        <f>OpEx!B19</f>
        <v>94599.16</v>
      </c>
      <c r="L31" s="33">
        <f>OpEx!B20</f>
        <v>69510.05</v>
      </c>
      <c r="M31" s="33">
        <f>OpEx!B21</f>
        <v>74100.510000000009</v>
      </c>
      <c r="N31" s="33">
        <f>OpEx!B22</f>
        <v>92177.96</v>
      </c>
      <c r="O31" s="33">
        <f>SUM(C31:N31)</f>
        <v>813108.88000000012</v>
      </c>
      <c r="P31" s="46"/>
    </row>
    <row r="32" spans="1:16">
      <c r="A32" s="38">
        <f>A31+1</f>
        <v>19</v>
      </c>
      <c r="B32" s="26" t="s">
        <v>460</v>
      </c>
      <c r="C32" s="33">
        <f>OpEx!E11</f>
        <v>40112</v>
      </c>
      <c r="D32" s="33">
        <f>OpEx!E12</f>
        <v>40112</v>
      </c>
      <c r="E32" s="33">
        <f>OpEx!E13</f>
        <v>40112</v>
      </c>
      <c r="F32" s="33">
        <f>OpEx!E14</f>
        <v>40112</v>
      </c>
      <c r="G32" s="33">
        <f>OpEx!E15</f>
        <v>40112</v>
      </c>
      <c r="H32" s="33">
        <f>OpEx!E16</f>
        <v>40112</v>
      </c>
      <c r="I32" s="33">
        <f>OpEx!E17</f>
        <v>40112</v>
      </c>
      <c r="J32" s="33">
        <f>OpEx!E18</f>
        <v>40112</v>
      </c>
      <c r="K32" s="33">
        <f>OpEx!E19</f>
        <v>40112</v>
      </c>
      <c r="L32" s="33">
        <f>OpEx!E20</f>
        <v>40112</v>
      </c>
      <c r="M32" s="33">
        <f>OpEx!E21</f>
        <v>40112</v>
      </c>
      <c r="N32" s="33">
        <f>OpEx!E22</f>
        <v>40112</v>
      </c>
      <c r="O32" s="33">
        <f>SUM(C32:N32)</f>
        <v>481344</v>
      </c>
      <c r="P32" s="46"/>
    </row>
    <row r="33" spans="1:30">
      <c r="A33" s="38">
        <v>20</v>
      </c>
      <c r="B33" s="26" t="s">
        <v>461</v>
      </c>
      <c r="C33" s="33">
        <f>OpEx!E32</f>
        <v>7144.99</v>
      </c>
      <c r="D33" s="33">
        <f>OpEx!E33</f>
        <v>7144.99</v>
      </c>
      <c r="E33" s="33">
        <f>OpEx!E34</f>
        <v>7144.99</v>
      </c>
      <c r="F33" s="33">
        <f>OpEx!E35</f>
        <v>7144.99</v>
      </c>
      <c r="G33" s="33">
        <f>OpEx!E36</f>
        <v>7144.99</v>
      </c>
      <c r="H33" s="33">
        <f>OpEx!E37</f>
        <v>7144.99</v>
      </c>
      <c r="I33" s="33">
        <f>OpEx!E38</f>
        <v>7144.99</v>
      </c>
      <c r="J33" s="33">
        <f>OpEx!E39</f>
        <v>7144.99</v>
      </c>
      <c r="K33" s="33">
        <f>OpEx!E40</f>
        <v>7144.99</v>
      </c>
      <c r="L33" s="33">
        <f>OpEx!E41</f>
        <v>7144.99</v>
      </c>
      <c r="M33" s="33">
        <f>OpEx!E42</f>
        <v>7144.99</v>
      </c>
      <c r="N33" s="33">
        <f>OpEx!E43</f>
        <v>7144.99</v>
      </c>
      <c r="O33" s="33">
        <f>SUM(C33:N33)</f>
        <v>85739.88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'201812 Bk Depr'!R13</f>
        <v>7189099.9499999993</v>
      </c>
      <c r="H13" s="1">
        <f>1.62%/12</f>
        <v>1.3500000000000003E-3</v>
      </c>
      <c r="J13" s="365">
        <f>F13*H13</f>
        <v>9705.2849325000007</v>
      </c>
      <c r="L13" s="366">
        <f>'Cap&amp;OpEx 2019'!C10</f>
        <v>-2253.9899999999798</v>
      </c>
      <c r="N13" s="365">
        <f>H13*L13*0.5</f>
        <v>-1.5214432499999866</v>
      </c>
      <c r="P13" s="365">
        <f>J13+N13</f>
        <v>9703.7634892500009</v>
      </c>
      <c r="R13" s="365">
        <f>L13+F13</f>
        <v>7186845.959999999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'201812 Bk Depr'!R14</f>
        <v>4709352.8400000008</v>
      </c>
      <c r="H14" s="1">
        <f>3.24%/12</f>
        <v>2.7000000000000006E-3</v>
      </c>
      <c r="J14" s="365">
        <f>F14*H14</f>
        <v>12715.252668000005</v>
      </c>
      <c r="L14" s="366">
        <f>'Cap&amp;OpEx 2019'!C12</f>
        <v>517199.86</v>
      </c>
      <c r="N14" s="365">
        <f>H14*L14*0.5</f>
        <v>698.21981100000016</v>
      </c>
      <c r="P14" s="365">
        <f>J14+N14</f>
        <v>13413.472479000005</v>
      </c>
      <c r="R14" s="365">
        <f>L14+F14</f>
        <v>5226552.7000000011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61">
        <f>'201812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2019'!C13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>A15+1</f>
        <v>4</v>
      </c>
      <c r="B16" s="4"/>
      <c r="C16" s="4" t="s">
        <v>163</v>
      </c>
      <c r="D16" s="6">
        <v>380</v>
      </c>
      <c r="F16" s="362">
        <f>'201812 Bk Depr'!R16</f>
        <v>16000164.520000001</v>
      </c>
      <c r="H16" s="1">
        <f t="shared" si="1"/>
        <v>2.7000000000000006E-3</v>
      </c>
      <c r="J16" s="365">
        <f>F16*H16</f>
        <v>43200.444204000014</v>
      </c>
      <c r="L16" s="367">
        <f>'Cap&amp;OpEx 2019'!C14</f>
        <v>252648.8600000001</v>
      </c>
      <c r="N16" s="365">
        <f>H16*L16*0.5</f>
        <v>341.07596100000023</v>
      </c>
      <c r="P16" s="365">
        <f>J16+N16</f>
        <v>43541.520165000016</v>
      </c>
      <c r="R16" s="365">
        <f>L16+F16</f>
        <v>16252813.380000001</v>
      </c>
    </row>
    <row r="17" spans="1:18">
      <c r="A17" s="6">
        <f>A16+1</f>
        <v>5</v>
      </c>
      <c r="B17" s="4"/>
      <c r="C17" s="4" t="s">
        <v>21</v>
      </c>
      <c r="F17" s="363">
        <f>SUM(F13:F16)</f>
        <v>35115997.550000004</v>
      </c>
      <c r="J17" s="363">
        <f>SUM(J13:J16)</f>
        <v>85107.908452500036</v>
      </c>
      <c r="L17" s="363">
        <f>SUM(L13:L16)</f>
        <v>767594.7300000001</v>
      </c>
      <c r="N17" s="363">
        <f>SUM(N13:N16)</f>
        <v>1037.7743287500004</v>
      </c>
      <c r="P17" s="363">
        <f>SUM(P13:P16)</f>
        <v>86145.682781250041</v>
      </c>
      <c r="R17" s="363">
        <f>SUM(R13:R16)</f>
        <v>35883592.280000001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'201812 Bk Depr'!R20</f>
        <v>0</v>
      </c>
      <c r="H20" s="1">
        <f>1.62%/12</f>
        <v>1.3500000000000003E-3</v>
      </c>
      <c r="J20" s="365">
        <f>F20*H20</f>
        <v>0</v>
      </c>
      <c r="L20" s="366">
        <f>'Cap&amp;OpEx 2019'!C17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'201812 Bk Depr'!R21</f>
        <v>0</v>
      </c>
      <c r="H21" s="1">
        <f>3.24%/12</f>
        <v>2.7000000000000006E-3</v>
      </c>
      <c r="J21" s="365">
        <f t="shared" ref="J21:J22" si="2">F21*H21</f>
        <v>0</v>
      </c>
      <c r="L21" s="366">
        <f>'Cap&amp;OpEx 2019'!C19</f>
        <v>0</v>
      </c>
      <c r="N21" s="365">
        <f t="shared" ref="N21:N22" si="3">H21*L21*0.5</f>
        <v>0</v>
      </c>
      <c r="P21" s="365">
        <f t="shared" ref="P21:P22" si="4">J21+N21</f>
        <v>0</v>
      </c>
      <c r="R21" s="365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2">
        <f>'201812 Bk Depr'!R22</f>
        <v>0</v>
      </c>
      <c r="H22" s="1">
        <f>3.24%/12</f>
        <v>2.7000000000000006E-3</v>
      </c>
      <c r="J22" s="365">
        <f t="shared" si="2"/>
        <v>0</v>
      </c>
      <c r="L22" s="367">
        <f>'Cap&amp;OpEx 2019'!C20</f>
        <v>0</v>
      </c>
      <c r="N22" s="365">
        <f t="shared" si="3"/>
        <v>0</v>
      </c>
      <c r="P22" s="365">
        <f t="shared" si="4"/>
        <v>0</v>
      </c>
      <c r="R22" s="365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35115997.550000004</v>
      </c>
      <c r="J25" s="364">
        <f>J17+J23</f>
        <v>85107.908452500036</v>
      </c>
      <c r="L25" s="364">
        <f>L17+L23</f>
        <v>767594.7300000001</v>
      </c>
      <c r="N25" s="364">
        <f>N17+N23</f>
        <v>1037.7743287500004</v>
      </c>
      <c r="P25" s="364">
        <f>P17+P23</f>
        <v>86145.682781250041</v>
      </c>
      <c r="R25" s="364">
        <f>R17+R23</f>
        <v>35883592.280000001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'201812 Bk Depr'!R28</f>
        <v>1925972.51</v>
      </c>
      <c r="J28" s="365"/>
      <c r="L28" s="366">
        <f>'Cap&amp;OpEx 2019'!C25</f>
        <v>1943.33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'201812 Bk Depr'!R29</f>
        <v>1540182.27</v>
      </c>
      <c r="J29" s="365"/>
      <c r="L29" s="366">
        <f>'Cap&amp;OpEx 2019'!C27</f>
        <v>142325.40999999997</v>
      </c>
      <c r="N29" s="365"/>
      <c r="P29" s="365"/>
      <c r="R29" s="365">
        <f>L29+F29</f>
        <v>1682507.68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2">
        <f>'201812 Bk Depr'!R30</f>
        <v>0</v>
      </c>
      <c r="J30" s="365"/>
      <c r="L30" s="367">
        <f>'Cap&amp;OpEx 2019'!C28</f>
        <v>160988.62</v>
      </c>
      <c r="N30" s="365"/>
      <c r="P30" s="365"/>
      <c r="R30" s="365">
        <f>L30+F30</f>
        <v>160988.62</v>
      </c>
    </row>
    <row r="31" spans="1:18">
      <c r="A31" s="6">
        <f t="shared" si="7"/>
        <v>14</v>
      </c>
      <c r="B31" s="4"/>
      <c r="C31" s="4" t="s">
        <v>23</v>
      </c>
      <c r="F31" s="363">
        <f>SUM(F28:F30)</f>
        <v>3466154.7800000003</v>
      </c>
      <c r="J31" s="363">
        <f>SUM(J28:J30)</f>
        <v>0</v>
      </c>
      <c r="L31" s="363">
        <f>SUM(L28:L30)</f>
        <v>305257.36</v>
      </c>
      <c r="N31" s="363">
        <f>SUM(N28:N30)</f>
        <v>0</v>
      </c>
      <c r="P31" s="363">
        <f>SUM(P28:P30)</f>
        <v>0</v>
      </c>
      <c r="R31" s="363">
        <f>SUM(R28:R30)</f>
        <v>3771412.14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'201901 Bk Depr'!R13</f>
        <v>7186845.959999999</v>
      </c>
      <c r="H13" s="1">
        <f>1.62%/12</f>
        <v>1.3500000000000003E-3</v>
      </c>
      <c r="J13" s="365">
        <f>F13*H13</f>
        <v>9702.2420460000012</v>
      </c>
      <c r="L13" s="366">
        <f>'Cap&amp;OpEx 2019'!D10</f>
        <v>14667.820000000002</v>
      </c>
      <c r="N13" s="365">
        <f>H13*L13*0.5</f>
        <v>9.900778500000003</v>
      </c>
      <c r="P13" s="365">
        <f>J13+N13</f>
        <v>9712.1428245000006</v>
      </c>
      <c r="R13" s="365">
        <f>L13+F13</f>
        <v>7201513.7799999993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'201901 Bk Depr'!R14</f>
        <v>5226552.7000000011</v>
      </c>
      <c r="H14" s="1">
        <f>3.24%/12</f>
        <v>2.7000000000000006E-3</v>
      </c>
      <c r="J14" s="365">
        <f>F14*H14</f>
        <v>14111.692290000006</v>
      </c>
      <c r="L14" s="366">
        <f>'Cap&amp;OpEx 2019'!D12</f>
        <v>199834.85</v>
      </c>
      <c r="N14" s="365">
        <f>H14*L14*0.5</f>
        <v>269.77704750000004</v>
      </c>
      <c r="P14" s="365">
        <f>J14+N14</f>
        <v>14381.469337500006</v>
      </c>
      <c r="R14" s="365">
        <f>L14+F14</f>
        <v>5426387.5500000007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'201901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2019'!D13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'201901 Bk Depr'!R16</f>
        <v>16252813.380000001</v>
      </c>
      <c r="H16" s="1">
        <f t="shared" si="1"/>
        <v>2.7000000000000006E-3</v>
      </c>
      <c r="J16" s="365">
        <f>F16*H16</f>
        <v>43882.596126000011</v>
      </c>
      <c r="L16" s="367">
        <f>'Cap&amp;OpEx 2019'!D14</f>
        <v>394882.21</v>
      </c>
      <c r="N16" s="365">
        <f>H16*L16*0.5</f>
        <v>533.09098350000011</v>
      </c>
      <c r="P16" s="365">
        <f>J16+N16</f>
        <v>44415.68710950001</v>
      </c>
      <c r="R16" s="365">
        <f>L16+F16</f>
        <v>16647695.590000002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35883592.280000001</v>
      </c>
      <c r="J17" s="363">
        <f>SUM(J13:J16)</f>
        <v>87183.457110000018</v>
      </c>
      <c r="L17" s="363">
        <f>SUM(L13:L16)</f>
        <v>609384.88</v>
      </c>
      <c r="N17" s="363">
        <f>SUM(N13:N16)</f>
        <v>812.76880950000009</v>
      </c>
      <c r="P17" s="363">
        <f>SUM(P13:P16)</f>
        <v>87996.225919500022</v>
      </c>
      <c r="R17" s="363">
        <f>SUM(R13:R16)</f>
        <v>36492977.160000004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'201901 Bk Depr'!R20</f>
        <v>0</v>
      </c>
      <c r="H20" s="1">
        <f>1.62%/12</f>
        <v>1.3500000000000003E-3</v>
      </c>
      <c r="J20" s="365">
        <f>F20*H20</f>
        <v>0</v>
      </c>
      <c r="L20" s="366">
        <f>'Cap&amp;OpEx 2019'!D17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'201901 Bk Depr'!R21</f>
        <v>0</v>
      </c>
      <c r="H21" s="1">
        <f>3.24%/12</f>
        <v>2.7000000000000006E-3</v>
      </c>
      <c r="J21" s="365">
        <f>F21*H21</f>
        <v>0</v>
      </c>
      <c r="L21" s="366">
        <f>'Cap&amp;OpEx 2019'!D19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'201901 Bk Depr'!R22</f>
        <v>0</v>
      </c>
      <c r="H22" s="1">
        <f>3.24%/12</f>
        <v>2.7000000000000006E-3</v>
      </c>
      <c r="J22" s="365">
        <f>F22*H22</f>
        <v>0</v>
      </c>
      <c r="L22" s="367">
        <f>'Cap&amp;OpEx 2019'!D20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35883592.280000001</v>
      </c>
      <c r="J25" s="364">
        <f>J17+J23</f>
        <v>87183.457110000018</v>
      </c>
      <c r="L25" s="364">
        <f>L17+L23</f>
        <v>609384.88</v>
      </c>
      <c r="N25" s="364">
        <f>N17+N23</f>
        <v>812.76880950000009</v>
      </c>
      <c r="P25" s="364">
        <f>P17+P23</f>
        <v>87996.225919500022</v>
      </c>
      <c r="R25" s="364">
        <f>R17+R23</f>
        <v>36492977.160000004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'201901 Bk Depr'!R28</f>
        <v>1927915.84</v>
      </c>
      <c r="J28" s="365"/>
      <c r="L28" s="366">
        <f>'Cap&amp;OpEx 2019'!D25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'201901 Bk Depr'!R29</f>
        <v>1682507.68</v>
      </c>
      <c r="J29" s="365"/>
      <c r="L29" s="366">
        <f>'Cap&amp;OpEx 2019'!D27</f>
        <v>171177.69</v>
      </c>
      <c r="N29" s="365"/>
      <c r="P29" s="365"/>
      <c r="R29" s="365">
        <f>L29+F29</f>
        <v>1853685.3699999999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'201901 Bk Depr'!R30</f>
        <v>160988.62</v>
      </c>
      <c r="J30" s="365"/>
      <c r="L30" s="367">
        <f>'Cap&amp;OpEx 2019'!D28</f>
        <v>-0.01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3771412.14</v>
      </c>
      <c r="J31" s="363">
        <f>SUM(J28:J30)</f>
        <v>0</v>
      </c>
      <c r="L31" s="363">
        <f>SUM(L28:L30)</f>
        <v>171177.68</v>
      </c>
      <c r="N31" s="363">
        <f>SUM(N28:N30)</f>
        <v>0</v>
      </c>
      <c r="P31" s="363">
        <f>SUM(P28:P30)</f>
        <v>0</v>
      </c>
      <c r="R31" s="363">
        <f>SUM(R28:R30)</f>
        <v>3942589.82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"/>
  <sheetViews>
    <sheetView workbookViewId="0"/>
  </sheetViews>
  <sheetFormatPr defaultColWidth="9.21875" defaultRowHeight="13.2"/>
  <cols>
    <col min="1" max="16384" width="9.21875" style="254"/>
  </cols>
  <sheetData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'201902 Bk Depr'!R13</f>
        <v>7201513.7799999993</v>
      </c>
      <c r="H13" s="1">
        <f>1.62%/12</f>
        <v>1.3500000000000003E-3</v>
      </c>
      <c r="J13" s="365">
        <f>F13*H13</f>
        <v>9722.0436030000019</v>
      </c>
      <c r="L13" s="366">
        <f>'Cap&amp;OpEx 2019'!E10</f>
        <v>0</v>
      </c>
      <c r="N13" s="365">
        <f>H13*L13*0.5</f>
        <v>0</v>
      </c>
      <c r="P13" s="365">
        <f>J13+N13</f>
        <v>9722.0436030000019</v>
      </c>
      <c r="R13" s="365">
        <f>L13+F13</f>
        <v>7201513.7799999993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'201902 Bk Depr'!R14</f>
        <v>5426387.5500000007</v>
      </c>
      <c r="H14" s="1">
        <f>3.24%/12</f>
        <v>2.7000000000000006E-3</v>
      </c>
      <c r="J14" s="365">
        <f>F14*H14</f>
        <v>14651.246385000006</v>
      </c>
      <c r="L14" s="366">
        <f>'Cap&amp;OpEx 2019'!E12</f>
        <v>0</v>
      </c>
      <c r="N14" s="365">
        <f>H14*L14*0.5</f>
        <v>0</v>
      </c>
      <c r="P14" s="365">
        <f>J14+N14</f>
        <v>14651.246385000006</v>
      </c>
      <c r="R14" s="365">
        <f>L14+F14</f>
        <v>5426387.5500000007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'201902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2019'!E13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'201902 Bk Depr'!R16</f>
        <v>16647695.590000002</v>
      </c>
      <c r="H16" s="1">
        <f t="shared" si="1"/>
        <v>2.7000000000000006E-3</v>
      </c>
      <c r="J16" s="365">
        <f>F16*H16</f>
        <v>44948.778093000015</v>
      </c>
      <c r="L16" s="367">
        <f>'Cap&amp;OpEx 2019'!E14</f>
        <v>1489239.21</v>
      </c>
      <c r="N16" s="365">
        <f>H16*L16*0.5</f>
        <v>2010.4729335000004</v>
      </c>
      <c r="P16" s="365">
        <f>J16+N16</f>
        <v>46959.251026500016</v>
      </c>
      <c r="R16" s="365">
        <f>L16+F16</f>
        <v>18136934.800000001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36492977.160000004</v>
      </c>
      <c r="J17" s="363">
        <f>SUM(J13:J16)</f>
        <v>88808.994729000027</v>
      </c>
      <c r="L17" s="363">
        <f>SUM(L13:L16)</f>
        <v>1489239.21</v>
      </c>
      <c r="N17" s="363">
        <f>SUM(N13:N16)</f>
        <v>2010.4729335000004</v>
      </c>
      <c r="P17" s="363">
        <f>SUM(P13:P16)</f>
        <v>90819.467662500028</v>
      </c>
      <c r="R17" s="363">
        <f>SUM(R13:R16)</f>
        <v>37982216.370000005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'201902 Bk Depr'!R20</f>
        <v>0</v>
      </c>
      <c r="H20" s="1">
        <f>1.62%/12</f>
        <v>1.3500000000000003E-3</v>
      </c>
      <c r="J20" s="365">
        <f>F20*H20</f>
        <v>0</v>
      </c>
      <c r="L20" s="366">
        <f>'Cap&amp;OpEx 2019'!E17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'201902 Bk Depr'!R21</f>
        <v>0</v>
      </c>
      <c r="H21" s="1">
        <f>3.24%/12</f>
        <v>2.7000000000000006E-3</v>
      </c>
      <c r="J21" s="365">
        <f>F21*H21</f>
        <v>0</v>
      </c>
      <c r="L21" s="366">
        <f>'Cap&amp;OpEx 2019'!E19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'201902 Bk Depr'!R22</f>
        <v>0</v>
      </c>
      <c r="H22" s="1">
        <f>3.24%/12</f>
        <v>2.7000000000000006E-3</v>
      </c>
      <c r="J22" s="365">
        <f>F22*H22</f>
        <v>0</v>
      </c>
      <c r="L22" s="367">
        <f>'Cap&amp;OpEx 2019'!E20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36492977.160000004</v>
      </c>
      <c r="J25" s="364">
        <f>J17+J23</f>
        <v>88808.994729000027</v>
      </c>
      <c r="L25" s="364">
        <f>L17+L23</f>
        <v>1489239.21</v>
      </c>
      <c r="N25" s="364">
        <f>N17+N23</f>
        <v>2010.4729335000004</v>
      </c>
      <c r="P25" s="364">
        <f>P17+P23</f>
        <v>90819.467662500028</v>
      </c>
      <c r="R25" s="364">
        <f>R17+R23</f>
        <v>37982216.370000005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'201902 Bk Depr'!R28</f>
        <v>1927915.84</v>
      </c>
      <c r="J28" s="365"/>
      <c r="L28" s="366">
        <f>'Cap&amp;OpEx 2019'!E25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'201902 Bk Depr'!R29</f>
        <v>1853685.3699999999</v>
      </c>
      <c r="J29" s="365"/>
      <c r="L29" s="366">
        <f>'Cap&amp;OpEx 2019'!E27</f>
        <v>183680.3</v>
      </c>
      <c r="N29" s="365"/>
      <c r="P29" s="365"/>
      <c r="R29" s="365">
        <f>L29+F29</f>
        <v>2037365.67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'201902 Bk Depr'!R30</f>
        <v>160988.60999999999</v>
      </c>
      <c r="J30" s="365"/>
      <c r="L30" s="367">
        <f>'Cap&amp;OpEx 2019'!E28</f>
        <v>1507.16</v>
      </c>
      <c r="N30" s="365"/>
      <c r="P30" s="365"/>
      <c r="R30" s="365">
        <f>L30+F30</f>
        <v>162495.76999999999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3942589.82</v>
      </c>
      <c r="J31" s="363">
        <f>SUM(J28:J30)</f>
        <v>0</v>
      </c>
      <c r="L31" s="363">
        <f>SUM(L28:L30)</f>
        <v>185187.46</v>
      </c>
      <c r="N31" s="363">
        <f>SUM(N28:N30)</f>
        <v>0</v>
      </c>
      <c r="P31" s="363">
        <f>SUM(P28:P30)</f>
        <v>0</v>
      </c>
      <c r="R31" s="363">
        <f>SUM(R28:R30)</f>
        <v>4127777.28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'201903 Bk Depr'!R13</f>
        <v>7201513.7799999993</v>
      </c>
      <c r="H13" s="1">
        <f>1.62%/12</f>
        <v>1.3500000000000003E-3</v>
      </c>
      <c r="J13" s="365">
        <f>F13*H13</f>
        <v>9722.0436030000019</v>
      </c>
      <c r="L13" s="366">
        <f>'Cap&amp;OpEx 2019'!F10</f>
        <v>38923.71</v>
      </c>
      <c r="N13" s="365">
        <f>H13*L13*0.5</f>
        <v>26.273504250000006</v>
      </c>
      <c r="P13" s="365">
        <f>J13+N13</f>
        <v>9748.3171072500027</v>
      </c>
      <c r="R13" s="365">
        <f>L13+F13</f>
        <v>7240437.4899999993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'201903 Bk Depr'!R14</f>
        <v>5426387.5500000007</v>
      </c>
      <c r="H14" s="1">
        <f>3.24%/12</f>
        <v>2.7000000000000006E-3</v>
      </c>
      <c r="J14" s="365">
        <f>F14*H14</f>
        <v>14651.246385000006</v>
      </c>
      <c r="L14" s="366">
        <f>'Cap&amp;OpEx 2019'!F12</f>
        <v>528130.11</v>
      </c>
      <c r="N14" s="365">
        <f>H14*L14*0.5</f>
        <v>712.97564850000015</v>
      </c>
      <c r="P14" s="365">
        <f>J14+N14</f>
        <v>15364.222033500006</v>
      </c>
      <c r="R14" s="365">
        <f>L14+F14</f>
        <v>5954517.6600000011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'201903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2019'!F13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'201903 Bk Depr'!R16</f>
        <v>18136934.800000001</v>
      </c>
      <c r="H16" s="1">
        <f t="shared" si="1"/>
        <v>2.7000000000000006E-3</v>
      </c>
      <c r="J16" s="365">
        <f>F16*H16</f>
        <v>48969.72396000001</v>
      </c>
      <c r="L16" s="367">
        <f>'Cap&amp;OpEx 2019'!F14</f>
        <v>3407021.7299999991</v>
      </c>
      <c r="N16" s="365">
        <f>H16*L16*0.5</f>
        <v>4599.4793354999993</v>
      </c>
      <c r="P16" s="365">
        <f>J16+N16</f>
        <v>53569.20329550001</v>
      </c>
      <c r="R16" s="365">
        <f>L16+F16</f>
        <v>21543956.530000001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37982216.370000005</v>
      </c>
      <c r="J17" s="363">
        <f>SUM(J13:J16)</f>
        <v>92829.940596000029</v>
      </c>
      <c r="L17" s="363">
        <f>SUM(L13:L16)</f>
        <v>3974075.5499999989</v>
      </c>
      <c r="N17" s="363">
        <f>SUM(N13:N16)</f>
        <v>5338.7284882499989</v>
      </c>
      <c r="P17" s="363">
        <f>SUM(P13:P16)</f>
        <v>98168.669084250025</v>
      </c>
      <c r="R17" s="363">
        <f>SUM(R13:R16)</f>
        <v>41956291.920000002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'201903 Bk Depr'!R20</f>
        <v>0</v>
      </c>
      <c r="H20" s="1">
        <f>1.62%/12</f>
        <v>1.3500000000000003E-3</v>
      </c>
      <c r="J20" s="365">
        <f>F20*H20</f>
        <v>0</v>
      </c>
      <c r="L20" s="366">
        <f>'Cap&amp;OpEx 2019'!F17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'201903 Bk Depr'!R21</f>
        <v>0</v>
      </c>
      <c r="H21" s="1">
        <f>3.24%/12</f>
        <v>2.7000000000000006E-3</v>
      </c>
      <c r="J21" s="365">
        <f>F21*H21</f>
        <v>0</v>
      </c>
      <c r="L21" s="366">
        <f>'Cap&amp;OpEx 2019'!F19</f>
        <v>0</v>
      </c>
      <c r="N21" s="365">
        <f>H21*L21*0.5</f>
        <v>0</v>
      </c>
      <c r="P21" s="365">
        <f>J21+N21</f>
        <v>0</v>
      </c>
      <c r="R21" s="365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62">
        <f>'201903 Bk Depr'!R22</f>
        <v>0</v>
      </c>
      <c r="H22" s="1">
        <f>3.24%/12</f>
        <v>2.7000000000000006E-3</v>
      </c>
      <c r="J22" s="365">
        <f>F22*H22</f>
        <v>0</v>
      </c>
      <c r="L22" s="367">
        <f>'Cap&amp;OpEx 2019'!F20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37982216.370000005</v>
      </c>
      <c r="J25" s="364">
        <f>J17+J23</f>
        <v>92829.940596000029</v>
      </c>
      <c r="L25" s="364">
        <f>L17+L23</f>
        <v>3974075.5499999989</v>
      </c>
      <c r="N25" s="364">
        <f>N17+N23</f>
        <v>5338.7284882499989</v>
      </c>
      <c r="P25" s="364">
        <f>P17+P23</f>
        <v>98168.669084250025</v>
      </c>
      <c r="R25" s="364">
        <f>R17+R23</f>
        <v>41956291.920000002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'201903 Bk Depr'!R28</f>
        <v>1927915.84</v>
      </c>
      <c r="J28" s="365"/>
      <c r="L28" s="366">
        <f>'Cap&amp;OpEx 2019'!F25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'201903 Bk Depr'!R29</f>
        <v>2037365.67</v>
      </c>
      <c r="J29" s="365"/>
      <c r="L29" s="366">
        <f>'Cap&amp;OpEx 2019'!F27</f>
        <v>374522.92</v>
      </c>
      <c r="N29" s="365"/>
      <c r="P29" s="365"/>
      <c r="R29" s="365">
        <f>L29+F29</f>
        <v>2411888.59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62">
        <f>'201903 Bk Depr'!R30</f>
        <v>162495.76999999999</v>
      </c>
      <c r="J30" s="365"/>
      <c r="L30" s="367">
        <f>'Cap&amp;OpEx 2019'!F28</f>
        <v>-1507.16</v>
      </c>
      <c r="N30" s="365"/>
      <c r="P30" s="365"/>
      <c r="R30" s="365">
        <f>L30+F30</f>
        <v>160988.60999999999</v>
      </c>
    </row>
    <row r="31" spans="1:18">
      <c r="A31" s="6">
        <f t="shared" si="4"/>
        <v>14</v>
      </c>
      <c r="B31" s="4"/>
      <c r="C31" s="4" t="s">
        <v>23</v>
      </c>
      <c r="F31" s="363">
        <f>SUM(F28:F30)</f>
        <v>4127777.28</v>
      </c>
      <c r="J31" s="363">
        <f>SUM(J28:J30)</f>
        <v>0</v>
      </c>
      <c r="L31" s="363">
        <f>SUM(L28:L30)</f>
        <v>373015.76</v>
      </c>
      <c r="N31" s="363">
        <f>SUM(N28:N30)</f>
        <v>0</v>
      </c>
      <c r="P31" s="363">
        <f>SUM(P28:P30)</f>
        <v>0</v>
      </c>
      <c r="R31" s="363">
        <f>SUM(R28:R30)</f>
        <v>4500793.04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'201904 Bk Depr'!R13</f>
        <v>7240437.4899999993</v>
      </c>
      <c r="H13" s="1">
        <f>1.62%/12</f>
        <v>1.3500000000000003E-3</v>
      </c>
      <c r="J13" s="365">
        <f>F13*H13</f>
        <v>9774.5906115000016</v>
      </c>
      <c r="L13" s="366">
        <f>'Cap&amp;OpEx 2019'!G10</f>
        <v>20480.28</v>
      </c>
      <c r="N13" s="365">
        <f>H13*L13*0.5</f>
        <v>13.824189000000002</v>
      </c>
      <c r="P13" s="365">
        <f>J13+N13</f>
        <v>9788.4148005000025</v>
      </c>
      <c r="R13" s="365">
        <f>L13+F13</f>
        <v>7260917.7699999996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'201904 Bk Depr'!R14</f>
        <v>5954517.6600000011</v>
      </c>
      <c r="H14" s="1">
        <f>3.24%/12</f>
        <v>2.7000000000000006E-3</v>
      </c>
      <c r="J14" s="365">
        <f>F14*H14</f>
        <v>16077.197682000005</v>
      </c>
      <c r="L14" s="366">
        <f>'Cap&amp;OpEx 2019'!G12</f>
        <v>334113.7</v>
      </c>
      <c r="N14" s="365">
        <f>H14*L14*0.5</f>
        <v>451.05349500000011</v>
      </c>
      <c r="P14" s="365">
        <f>J14+N14</f>
        <v>16528.251177000006</v>
      </c>
      <c r="R14" s="365">
        <f>L14+F14</f>
        <v>6288631.3600000013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'201904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2019'!G13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'201904 Bk Depr'!R16</f>
        <v>21543956.530000001</v>
      </c>
      <c r="H16" s="1">
        <f t="shared" si="1"/>
        <v>2.7000000000000006E-3</v>
      </c>
      <c r="J16" s="365">
        <f>F16*H16</f>
        <v>58168.682631000018</v>
      </c>
      <c r="L16" s="367">
        <f>'Cap&amp;OpEx 2019'!G14</f>
        <v>1397943.0199999993</v>
      </c>
      <c r="N16" s="365">
        <f>H16*L16*0.5</f>
        <v>1887.2230769999994</v>
      </c>
      <c r="P16" s="365">
        <f>J16+N16</f>
        <v>60055.90570800002</v>
      </c>
      <c r="R16" s="365">
        <f>L16+F16</f>
        <v>22941899.550000001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41956291.920000002</v>
      </c>
      <c r="J17" s="363">
        <f>SUM(J13:J16)</f>
        <v>103507.39757250003</v>
      </c>
      <c r="L17" s="363">
        <f>SUM(L13:L16)</f>
        <v>1752536.9999999993</v>
      </c>
      <c r="N17" s="363">
        <f>SUM(N13:N16)</f>
        <v>2352.1007609999997</v>
      </c>
      <c r="P17" s="363">
        <f>SUM(P13:P16)</f>
        <v>105859.49833350003</v>
      </c>
      <c r="R17" s="363">
        <f>SUM(R13:R16)</f>
        <v>43708828.920000002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'201904 Bk Depr'!R20</f>
        <v>0</v>
      </c>
      <c r="H20" s="1">
        <f>1.62%/12</f>
        <v>1.3500000000000003E-3</v>
      </c>
      <c r="J20" s="365">
        <f>F20*H20</f>
        <v>0</v>
      </c>
      <c r="L20" s="366">
        <f>'Cap&amp;OpEx 2019'!G17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'201904 Bk Depr'!R21</f>
        <v>0</v>
      </c>
      <c r="H21" s="1">
        <f>3.24%/12</f>
        <v>2.7000000000000006E-3</v>
      </c>
      <c r="J21" s="365">
        <f>F21*H21</f>
        <v>0</v>
      </c>
      <c r="L21" s="366">
        <f>'Cap&amp;OpEx 2019'!G19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'201904 Bk Depr'!R22</f>
        <v>0</v>
      </c>
      <c r="H22" s="1">
        <f>3.24%/12</f>
        <v>2.7000000000000006E-3</v>
      </c>
      <c r="J22" s="365">
        <f>F22*H22</f>
        <v>0</v>
      </c>
      <c r="L22" s="367">
        <f>'Cap&amp;OpEx 2019'!G20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41956291.920000002</v>
      </c>
      <c r="J25" s="364">
        <f>J17+J23</f>
        <v>103507.39757250003</v>
      </c>
      <c r="L25" s="364">
        <f>L17+L23</f>
        <v>1752536.9999999993</v>
      </c>
      <c r="N25" s="364">
        <f>N17+N23</f>
        <v>2352.1007609999997</v>
      </c>
      <c r="P25" s="364">
        <f>P17+P23</f>
        <v>105859.49833350003</v>
      </c>
      <c r="R25" s="364">
        <f>R17+R23</f>
        <v>43708828.920000002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'201904 Bk Depr'!R28</f>
        <v>1927915.84</v>
      </c>
      <c r="J28" s="365"/>
      <c r="L28" s="366">
        <f>'Cap&amp;OpEx 2019'!G25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'201904 Bk Depr'!R29</f>
        <v>2411888.59</v>
      </c>
      <c r="J29" s="365"/>
      <c r="L29" s="366">
        <f>'Cap&amp;OpEx 2019'!G27</f>
        <v>392332.57</v>
      </c>
      <c r="N29" s="365"/>
      <c r="P29" s="365"/>
      <c r="R29" s="365">
        <f>L29+F29</f>
        <v>2804221.1599999997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'201904 Bk Depr'!R30</f>
        <v>160988.60999999999</v>
      </c>
      <c r="J30" s="365"/>
      <c r="L30" s="367">
        <f>'Cap&amp;OpEx 2019'!G28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4500793.04</v>
      </c>
      <c r="J31" s="363">
        <f>SUM(J28:J30)</f>
        <v>0</v>
      </c>
      <c r="L31" s="363">
        <f>SUM(L28:L30)</f>
        <v>392332.57</v>
      </c>
      <c r="N31" s="363">
        <f>SUM(N28:N30)</f>
        <v>0</v>
      </c>
      <c r="P31" s="363">
        <f>SUM(P28:P30)</f>
        <v>0</v>
      </c>
      <c r="R31" s="363">
        <f>SUM(R28:R30)</f>
        <v>4893125.6100000003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'201905 Bk Depr'!R13</f>
        <v>7260917.7699999996</v>
      </c>
      <c r="H13" s="1">
        <f>1.62%/12</f>
        <v>1.3500000000000003E-3</v>
      </c>
      <c r="J13" s="365">
        <f>F13*H13</f>
        <v>9802.2389895000015</v>
      </c>
      <c r="L13" s="366">
        <f>'Cap&amp;OpEx 2019'!H10</f>
        <v>21271.05</v>
      </c>
      <c r="N13" s="365">
        <f>H13*L13*0.5</f>
        <v>14.357958750000003</v>
      </c>
      <c r="P13" s="365">
        <f>J13+N13</f>
        <v>9816.5969482500022</v>
      </c>
      <c r="R13" s="365">
        <f>L13+F13</f>
        <v>7282188.8199999994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'201905 Bk Depr'!R14</f>
        <v>6288631.3600000013</v>
      </c>
      <c r="H14" s="1">
        <f>3.24%/12</f>
        <v>2.7000000000000006E-3</v>
      </c>
      <c r="J14" s="365">
        <f>F14*H14</f>
        <v>16979.304672000006</v>
      </c>
      <c r="L14" s="366">
        <f>'Cap&amp;OpEx 2019'!H12</f>
        <v>303068.81</v>
      </c>
      <c r="N14" s="365">
        <f>H14*L14*0.5</f>
        <v>409.14289350000007</v>
      </c>
      <c r="P14" s="365">
        <f>J14+N14</f>
        <v>17388.447565500006</v>
      </c>
      <c r="R14" s="365">
        <f>L14+F14</f>
        <v>6591700.1700000009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'201905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2019'!H13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'201905 Bk Depr'!R16</f>
        <v>22941899.550000001</v>
      </c>
      <c r="H16" s="1">
        <f t="shared" si="1"/>
        <v>2.7000000000000006E-3</v>
      </c>
      <c r="J16" s="365">
        <f>F16*H16</f>
        <v>61943.128785000015</v>
      </c>
      <c r="L16" s="367">
        <f>'Cap&amp;OpEx 2019'!H14</f>
        <v>1493133.6</v>
      </c>
      <c r="N16" s="365">
        <f>H16*L16*0.5</f>
        <v>2015.7303600000005</v>
      </c>
      <c r="P16" s="365">
        <f>J16+N16</f>
        <v>63958.859145000017</v>
      </c>
      <c r="R16" s="365">
        <f>L16+F16</f>
        <v>24435033.150000002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43708828.920000002</v>
      </c>
      <c r="J17" s="363">
        <f>SUM(J13:J16)</f>
        <v>108211.59909450004</v>
      </c>
      <c r="L17" s="363">
        <f>SUM(L13:L16)</f>
        <v>1817473.46</v>
      </c>
      <c r="N17" s="363">
        <f>SUM(N13:N16)</f>
        <v>2439.2312122500007</v>
      </c>
      <c r="P17" s="363">
        <f>SUM(P13:P16)</f>
        <v>110650.83030675002</v>
      </c>
      <c r="R17" s="363">
        <f>SUM(R13:R16)</f>
        <v>45526302.380000003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'201905 Bk Depr'!R20</f>
        <v>0</v>
      </c>
      <c r="H20" s="1">
        <f>1.62%/12</f>
        <v>1.3500000000000003E-3</v>
      </c>
      <c r="J20" s="365">
        <f>F20*H20</f>
        <v>0</v>
      </c>
      <c r="L20" s="366">
        <f>'Cap&amp;OpEx 2019'!H17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'201905 Bk Depr'!R21</f>
        <v>0</v>
      </c>
      <c r="H21" s="1">
        <f>3.24%/12</f>
        <v>2.7000000000000006E-3</v>
      </c>
      <c r="J21" s="365">
        <f>F21*H21</f>
        <v>0</v>
      </c>
      <c r="L21" s="366">
        <f>'Cap&amp;OpEx 2019'!H19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'201905 Bk Depr'!R22</f>
        <v>0</v>
      </c>
      <c r="H22" s="1">
        <f>3.24%/12</f>
        <v>2.7000000000000006E-3</v>
      </c>
      <c r="J22" s="365">
        <f>F22*H22</f>
        <v>0</v>
      </c>
      <c r="L22" s="367">
        <f>'Cap&amp;OpEx 2019'!H20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43708828.920000002</v>
      </c>
      <c r="J25" s="364">
        <f>J17+J23</f>
        <v>108211.59909450004</v>
      </c>
      <c r="L25" s="364">
        <f>L17+L23</f>
        <v>1817473.46</v>
      </c>
      <c r="N25" s="364">
        <f>N17+N23</f>
        <v>2439.2312122500007</v>
      </c>
      <c r="P25" s="364">
        <f>P17+P23</f>
        <v>110650.83030675002</v>
      </c>
      <c r="R25" s="364">
        <f>R17+R23</f>
        <v>45526302.380000003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'201905 Bk Depr'!R28</f>
        <v>1927915.84</v>
      </c>
      <c r="J28" s="365"/>
      <c r="L28" s="366">
        <f>'Cap&amp;OpEx 2019'!H25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'201905 Bk Depr'!R29</f>
        <v>2804221.1599999997</v>
      </c>
      <c r="J29" s="365"/>
      <c r="L29" s="366">
        <f>'Cap&amp;OpEx 2019'!H27</f>
        <v>450871.25</v>
      </c>
      <c r="N29" s="365"/>
      <c r="P29" s="365"/>
      <c r="R29" s="365">
        <f>L29+F29</f>
        <v>3255092.4099999997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'201905 Bk Depr'!R30</f>
        <v>160988.60999999999</v>
      </c>
      <c r="J30" s="365"/>
      <c r="L30" s="367">
        <f>'Cap&amp;OpEx 2019'!H28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4893125.6100000003</v>
      </c>
      <c r="J31" s="363">
        <f>SUM(J28:J30)</f>
        <v>0</v>
      </c>
      <c r="L31" s="363">
        <f>SUM(L28:L30)</f>
        <v>450871.25</v>
      </c>
      <c r="N31" s="363">
        <f>SUM(N28:N30)</f>
        <v>0</v>
      </c>
      <c r="P31" s="363">
        <f>SUM(P28:P30)</f>
        <v>0</v>
      </c>
      <c r="R31" s="363">
        <f>SUM(R28:R30)</f>
        <v>5343996.8600000003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'201906 Bk Depr'!R13</f>
        <v>7282188.8199999994</v>
      </c>
      <c r="H13" s="1">
        <f>1.62%/12</f>
        <v>1.3500000000000003E-3</v>
      </c>
      <c r="J13" s="365">
        <f>F13*H13</f>
        <v>9830.9549070000012</v>
      </c>
      <c r="L13" s="366">
        <f>'Cap&amp;OpEx 2019'!I10</f>
        <v>23381.06</v>
      </c>
      <c r="N13" s="365">
        <f>H13*L13*0.5</f>
        <v>15.782215500000005</v>
      </c>
      <c r="P13" s="365">
        <f>J13+N13</f>
        <v>9846.7371225000006</v>
      </c>
      <c r="R13" s="365">
        <f>L13+F13</f>
        <v>7305569.879999999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'201906 Bk Depr'!R14</f>
        <v>6591700.1700000009</v>
      </c>
      <c r="H14" s="1">
        <f>3.24%/12</f>
        <v>2.7000000000000006E-3</v>
      </c>
      <c r="J14" s="365">
        <f>F14*H14</f>
        <v>17797.590459000006</v>
      </c>
      <c r="L14" s="366">
        <f>'Cap&amp;OpEx 2019'!I12</f>
        <v>284864.46000000002</v>
      </c>
      <c r="N14" s="365">
        <f>H14*L14*0.5</f>
        <v>384.56702100000012</v>
      </c>
      <c r="P14" s="365">
        <f>J14+N14</f>
        <v>18182.157480000005</v>
      </c>
      <c r="R14" s="365">
        <f>L14+F14</f>
        <v>6876564.6300000008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'201906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2019'!I13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'201906 Bk Depr'!R16</f>
        <v>24435033.150000002</v>
      </c>
      <c r="H16" s="1">
        <f t="shared" si="1"/>
        <v>2.7000000000000006E-3</v>
      </c>
      <c r="J16" s="365">
        <f>F16*H16</f>
        <v>65974.589505000025</v>
      </c>
      <c r="L16" s="367">
        <f>'Cap&amp;OpEx 2019'!I14</f>
        <v>1323256.3699999999</v>
      </c>
      <c r="N16" s="365">
        <f>H16*L16*0.5</f>
        <v>1786.3960995000002</v>
      </c>
      <c r="P16" s="365">
        <f>J16+N16</f>
        <v>67760.98560450002</v>
      </c>
      <c r="R16" s="365">
        <f>L16+F16</f>
        <v>25758289.520000003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45526302.380000003</v>
      </c>
      <c r="J17" s="363">
        <f>SUM(J13:J16)</f>
        <v>113090.06151900004</v>
      </c>
      <c r="L17" s="363">
        <f>SUM(L13:L16)</f>
        <v>1631501.89</v>
      </c>
      <c r="N17" s="363">
        <f>SUM(N13:N16)</f>
        <v>2186.7453360000004</v>
      </c>
      <c r="P17" s="363">
        <f>SUM(P13:P16)</f>
        <v>115276.80685500003</v>
      </c>
      <c r="R17" s="363">
        <f>SUM(R13:R16)</f>
        <v>47157804.270000003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'201906 Bk Depr'!R20</f>
        <v>0</v>
      </c>
      <c r="H20" s="1">
        <f>1.62%/12</f>
        <v>1.3500000000000003E-3</v>
      </c>
      <c r="J20" s="365">
        <f>F20*H20</f>
        <v>0</v>
      </c>
      <c r="L20" s="366">
        <f>'Cap&amp;OpEx 2019'!I17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'201906 Bk Depr'!R21</f>
        <v>0</v>
      </c>
      <c r="H21" s="1">
        <f>3.24%/12</f>
        <v>2.7000000000000006E-3</v>
      </c>
      <c r="J21" s="365">
        <f>F21*H21</f>
        <v>0</v>
      </c>
      <c r="L21" s="366">
        <f>'Cap&amp;OpEx 2019'!I19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'201906 Bk Depr'!R22</f>
        <v>0</v>
      </c>
      <c r="H22" s="1">
        <f>3.24%/12</f>
        <v>2.7000000000000006E-3</v>
      </c>
      <c r="J22" s="365">
        <f>F22*H22</f>
        <v>0</v>
      </c>
      <c r="L22" s="367">
        <f>'Cap&amp;OpEx 2019'!I20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45526302.380000003</v>
      </c>
      <c r="J25" s="364">
        <f>J17+J23</f>
        <v>113090.06151900004</v>
      </c>
      <c r="L25" s="364">
        <f>L17+L23</f>
        <v>1631501.89</v>
      </c>
      <c r="N25" s="364">
        <f>N17+N23</f>
        <v>2186.7453360000004</v>
      </c>
      <c r="P25" s="364">
        <f>P17+P23</f>
        <v>115276.80685500003</v>
      </c>
      <c r="R25" s="364">
        <f>R17+R23</f>
        <v>47157804.270000003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'201906 Bk Depr'!R28</f>
        <v>1927915.84</v>
      </c>
      <c r="J28" s="365"/>
      <c r="L28" s="366">
        <f>'Cap&amp;OpEx 2019'!I25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'201906 Bk Depr'!R29</f>
        <v>3255092.4099999997</v>
      </c>
      <c r="J29" s="365"/>
      <c r="L29" s="366">
        <f>'Cap&amp;OpEx 2019'!I27</f>
        <v>384718.32</v>
      </c>
      <c r="N29" s="365"/>
      <c r="P29" s="365"/>
      <c r="R29" s="365">
        <f>L29+F29</f>
        <v>3639810.7299999995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'201906 Bk Depr'!R30</f>
        <v>160988.60999999999</v>
      </c>
      <c r="J30" s="365"/>
      <c r="L30" s="367">
        <f>'Cap&amp;OpEx 2019'!I28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5343996.8600000003</v>
      </c>
      <c r="J31" s="363">
        <f>SUM(J28:J30)</f>
        <v>0</v>
      </c>
      <c r="L31" s="363">
        <f>SUM(L28:L30)</f>
        <v>384718.32</v>
      </c>
      <c r="N31" s="363">
        <f>SUM(N28:N30)</f>
        <v>0</v>
      </c>
      <c r="P31" s="363">
        <f>SUM(P28:P30)</f>
        <v>0</v>
      </c>
      <c r="R31" s="363">
        <f>SUM(R28:R30)</f>
        <v>5728715.1799999997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'201907 Bk Depr'!R13</f>
        <v>7305569.879999999</v>
      </c>
      <c r="H13" s="1">
        <f>1.62%/12</f>
        <v>1.3500000000000003E-3</v>
      </c>
      <c r="J13" s="365">
        <f>F13*H13</f>
        <v>9862.5193380000001</v>
      </c>
      <c r="L13" s="366">
        <f>'Cap&amp;OpEx 2019'!J10</f>
        <v>22010.240000000002</v>
      </c>
      <c r="N13" s="365">
        <f>H13*L13*0.5</f>
        <v>14.856912000000005</v>
      </c>
      <c r="P13" s="365">
        <f>J13+N13</f>
        <v>9877.3762499999993</v>
      </c>
      <c r="R13" s="365">
        <f>L13+F13</f>
        <v>7327580.1199999992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'201907 Bk Depr'!R14</f>
        <v>6876564.6300000008</v>
      </c>
      <c r="H14" s="1">
        <f>3.24%/12</f>
        <v>2.7000000000000006E-3</v>
      </c>
      <c r="J14" s="365">
        <f>F14*H14</f>
        <v>18566.724501000008</v>
      </c>
      <c r="L14" s="366">
        <f>'Cap&amp;OpEx 2019'!J12</f>
        <v>232409.20999999996</v>
      </c>
      <c r="N14" s="365">
        <f>H14*L14*0.5</f>
        <v>313.7524335</v>
      </c>
      <c r="P14" s="365">
        <f>J14+N14</f>
        <v>18880.47693450001</v>
      </c>
      <c r="R14" s="365">
        <f>L14+F14</f>
        <v>7108973.8400000008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'201907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2019'!J13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'201907 Bk Depr'!R16</f>
        <v>25758289.520000003</v>
      </c>
      <c r="H16" s="1">
        <f t="shared" si="1"/>
        <v>2.7000000000000006E-3</v>
      </c>
      <c r="J16" s="365">
        <f>F16*H16</f>
        <v>69547.381704000029</v>
      </c>
      <c r="L16" s="367">
        <f>'Cap&amp;OpEx 2019'!J14</f>
        <v>1383259.4399999995</v>
      </c>
      <c r="N16" s="365">
        <f>H16*L16*0.5</f>
        <v>1867.4002439999997</v>
      </c>
      <c r="P16" s="365">
        <f>J16+N16</f>
        <v>71414.781948000033</v>
      </c>
      <c r="R16" s="365">
        <f>L16+F16</f>
        <v>27141548.960000001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47157804.270000003</v>
      </c>
      <c r="J17" s="363">
        <f>SUM(J13:J16)</f>
        <v>117463.55219100005</v>
      </c>
      <c r="L17" s="363">
        <f>SUM(L13:L16)</f>
        <v>1637678.8899999994</v>
      </c>
      <c r="N17" s="363">
        <f>SUM(N13:N16)</f>
        <v>2196.0095894999995</v>
      </c>
      <c r="P17" s="363">
        <f>SUM(P13:P16)</f>
        <v>119659.56178050005</v>
      </c>
      <c r="R17" s="363">
        <f>SUM(R13:R16)</f>
        <v>48795483.160000004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'201907 Bk Depr'!R20</f>
        <v>0</v>
      </c>
      <c r="H20" s="1">
        <f>1.62%/12</f>
        <v>1.3500000000000003E-3</v>
      </c>
      <c r="J20" s="365">
        <f>F20*H20</f>
        <v>0</v>
      </c>
      <c r="L20" s="366">
        <f>'Cap&amp;OpEx 2019'!J17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'201907 Bk Depr'!R21</f>
        <v>0</v>
      </c>
      <c r="H21" s="1">
        <f>3.24%/12</f>
        <v>2.7000000000000006E-3</v>
      </c>
      <c r="J21" s="365">
        <f>F21*H21</f>
        <v>0</v>
      </c>
      <c r="L21" s="366">
        <f>'Cap&amp;OpEx 2019'!J19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'201907 Bk Depr'!R22</f>
        <v>0</v>
      </c>
      <c r="H22" s="1">
        <f>3.24%/12</f>
        <v>2.7000000000000006E-3</v>
      </c>
      <c r="J22" s="365">
        <f>F22*H22</f>
        <v>0</v>
      </c>
      <c r="L22" s="367">
        <f>'Cap&amp;OpEx 2019'!J20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47157804.270000003</v>
      </c>
      <c r="J25" s="364">
        <f>J17+J23</f>
        <v>117463.55219100005</v>
      </c>
      <c r="L25" s="364">
        <f>L17+L23</f>
        <v>1637678.8899999994</v>
      </c>
      <c r="N25" s="364">
        <f>N17+N23</f>
        <v>2196.0095894999995</v>
      </c>
      <c r="P25" s="364">
        <f>P17+P23</f>
        <v>119659.56178050005</v>
      </c>
      <c r="R25" s="364">
        <f>R17+R23</f>
        <v>48795483.160000004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'201907 Bk Depr'!R28</f>
        <v>1927915.84</v>
      </c>
      <c r="J28" s="365"/>
      <c r="L28" s="366">
        <f>'Cap&amp;OpEx 2019'!J25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'201907 Bk Depr'!R29</f>
        <v>3639810.7299999995</v>
      </c>
      <c r="J29" s="365"/>
      <c r="L29" s="366">
        <f>'Cap&amp;OpEx 2019'!J27</f>
        <v>374205.67</v>
      </c>
      <c r="N29" s="365"/>
      <c r="P29" s="365"/>
      <c r="R29" s="365">
        <f>L29+F29</f>
        <v>4014016.3999999994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'201907 Bk Depr'!R30</f>
        <v>160988.60999999999</v>
      </c>
      <c r="J30" s="365"/>
      <c r="L30" s="367">
        <f>'Cap&amp;OpEx 2019'!J28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5728715.1799999997</v>
      </c>
      <c r="J31" s="363">
        <f>SUM(J28:J30)</f>
        <v>0</v>
      </c>
      <c r="L31" s="363">
        <f>SUM(L28:L30)</f>
        <v>374205.67</v>
      </c>
      <c r="N31" s="363">
        <f>SUM(N28:N30)</f>
        <v>0</v>
      </c>
      <c r="P31" s="363">
        <f>SUM(P28:P30)</f>
        <v>0</v>
      </c>
      <c r="R31" s="363">
        <f>SUM(R28:R30)</f>
        <v>6102920.8499999996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479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'201908 Bk Depr'!R13</f>
        <v>7327580.1199999992</v>
      </c>
      <c r="H13" s="1">
        <f>1.62%/12</f>
        <v>1.3500000000000003E-3</v>
      </c>
      <c r="J13" s="365">
        <f>F13*H13</f>
        <v>9892.2331620000004</v>
      </c>
      <c r="L13" s="366">
        <f>'Cap&amp;OpEx 2019'!K10</f>
        <v>18961.490000000002</v>
      </c>
      <c r="N13" s="365">
        <f>H13*L13*0.5</f>
        <v>12.799005750000005</v>
      </c>
      <c r="P13" s="365">
        <f>J13+N13</f>
        <v>9905.0321677499996</v>
      </c>
      <c r="R13" s="365">
        <f>L13+F13</f>
        <v>7346541.6099999994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'201908 Bk Depr'!R14</f>
        <v>7108973.8400000008</v>
      </c>
      <c r="H14" s="1">
        <f>3.24%/12</f>
        <v>2.7000000000000006E-3</v>
      </c>
      <c r="J14" s="365">
        <f>F14*H14</f>
        <v>19194.229368000008</v>
      </c>
      <c r="L14" s="366">
        <f>'Cap&amp;OpEx 2019'!K12</f>
        <v>308155.68</v>
      </c>
      <c r="N14" s="365">
        <f>H14*L14*0.5</f>
        <v>416.01016800000008</v>
      </c>
      <c r="P14" s="365">
        <f>J14+N14</f>
        <v>19610.239536000008</v>
      </c>
      <c r="R14" s="365">
        <f>L14+F14</f>
        <v>7417129.5200000005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'201908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2019'!K13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'201908 Bk Depr'!R16</f>
        <v>27141548.960000001</v>
      </c>
      <c r="H16" s="1">
        <f t="shared" si="1"/>
        <v>2.7000000000000006E-3</v>
      </c>
      <c r="J16" s="365">
        <f>F16*H16</f>
        <v>73282.182192000022</v>
      </c>
      <c r="L16" s="367">
        <f>'Cap&amp;OpEx 2019'!K14</f>
        <v>1429155.59</v>
      </c>
      <c r="N16" s="365">
        <f>H16*L16*0.5</f>
        <v>1929.3600465000006</v>
      </c>
      <c r="P16" s="365">
        <f>J16+N16</f>
        <v>75211.542238500027</v>
      </c>
      <c r="R16" s="365">
        <f>L16+F16</f>
        <v>28570704.550000001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48795483.160000004</v>
      </c>
      <c r="J17" s="363">
        <f>SUM(J13:J16)</f>
        <v>121855.57137000003</v>
      </c>
      <c r="L17" s="363">
        <f>SUM(L13:L16)</f>
        <v>1756272.76</v>
      </c>
      <c r="N17" s="363">
        <f>SUM(N13:N16)</f>
        <v>2358.1692202500008</v>
      </c>
      <c r="P17" s="363">
        <f>SUM(P13:P16)</f>
        <v>124213.74059025005</v>
      </c>
      <c r="R17" s="363">
        <f>SUM(R13:R16)</f>
        <v>50551755.920000002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'201908 Bk Depr'!R20</f>
        <v>0</v>
      </c>
      <c r="H20" s="1">
        <f>1.62%/12</f>
        <v>1.3500000000000003E-3</v>
      </c>
      <c r="J20" s="365">
        <f>F20*H20</f>
        <v>0</v>
      </c>
      <c r="L20" s="366">
        <f>'Cap&amp;OpEx 2019'!K17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'201908 Bk Depr'!R21</f>
        <v>0</v>
      </c>
      <c r="H21" s="1">
        <f>3.24%/12</f>
        <v>2.7000000000000006E-3</v>
      </c>
      <c r="J21" s="365">
        <f>F21*H21</f>
        <v>0</v>
      </c>
      <c r="L21" s="366">
        <f>'Cap&amp;OpEx 2019'!K19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'201908 Bk Depr'!R22</f>
        <v>0</v>
      </c>
      <c r="H22" s="1">
        <f>3.24%/12</f>
        <v>2.7000000000000006E-3</v>
      </c>
      <c r="J22" s="365">
        <f>F22*H22</f>
        <v>0</v>
      </c>
      <c r="L22" s="367">
        <f>'Cap&amp;OpEx 2019'!K20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48795483.160000004</v>
      </c>
      <c r="J25" s="364">
        <f>J17+J23</f>
        <v>121855.57137000003</v>
      </c>
      <c r="L25" s="364">
        <f>L17+L23</f>
        <v>1756272.76</v>
      </c>
      <c r="N25" s="364">
        <f>N17+N23</f>
        <v>2358.1692202500008</v>
      </c>
      <c r="P25" s="364">
        <f>P17+P23</f>
        <v>124213.74059025005</v>
      </c>
      <c r="R25" s="364">
        <f>R17+R23</f>
        <v>50551755.920000002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'201908 Bk Depr'!R28</f>
        <v>1927915.84</v>
      </c>
      <c r="J28" s="365"/>
      <c r="L28" s="366">
        <f>'Cap&amp;OpEx 2019'!K25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'201908 Bk Depr'!R29</f>
        <v>4014016.3999999994</v>
      </c>
      <c r="J29" s="365"/>
      <c r="L29" s="366">
        <f>'Cap&amp;OpEx 2019'!K27</f>
        <v>468218.97</v>
      </c>
      <c r="N29" s="365"/>
      <c r="P29" s="365"/>
      <c r="R29" s="365">
        <f>L29+F29</f>
        <v>4482235.3699999992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'201908 Bk Depr'!R30</f>
        <v>160988.60999999999</v>
      </c>
      <c r="J30" s="365"/>
      <c r="L30" s="367">
        <f>'Cap&amp;OpEx 2019'!K28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6102920.8499999996</v>
      </c>
      <c r="J31" s="363">
        <f>SUM(J28:J30)</f>
        <v>0</v>
      </c>
      <c r="L31" s="363">
        <f>SUM(L28:L30)</f>
        <v>468218.97</v>
      </c>
      <c r="N31" s="363">
        <f>SUM(N28:N30)</f>
        <v>0</v>
      </c>
      <c r="P31" s="363">
        <f>SUM(P28:P30)</f>
        <v>0</v>
      </c>
      <c r="R31" s="363">
        <f>SUM(R28:R30)</f>
        <v>6571139.8199999994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480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'201909 Bk Depr'!R13</f>
        <v>7346541.6099999994</v>
      </c>
      <c r="H13" s="1">
        <f>1.62%/12</f>
        <v>1.3500000000000003E-3</v>
      </c>
      <c r="J13" s="365">
        <f>F13*H13</f>
        <v>9917.8311735000007</v>
      </c>
      <c r="L13" s="366">
        <f>'Cap&amp;OpEx 2019'!L10</f>
        <v>20082.560000000001</v>
      </c>
      <c r="N13" s="365">
        <f>H13*L13*0.5</f>
        <v>13.555728000000004</v>
      </c>
      <c r="P13" s="365">
        <f>J13+N13</f>
        <v>9931.3869015</v>
      </c>
      <c r="R13" s="365">
        <f>L13+F13</f>
        <v>7366624.169999999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'201909 Bk Depr'!R14</f>
        <v>7417129.5200000005</v>
      </c>
      <c r="H14" s="1">
        <f>3.24%/12</f>
        <v>2.7000000000000006E-3</v>
      </c>
      <c r="J14" s="365">
        <f>F14*H14</f>
        <v>20026.249704000005</v>
      </c>
      <c r="L14" s="366">
        <f>'Cap&amp;OpEx 2019'!L12</f>
        <v>200869.63</v>
      </c>
      <c r="N14" s="365">
        <f>H14*L14*0.5</f>
        <v>271.17400050000009</v>
      </c>
      <c r="P14" s="365">
        <f>J14+N14</f>
        <v>20297.423704500005</v>
      </c>
      <c r="R14" s="365">
        <f>L14+F14</f>
        <v>7617999.1500000004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'201909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2019'!L13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'201909 Bk Depr'!R16</f>
        <v>28570704.550000001</v>
      </c>
      <c r="H16" s="1">
        <f t="shared" si="1"/>
        <v>2.7000000000000006E-3</v>
      </c>
      <c r="J16" s="365">
        <f>F16*H16</f>
        <v>77140.902285000018</v>
      </c>
      <c r="L16" s="367">
        <f>'Cap&amp;OpEx 2019'!L14</f>
        <v>1431321.14</v>
      </c>
      <c r="N16" s="365">
        <f>H16*L16*0.5</f>
        <v>1932.2835390000002</v>
      </c>
      <c r="P16" s="365">
        <f>J16+N16</f>
        <v>79073.185824000015</v>
      </c>
      <c r="R16" s="365">
        <f>L16+F16</f>
        <v>30002025.690000001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50551755.920000002</v>
      </c>
      <c r="J17" s="363">
        <f>SUM(J13:J16)</f>
        <v>126571.90981050003</v>
      </c>
      <c r="L17" s="363">
        <f>SUM(L13:L16)</f>
        <v>1652273.3299999998</v>
      </c>
      <c r="N17" s="363">
        <f>SUM(N13:N16)</f>
        <v>2217.0132675000004</v>
      </c>
      <c r="P17" s="363">
        <f>SUM(P13:P16)</f>
        <v>128788.92307800002</v>
      </c>
      <c r="R17" s="363">
        <f>SUM(R13:R16)</f>
        <v>52204029.25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'201909 Bk Depr'!R20</f>
        <v>0</v>
      </c>
      <c r="H20" s="1">
        <f>1.62%/12</f>
        <v>1.3500000000000003E-3</v>
      </c>
      <c r="J20" s="365">
        <f>F20*H20</f>
        <v>0</v>
      </c>
      <c r="L20" s="366">
        <f>'Cap&amp;OpEx 2019'!L17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'201909 Bk Depr'!R21</f>
        <v>0</v>
      </c>
      <c r="H21" s="1">
        <f>3.24%/12</f>
        <v>2.7000000000000006E-3</v>
      </c>
      <c r="J21" s="365">
        <f>F21*H21</f>
        <v>0</v>
      </c>
      <c r="L21" s="366">
        <f>'Cap&amp;OpEx 2019'!L19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'201909 Bk Depr'!R22</f>
        <v>0</v>
      </c>
      <c r="H22" s="1">
        <f>3.24%/12</f>
        <v>2.7000000000000006E-3</v>
      </c>
      <c r="J22" s="365">
        <f>F22*H22</f>
        <v>0</v>
      </c>
      <c r="L22" s="367">
        <f>'Cap&amp;OpEx 2019'!L20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50551755.920000002</v>
      </c>
      <c r="J25" s="364">
        <f>J17+J23</f>
        <v>126571.90981050003</v>
      </c>
      <c r="L25" s="364">
        <f>L17+L23</f>
        <v>1652273.3299999998</v>
      </c>
      <c r="N25" s="364">
        <f>N17+N23</f>
        <v>2217.0132675000004</v>
      </c>
      <c r="P25" s="364">
        <f>P17+P23</f>
        <v>128788.92307800002</v>
      </c>
      <c r="R25" s="364">
        <f>R17+R23</f>
        <v>52204029.25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'201909 Bk Depr'!R28</f>
        <v>1927915.84</v>
      </c>
      <c r="J28" s="365"/>
      <c r="L28" s="366">
        <f>'Cap&amp;OpEx 2019'!L25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'201909 Bk Depr'!R29</f>
        <v>4482235.3699999992</v>
      </c>
      <c r="J29" s="365"/>
      <c r="L29" s="366">
        <f>'Cap&amp;OpEx 2019'!L27</f>
        <v>413464.76</v>
      </c>
      <c r="N29" s="365"/>
      <c r="P29" s="365"/>
      <c r="R29" s="365">
        <f>L29+F29</f>
        <v>4895700.129999999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'201909 Bk Depr'!R30</f>
        <v>160988.60999999999</v>
      </c>
      <c r="J30" s="365"/>
      <c r="L30" s="367">
        <f>'Cap&amp;OpEx 2019'!L28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6571139.8199999994</v>
      </c>
      <c r="J31" s="363">
        <f>SUM(J28:J30)</f>
        <v>0</v>
      </c>
      <c r="L31" s="363">
        <f>SUM(L28:L30)</f>
        <v>413464.76</v>
      </c>
      <c r="N31" s="363">
        <f>SUM(N28:N30)</f>
        <v>0</v>
      </c>
      <c r="P31" s="363">
        <f>SUM(P28:P30)</f>
        <v>0</v>
      </c>
      <c r="R31" s="363">
        <f>SUM(R28:R30)</f>
        <v>6984604.5799999991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481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'201910 Bk Depr'!R13</f>
        <v>7366624.169999999</v>
      </c>
      <c r="H13" s="1">
        <f>1.62%/12</f>
        <v>1.3500000000000003E-3</v>
      </c>
      <c r="J13" s="365">
        <f>F13*H13</f>
        <v>9944.9426295000012</v>
      </c>
      <c r="L13" s="366">
        <f>'Cap&amp;OpEx 2019'!M10</f>
        <v>79871.010000000009</v>
      </c>
      <c r="N13" s="365">
        <f>H13*L13*0.5</f>
        <v>53.91293175000002</v>
      </c>
      <c r="P13" s="365">
        <f>J13+N13</f>
        <v>9998.8555612500004</v>
      </c>
      <c r="R13" s="365">
        <f>L13+F13</f>
        <v>7446495.1799999988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'201910 Bk Depr'!R14</f>
        <v>7617999.1500000004</v>
      </c>
      <c r="H14" s="1">
        <f>3.24%/12</f>
        <v>2.7000000000000006E-3</v>
      </c>
      <c r="J14" s="365">
        <f>F14*H14</f>
        <v>20568.597705000004</v>
      </c>
      <c r="L14" s="366">
        <f>'Cap&amp;OpEx 2019'!M12</f>
        <v>170062.19</v>
      </c>
      <c r="N14" s="365">
        <f>H14*L14*0.5</f>
        <v>229.58395650000006</v>
      </c>
      <c r="P14" s="365">
        <f>J14+N14</f>
        <v>20798.181661500003</v>
      </c>
      <c r="R14" s="365">
        <f>L14+F14</f>
        <v>7788061.3400000008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'201910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2019'!M13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'201910 Bk Depr'!R16</f>
        <v>30002025.690000001</v>
      </c>
      <c r="H16" s="1">
        <f t="shared" si="1"/>
        <v>2.7000000000000006E-3</v>
      </c>
      <c r="J16" s="365">
        <f>F16*H16</f>
        <v>81005.469363000026</v>
      </c>
      <c r="L16" s="367">
        <f>'Cap&amp;OpEx 2019'!M14</f>
        <v>1684824.3699999999</v>
      </c>
      <c r="N16" s="365">
        <f>H16*L16*0.5</f>
        <v>2274.5128995000005</v>
      </c>
      <c r="P16" s="365">
        <f>J16+N16</f>
        <v>83279.982262500023</v>
      </c>
      <c r="R16" s="365">
        <f>L16+F16</f>
        <v>31686850.060000002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52204029.25</v>
      </c>
      <c r="J17" s="363">
        <f>SUM(J13:J16)</f>
        <v>131005.93634550004</v>
      </c>
      <c r="L17" s="363">
        <f>SUM(L13:L16)</f>
        <v>1934757.5699999998</v>
      </c>
      <c r="N17" s="363">
        <f>SUM(N13:N16)</f>
        <v>2558.0097877500007</v>
      </c>
      <c r="P17" s="363">
        <f>SUM(P13:P16)</f>
        <v>133563.94613325002</v>
      </c>
      <c r="R17" s="363">
        <f>SUM(R13:R16)</f>
        <v>54138786.820000008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'201910 Bk Depr'!R20</f>
        <v>0</v>
      </c>
      <c r="H20" s="1">
        <f>1.62%/12</f>
        <v>1.3500000000000003E-3</v>
      </c>
      <c r="J20" s="365">
        <f>F20*H20</f>
        <v>0</v>
      </c>
      <c r="L20" s="366">
        <f>'Cap&amp;OpEx 2019'!M17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'201910 Bk Depr'!R21</f>
        <v>0</v>
      </c>
      <c r="H21" s="1">
        <f>3.24%/12</f>
        <v>2.7000000000000006E-3</v>
      </c>
      <c r="J21" s="365">
        <f>F21*H21</f>
        <v>0</v>
      </c>
      <c r="L21" s="366">
        <f>'Cap&amp;OpEx 2019'!M19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'201910 Bk Depr'!R22</f>
        <v>0</v>
      </c>
      <c r="H22" s="1">
        <f>3.24%/12</f>
        <v>2.7000000000000006E-3</v>
      </c>
      <c r="J22" s="365">
        <f>F22*H22</f>
        <v>0</v>
      </c>
      <c r="L22" s="367">
        <f>'Cap&amp;OpEx 2019'!M20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52204029.25</v>
      </c>
      <c r="J25" s="364">
        <f>J17+J23</f>
        <v>131005.93634550004</v>
      </c>
      <c r="L25" s="364">
        <f>L17+L23</f>
        <v>1934757.5699999998</v>
      </c>
      <c r="N25" s="364">
        <f>N17+N23</f>
        <v>2558.0097877500007</v>
      </c>
      <c r="P25" s="364">
        <f>P17+P23</f>
        <v>133563.94613325002</v>
      </c>
      <c r="R25" s="364">
        <f>R17+R23</f>
        <v>54138786.820000008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'201910 Bk Depr'!R28</f>
        <v>1927915.84</v>
      </c>
      <c r="J28" s="365"/>
      <c r="L28" s="366">
        <f>'Cap&amp;OpEx 2019'!M25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'201910 Bk Depr'!R29</f>
        <v>4895700.129999999</v>
      </c>
      <c r="J29" s="365"/>
      <c r="L29" s="366">
        <f>'Cap&amp;OpEx 2019'!M27</f>
        <v>503043.61</v>
      </c>
      <c r="N29" s="365"/>
      <c r="P29" s="365"/>
      <c r="R29" s="365">
        <f>L29+F29</f>
        <v>5398743.7399999993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'201910 Bk Depr'!R30</f>
        <v>160988.60999999999</v>
      </c>
      <c r="J30" s="365"/>
      <c r="L30" s="367">
        <f>'Cap&amp;OpEx 2019'!M28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6984604.5799999991</v>
      </c>
      <c r="J31" s="363">
        <f>SUM(J28:J30)</f>
        <v>0</v>
      </c>
      <c r="L31" s="363">
        <f>SUM(L28:L30)</f>
        <v>503043.61</v>
      </c>
      <c r="N31" s="363">
        <f>SUM(N28:N30)</f>
        <v>0</v>
      </c>
      <c r="P31" s="363">
        <f>SUM(P28:P30)</f>
        <v>0</v>
      </c>
      <c r="R31" s="363">
        <f>SUM(R28:R30)</f>
        <v>7487648.1899999995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20" width="9.21875" style="4"/>
    <col min="21" max="21" width="13.5546875" style="4" bestFit="1" customWidth="1"/>
    <col min="22" max="16384" width="9.21875" style="4"/>
  </cols>
  <sheetData>
    <row r="1" spans="1:21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21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21" ht="17.399999999999999">
      <c r="A3" s="197" t="s">
        <v>482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2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1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456</v>
      </c>
      <c r="D13" s="6">
        <v>376</v>
      </c>
      <c r="F13" s="361">
        <f>'201911 Bk Depr'!R13</f>
        <v>7446495.1799999988</v>
      </c>
      <c r="H13" s="1">
        <f>1.62%/12</f>
        <v>1.3500000000000003E-3</v>
      </c>
      <c r="J13" s="365">
        <f>F13*H13</f>
        <v>10052.768493</v>
      </c>
      <c r="L13" s="366">
        <f>'Cap&amp;OpEx 2019'!N10</f>
        <v>14014.550000000001</v>
      </c>
      <c r="N13" s="365">
        <f>H13*L13*0.5</f>
        <v>9.4598212500000027</v>
      </c>
      <c r="P13" s="365">
        <f>J13+N13</f>
        <v>10062.22831425</v>
      </c>
      <c r="R13" s="365">
        <f>L13+F13</f>
        <v>7460509.7299999986</v>
      </c>
      <c r="U13" s="460"/>
    </row>
    <row r="14" spans="1:21">
      <c r="A14" s="6">
        <f>A13+1</f>
        <v>2</v>
      </c>
      <c r="B14" s="4"/>
      <c r="C14" s="9" t="s">
        <v>62</v>
      </c>
      <c r="D14" s="6">
        <v>380</v>
      </c>
      <c r="F14" s="361">
        <f>'201911 Bk Depr'!R14</f>
        <v>7788061.3400000008</v>
      </c>
      <c r="H14" s="1">
        <f>3.24%/12</f>
        <v>2.7000000000000006E-3</v>
      </c>
      <c r="J14" s="365">
        <f>F14*H14</f>
        <v>21027.765618000005</v>
      </c>
      <c r="L14" s="366">
        <f>'Cap&amp;OpEx 2019'!N12</f>
        <v>239382.03</v>
      </c>
      <c r="N14" s="365">
        <f>H14*L14*0.5</f>
        <v>323.16574050000008</v>
      </c>
      <c r="P14" s="365">
        <f>J14+N14</f>
        <v>21350.931358500005</v>
      </c>
      <c r="R14" s="365">
        <f>L14+F14</f>
        <v>8027443.370000001</v>
      </c>
      <c r="U14" s="460"/>
    </row>
    <row r="15" spans="1:21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'201911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2019'!N13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  <c r="U15" s="460"/>
    </row>
    <row r="16" spans="1:21">
      <c r="A16" s="6">
        <f t="shared" si="0"/>
        <v>4</v>
      </c>
      <c r="B16" s="4"/>
      <c r="C16" s="4" t="s">
        <v>163</v>
      </c>
      <c r="D16" s="6">
        <v>380</v>
      </c>
      <c r="F16" s="362">
        <f>'201911 Bk Depr'!R16</f>
        <v>31686850.060000002</v>
      </c>
      <c r="H16" s="1">
        <f t="shared" si="1"/>
        <v>2.7000000000000006E-3</v>
      </c>
      <c r="J16" s="365">
        <f>F16*H16</f>
        <v>85554.495162000021</v>
      </c>
      <c r="L16" s="367">
        <f>'Cap&amp;OpEx 2019'!N14</f>
        <v>1410324.96</v>
      </c>
      <c r="N16" s="365">
        <f>H16*L16*0.5</f>
        <v>1903.9386960000004</v>
      </c>
      <c r="P16" s="365">
        <f>J16+N16</f>
        <v>87458.433858000019</v>
      </c>
      <c r="R16" s="365">
        <f>L16+F16</f>
        <v>33097175.020000003</v>
      </c>
      <c r="U16" s="460"/>
    </row>
    <row r="17" spans="1:18">
      <c r="A17" s="6">
        <f t="shared" si="0"/>
        <v>5</v>
      </c>
      <c r="B17" s="4"/>
      <c r="C17" s="4" t="s">
        <v>21</v>
      </c>
      <c r="F17" s="363">
        <f>SUM(F13:F16)</f>
        <v>54138786.820000008</v>
      </c>
      <c r="J17" s="363">
        <f>SUM(J13:J16)</f>
        <v>136121.95592100004</v>
      </c>
      <c r="L17" s="363">
        <f>SUM(L13:L16)</f>
        <v>1663721.54</v>
      </c>
      <c r="N17" s="363">
        <f>SUM(N13:N16)</f>
        <v>2236.5642577500003</v>
      </c>
      <c r="P17" s="363">
        <f>SUM(P13:P16)</f>
        <v>138358.52017875004</v>
      </c>
      <c r="R17" s="363">
        <f>SUM(R13:R16)</f>
        <v>55802508.359999999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'201911 Bk Depr'!R20</f>
        <v>0</v>
      </c>
      <c r="H20" s="1">
        <f>1.62%/12</f>
        <v>1.3500000000000003E-3</v>
      </c>
      <c r="J20" s="365">
        <f>F20*H20</f>
        <v>0</v>
      </c>
      <c r="L20" s="366">
        <f>'Cap&amp;OpEx 2019'!N17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'201911 Bk Depr'!R21</f>
        <v>0</v>
      </c>
      <c r="H21" s="1">
        <f>3.24%/12</f>
        <v>2.7000000000000006E-3</v>
      </c>
      <c r="J21" s="365">
        <f>F21*H21</f>
        <v>0</v>
      </c>
      <c r="L21" s="366">
        <f>'Cap&amp;OpEx 2019'!N19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'201911 Bk Depr'!R22</f>
        <v>0</v>
      </c>
      <c r="H22" s="1">
        <f>3.24%/12</f>
        <v>2.7000000000000006E-3</v>
      </c>
      <c r="J22" s="365">
        <f>F22*H22</f>
        <v>0</v>
      </c>
      <c r="L22" s="367">
        <f>'Cap&amp;OpEx 2019'!N20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54138786.820000008</v>
      </c>
      <c r="J25" s="364">
        <f>J17+J23</f>
        <v>136121.95592100004</v>
      </c>
      <c r="L25" s="364">
        <f>L17+L23</f>
        <v>1663721.54</v>
      </c>
      <c r="N25" s="364">
        <f>N17+N23</f>
        <v>2236.5642577500003</v>
      </c>
      <c r="P25" s="364">
        <f>P17+P23</f>
        <v>138358.52017875004</v>
      </c>
      <c r="R25" s="364">
        <f>R17+R23</f>
        <v>55802508.359999999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'201911 Bk Depr'!R28</f>
        <v>1927915.84</v>
      </c>
      <c r="J28" s="365"/>
      <c r="L28" s="366">
        <f>'Cap&amp;OpEx 2019'!N25</f>
        <v>0</v>
      </c>
      <c r="N28" s="365"/>
      <c r="P28" s="365"/>
      <c r="R28" s="365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'201911 Bk Depr'!R29</f>
        <v>5398743.7399999993</v>
      </c>
      <c r="J29" s="365"/>
      <c r="L29" s="366">
        <f>'Cap&amp;OpEx 2019'!N27</f>
        <v>602073.87</v>
      </c>
      <c r="N29" s="365"/>
      <c r="P29" s="365"/>
      <c r="R29" s="365">
        <f>L29+F29</f>
        <v>6000817.6099999994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'201911 Bk Depr'!R30</f>
        <v>160988.60999999999</v>
      </c>
      <c r="J30" s="365"/>
      <c r="L30" s="367">
        <f>'Cap&amp;OpEx 2019'!N28</f>
        <v>0</v>
      </c>
      <c r="N30" s="365"/>
      <c r="P30" s="365"/>
      <c r="R30" s="365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7487648.1899999995</v>
      </c>
      <c r="J31" s="363">
        <f>SUM(J28:J30)</f>
        <v>0</v>
      </c>
      <c r="L31" s="363">
        <f>SUM(L28:L30)</f>
        <v>602073.87</v>
      </c>
      <c r="N31" s="363">
        <f>SUM(N28:N30)</f>
        <v>0</v>
      </c>
      <c r="P31" s="363">
        <f>SUM(P28:P30)</f>
        <v>0</v>
      </c>
      <c r="R31" s="363">
        <f>SUM(R28:R30)</f>
        <v>8089722.0599999996</v>
      </c>
    </row>
  </sheetData>
  <pageMargins left="0.7" right="0.7" top="0.75" bottom="0.75" header="0.3" footer="0.3"/>
  <pageSetup scale="68" orientation="landscape" r:id="rId1"/>
  <headerFooter>
    <oddFooter>&amp;R&amp;"Times New Roman,Bold"&amp;12Exhibit 4
Page 16 of 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1:I30"/>
  <sheetViews>
    <sheetView workbookViewId="0"/>
  </sheetViews>
  <sheetFormatPr defaultRowHeight="13.2"/>
  <cols>
    <col min="1" max="1" width="9.21875" style="255"/>
    <col min="2" max="2" width="2.44140625" style="255" customWidth="1"/>
    <col min="3" max="9" width="12.21875" style="255" customWidth="1"/>
    <col min="10" max="10" width="2.21875" style="255" customWidth="1"/>
    <col min="11" max="257" width="9.21875" style="255"/>
    <col min="258" max="258" width="2.44140625" style="255" customWidth="1"/>
    <col min="259" max="265" width="12.21875" style="255" customWidth="1"/>
    <col min="266" max="266" width="2.21875" style="255" customWidth="1"/>
    <col min="267" max="513" width="9.21875" style="255"/>
    <col min="514" max="514" width="2.44140625" style="255" customWidth="1"/>
    <col min="515" max="521" width="12.21875" style="255" customWidth="1"/>
    <col min="522" max="522" width="2.21875" style="255" customWidth="1"/>
    <col min="523" max="769" width="9.21875" style="255"/>
    <col min="770" max="770" width="2.44140625" style="255" customWidth="1"/>
    <col min="771" max="777" width="12.21875" style="255" customWidth="1"/>
    <col min="778" max="778" width="2.21875" style="255" customWidth="1"/>
    <col min="779" max="1025" width="9.21875" style="255"/>
    <col min="1026" max="1026" width="2.44140625" style="255" customWidth="1"/>
    <col min="1027" max="1033" width="12.21875" style="255" customWidth="1"/>
    <col min="1034" max="1034" width="2.21875" style="255" customWidth="1"/>
    <col min="1035" max="1281" width="9.21875" style="255"/>
    <col min="1282" max="1282" width="2.44140625" style="255" customWidth="1"/>
    <col min="1283" max="1289" width="12.21875" style="255" customWidth="1"/>
    <col min="1290" max="1290" width="2.21875" style="255" customWidth="1"/>
    <col min="1291" max="1537" width="9.21875" style="255"/>
    <col min="1538" max="1538" width="2.44140625" style="255" customWidth="1"/>
    <col min="1539" max="1545" width="12.21875" style="255" customWidth="1"/>
    <col min="1546" max="1546" width="2.21875" style="255" customWidth="1"/>
    <col min="1547" max="1793" width="9.21875" style="255"/>
    <col min="1794" max="1794" width="2.44140625" style="255" customWidth="1"/>
    <col min="1795" max="1801" width="12.21875" style="255" customWidth="1"/>
    <col min="1802" max="1802" width="2.21875" style="255" customWidth="1"/>
    <col min="1803" max="2049" width="9.21875" style="255"/>
    <col min="2050" max="2050" width="2.44140625" style="255" customWidth="1"/>
    <col min="2051" max="2057" width="12.21875" style="255" customWidth="1"/>
    <col min="2058" max="2058" width="2.21875" style="255" customWidth="1"/>
    <col min="2059" max="2305" width="9.21875" style="255"/>
    <col min="2306" max="2306" width="2.44140625" style="255" customWidth="1"/>
    <col min="2307" max="2313" width="12.21875" style="255" customWidth="1"/>
    <col min="2314" max="2314" width="2.21875" style="255" customWidth="1"/>
    <col min="2315" max="2561" width="9.21875" style="255"/>
    <col min="2562" max="2562" width="2.44140625" style="255" customWidth="1"/>
    <col min="2563" max="2569" width="12.21875" style="255" customWidth="1"/>
    <col min="2570" max="2570" width="2.21875" style="255" customWidth="1"/>
    <col min="2571" max="2817" width="9.21875" style="255"/>
    <col min="2818" max="2818" width="2.44140625" style="255" customWidth="1"/>
    <col min="2819" max="2825" width="12.21875" style="255" customWidth="1"/>
    <col min="2826" max="2826" width="2.21875" style="255" customWidth="1"/>
    <col min="2827" max="3073" width="9.21875" style="255"/>
    <col min="3074" max="3074" width="2.44140625" style="255" customWidth="1"/>
    <col min="3075" max="3081" width="12.21875" style="255" customWidth="1"/>
    <col min="3082" max="3082" width="2.21875" style="255" customWidth="1"/>
    <col min="3083" max="3329" width="9.21875" style="255"/>
    <col min="3330" max="3330" width="2.44140625" style="255" customWidth="1"/>
    <col min="3331" max="3337" width="12.21875" style="255" customWidth="1"/>
    <col min="3338" max="3338" width="2.21875" style="255" customWidth="1"/>
    <col min="3339" max="3585" width="9.21875" style="255"/>
    <col min="3586" max="3586" width="2.44140625" style="255" customWidth="1"/>
    <col min="3587" max="3593" width="12.21875" style="255" customWidth="1"/>
    <col min="3594" max="3594" width="2.21875" style="255" customWidth="1"/>
    <col min="3595" max="3841" width="9.21875" style="255"/>
    <col min="3842" max="3842" width="2.44140625" style="255" customWidth="1"/>
    <col min="3843" max="3849" width="12.21875" style="255" customWidth="1"/>
    <col min="3850" max="3850" width="2.21875" style="255" customWidth="1"/>
    <col min="3851" max="4097" width="9.21875" style="255"/>
    <col min="4098" max="4098" width="2.44140625" style="255" customWidth="1"/>
    <col min="4099" max="4105" width="12.21875" style="255" customWidth="1"/>
    <col min="4106" max="4106" width="2.21875" style="255" customWidth="1"/>
    <col min="4107" max="4353" width="9.21875" style="255"/>
    <col min="4354" max="4354" width="2.44140625" style="255" customWidth="1"/>
    <col min="4355" max="4361" width="12.21875" style="255" customWidth="1"/>
    <col min="4362" max="4362" width="2.21875" style="255" customWidth="1"/>
    <col min="4363" max="4609" width="9.21875" style="255"/>
    <col min="4610" max="4610" width="2.44140625" style="255" customWidth="1"/>
    <col min="4611" max="4617" width="12.21875" style="255" customWidth="1"/>
    <col min="4618" max="4618" width="2.21875" style="255" customWidth="1"/>
    <col min="4619" max="4865" width="9.21875" style="255"/>
    <col min="4866" max="4866" width="2.44140625" style="255" customWidth="1"/>
    <col min="4867" max="4873" width="12.21875" style="255" customWidth="1"/>
    <col min="4874" max="4874" width="2.21875" style="255" customWidth="1"/>
    <col min="4875" max="5121" width="9.21875" style="255"/>
    <col min="5122" max="5122" width="2.44140625" style="255" customWidth="1"/>
    <col min="5123" max="5129" width="12.21875" style="255" customWidth="1"/>
    <col min="5130" max="5130" width="2.21875" style="255" customWidth="1"/>
    <col min="5131" max="5377" width="9.21875" style="255"/>
    <col min="5378" max="5378" width="2.44140625" style="255" customWidth="1"/>
    <col min="5379" max="5385" width="12.21875" style="255" customWidth="1"/>
    <col min="5386" max="5386" width="2.21875" style="255" customWidth="1"/>
    <col min="5387" max="5633" width="9.21875" style="255"/>
    <col min="5634" max="5634" width="2.44140625" style="255" customWidth="1"/>
    <col min="5635" max="5641" width="12.21875" style="255" customWidth="1"/>
    <col min="5642" max="5642" width="2.21875" style="255" customWidth="1"/>
    <col min="5643" max="5889" width="9.21875" style="255"/>
    <col min="5890" max="5890" width="2.44140625" style="255" customWidth="1"/>
    <col min="5891" max="5897" width="12.21875" style="255" customWidth="1"/>
    <col min="5898" max="5898" width="2.21875" style="255" customWidth="1"/>
    <col min="5899" max="6145" width="9.21875" style="255"/>
    <col min="6146" max="6146" width="2.44140625" style="255" customWidth="1"/>
    <col min="6147" max="6153" width="12.21875" style="255" customWidth="1"/>
    <col min="6154" max="6154" width="2.21875" style="255" customWidth="1"/>
    <col min="6155" max="6401" width="9.21875" style="255"/>
    <col min="6402" max="6402" width="2.44140625" style="255" customWidth="1"/>
    <col min="6403" max="6409" width="12.21875" style="255" customWidth="1"/>
    <col min="6410" max="6410" width="2.21875" style="255" customWidth="1"/>
    <col min="6411" max="6657" width="9.21875" style="255"/>
    <col min="6658" max="6658" width="2.44140625" style="255" customWidth="1"/>
    <col min="6659" max="6665" width="12.21875" style="255" customWidth="1"/>
    <col min="6666" max="6666" width="2.21875" style="255" customWidth="1"/>
    <col min="6667" max="6913" width="9.21875" style="255"/>
    <col min="6914" max="6914" width="2.44140625" style="255" customWidth="1"/>
    <col min="6915" max="6921" width="12.21875" style="255" customWidth="1"/>
    <col min="6922" max="6922" width="2.21875" style="255" customWidth="1"/>
    <col min="6923" max="7169" width="9.21875" style="255"/>
    <col min="7170" max="7170" width="2.44140625" style="255" customWidth="1"/>
    <col min="7171" max="7177" width="12.21875" style="255" customWidth="1"/>
    <col min="7178" max="7178" width="2.21875" style="255" customWidth="1"/>
    <col min="7179" max="7425" width="9.21875" style="255"/>
    <col min="7426" max="7426" width="2.44140625" style="255" customWidth="1"/>
    <col min="7427" max="7433" width="12.21875" style="255" customWidth="1"/>
    <col min="7434" max="7434" width="2.21875" style="255" customWidth="1"/>
    <col min="7435" max="7681" width="9.21875" style="255"/>
    <col min="7682" max="7682" width="2.44140625" style="255" customWidth="1"/>
    <col min="7683" max="7689" width="12.21875" style="255" customWidth="1"/>
    <col min="7690" max="7690" width="2.21875" style="255" customWidth="1"/>
    <col min="7691" max="7937" width="9.21875" style="255"/>
    <col min="7938" max="7938" width="2.44140625" style="255" customWidth="1"/>
    <col min="7939" max="7945" width="12.21875" style="255" customWidth="1"/>
    <col min="7946" max="7946" width="2.21875" style="255" customWidth="1"/>
    <col min="7947" max="8193" width="9.21875" style="255"/>
    <col min="8194" max="8194" width="2.44140625" style="255" customWidth="1"/>
    <col min="8195" max="8201" width="12.21875" style="255" customWidth="1"/>
    <col min="8202" max="8202" width="2.21875" style="255" customWidth="1"/>
    <col min="8203" max="8449" width="9.21875" style="255"/>
    <col min="8450" max="8450" width="2.44140625" style="255" customWidth="1"/>
    <col min="8451" max="8457" width="12.21875" style="255" customWidth="1"/>
    <col min="8458" max="8458" width="2.21875" style="255" customWidth="1"/>
    <col min="8459" max="8705" width="9.21875" style="255"/>
    <col min="8706" max="8706" width="2.44140625" style="255" customWidth="1"/>
    <col min="8707" max="8713" width="12.21875" style="255" customWidth="1"/>
    <col min="8714" max="8714" width="2.21875" style="255" customWidth="1"/>
    <col min="8715" max="8961" width="9.21875" style="255"/>
    <col min="8962" max="8962" width="2.44140625" style="255" customWidth="1"/>
    <col min="8963" max="8969" width="12.21875" style="255" customWidth="1"/>
    <col min="8970" max="8970" width="2.21875" style="255" customWidth="1"/>
    <col min="8971" max="9217" width="9.21875" style="255"/>
    <col min="9218" max="9218" width="2.44140625" style="255" customWidth="1"/>
    <col min="9219" max="9225" width="12.21875" style="255" customWidth="1"/>
    <col min="9226" max="9226" width="2.21875" style="255" customWidth="1"/>
    <col min="9227" max="9473" width="9.21875" style="255"/>
    <col min="9474" max="9474" width="2.44140625" style="255" customWidth="1"/>
    <col min="9475" max="9481" width="12.21875" style="255" customWidth="1"/>
    <col min="9482" max="9482" width="2.21875" style="255" customWidth="1"/>
    <col min="9483" max="9729" width="9.21875" style="255"/>
    <col min="9730" max="9730" width="2.44140625" style="255" customWidth="1"/>
    <col min="9731" max="9737" width="12.21875" style="255" customWidth="1"/>
    <col min="9738" max="9738" width="2.21875" style="255" customWidth="1"/>
    <col min="9739" max="9985" width="9.21875" style="255"/>
    <col min="9986" max="9986" width="2.44140625" style="255" customWidth="1"/>
    <col min="9987" max="9993" width="12.21875" style="255" customWidth="1"/>
    <col min="9994" max="9994" width="2.21875" style="255" customWidth="1"/>
    <col min="9995" max="10241" width="9.21875" style="255"/>
    <col min="10242" max="10242" width="2.44140625" style="255" customWidth="1"/>
    <col min="10243" max="10249" width="12.21875" style="255" customWidth="1"/>
    <col min="10250" max="10250" width="2.21875" style="255" customWidth="1"/>
    <col min="10251" max="10497" width="9.21875" style="255"/>
    <col min="10498" max="10498" width="2.44140625" style="255" customWidth="1"/>
    <col min="10499" max="10505" width="12.21875" style="255" customWidth="1"/>
    <col min="10506" max="10506" width="2.21875" style="255" customWidth="1"/>
    <col min="10507" max="10753" width="9.21875" style="255"/>
    <col min="10754" max="10754" width="2.44140625" style="255" customWidth="1"/>
    <col min="10755" max="10761" width="12.21875" style="255" customWidth="1"/>
    <col min="10762" max="10762" width="2.21875" style="255" customWidth="1"/>
    <col min="10763" max="11009" width="9.21875" style="255"/>
    <col min="11010" max="11010" width="2.44140625" style="255" customWidth="1"/>
    <col min="11011" max="11017" width="12.21875" style="255" customWidth="1"/>
    <col min="11018" max="11018" width="2.21875" style="255" customWidth="1"/>
    <col min="11019" max="11265" width="9.21875" style="255"/>
    <col min="11266" max="11266" width="2.44140625" style="255" customWidth="1"/>
    <col min="11267" max="11273" width="12.21875" style="255" customWidth="1"/>
    <col min="11274" max="11274" width="2.21875" style="255" customWidth="1"/>
    <col min="11275" max="11521" width="9.21875" style="255"/>
    <col min="11522" max="11522" width="2.44140625" style="255" customWidth="1"/>
    <col min="11523" max="11529" width="12.21875" style="255" customWidth="1"/>
    <col min="11530" max="11530" width="2.21875" style="255" customWidth="1"/>
    <col min="11531" max="11777" width="9.21875" style="255"/>
    <col min="11778" max="11778" width="2.44140625" style="255" customWidth="1"/>
    <col min="11779" max="11785" width="12.21875" style="255" customWidth="1"/>
    <col min="11786" max="11786" width="2.21875" style="255" customWidth="1"/>
    <col min="11787" max="12033" width="9.21875" style="255"/>
    <col min="12034" max="12034" width="2.44140625" style="255" customWidth="1"/>
    <col min="12035" max="12041" width="12.21875" style="255" customWidth="1"/>
    <col min="12042" max="12042" width="2.21875" style="255" customWidth="1"/>
    <col min="12043" max="12289" width="9.21875" style="255"/>
    <col min="12290" max="12290" width="2.44140625" style="255" customWidth="1"/>
    <col min="12291" max="12297" width="12.21875" style="255" customWidth="1"/>
    <col min="12298" max="12298" width="2.21875" style="255" customWidth="1"/>
    <col min="12299" max="12545" width="9.21875" style="255"/>
    <col min="12546" max="12546" width="2.44140625" style="255" customWidth="1"/>
    <col min="12547" max="12553" width="12.21875" style="255" customWidth="1"/>
    <col min="12554" max="12554" width="2.21875" style="255" customWidth="1"/>
    <col min="12555" max="12801" width="9.21875" style="255"/>
    <col min="12802" max="12802" width="2.44140625" style="255" customWidth="1"/>
    <col min="12803" max="12809" width="12.21875" style="255" customWidth="1"/>
    <col min="12810" max="12810" width="2.21875" style="255" customWidth="1"/>
    <col min="12811" max="13057" width="9.21875" style="255"/>
    <col min="13058" max="13058" width="2.44140625" style="255" customWidth="1"/>
    <col min="13059" max="13065" width="12.21875" style="255" customWidth="1"/>
    <col min="13066" max="13066" width="2.21875" style="255" customWidth="1"/>
    <col min="13067" max="13313" width="9.21875" style="255"/>
    <col min="13314" max="13314" width="2.44140625" style="255" customWidth="1"/>
    <col min="13315" max="13321" width="12.21875" style="255" customWidth="1"/>
    <col min="13322" max="13322" width="2.21875" style="255" customWidth="1"/>
    <col min="13323" max="13569" width="9.21875" style="255"/>
    <col min="13570" max="13570" width="2.44140625" style="255" customWidth="1"/>
    <col min="13571" max="13577" width="12.21875" style="255" customWidth="1"/>
    <col min="13578" max="13578" width="2.21875" style="255" customWidth="1"/>
    <col min="13579" max="13825" width="9.21875" style="255"/>
    <col min="13826" max="13826" width="2.44140625" style="255" customWidth="1"/>
    <col min="13827" max="13833" width="12.21875" style="255" customWidth="1"/>
    <col min="13834" max="13834" width="2.21875" style="255" customWidth="1"/>
    <col min="13835" max="14081" width="9.21875" style="255"/>
    <col min="14082" max="14082" width="2.44140625" style="255" customWidth="1"/>
    <col min="14083" max="14089" width="12.21875" style="255" customWidth="1"/>
    <col min="14090" max="14090" width="2.21875" style="255" customWidth="1"/>
    <col min="14091" max="14337" width="9.21875" style="255"/>
    <col min="14338" max="14338" width="2.44140625" style="255" customWidth="1"/>
    <col min="14339" max="14345" width="12.21875" style="255" customWidth="1"/>
    <col min="14346" max="14346" width="2.21875" style="255" customWidth="1"/>
    <col min="14347" max="14593" width="9.21875" style="255"/>
    <col min="14594" max="14594" width="2.44140625" style="255" customWidth="1"/>
    <col min="14595" max="14601" width="12.21875" style="255" customWidth="1"/>
    <col min="14602" max="14602" width="2.21875" style="255" customWidth="1"/>
    <col min="14603" max="14849" width="9.21875" style="255"/>
    <col min="14850" max="14850" width="2.44140625" style="255" customWidth="1"/>
    <col min="14851" max="14857" width="12.21875" style="255" customWidth="1"/>
    <col min="14858" max="14858" width="2.21875" style="255" customWidth="1"/>
    <col min="14859" max="15105" width="9.21875" style="255"/>
    <col min="15106" max="15106" width="2.44140625" style="255" customWidth="1"/>
    <col min="15107" max="15113" width="12.21875" style="255" customWidth="1"/>
    <col min="15114" max="15114" width="2.21875" style="255" customWidth="1"/>
    <col min="15115" max="15361" width="9.21875" style="255"/>
    <col min="15362" max="15362" width="2.44140625" style="255" customWidth="1"/>
    <col min="15363" max="15369" width="12.21875" style="255" customWidth="1"/>
    <col min="15370" max="15370" width="2.21875" style="255" customWidth="1"/>
    <col min="15371" max="15617" width="9.21875" style="255"/>
    <col min="15618" max="15618" width="2.44140625" style="255" customWidth="1"/>
    <col min="15619" max="15625" width="12.21875" style="255" customWidth="1"/>
    <col min="15626" max="15626" width="2.21875" style="255" customWidth="1"/>
    <col min="15627" max="15873" width="9.21875" style="255"/>
    <col min="15874" max="15874" width="2.44140625" style="255" customWidth="1"/>
    <col min="15875" max="15881" width="12.21875" style="255" customWidth="1"/>
    <col min="15882" max="15882" width="2.21875" style="255" customWidth="1"/>
    <col min="15883" max="16129" width="9.21875" style="255"/>
    <col min="16130" max="16130" width="2.44140625" style="255" customWidth="1"/>
    <col min="16131" max="16137" width="12.21875" style="255" customWidth="1"/>
    <col min="16138" max="16138" width="2.21875" style="255" customWidth="1"/>
    <col min="16139" max="16384" width="9.21875" style="255"/>
  </cols>
  <sheetData>
    <row r="11" spans="3:9" ht="15.6">
      <c r="C11" s="418" t="s">
        <v>370</v>
      </c>
      <c r="D11" s="419"/>
      <c r="E11" s="418"/>
      <c r="F11" s="418"/>
      <c r="G11" s="418"/>
      <c r="H11" s="418"/>
      <c r="I11" s="419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/>
    <row r="17" spans="3:9" ht="12.75" customHeight="1"/>
    <row r="18" spans="3:9" ht="15.6">
      <c r="C18" s="418" t="s">
        <v>468</v>
      </c>
      <c r="D18" s="419"/>
      <c r="E18" s="418"/>
      <c r="F18" s="419"/>
      <c r="G18" s="418"/>
      <c r="H18" s="418"/>
      <c r="I18" s="419"/>
    </row>
    <row r="19" spans="3:9" ht="12.75" customHeight="1"/>
    <row r="20" spans="3:9" ht="12.75" customHeight="1"/>
    <row r="21" spans="3:9" ht="12.75" customHeight="1">
      <c r="D21" s="417"/>
      <c r="E21" s="417"/>
      <c r="F21" s="417"/>
      <c r="G21" s="417"/>
      <c r="H21" s="417"/>
    </row>
    <row r="22" spans="3:9" ht="15.6">
      <c r="C22" s="418" t="s">
        <v>371</v>
      </c>
      <c r="D22" s="419"/>
      <c r="E22" s="418"/>
      <c r="F22" s="418"/>
      <c r="G22" s="418"/>
      <c r="H22" s="418"/>
      <c r="I22" s="419"/>
    </row>
    <row r="23" spans="3:9" ht="12.75" customHeight="1">
      <c r="C23" s="256"/>
      <c r="F23" s="256"/>
      <c r="G23" s="256"/>
    </row>
    <row r="24" spans="3:9" ht="15.6">
      <c r="C24" s="418" t="s">
        <v>372</v>
      </c>
      <c r="D24" s="419"/>
      <c r="E24" s="418"/>
      <c r="F24" s="418"/>
      <c r="G24" s="418"/>
      <c r="H24" s="418"/>
      <c r="I24" s="419"/>
    </row>
    <row r="25" spans="3:9" ht="15.6">
      <c r="C25" s="418" t="s">
        <v>373</v>
      </c>
      <c r="D25" s="419"/>
      <c r="E25" s="418"/>
      <c r="F25" s="418"/>
      <c r="G25" s="418"/>
      <c r="H25" s="418"/>
      <c r="I25" s="419"/>
    </row>
    <row r="26" spans="3:9" ht="12.75" customHeight="1"/>
    <row r="27" spans="3:9" ht="12.75" customHeight="1"/>
    <row r="28" spans="3:9" ht="15.6">
      <c r="C28" s="418" t="s">
        <v>542</v>
      </c>
      <c r="D28" s="419"/>
      <c r="E28" s="418"/>
      <c r="F28" s="418"/>
      <c r="G28" s="418"/>
      <c r="H28" s="418"/>
      <c r="I28" s="419"/>
    </row>
    <row r="29" spans="3:9" ht="15.6">
      <c r="C29" s="418" t="s">
        <v>543</v>
      </c>
      <c r="D29" s="419"/>
      <c r="E29" s="418"/>
      <c r="F29" s="418"/>
      <c r="G29" s="418"/>
      <c r="H29" s="418"/>
      <c r="I29" s="419"/>
    </row>
    <row r="30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Z93"/>
  <sheetViews>
    <sheetView workbookViewId="0"/>
  </sheetViews>
  <sheetFormatPr defaultColWidth="9.21875" defaultRowHeight="13.2"/>
  <cols>
    <col min="1" max="1" width="5.21875" style="52" customWidth="1"/>
    <col min="2" max="2" width="3.21875" style="52" customWidth="1"/>
    <col min="3" max="3" width="11.77734375" style="52" customWidth="1"/>
    <col min="4" max="4" width="11.77734375" style="52" hidden="1" customWidth="1"/>
    <col min="5" max="5" width="1.21875" style="52" customWidth="1"/>
    <col min="6" max="6" width="6.21875" style="52" bestFit="1" customWidth="1"/>
    <col min="7" max="7" width="14.21875" style="52" bestFit="1" customWidth="1"/>
    <col min="8" max="9" width="14.21875" style="52" customWidth="1"/>
    <col min="10" max="10" width="15" style="52" bestFit="1" customWidth="1"/>
    <col min="11" max="11" width="13.77734375" style="52" bestFit="1" customWidth="1"/>
    <col min="12" max="12" width="14.44140625" style="52" bestFit="1" customWidth="1"/>
    <col min="13" max="13" width="13.77734375" style="52" bestFit="1" customWidth="1"/>
    <col min="14" max="14" width="11.5546875" style="52" bestFit="1" customWidth="1"/>
    <col min="15" max="15" width="10.77734375" style="52" customWidth="1"/>
    <col min="16" max="16" width="11.44140625" style="52" customWidth="1"/>
    <col min="17" max="17" width="11.21875" style="52" customWidth="1"/>
    <col min="18" max="18" width="14.77734375" style="52" customWidth="1"/>
    <col min="19" max="19" width="12" style="52" customWidth="1"/>
    <col min="20" max="20" width="9.21875" style="52"/>
    <col min="21" max="21" width="13.77734375" style="52" customWidth="1"/>
    <col min="22" max="24" width="9.21875" style="52"/>
    <col min="25" max="25" width="11.77734375" style="52" customWidth="1"/>
    <col min="26" max="16384" width="9.21875" style="52"/>
  </cols>
  <sheetData>
    <row r="1" spans="1:26" ht="17.399999999999999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6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6" ht="17.399999999999999">
      <c r="A3" s="192" t="s">
        <v>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155"/>
      <c r="K6" s="54"/>
      <c r="L6" s="54"/>
      <c r="M6" s="54"/>
      <c r="N6" s="54"/>
      <c r="O6" s="54"/>
      <c r="P6" s="54"/>
      <c r="Q6" s="54"/>
      <c r="R6" s="54"/>
    </row>
    <row r="7" spans="1:26" ht="26.4">
      <c r="A7" s="54"/>
      <c r="B7" s="54"/>
      <c r="C7" s="55" t="s">
        <v>191</v>
      </c>
      <c r="D7" s="54" t="s">
        <v>25</v>
      </c>
      <c r="E7" s="54"/>
      <c r="F7" s="54"/>
      <c r="G7" s="54">
        <v>2017</v>
      </c>
      <c r="H7" s="54">
        <v>2018</v>
      </c>
      <c r="I7" s="54">
        <v>2019</v>
      </c>
      <c r="J7" s="54"/>
      <c r="K7" s="54" t="s">
        <v>35</v>
      </c>
      <c r="L7" s="54"/>
      <c r="M7" s="54"/>
      <c r="N7" s="55" t="s">
        <v>181</v>
      </c>
      <c r="O7" s="55" t="s">
        <v>182</v>
      </c>
      <c r="P7" s="55" t="s">
        <v>187</v>
      </c>
      <c r="Q7" s="55" t="s">
        <v>189</v>
      </c>
      <c r="R7" s="54" t="s">
        <v>41</v>
      </c>
      <c r="S7" s="55" t="s">
        <v>164</v>
      </c>
      <c r="T7" s="55"/>
      <c r="U7" s="55" t="s">
        <v>236</v>
      </c>
    </row>
    <row r="8" spans="1:26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34</v>
      </c>
      <c r="K8" s="54" t="s">
        <v>36</v>
      </c>
      <c r="L8" s="54" t="s">
        <v>38</v>
      </c>
      <c r="M8" s="54"/>
      <c r="N8" s="54" t="s">
        <v>34</v>
      </c>
      <c r="O8" s="54" t="s">
        <v>34</v>
      </c>
      <c r="P8" s="54" t="s">
        <v>188</v>
      </c>
      <c r="Q8" s="54" t="s">
        <v>190</v>
      </c>
      <c r="R8" s="54" t="s">
        <v>40</v>
      </c>
      <c r="S8" s="54" t="s">
        <v>237</v>
      </c>
      <c r="T8" s="54" t="s">
        <v>164</v>
      </c>
      <c r="U8" s="54" t="s">
        <v>40</v>
      </c>
    </row>
    <row r="9" spans="1:26">
      <c r="A9" s="420" t="s">
        <v>5</v>
      </c>
      <c r="B9" s="420"/>
      <c r="C9" s="420" t="s">
        <v>2</v>
      </c>
      <c r="D9" s="420" t="s">
        <v>2</v>
      </c>
      <c r="E9" s="420"/>
      <c r="F9" s="420" t="s">
        <v>108</v>
      </c>
      <c r="G9" s="420" t="s">
        <v>20</v>
      </c>
      <c r="H9" s="421" t="s">
        <v>20</v>
      </c>
      <c r="I9" s="420" t="s">
        <v>20</v>
      </c>
      <c r="J9" s="420" t="s">
        <v>0</v>
      </c>
      <c r="K9" s="420" t="s">
        <v>37</v>
      </c>
      <c r="L9" s="420" t="s">
        <v>0</v>
      </c>
      <c r="M9" s="420" t="s">
        <v>39</v>
      </c>
      <c r="N9" s="56" t="s">
        <v>348</v>
      </c>
      <c r="O9" s="56" t="s">
        <v>186</v>
      </c>
      <c r="P9" s="56" t="s">
        <v>348</v>
      </c>
      <c r="Q9" s="56" t="s">
        <v>12</v>
      </c>
      <c r="R9" s="420" t="s">
        <v>42</v>
      </c>
      <c r="S9" s="56" t="s">
        <v>238</v>
      </c>
      <c r="T9" s="56" t="s">
        <v>239</v>
      </c>
      <c r="U9" s="420" t="s">
        <v>42</v>
      </c>
    </row>
    <row r="10" spans="1:26">
      <c r="C10" s="57"/>
      <c r="D10" s="57" t="s">
        <v>71</v>
      </c>
      <c r="E10" s="58"/>
      <c r="F10" s="58"/>
      <c r="G10" s="58"/>
      <c r="H10" s="58"/>
      <c r="I10" s="58"/>
    </row>
    <row r="11" spans="1:26">
      <c r="A11" s="52">
        <v>1</v>
      </c>
      <c r="C11" s="57" t="s">
        <v>70</v>
      </c>
      <c r="D11" s="59"/>
      <c r="G11" s="232">
        <f>'Tax Depr 2017'!L11</f>
        <v>8664070.7300000023</v>
      </c>
      <c r="H11" s="232">
        <f>'Tax Depr 2018'!H11</f>
        <v>12433934.719999999</v>
      </c>
      <c r="I11" s="27">
        <f>'2019 Capital Budget'!R27-I12</f>
        <v>14207969.879999999</v>
      </c>
    </row>
    <row r="12" spans="1:26">
      <c r="A12" s="52">
        <v>2</v>
      </c>
      <c r="C12" s="57" t="s">
        <v>74</v>
      </c>
      <c r="D12" s="59"/>
      <c r="G12" s="232">
        <f>'Tax Depr 2017'!L12</f>
        <v>4210527.95</v>
      </c>
      <c r="H12" s="232">
        <f>'Tax Depr 2018'!H12</f>
        <v>5000082.9600000009</v>
      </c>
      <c r="I12" s="232">
        <f>SUM('2019 Capital Budget'!R9:R11,'2019 Capital Budget'!R17,'2019 Capital Budget'!R19:R21)</f>
        <v>6478540.9299999997</v>
      </c>
    </row>
    <row r="13" spans="1:26">
      <c r="A13" s="52">
        <v>3</v>
      </c>
      <c r="C13" s="57" t="s">
        <v>185</v>
      </c>
      <c r="D13" s="59"/>
      <c r="G13" s="232">
        <f>'Tax Depr 2017'!L13</f>
        <v>4807381.1899999995</v>
      </c>
      <c r="H13" s="232">
        <f>'Tax Depr 2018'!H13</f>
        <v>0</v>
      </c>
      <c r="I13" s="232">
        <v>0</v>
      </c>
    </row>
    <row r="14" spans="1:26">
      <c r="C14" s="59"/>
      <c r="W14" s="50"/>
      <c r="X14" s="50"/>
      <c r="Y14" s="50"/>
      <c r="Z14" s="50"/>
    </row>
    <row r="15" spans="1:26">
      <c r="G15" s="196"/>
      <c r="H15" s="196"/>
      <c r="I15" s="196"/>
      <c r="J15" s="196"/>
      <c r="K15" s="196"/>
      <c r="L15" s="245"/>
      <c r="W15" s="50"/>
      <c r="X15" s="50"/>
      <c r="Y15" s="50"/>
      <c r="Z15" s="50"/>
    </row>
    <row r="16" spans="1:26">
      <c r="Q16" s="27">
        <v>0</v>
      </c>
      <c r="R16" s="27">
        <f>Q16+'Tax Depr 2018'!Q28</f>
        <v>5841052.2488318319</v>
      </c>
      <c r="U16" s="232">
        <f>R16</f>
        <v>5841052.2488318319</v>
      </c>
      <c r="W16" s="50"/>
      <c r="X16" s="50"/>
      <c r="Y16" s="50"/>
      <c r="Z16" s="50"/>
    </row>
    <row r="17" spans="1:26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2">
        <f>$G$11*$C$19/12</f>
        <v>48208.333553508339</v>
      </c>
      <c r="H17" s="232">
        <f>$H$11*$C$18/12</f>
        <v>74800.47895306666</v>
      </c>
      <c r="I17" s="27">
        <f>(('201901 Bk Depr'!$L$17-SUM('2019 Capital Budget'!$F$9:$F$11,'2019 Capital Budget'!$F$19:$F$21,'2019 Capital Budget'!$F$17))*$C$17)+SUM('2019 Capital Budget'!$F$9:$F$11,'2019 Capital Budget'!$F$19:$F$21,'2019 Capital Budget'!$F$17)</f>
        <v>521971.02475000004</v>
      </c>
      <c r="J17" s="232">
        <f>SUM(G17:I17)</f>
        <v>644979.837256575</v>
      </c>
      <c r="K17" s="232">
        <f>'201901 Bk Depr'!$L$31+'Cap&amp;OpEx 2019'!C26</f>
        <v>305257.36</v>
      </c>
      <c r="L17" s="232">
        <f>'201901 Bk Depr'!$P$17</f>
        <v>86145.682781250041</v>
      </c>
      <c r="M17" s="232">
        <f t="shared" ref="M17:M28" si="0">J17+K17-L17</f>
        <v>864091.51447532489</v>
      </c>
      <c r="N17" s="232">
        <f t="shared" ref="N17:N22" si="1">M17*0.21</f>
        <v>181459.21803981822</v>
      </c>
      <c r="O17" s="232">
        <f t="shared" ref="O17:O28" si="2">N61</f>
        <v>44542.029232334164</v>
      </c>
      <c r="P17" s="232">
        <f t="shared" ref="P17:P22" si="3">-O17*0.21</f>
        <v>-9353.8261387901748</v>
      </c>
      <c r="Q17" s="27"/>
      <c r="R17" s="232">
        <f t="shared" ref="R17:R28" si="4">R16+N17+O17+P17+Q17</f>
        <v>6057699.6699651945</v>
      </c>
      <c r="S17" s="232">
        <f>R17-R16</f>
        <v>216647.42113336269</v>
      </c>
      <c r="T17" s="248" t="s">
        <v>365</v>
      </c>
      <c r="U17" s="232">
        <f>U16+S17*335/365</f>
        <v>6039893.0326117678</v>
      </c>
      <c r="X17" s="50"/>
      <c r="Y17" s="51"/>
      <c r="Z17" s="50"/>
    </row>
    <row r="18" spans="1:26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2">
        <f t="shared" ref="G18:G28" si="5">$G$11*$C$19/12</f>
        <v>48208.333553508339</v>
      </c>
      <c r="H18" s="232">
        <f t="shared" ref="H18:H28" si="6">$H$11*$C$18/12</f>
        <v>74800.47895306666</v>
      </c>
      <c r="I18" s="27">
        <f>(('201902 Bk Depr'!$L$17-SUM('2019 Capital Budget'!$G$9:$G$11,'2019 Capital Budget'!$G$19:$G$21,'2019 Capital Budget'!$G$17))*$C$17)+SUM('2019 Capital Budget'!$G$9:$G$11,'2019 Capital Budget'!$G$19:$G$21,'2019 Capital Budget'!$G$17)</f>
        <v>235582.35475</v>
      </c>
      <c r="J18" s="232">
        <f t="shared" ref="J18:J28" si="7">SUM(G18:I18)</f>
        <v>358591.16725657496</v>
      </c>
      <c r="K18" s="232">
        <f>'201902 Bk Depr'!$L$31+'Cap&amp;OpEx 2019'!D26</f>
        <v>171177.68</v>
      </c>
      <c r="L18" s="232">
        <f>'201902 Bk Depr'!$P$17</f>
        <v>87996.225919500022</v>
      </c>
      <c r="M18" s="232">
        <f t="shared" si="0"/>
        <v>441772.62133707502</v>
      </c>
      <c r="N18" s="232">
        <f t="shared" si="1"/>
        <v>92772.250480785748</v>
      </c>
      <c r="O18" s="232">
        <f t="shared" si="2"/>
        <v>23426.084575421668</v>
      </c>
      <c r="P18" s="232">
        <f t="shared" si="3"/>
        <v>-4919.4777608385502</v>
      </c>
      <c r="Q18" s="27"/>
      <c r="R18" s="232">
        <f t="shared" si="4"/>
        <v>6168978.5272605643</v>
      </c>
      <c r="S18" s="232">
        <f t="shared" ref="S18:S28" si="8">R18-R17</f>
        <v>111278.85729536973</v>
      </c>
      <c r="T18" s="248" t="s">
        <v>366</v>
      </c>
      <c r="U18" s="232">
        <f>U17+S18*307/365</f>
        <v>6133489.2221725304</v>
      </c>
      <c r="X18" s="50"/>
      <c r="Y18" s="51"/>
      <c r="Z18" s="50"/>
    </row>
    <row r="19" spans="1:26">
      <c r="A19" s="52">
        <f t="shared" ref="A19:A44" si="9">A18+1</f>
        <v>6</v>
      </c>
      <c r="C19" s="61">
        <v>6.6769999999999996E-2</v>
      </c>
      <c r="D19" s="61">
        <v>8.5500000000000007E-2</v>
      </c>
      <c r="F19" s="52">
        <v>3</v>
      </c>
      <c r="G19" s="232">
        <f t="shared" si="5"/>
        <v>48208.333553508339</v>
      </c>
      <c r="H19" s="232">
        <f t="shared" si="6"/>
        <v>74800.47895306666</v>
      </c>
      <c r="I19" s="27">
        <f>(('201903 Bk Depr'!$L$17-SUM('2019 Capital Budget'!$H$9:$H$11,'2019 Capital Budget'!$H$19:$H$21,'2019 Capital Budget'!$H$17))*$C$17)+SUM('2019 Capital Budget'!$H$9:$H$11,'2019 Capital Budget'!$H$19:$H$21,'2019 Capital Budget'!$H$17)</f>
        <v>1073806.71175</v>
      </c>
      <c r="J19" s="232">
        <f t="shared" si="7"/>
        <v>1196815.5242565749</v>
      </c>
      <c r="K19" s="232">
        <f>'201903 Bk Depr'!$L$31+'Cap&amp;OpEx 2019'!E26</f>
        <v>185187.46</v>
      </c>
      <c r="L19" s="232">
        <f>'201903 Bk Depr'!$P$17</f>
        <v>90819.467662500028</v>
      </c>
      <c r="M19" s="232">
        <f t="shared" si="0"/>
        <v>1291183.5165940749</v>
      </c>
      <c r="N19" s="232">
        <f t="shared" si="1"/>
        <v>271148.53848475573</v>
      </c>
      <c r="O19" s="232">
        <f t="shared" si="2"/>
        <v>65896.629338271669</v>
      </c>
      <c r="P19" s="232">
        <f t="shared" si="3"/>
        <v>-13838.29216103705</v>
      </c>
      <c r="Q19" s="27"/>
      <c r="R19" s="232">
        <f t="shared" si="4"/>
        <v>6492185.4029225549</v>
      </c>
      <c r="S19" s="232">
        <f t="shared" si="8"/>
        <v>323206.87566199061</v>
      </c>
      <c r="T19" s="248" t="s">
        <v>367</v>
      </c>
      <c r="U19" s="232">
        <f>U18+S19*276/365</f>
        <v>6377886.7500703642</v>
      </c>
      <c r="X19" s="50"/>
      <c r="Y19" s="51"/>
      <c r="Z19" s="50"/>
    </row>
    <row r="20" spans="1:26">
      <c r="A20" s="52">
        <f t="shared" si="9"/>
        <v>7</v>
      </c>
      <c r="C20" s="61">
        <v>6.1769999999999999E-2</v>
      </c>
      <c r="D20" s="61">
        <v>7.6999999999999999E-2</v>
      </c>
      <c r="F20" s="52">
        <v>4</v>
      </c>
      <c r="G20" s="232">
        <f t="shared" si="5"/>
        <v>48208.333553508339</v>
      </c>
      <c r="H20" s="232">
        <f t="shared" si="6"/>
        <v>74800.47895306666</v>
      </c>
      <c r="I20" s="27">
        <f>(('201904 Bk Depr'!$L$17-SUM('2019 Capital Budget'!$I$9:$I$11,'2019 Capital Budget'!$I$19:$I$21,'2019 Capital Budget'!$I$17))*$C$17)+SUM('2019 Capital Budget'!$I$9:$I$11,'2019 Capital Budget'!$I$19:$I$21,'2019 Capital Budget'!$I$17)</f>
        <v>923472.7543749999</v>
      </c>
      <c r="J20" s="232">
        <f t="shared" si="7"/>
        <v>1046481.5668815749</v>
      </c>
      <c r="K20" s="232">
        <f>'201904 Bk Depr'!$L$31+'Cap&amp;OpEx 2019'!F26</f>
        <v>373015.76</v>
      </c>
      <c r="L20" s="232">
        <f>'201904 Bk Depr'!$P$17</f>
        <v>98168.669084250025</v>
      </c>
      <c r="M20" s="232">
        <f t="shared" si="0"/>
        <v>1321328.6577973249</v>
      </c>
      <c r="N20" s="232">
        <f t="shared" si="1"/>
        <v>277479.01813743822</v>
      </c>
      <c r="O20" s="232">
        <f t="shared" si="2"/>
        <v>67403.886398434159</v>
      </c>
      <c r="P20" s="232">
        <f t="shared" si="3"/>
        <v>-14154.816143671173</v>
      </c>
      <c r="Q20" s="27"/>
      <c r="R20" s="232">
        <f t="shared" si="4"/>
        <v>6822913.4913147558</v>
      </c>
      <c r="S20" s="232">
        <f t="shared" si="8"/>
        <v>330728.08839220088</v>
      </c>
      <c r="T20" s="248" t="s">
        <v>368</v>
      </c>
      <c r="U20" s="232">
        <f>U19+S20*246/365</f>
        <v>6600788.4206031896</v>
      </c>
      <c r="X20" s="153"/>
      <c r="Y20" s="51"/>
      <c r="Z20" s="50"/>
    </row>
    <row r="21" spans="1:26">
      <c r="A21" s="52">
        <f t="shared" si="9"/>
        <v>8</v>
      </c>
      <c r="C21" s="61">
        <v>5.713E-2</v>
      </c>
      <c r="D21" s="61">
        <v>6.93E-2</v>
      </c>
      <c r="F21" s="52">
        <v>5</v>
      </c>
      <c r="G21" s="232">
        <f t="shared" si="5"/>
        <v>48208.333553508339</v>
      </c>
      <c r="H21" s="232">
        <f t="shared" si="6"/>
        <v>74800.47895306666</v>
      </c>
      <c r="I21" s="27">
        <f>(('201905 Bk Depr'!$L$17-SUM('2019 Capital Budget'!$J$9:$J$11,'2019 Capital Budget'!$J$19:$J$21,'2019 Capital Budget'!$J$17))*$C$17)+SUM('2019 Capital Budget'!$J$9:$J$11,'2019 Capital Budget'!$J$19:$J$21,'2019 Capital Budget'!$J$17)</f>
        <v>701703.30262500001</v>
      </c>
      <c r="J21" s="232">
        <f t="shared" si="7"/>
        <v>824712.11513157503</v>
      </c>
      <c r="K21" s="232">
        <f>'201905 Bk Depr'!$L$31+'Cap&amp;OpEx 2019'!G26</f>
        <v>392332.57</v>
      </c>
      <c r="L21" s="232">
        <f>'201905 Bk Depr'!$P$17</f>
        <v>105859.49833350003</v>
      </c>
      <c r="M21" s="232">
        <f t="shared" si="0"/>
        <v>1111185.186798075</v>
      </c>
      <c r="N21" s="232">
        <f t="shared" si="1"/>
        <v>233348.88922759573</v>
      </c>
      <c r="O21" s="232">
        <f t="shared" si="2"/>
        <v>56896.712848471667</v>
      </c>
      <c r="P21" s="232">
        <f t="shared" si="3"/>
        <v>-11948.30969817905</v>
      </c>
      <c r="Q21" s="27"/>
      <c r="R21" s="232">
        <f t="shared" si="4"/>
        <v>7101210.783692644</v>
      </c>
      <c r="S21" s="232">
        <f t="shared" si="8"/>
        <v>278297.29237788823</v>
      </c>
      <c r="T21" s="248" t="s">
        <v>369</v>
      </c>
      <c r="U21" s="232">
        <f>U20+S21*215/365</f>
        <v>6764716.9626887953</v>
      </c>
      <c r="X21" s="50"/>
      <c r="Y21" s="51"/>
      <c r="Z21" s="50"/>
    </row>
    <row r="22" spans="1:26">
      <c r="A22" s="52">
        <f t="shared" si="9"/>
        <v>9</v>
      </c>
      <c r="C22" s="61">
        <v>5.2850000000000001E-2</v>
      </c>
      <c r="D22" s="61">
        <v>6.2300000000000001E-2</v>
      </c>
      <c r="F22" s="52">
        <v>6</v>
      </c>
      <c r="G22" s="232">
        <f t="shared" si="5"/>
        <v>48208.333553508339</v>
      </c>
      <c r="H22" s="232">
        <f t="shared" si="6"/>
        <v>74800.47895306666</v>
      </c>
      <c r="I22" s="27">
        <f>(('201906 Bk Depr'!$L$17-SUM('2019 Capital Budget'!$K$9:$K$11,'2019 Capital Budget'!$K$19:$K$21,'2019 Capital Budget'!$K$17))*$C$17)+SUM('2019 Capital Budget'!$K$9:$K$11,'2019 Capital Budget'!$K$19:$K$21,'2019 Capital Budget'!$K$17)</f>
        <v>551821.01425000001</v>
      </c>
      <c r="J22" s="232">
        <f t="shared" si="7"/>
        <v>674829.82675657503</v>
      </c>
      <c r="K22" s="232">
        <f>'201906 Bk Depr'!$L$31+'Cap&amp;OpEx 2019'!H26</f>
        <v>450871.25</v>
      </c>
      <c r="L22" s="232">
        <f>'201906 Bk Depr'!$P$17</f>
        <v>110650.83030675002</v>
      </c>
      <c r="M22" s="232">
        <f t="shared" si="0"/>
        <v>1015050.2464498251</v>
      </c>
      <c r="N22" s="232">
        <f t="shared" si="1"/>
        <v>213160.55175446326</v>
      </c>
      <c r="O22" s="232">
        <f t="shared" si="2"/>
        <v>52089.965831059162</v>
      </c>
      <c r="P22" s="232">
        <f t="shared" si="3"/>
        <v>-10938.892824522423</v>
      </c>
      <c r="Q22" s="27"/>
      <c r="R22" s="232">
        <f t="shared" si="4"/>
        <v>7355522.4084536443</v>
      </c>
      <c r="S22" s="232">
        <f t="shared" si="8"/>
        <v>254311.62476100028</v>
      </c>
      <c r="T22" s="248" t="s">
        <v>364</v>
      </c>
      <c r="U22" s="232">
        <f>U21+S22*185/365</f>
        <v>6893614.6355128642</v>
      </c>
      <c r="X22" s="50"/>
      <c r="Y22" s="50"/>
      <c r="Z22" s="50"/>
    </row>
    <row r="23" spans="1:26">
      <c r="A23" s="52">
        <f t="shared" si="9"/>
        <v>10</v>
      </c>
      <c r="C23" s="61">
        <v>4.888E-2</v>
      </c>
      <c r="D23" s="61">
        <v>5.8999999999999997E-2</v>
      </c>
      <c r="F23" s="52">
        <v>7</v>
      </c>
      <c r="G23" s="232">
        <f t="shared" si="5"/>
        <v>48208.333553508339</v>
      </c>
      <c r="H23" s="232">
        <f t="shared" si="6"/>
        <v>74800.47895306666</v>
      </c>
      <c r="I23" s="27">
        <f>(('201907 Bk Depr'!$L$17-SUM('2019 Capital Budget'!$L$9:$L$11,'2019 Capital Budget'!$L$19:$L$21,'2019 Capital Budget'!$L$17))*$C$17)+SUM('2019 Capital Budget'!$L$9:$L$11,'2019 Capital Budget'!$L$19:$L$21,'2019 Capital Budget'!$L$17)</f>
        <v>552649.28824999998</v>
      </c>
      <c r="J23" s="232">
        <f t="shared" si="7"/>
        <v>675658.100756575</v>
      </c>
      <c r="K23" s="232">
        <f>'201907 Bk Depr'!$L$31+'Cap&amp;OpEx 2019'!I26</f>
        <v>384718.32</v>
      </c>
      <c r="L23" s="232">
        <f>'201907 Bk Depr'!$P$17</f>
        <v>115276.80685500003</v>
      </c>
      <c r="M23" s="232">
        <f t="shared" si="0"/>
        <v>945099.61390157486</v>
      </c>
      <c r="N23" s="232">
        <f>M23*0.21</f>
        <v>198470.91891933072</v>
      </c>
      <c r="O23" s="232">
        <f t="shared" si="2"/>
        <v>48592.434203646662</v>
      </c>
      <c r="P23" s="232">
        <f>-O23*0.21</f>
        <v>-10204.411182765798</v>
      </c>
      <c r="Q23" s="27"/>
      <c r="R23" s="232">
        <f t="shared" si="4"/>
        <v>7592381.3503938559</v>
      </c>
      <c r="S23" s="232">
        <f t="shared" si="8"/>
        <v>236858.94194021169</v>
      </c>
      <c r="T23" s="248" t="s">
        <v>360</v>
      </c>
      <c r="U23" s="232">
        <f>U22+S23*154/365</f>
        <v>6993549.6411533915</v>
      </c>
      <c r="X23" s="50"/>
      <c r="Y23" s="50"/>
      <c r="Z23" s="50"/>
    </row>
    <row r="24" spans="1:26">
      <c r="A24" s="52">
        <f t="shared" si="9"/>
        <v>11</v>
      </c>
      <c r="C24" s="61">
        <v>4.5220000000000003E-2</v>
      </c>
      <c r="D24" s="61">
        <v>5.8999999999999997E-2</v>
      </c>
      <c r="F24" s="52">
        <v>8</v>
      </c>
      <c r="G24" s="232">
        <f t="shared" si="5"/>
        <v>48208.333553508339</v>
      </c>
      <c r="H24" s="232">
        <f t="shared" si="6"/>
        <v>74800.47895306666</v>
      </c>
      <c r="I24" s="27">
        <f>(('201908 Bk Depr'!$L$17-SUM('2019 Capital Budget'!$M$9:$M$11,'2019 Capital Budget'!$M$19:$M$21,'2019 Capital Budget'!$M$17))*$C$17)+SUM('2019 Capital Budget'!$M$9:$M$11,'2019 Capital Budget'!$M$19:$M$21,'2019 Capital Budget'!$M$17)</f>
        <v>486239.98599999968</v>
      </c>
      <c r="J24" s="232">
        <f t="shared" si="7"/>
        <v>609248.79850657471</v>
      </c>
      <c r="K24" s="232">
        <f>'201908 Bk Depr'!$L$31+'Cap&amp;OpEx 2019'!J26</f>
        <v>374205.67</v>
      </c>
      <c r="L24" s="232">
        <f>'201908 Bk Depr'!$P$17</f>
        <v>119659.56178050005</v>
      </c>
      <c r="M24" s="232">
        <f t="shared" si="0"/>
        <v>863794.90672607464</v>
      </c>
      <c r="N24" s="232">
        <f t="shared" ref="N24:N28" si="10">M24*0.21</f>
        <v>181396.93041247566</v>
      </c>
      <c r="O24" s="232">
        <f t="shared" si="2"/>
        <v>44527.198844871651</v>
      </c>
      <c r="P24" s="232">
        <f t="shared" ref="P24:P28" si="11">-O24*0.21</f>
        <v>-9350.7117574230469</v>
      </c>
      <c r="Q24" s="27"/>
      <c r="R24" s="232">
        <f t="shared" si="4"/>
        <v>7808954.76789378</v>
      </c>
      <c r="S24" s="232">
        <f t="shared" si="8"/>
        <v>216573.41749992408</v>
      </c>
      <c r="T24" s="248" t="s">
        <v>361</v>
      </c>
      <c r="U24" s="232">
        <f>U23+S24*123/365</f>
        <v>7066531.9160917224</v>
      </c>
      <c r="X24" s="50"/>
      <c r="Y24" s="50"/>
      <c r="Z24" s="50"/>
    </row>
    <row r="25" spans="1:26">
      <c r="A25" s="52">
        <f t="shared" si="9"/>
        <v>12</v>
      </c>
      <c r="C25" s="61">
        <v>4.462E-2</v>
      </c>
      <c r="D25" s="61">
        <v>5.91E-2</v>
      </c>
      <c r="F25" s="52">
        <v>9</v>
      </c>
      <c r="G25" s="232">
        <f t="shared" si="5"/>
        <v>48208.333553508339</v>
      </c>
      <c r="H25" s="232">
        <f t="shared" si="6"/>
        <v>74800.47895306666</v>
      </c>
      <c r="I25" s="27">
        <f>(('201909 Bk Depr'!$L$17-SUM('2019 Capital Budget'!$N$9:$N$11,'2019 Capital Budget'!$N$19:$N$21,'2019 Capital Budget'!$N$17))*$C$17)+SUM('2019 Capital Budget'!$N$9:$N$11,'2019 Capital Budget'!$N$19:$N$21,'2019 Capital Budget'!$N$17)</f>
        <v>567157.49612500006</v>
      </c>
      <c r="J25" s="232">
        <f t="shared" si="7"/>
        <v>690166.30863157508</v>
      </c>
      <c r="K25" s="232">
        <f>'201909 Bk Depr'!$L$31+'Cap&amp;OpEx 2019'!K26</f>
        <v>468218.97</v>
      </c>
      <c r="L25" s="232">
        <f>'201909 Bk Depr'!$P$17</f>
        <v>124213.74059025005</v>
      </c>
      <c r="M25" s="232">
        <f t="shared" si="0"/>
        <v>1034171.5380413249</v>
      </c>
      <c r="N25" s="232">
        <f t="shared" si="10"/>
        <v>217176.02298867822</v>
      </c>
      <c r="O25" s="232">
        <f t="shared" si="2"/>
        <v>53046.030410634172</v>
      </c>
      <c r="P25" s="232">
        <f t="shared" si="11"/>
        <v>-11139.666386233175</v>
      </c>
      <c r="Q25" s="27"/>
      <c r="R25" s="232">
        <f t="shared" si="4"/>
        <v>8068037.1549068596</v>
      </c>
      <c r="S25" s="232">
        <f t="shared" si="8"/>
        <v>259082.3870130796</v>
      </c>
      <c r="T25" s="248" t="s">
        <v>362</v>
      </c>
      <c r="U25" s="232">
        <f>U24+S25*93/365</f>
        <v>7132544.6886731377</v>
      </c>
    </row>
    <row r="26" spans="1:26">
      <c r="A26" s="52">
        <f t="shared" si="9"/>
        <v>13</v>
      </c>
      <c r="C26" s="61">
        <v>4.4609999999999997E-2</v>
      </c>
      <c r="D26" s="61">
        <v>5.8999999999999997E-2</v>
      </c>
      <c r="F26" s="52">
        <v>10</v>
      </c>
      <c r="G26" s="232">
        <f t="shared" si="5"/>
        <v>48208.333553508339</v>
      </c>
      <c r="H26" s="232">
        <f t="shared" si="6"/>
        <v>74800.47895306666</v>
      </c>
      <c r="I26" s="27">
        <f>(('201910 Bk Depr'!$L$17-SUM('2019 Capital Budget'!$O$9:$O$11,'2019 Capital Budget'!$O$19:$O$21,'2019 Capital Budget'!$O$17))*$C$17)+SUM('2019 Capital Budget'!$O$9:$O$11,'2019 Capital Budget'!$O$19:$O$21,'2019 Capital Budget'!$O$17)</f>
        <v>513504.55462499999</v>
      </c>
      <c r="J26" s="232">
        <f t="shared" si="7"/>
        <v>636513.36713157501</v>
      </c>
      <c r="K26" s="232">
        <f>'201910 Bk Depr'!$L$31+'Cap&amp;OpEx 2019'!L26</f>
        <v>413464.76</v>
      </c>
      <c r="L26" s="232">
        <f>'201910 Bk Depr'!$P$17</f>
        <v>128788.92307800002</v>
      </c>
      <c r="M26" s="232">
        <f t="shared" si="0"/>
        <v>921189.20405357494</v>
      </c>
      <c r="N26" s="232">
        <f t="shared" si="10"/>
        <v>193449.73285125074</v>
      </c>
      <c r="O26" s="232">
        <f t="shared" si="2"/>
        <v>47396.913711246663</v>
      </c>
      <c r="P26" s="232">
        <f t="shared" si="11"/>
        <v>-9953.3518793617986</v>
      </c>
      <c r="Q26" s="27"/>
      <c r="R26" s="232">
        <f t="shared" si="4"/>
        <v>8298930.4495899957</v>
      </c>
      <c r="S26" s="232">
        <f t="shared" si="8"/>
        <v>230893.29468313605</v>
      </c>
      <c r="T26" s="248" t="s">
        <v>363</v>
      </c>
      <c r="U26" s="232">
        <f>U25+S26*62/365</f>
        <v>7171764.9195508212</v>
      </c>
    </row>
    <row r="27" spans="1:26">
      <c r="A27" s="52">
        <f t="shared" si="9"/>
        <v>14</v>
      </c>
      <c r="C27" s="61">
        <v>4.462E-2</v>
      </c>
      <c r="D27" s="61">
        <v>5.91E-2</v>
      </c>
      <c r="F27" s="52">
        <v>11</v>
      </c>
      <c r="G27" s="232">
        <f t="shared" si="5"/>
        <v>48208.333553508339</v>
      </c>
      <c r="H27" s="232">
        <f t="shared" si="6"/>
        <v>74800.47895306666</v>
      </c>
      <c r="I27" s="27">
        <f>(('201911 Bk Depr'!$L$17-SUM('2019 Capital Budget'!$P$9:$P$11,'2019 Capital Budget'!$P$19:$P$21,'2019 Capital Budget'!$P$17))*$C$17)+SUM('2019 Capital Budget'!$P$9:$P$11,'2019 Capital Budget'!$P$19:$P$21,'2019 Capital Budget'!$P$17)</f>
        <v>393673.29449999996</v>
      </c>
      <c r="J27" s="232">
        <f t="shared" si="7"/>
        <v>516682.10700657498</v>
      </c>
      <c r="K27" s="232">
        <f>'201911 Bk Depr'!$L$31+'Cap&amp;OpEx 2019'!M26</f>
        <v>503043.61</v>
      </c>
      <c r="L27" s="232">
        <f>'201911 Bk Depr'!$P$17</f>
        <v>133563.94613325002</v>
      </c>
      <c r="M27" s="232">
        <f t="shared" si="0"/>
        <v>886161.77087332495</v>
      </c>
      <c r="N27" s="232">
        <f t="shared" si="10"/>
        <v>186093.97188339822</v>
      </c>
      <c r="O27" s="232">
        <f t="shared" si="2"/>
        <v>45645.542052234166</v>
      </c>
      <c r="P27" s="232">
        <f t="shared" si="11"/>
        <v>-9585.5638309691749</v>
      </c>
      <c r="Q27" s="27"/>
      <c r="R27" s="232">
        <f t="shared" si="4"/>
        <v>8521084.399694657</v>
      </c>
      <c r="S27" s="232">
        <f t="shared" si="8"/>
        <v>222153.95010466129</v>
      </c>
      <c r="T27" s="248" t="s">
        <v>359</v>
      </c>
      <c r="U27" s="232">
        <f>U26+S27*32/365</f>
        <v>7191241.4302449282</v>
      </c>
    </row>
    <row r="28" spans="1:26">
      <c r="A28" s="52">
        <f t="shared" si="9"/>
        <v>15</v>
      </c>
      <c r="C28" s="61">
        <v>4.4609999999999997E-2</v>
      </c>
      <c r="D28" s="61">
        <v>5.8999999999999997E-2</v>
      </c>
      <c r="F28" s="52">
        <v>12</v>
      </c>
      <c r="G28" s="232">
        <f t="shared" si="5"/>
        <v>48208.333553508339</v>
      </c>
      <c r="H28" s="232">
        <f t="shared" si="6"/>
        <v>74800.47895306666</v>
      </c>
      <c r="I28" s="27">
        <f>(('201912 Bk Depr'!$L$17-SUM('2019 Capital Budget'!$Q$9:$Q$11,'2019 Capital Budget'!$Q$19:$Q$21,'2019 Capital Budget'!$Q$17))*$C$17)+SUM('2019 Capital Budget'!$Q$9:$Q$11,'2019 Capital Budget'!$Q$19:$Q$21,'2019 Capital Budget'!$Q$17)</f>
        <v>489758.01850000006</v>
      </c>
      <c r="J28" s="232">
        <f t="shared" si="7"/>
        <v>612766.83100657503</v>
      </c>
      <c r="K28" s="232">
        <f>'201912 Bk Depr'!$L$31+'Cap&amp;OpEx 2019'!N26</f>
        <v>602073.87</v>
      </c>
      <c r="L28" s="232">
        <f>'201912 Bk Depr'!$P$17</f>
        <v>138358.52017875004</v>
      </c>
      <c r="M28" s="232">
        <f t="shared" si="0"/>
        <v>1076482.1808278249</v>
      </c>
      <c r="N28" s="232">
        <f t="shared" si="10"/>
        <v>226061.25797384323</v>
      </c>
      <c r="O28" s="232">
        <f t="shared" si="2"/>
        <v>55161.56254995917</v>
      </c>
      <c r="P28" s="232">
        <f t="shared" si="11"/>
        <v>-11583.928135491426</v>
      </c>
      <c r="Q28" s="27"/>
      <c r="R28" s="232">
        <f t="shared" si="4"/>
        <v>8790723.2920829672</v>
      </c>
      <c r="S28" s="232">
        <f t="shared" si="8"/>
        <v>269638.89238831028</v>
      </c>
      <c r="T28" s="248" t="s">
        <v>358</v>
      </c>
      <c r="U28" s="232">
        <f>U27+S28*1/365</f>
        <v>7191980.1669364031</v>
      </c>
    </row>
    <row r="29" spans="1:26">
      <c r="A29" s="52">
        <f t="shared" si="9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 t="str">
        <f t="shared" ref="Q29:Q43" si="12">IF(P29="","",P29*0.389)</f>
        <v/>
      </c>
      <c r="R29" s="62"/>
      <c r="U29" s="27"/>
    </row>
    <row r="30" spans="1:26">
      <c r="A30" s="52">
        <f t="shared" si="9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tr">
        <f t="shared" si="12"/>
        <v/>
      </c>
      <c r="R30" s="27" t="str">
        <f t="shared" ref="R30:R43" si="13">IF(N30="","",R29+N30)</f>
        <v/>
      </c>
    </row>
    <row r="31" spans="1:26">
      <c r="A31" s="52">
        <f t="shared" si="9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 t="str">
        <f t="shared" si="12"/>
        <v/>
      </c>
      <c r="R31" s="27" t="str">
        <f t="shared" si="13"/>
        <v/>
      </c>
    </row>
    <row r="32" spans="1:26">
      <c r="A32" s="52">
        <f t="shared" si="9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 t="str">
        <f t="shared" si="12"/>
        <v/>
      </c>
      <c r="R32" s="27" t="str">
        <f t="shared" si="13"/>
        <v/>
      </c>
    </row>
    <row r="33" spans="1:18">
      <c r="A33" s="52">
        <f t="shared" si="9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 t="str">
        <f t="shared" si="12"/>
        <v/>
      </c>
      <c r="R33" s="27" t="str">
        <f t="shared" si="13"/>
        <v/>
      </c>
    </row>
    <row r="34" spans="1:18">
      <c r="A34" s="52">
        <f t="shared" si="9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 t="str">
        <f t="shared" si="12"/>
        <v/>
      </c>
      <c r="R34" s="27" t="str">
        <f t="shared" si="13"/>
        <v/>
      </c>
    </row>
    <row r="35" spans="1:18">
      <c r="A35" s="52">
        <f t="shared" si="9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 t="str">
        <f t="shared" si="12"/>
        <v/>
      </c>
      <c r="R35" s="27" t="str">
        <f t="shared" si="13"/>
        <v/>
      </c>
    </row>
    <row r="36" spans="1:18">
      <c r="A36" s="52">
        <f t="shared" si="9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tr">
        <f t="shared" si="12"/>
        <v/>
      </c>
      <c r="R36" s="27" t="str">
        <f t="shared" si="13"/>
        <v/>
      </c>
    </row>
    <row r="37" spans="1:18">
      <c r="A37" s="52">
        <f t="shared" si="9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 t="str">
        <f t="shared" si="12"/>
        <v/>
      </c>
      <c r="R37" s="27" t="str">
        <f t="shared" si="13"/>
        <v/>
      </c>
    </row>
    <row r="38" spans="1:18">
      <c r="A38" s="52">
        <f t="shared" si="9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 t="str">
        <f t="shared" si="12"/>
        <v/>
      </c>
      <c r="R38" s="27" t="str">
        <f t="shared" si="13"/>
        <v/>
      </c>
    </row>
    <row r="39" spans="1:18">
      <c r="A39" s="52">
        <f t="shared" si="9"/>
        <v>26</v>
      </c>
      <c r="C39" s="61">
        <v>0</v>
      </c>
      <c r="G39" s="27"/>
      <c r="H39" s="27"/>
      <c r="I39" s="27"/>
      <c r="J39" s="27"/>
      <c r="M39" s="27"/>
      <c r="N39" s="27"/>
      <c r="O39" s="27"/>
      <c r="P39" s="27"/>
      <c r="Q39" s="27" t="str">
        <f t="shared" si="12"/>
        <v/>
      </c>
      <c r="R39" s="27" t="str">
        <f t="shared" si="13"/>
        <v/>
      </c>
    </row>
    <row r="40" spans="1:18">
      <c r="A40" s="52">
        <f t="shared" si="9"/>
        <v>27</v>
      </c>
      <c r="C40" s="61">
        <v>0</v>
      </c>
      <c r="G40" s="27"/>
      <c r="H40" s="27"/>
      <c r="I40" s="27"/>
      <c r="J40" s="27"/>
      <c r="M40" s="27"/>
      <c r="N40" s="27"/>
      <c r="O40" s="27"/>
      <c r="P40" s="27"/>
      <c r="Q40" s="27" t="str">
        <f t="shared" si="12"/>
        <v/>
      </c>
      <c r="R40" s="27" t="str">
        <f t="shared" si="13"/>
        <v/>
      </c>
    </row>
    <row r="41" spans="1:18">
      <c r="A41" s="52">
        <f t="shared" si="9"/>
        <v>28</v>
      </c>
      <c r="C41" s="61">
        <v>0</v>
      </c>
      <c r="G41" s="27"/>
      <c r="H41" s="27"/>
      <c r="I41" s="27"/>
      <c r="J41" s="27"/>
      <c r="M41" s="27"/>
      <c r="N41" s="27"/>
      <c r="O41" s="27"/>
      <c r="P41" s="27"/>
      <c r="Q41" s="27" t="str">
        <f t="shared" si="12"/>
        <v/>
      </c>
      <c r="R41" s="27" t="str">
        <f t="shared" si="13"/>
        <v/>
      </c>
    </row>
    <row r="42" spans="1:18">
      <c r="A42" s="52">
        <f t="shared" si="9"/>
        <v>29</v>
      </c>
      <c r="C42" s="61">
        <v>0</v>
      </c>
      <c r="G42" s="27"/>
      <c r="H42" s="27"/>
      <c r="I42" s="27"/>
      <c r="J42" s="27"/>
      <c r="M42" s="27"/>
      <c r="N42" s="27"/>
      <c r="O42" s="27"/>
      <c r="P42" s="27"/>
      <c r="Q42" s="27" t="str">
        <f t="shared" si="12"/>
        <v/>
      </c>
      <c r="R42" s="27" t="str">
        <f t="shared" si="13"/>
        <v/>
      </c>
    </row>
    <row r="43" spans="1:18">
      <c r="A43" s="52">
        <f t="shared" si="9"/>
        <v>30</v>
      </c>
      <c r="C43" s="61">
        <v>0</v>
      </c>
      <c r="J43" s="27"/>
      <c r="M43" s="27"/>
      <c r="N43" s="27"/>
      <c r="O43" s="27"/>
      <c r="P43" s="27"/>
      <c r="Q43" s="27" t="str">
        <f t="shared" si="12"/>
        <v/>
      </c>
      <c r="R43" s="27" t="str">
        <f t="shared" si="13"/>
        <v/>
      </c>
    </row>
    <row r="44" spans="1:18">
      <c r="A44" s="52">
        <f t="shared" si="9"/>
        <v>31</v>
      </c>
      <c r="G44" s="27">
        <f>SUM(G17:G43)</f>
        <v>578500.00264210009</v>
      </c>
      <c r="H44" s="27">
        <f>SUM(H17:H43)</f>
        <v>897605.74743679969</v>
      </c>
      <c r="I44" s="27">
        <f t="shared" ref="I44:Q44" si="14">SUM(I17:I43)</f>
        <v>7011339.8004999999</v>
      </c>
      <c r="J44" s="27">
        <f t="shared" si="14"/>
        <v>8487445.5505788997</v>
      </c>
      <c r="K44" s="27">
        <f t="shared" si="14"/>
        <v>4623567.2799999993</v>
      </c>
      <c r="L44" s="27">
        <f t="shared" si="14"/>
        <v>1339501.8727035001</v>
      </c>
      <c r="M44" s="27">
        <f t="shared" si="14"/>
        <v>11771510.957875399</v>
      </c>
      <c r="N44" s="27">
        <f t="shared" si="14"/>
        <v>2472017.3011538335</v>
      </c>
      <c r="O44" s="27">
        <f t="shared" si="14"/>
        <v>604624.98999658495</v>
      </c>
      <c r="P44" s="27">
        <f t="shared" si="14"/>
        <v>-126971.24789928284</v>
      </c>
      <c r="Q44" s="27">
        <f t="shared" si="14"/>
        <v>0</v>
      </c>
      <c r="R44" s="27">
        <f>AVERAGE(R16:R28)</f>
        <v>7301513.380538715</v>
      </c>
    </row>
    <row r="45" spans="1:18">
      <c r="G45" s="27"/>
      <c r="H45" s="27"/>
      <c r="I45" s="27"/>
      <c r="J45" s="27"/>
      <c r="K45" s="27"/>
      <c r="L45" s="27"/>
      <c r="R45" s="27"/>
    </row>
    <row r="46" spans="1:18">
      <c r="O46" s="27"/>
      <c r="P46" s="27"/>
      <c r="Q46" s="27"/>
    </row>
    <row r="47" spans="1:18">
      <c r="B47" s="60" t="s">
        <v>166</v>
      </c>
      <c r="C47" s="52" t="s">
        <v>491</v>
      </c>
      <c r="O47" s="54"/>
      <c r="P47" s="54"/>
      <c r="Q47" s="54"/>
    </row>
    <row r="48" spans="1:18">
      <c r="B48" s="60" t="s">
        <v>167</v>
      </c>
      <c r="C48" s="52" t="s">
        <v>490</v>
      </c>
      <c r="D48" s="246"/>
      <c r="O48" s="48"/>
      <c r="P48" s="48"/>
      <c r="Q48" s="48"/>
    </row>
    <row r="49" spans="1:18">
      <c r="B49" s="60" t="s">
        <v>168</v>
      </c>
      <c r="C49" s="52" t="s">
        <v>489</v>
      </c>
      <c r="D49" s="246"/>
      <c r="O49" s="48"/>
      <c r="P49" s="48"/>
      <c r="Q49" s="48"/>
    </row>
    <row r="50" spans="1:18">
      <c r="A50" s="54"/>
      <c r="B50" s="54"/>
      <c r="C50" s="54"/>
      <c r="D50" s="54" t="s">
        <v>24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9"/>
      <c r="P50" s="49"/>
      <c r="Q50" s="49"/>
      <c r="R50" s="54"/>
    </row>
    <row r="51" spans="1:18" ht="26.4">
      <c r="A51" s="54"/>
      <c r="B51" s="54"/>
      <c r="C51" s="55" t="s">
        <v>191</v>
      </c>
      <c r="D51" s="54" t="s">
        <v>25</v>
      </c>
      <c r="E51" s="54"/>
      <c r="F51" s="54"/>
      <c r="G51" s="54">
        <v>2017</v>
      </c>
      <c r="H51" s="54">
        <v>2018</v>
      </c>
      <c r="I51" s="54">
        <v>2019</v>
      </c>
      <c r="J51" s="54"/>
      <c r="K51" s="54" t="s">
        <v>35</v>
      </c>
      <c r="L51" s="54"/>
      <c r="M51" s="54"/>
      <c r="N51" s="55" t="s">
        <v>182</v>
      </c>
      <c r="R51" s="49"/>
    </row>
    <row r="52" spans="1:18">
      <c r="A52" s="54" t="s">
        <v>4</v>
      </c>
      <c r="B52" s="54"/>
      <c r="C52" s="54" t="s">
        <v>26</v>
      </c>
      <c r="D52" s="54" t="s">
        <v>26</v>
      </c>
      <c r="E52" s="54"/>
      <c r="F52" s="54"/>
      <c r="G52" s="54" t="s">
        <v>28</v>
      </c>
      <c r="H52" s="54" t="s">
        <v>29</v>
      </c>
      <c r="I52" s="54" t="s">
        <v>30</v>
      </c>
      <c r="J52" s="54" t="s">
        <v>34</v>
      </c>
      <c r="K52" s="54" t="s">
        <v>36</v>
      </c>
      <c r="L52" s="54" t="s">
        <v>38</v>
      </c>
      <c r="M52" s="54"/>
      <c r="N52" s="54" t="s">
        <v>34</v>
      </c>
      <c r="R52" s="49"/>
    </row>
    <row r="53" spans="1:18">
      <c r="A53" s="420" t="s">
        <v>5</v>
      </c>
      <c r="B53" s="420"/>
      <c r="C53" s="420" t="s">
        <v>2</v>
      </c>
      <c r="D53" s="420" t="s">
        <v>2</v>
      </c>
      <c r="E53" s="420"/>
      <c r="F53" s="420" t="s">
        <v>108</v>
      </c>
      <c r="G53" s="420" t="s">
        <v>20</v>
      </c>
      <c r="H53" s="421" t="s">
        <v>20</v>
      </c>
      <c r="I53" s="421" t="s">
        <v>20</v>
      </c>
      <c r="J53" s="420" t="s">
        <v>0</v>
      </c>
      <c r="K53" s="420" t="s">
        <v>37</v>
      </c>
      <c r="L53" s="420" t="s">
        <v>0</v>
      </c>
      <c r="M53" s="420" t="s">
        <v>39</v>
      </c>
      <c r="N53" s="56" t="s">
        <v>497</v>
      </c>
      <c r="R53" s="49"/>
    </row>
    <row r="54" spans="1:18">
      <c r="C54" s="57"/>
      <c r="D54" s="57" t="s">
        <v>71</v>
      </c>
      <c r="E54" s="58"/>
      <c r="F54" s="58"/>
      <c r="G54" s="58"/>
      <c r="H54" s="58"/>
      <c r="I54" s="58"/>
      <c r="R54" s="50"/>
    </row>
    <row r="55" spans="1:18">
      <c r="A55" s="52">
        <v>1</v>
      </c>
      <c r="C55" s="57" t="s">
        <v>70</v>
      </c>
      <c r="D55" s="59"/>
      <c r="G55" s="27">
        <f>G11+G13</f>
        <v>13471451.920000002</v>
      </c>
      <c r="H55" s="27">
        <f>H11+H13</f>
        <v>12433934.719999999</v>
      </c>
      <c r="I55" s="27">
        <f>I11</f>
        <v>14207969.879999999</v>
      </c>
      <c r="J55" s="62"/>
      <c r="R55" s="50"/>
    </row>
    <row r="56" spans="1:18">
      <c r="A56" s="52">
        <v>2</v>
      </c>
      <c r="C56" s="57" t="s">
        <v>74</v>
      </c>
      <c r="D56" s="59"/>
      <c r="G56" s="27"/>
      <c r="H56" s="27"/>
      <c r="I56" s="27">
        <f>I12</f>
        <v>6478540.9299999997</v>
      </c>
      <c r="R56" s="50"/>
    </row>
    <row r="57" spans="1:18">
      <c r="A57" s="52">
        <v>3</v>
      </c>
      <c r="C57" s="57" t="s">
        <v>185</v>
      </c>
      <c r="D57" s="59"/>
      <c r="G57" s="27"/>
      <c r="H57" s="27"/>
      <c r="I57" s="27"/>
      <c r="R57" s="50"/>
    </row>
    <row r="58" spans="1:18">
      <c r="C58" s="59"/>
      <c r="R58" s="50"/>
    </row>
    <row r="59" spans="1:18">
      <c r="G59" s="196"/>
      <c r="H59" s="196"/>
      <c r="I59" s="196"/>
      <c r="J59" s="196"/>
      <c r="K59" s="196"/>
      <c r="L59" s="245"/>
      <c r="R59" s="50"/>
    </row>
    <row r="60" spans="1:18">
      <c r="R60" s="51"/>
    </row>
    <row r="61" spans="1:18">
      <c r="A61" s="52">
        <f>A57+1</f>
        <v>4</v>
      </c>
      <c r="C61" s="61">
        <v>3.7499999999999999E-2</v>
      </c>
      <c r="D61" s="61">
        <v>0.05</v>
      </c>
      <c r="F61" s="52">
        <v>1</v>
      </c>
      <c r="G61" s="27">
        <f>$G$55*$C$63/12</f>
        <v>74957.403724866672</v>
      </c>
      <c r="H61" s="27">
        <f>$H$55*$C$62/12</f>
        <v>74800.47895306666</v>
      </c>
      <c r="I61" s="27">
        <f t="shared" ref="I61:I72" si="15">I17</f>
        <v>521971.02475000004</v>
      </c>
      <c r="J61" s="27">
        <f>SUM(G61:I61)</f>
        <v>671728.9074279333</v>
      </c>
      <c r="K61" s="232">
        <f>K17</f>
        <v>305257.36</v>
      </c>
      <c r="L61" s="232">
        <f>'201901 Bk Depr'!$P$17</f>
        <v>86145.682781250041</v>
      </c>
      <c r="M61" s="27">
        <f t="shared" ref="M61:M72" si="16">J61+K61-L61</f>
        <v>890840.58464668319</v>
      </c>
      <c r="N61" s="27">
        <f>M61*0.05</f>
        <v>44542.029232334164</v>
      </c>
      <c r="R61" s="51"/>
    </row>
    <row r="62" spans="1:18">
      <c r="A62" s="52">
        <f>A61+1</f>
        <v>5</v>
      </c>
      <c r="C62" s="61">
        <v>7.2190000000000004E-2</v>
      </c>
      <c r="D62" s="61">
        <v>9.5000000000000001E-2</v>
      </c>
      <c r="F62" s="52">
        <v>2</v>
      </c>
      <c r="G62" s="27">
        <f t="shared" ref="G62:G72" si="17">$G$55*$C$63/12</f>
        <v>74957.403724866672</v>
      </c>
      <c r="H62" s="27">
        <f t="shared" ref="H62:H72" si="18">$H$55*$C$62/12</f>
        <v>74800.47895306666</v>
      </c>
      <c r="I62" s="27">
        <f t="shared" si="15"/>
        <v>235582.35475</v>
      </c>
      <c r="J62" s="27">
        <f t="shared" ref="J62:J72" si="19">SUM(G62:I62)</f>
        <v>385340.23742793332</v>
      </c>
      <c r="K62" s="232">
        <f t="shared" ref="K62:K71" si="20">K18</f>
        <v>171177.68</v>
      </c>
      <c r="L62" s="232">
        <f>'201902 Bk Depr'!$P$17</f>
        <v>87996.225919500022</v>
      </c>
      <c r="M62" s="27">
        <f t="shared" si="16"/>
        <v>468521.69150843332</v>
      </c>
      <c r="N62" s="27">
        <f t="shared" ref="N62:N72" si="21">M62*0.05</f>
        <v>23426.084575421668</v>
      </c>
      <c r="R62" s="51"/>
    </row>
    <row r="63" spans="1:18">
      <c r="A63" s="52">
        <f t="shared" ref="A63:A88" si="22">A62+1</f>
        <v>6</v>
      </c>
      <c r="C63" s="61">
        <v>6.6769999999999996E-2</v>
      </c>
      <c r="D63" s="61">
        <v>8.5500000000000007E-2</v>
      </c>
      <c r="F63" s="52">
        <v>3</v>
      </c>
      <c r="G63" s="27">
        <f t="shared" si="17"/>
        <v>74957.403724866672</v>
      </c>
      <c r="H63" s="27">
        <f t="shared" si="18"/>
        <v>74800.47895306666</v>
      </c>
      <c r="I63" s="27">
        <f t="shared" si="15"/>
        <v>1073806.71175</v>
      </c>
      <c r="J63" s="27">
        <f t="shared" si="19"/>
        <v>1223564.5944279335</v>
      </c>
      <c r="K63" s="232">
        <f t="shared" si="20"/>
        <v>185187.46</v>
      </c>
      <c r="L63" s="232">
        <f>'201903 Bk Depr'!$P$17</f>
        <v>90819.467662500028</v>
      </c>
      <c r="M63" s="27">
        <f t="shared" si="16"/>
        <v>1317932.5867654334</v>
      </c>
      <c r="N63" s="27">
        <f t="shared" si="21"/>
        <v>65896.629338271669</v>
      </c>
      <c r="R63" s="51"/>
    </row>
    <row r="64" spans="1:18">
      <c r="A64" s="52">
        <f t="shared" si="22"/>
        <v>7</v>
      </c>
      <c r="C64" s="61">
        <v>6.1769999999999999E-2</v>
      </c>
      <c r="D64" s="61">
        <v>7.6999999999999999E-2</v>
      </c>
      <c r="F64" s="52">
        <v>4</v>
      </c>
      <c r="G64" s="27">
        <f t="shared" si="17"/>
        <v>74957.403724866672</v>
      </c>
      <c r="H64" s="27">
        <f t="shared" si="18"/>
        <v>74800.47895306666</v>
      </c>
      <c r="I64" s="27">
        <f t="shared" si="15"/>
        <v>923472.7543749999</v>
      </c>
      <c r="J64" s="27">
        <f t="shared" si="19"/>
        <v>1073230.6370529332</v>
      </c>
      <c r="K64" s="232">
        <f t="shared" si="20"/>
        <v>373015.76</v>
      </c>
      <c r="L64" s="232">
        <f>'201904 Bk Depr'!$P$17</f>
        <v>98168.669084250025</v>
      </c>
      <c r="M64" s="27">
        <f t="shared" si="16"/>
        <v>1348077.7279686832</v>
      </c>
      <c r="N64" s="27">
        <f t="shared" si="21"/>
        <v>67403.886398434159</v>
      </c>
      <c r="R64" s="51"/>
    </row>
    <row r="65" spans="1:18">
      <c r="A65" s="52">
        <f t="shared" si="22"/>
        <v>8</v>
      </c>
      <c r="C65" s="61">
        <v>5.713E-2</v>
      </c>
      <c r="D65" s="61">
        <v>6.93E-2</v>
      </c>
      <c r="F65" s="52">
        <v>5</v>
      </c>
      <c r="G65" s="27">
        <f t="shared" si="17"/>
        <v>74957.403724866672</v>
      </c>
      <c r="H65" s="27">
        <f t="shared" si="18"/>
        <v>74800.47895306666</v>
      </c>
      <c r="I65" s="27">
        <f t="shared" si="15"/>
        <v>701703.30262500001</v>
      </c>
      <c r="J65" s="27">
        <f t="shared" si="19"/>
        <v>851461.18530293333</v>
      </c>
      <c r="K65" s="232">
        <f t="shared" si="20"/>
        <v>392332.57</v>
      </c>
      <c r="L65" s="232">
        <f>'201905 Bk Depr'!$P$17</f>
        <v>105859.49833350003</v>
      </c>
      <c r="M65" s="27">
        <f t="shared" si="16"/>
        <v>1137934.2569694333</v>
      </c>
      <c r="N65" s="27">
        <f t="shared" si="21"/>
        <v>56896.712848471667</v>
      </c>
      <c r="R65" s="51"/>
    </row>
    <row r="66" spans="1:18">
      <c r="A66" s="52">
        <f t="shared" si="22"/>
        <v>9</v>
      </c>
      <c r="C66" s="61">
        <v>5.2850000000000001E-2</v>
      </c>
      <c r="D66" s="61">
        <v>6.2300000000000001E-2</v>
      </c>
      <c r="F66" s="52">
        <v>6</v>
      </c>
      <c r="G66" s="27">
        <f t="shared" si="17"/>
        <v>74957.403724866672</v>
      </c>
      <c r="H66" s="27">
        <f t="shared" si="18"/>
        <v>74800.47895306666</v>
      </c>
      <c r="I66" s="27">
        <f t="shared" si="15"/>
        <v>551821.01425000001</v>
      </c>
      <c r="J66" s="27">
        <f t="shared" si="19"/>
        <v>701578.89692793333</v>
      </c>
      <c r="K66" s="232">
        <f t="shared" si="20"/>
        <v>450871.25</v>
      </c>
      <c r="L66" s="232">
        <f>'201906 Bk Depr'!$P$17</f>
        <v>110650.83030675002</v>
      </c>
      <c r="M66" s="27">
        <f t="shared" si="16"/>
        <v>1041799.3166211832</v>
      </c>
      <c r="N66" s="27">
        <f t="shared" si="21"/>
        <v>52089.965831059162</v>
      </c>
      <c r="R66" s="51"/>
    </row>
    <row r="67" spans="1:18">
      <c r="A67" s="52">
        <f t="shared" si="22"/>
        <v>10</v>
      </c>
      <c r="C67" s="61">
        <v>4.888E-2</v>
      </c>
      <c r="D67" s="61">
        <v>5.8999999999999997E-2</v>
      </c>
      <c r="F67" s="52">
        <v>7</v>
      </c>
      <c r="G67" s="27">
        <f t="shared" si="17"/>
        <v>74957.403724866672</v>
      </c>
      <c r="H67" s="27">
        <f t="shared" si="18"/>
        <v>74800.47895306666</v>
      </c>
      <c r="I67" s="27">
        <f t="shared" si="15"/>
        <v>552649.28824999998</v>
      </c>
      <c r="J67" s="27">
        <f t="shared" si="19"/>
        <v>702407.1709279333</v>
      </c>
      <c r="K67" s="232">
        <f t="shared" si="20"/>
        <v>384718.32</v>
      </c>
      <c r="L67" s="232">
        <f>'201907 Bk Depr'!$P$17</f>
        <v>115276.80685500003</v>
      </c>
      <c r="M67" s="27">
        <f t="shared" si="16"/>
        <v>971848.68407293316</v>
      </c>
      <c r="N67" s="27">
        <f t="shared" si="21"/>
        <v>48592.434203646662</v>
      </c>
      <c r="R67" s="51"/>
    </row>
    <row r="68" spans="1:18">
      <c r="A68" s="52">
        <f t="shared" si="22"/>
        <v>11</v>
      </c>
      <c r="C68" s="61">
        <v>4.5220000000000003E-2</v>
      </c>
      <c r="D68" s="61">
        <v>5.8999999999999997E-2</v>
      </c>
      <c r="F68" s="52">
        <v>8</v>
      </c>
      <c r="G68" s="27">
        <f t="shared" si="17"/>
        <v>74957.403724866672</v>
      </c>
      <c r="H68" s="27">
        <f t="shared" si="18"/>
        <v>74800.47895306666</v>
      </c>
      <c r="I68" s="27">
        <f t="shared" si="15"/>
        <v>486239.98599999968</v>
      </c>
      <c r="J68" s="27">
        <f t="shared" si="19"/>
        <v>635997.868677933</v>
      </c>
      <c r="K68" s="232">
        <f t="shared" si="20"/>
        <v>374205.67</v>
      </c>
      <c r="L68" s="232">
        <f>'201908 Bk Depr'!$P$17</f>
        <v>119659.56178050005</v>
      </c>
      <c r="M68" s="27">
        <f t="shared" si="16"/>
        <v>890543.97689743293</v>
      </c>
      <c r="N68" s="27">
        <f t="shared" si="21"/>
        <v>44527.198844871651</v>
      </c>
      <c r="R68" s="51"/>
    </row>
    <row r="69" spans="1:18">
      <c r="A69" s="52">
        <f t="shared" si="22"/>
        <v>12</v>
      </c>
      <c r="C69" s="61">
        <v>4.462E-2</v>
      </c>
      <c r="D69" s="61">
        <v>5.91E-2</v>
      </c>
      <c r="F69" s="52">
        <v>9</v>
      </c>
      <c r="G69" s="27">
        <f t="shared" si="17"/>
        <v>74957.403724866672</v>
      </c>
      <c r="H69" s="27">
        <f t="shared" si="18"/>
        <v>74800.47895306666</v>
      </c>
      <c r="I69" s="27">
        <f t="shared" si="15"/>
        <v>567157.49612500006</v>
      </c>
      <c r="J69" s="27">
        <f t="shared" si="19"/>
        <v>716915.37880293338</v>
      </c>
      <c r="K69" s="232">
        <f t="shared" si="20"/>
        <v>468218.97</v>
      </c>
      <c r="L69" s="232">
        <f>'201909 Bk Depr'!$P$17</f>
        <v>124213.74059025005</v>
      </c>
      <c r="M69" s="27">
        <f t="shared" si="16"/>
        <v>1060920.6082126833</v>
      </c>
      <c r="N69" s="27">
        <f t="shared" si="21"/>
        <v>53046.030410634172</v>
      </c>
      <c r="R69" s="51"/>
    </row>
    <row r="70" spans="1:18">
      <c r="A70" s="52">
        <f t="shared" si="22"/>
        <v>13</v>
      </c>
      <c r="C70" s="61">
        <v>4.4609999999999997E-2</v>
      </c>
      <c r="D70" s="61">
        <v>5.8999999999999997E-2</v>
      </c>
      <c r="F70" s="52">
        <v>10</v>
      </c>
      <c r="G70" s="27">
        <f t="shared" si="17"/>
        <v>74957.403724866672</v>
      </c>
      <c r="H70" s="27">
        <f t="shared" si="18"/>
        <v>74800.47895306666</v>
      </c>
      <c r="I70" s="27">
        <f t="shared" si="15"/>
        <v>513504.55462499999</v>
      </c>
      <c r="J70" s="27">
        <f t="shared" si="19"/>
        <v>663262.43730293331</v>
      </c>
      <c r="K70" s="232">
        <f t="shared" si="20"/>
        <v>413464.76</v>
      </c>
      <c r="L70" s="232">
        <f>'201910 Bk Depr'!$P$17</f>
        <v>128788.92307800002</v>
      </c>
      <c r="M70" s="27">
        <f t="shared" si="16"/>
        <v>947938.27422493324</v>
      </c>
      <c r="N70" s="27">
        <f t="shared" si="21"/>
        <v>47396.913711246663</v>
      </c>
      <c r="R70" s="51"/>
    </row>
    <row r="71" spans="1:18">
      <c r="A71" s="52">
        <f t="shared" si="22"/>
        <v>14</v>
      </c>
      <c r="C71" s="61">
        <v>4.462E-2</v>
      </c>
      <c r="D71" s="61">
        <v>5.91E-2</v>
      </c>
      <c r="F71" s="52">
        <v>11</v>
      </c>
      <c r="G71" s="27">
        <f t="shared" si="17"/>
        <v>74957.403724866672</v>
      </c>
      <c r="H71" s="27">
        <f t="shared" si="18"/>
        <v>74800.47895306666</v>
      </c>
      <c r="I71" s="27">
        <f t="shared" si="15"/>
        <v>393673.29449999996</v>
      </c>
      <c r="J71" s="27">
        <f t="shared" si="19"/>
        <v>543431.17717793328</v>
      </c>
      <c r="K71" s="232">
        <f t="shared" si="20"/>
        <v>503043.61</v>
      </c>
      <c r="L71" s="232">
        <f>'201911 Bk Depr'!$P$17</f>
        <v>133563.94613325002</v>
      </c>
      <c r="M71" s="27">
        <f t="shared" si="16"/>
        <v>912910.84104468324</v>
      </c>
      <c r="N71" s="27">
        <f t="shared" si="21"/>
        <v>45645.542052234166</v>
      </c>
      <c r="R71" s="51"/>
    </row>
    <row r="72" spans="1:18">
      <c r="A72" s="52">
        <f t="shared" si="22"/>
        <v>15</v>
      </c>
      <c r="C72" s="61">
        <v>4.4609999999999997E-2</v>
      </c>
      <c r="D72" s="61">
        <v>5.8999999999999997E-2</v>
      </c>
      <c r="F72" s="52">
        <v>12</v>
      </c>
      <c r="G72" s="27">
        <f t="shared" si="17"/>
        <v>74957.403724866672</v>
      </c>
      <c r="H72" s="27">
        <f t="shared" si="18"/>
        <v>74800.47895306666</v>
      </c>
      <c r="I72" s="27">
        <f t="shared" si="15"/>
        <v>489758.01850000006</v>
      </c>
      <c r="J72" s="27">
        <f t="shared" si="19"/>
        <v>639515.90117793344</v>
      </c>
      <c r="K72" s="232">
        <f>K28</f>
        <v>602073.87</v>
      </c>
      <c r="L72" s="232">
        <f>'201912 Bk Depr'!$P$17</f>
        <v>138358.52017875004</v>
      </c>
      <c r="M72" s="27">
        <f t="shared" si="16"/>
        <v>1103231.2509991834</v>
      </c>
      <c r="N72" s="27">
        <f t="shared" si="21"/>
        <v>55161.56254995917</v>
      </c>
      <c r="R72" s="51"/>
    </row>
    <row r="73" spans="1:18">
      <c r="A73" s="52">
        <f t="shared" si="22"/>
        <v>16</v>
      </c>
      <c r="C73" s="61">
        <v>4.462E-2</v>
      </c>
      <c r="D73" s="61">
        <v>5.91E-2</v>
      </c>
      <c r="G73" s="27"/>
      <c r="H73" s="27"/>
      <c r="I73" s="27"/>
      <c r="J73" s="27"/>
      <c r="K73" s="27"/>
      <c r="L73" s="27"/>
      <c r="M73" s="27" t="str">
        <f t="shared" ref="M73:M87" si="23">IF(L73=0,"",J73+K73-L73)</f>
        <v/>
      </c>
      <c r="N73" s="27" t="str">
        <f t="shared" ref="N73:N87" si="24">IF(M73="","",M73*0.389)</f>
        <v/>
      </c>
      <c r="O73" s="51"/>
      <c r="P73" s="51"/>
      <c r="Q73" s="51"/>
      <c r="R73" s="27" t="str">
        <f t="shared" ref="R73:R87" si="25">IF(N73="","",R72+N73)</f>
        <v/>
      </c>
    </row>
    <row r="74" spans="1:18">
      <c r="A74" s="52">
        <f t="shared" si="22"/>
        <v>17</v>
      </c>
      <c r="C74" s="61">
        <v>4.4609999999999997E-2</v>
      </c>
      <c r="D74" s="61">
        <v>5.8999999999999997E-2</v>
      </c>
      <c r="G74" s="27"/>
      <c r="H74" s="27"/>
      <c r="I74" s="27"/>
      <c r="J74" s="27"/>
      <c r="K74" s="27"/>
      <c r="L74" s="27"/>
      <c r="M74" s="27" t="str">
        <f t="shared" si="23"/>
        <v/>
      </c>
      <c r="N74" s="27" t="str">
        <f t="shared" si="24"/>
        <v/>
      </c>
      <c r="O74" s="51"/>
      <c r="P74" s="51"/>
      <c r="Q74" s="51"/>
      <c r="R74" s="27" t="str">
        <f t="shared" si="25"/>
        <v/>
      </c>
    </row>
    <row r="75" spans="1:18">
      <c r="A75" s="52">
        <f t="shared" si="22"/>
        <v>18</v>
      </c>
      <c r="C75" s="61">
        <v>4.462E-2</v>
      </c>
      <c r="D75" s="61">
        <v>5.91E-2</v>
      </c>
      <c r="G75" s="27"/>
      <c r="H75" s="27"/>
      <c r="I75" s="27"/>
      <c r="J75" s="27"/>
      <c r="K75" s="27"/>
      <c r="L75" s="27"/>
      <c r="M75" s="27" t="str">
        <f t="shared" si="23"/>
        <v/>
      </c>
      <c r="N75" s="27" t="str">
        <f t="shared" si="24"/>
        <v/>
      </c>
      <c r="O75" s="51"/>
      <c r="P75" s="51"/>
      <c r="Q75" s="51"/>
      <c r="R75" s="27" t="str">
        <f t="shared" si="25"/>
        <v/>
      </c>
    </row>
    <row r="76" spans="1:18">
      <c r="A76" s="52">
        <f t="shared" si="22"/>
        <v>19</v>
      </c>
      <c r="C76" s="61">
        <v>4.4609999999999997E-2</v>
      </c>
      <c r="D76" s="61">
        <v>2.9499999999999998E-2</v>
      </c>
      <c r="G76" s="27"/>
      <c r="H76" s="27"/>
      <c r="I76" s="27"/>
      <c r="J76" s="27"/>
      <c r="K76" s="27"/>
      <c r="L76" s="27"/>
      <c r="M76" s="27" t="str">
        <f t="shared" si="23"/>
        <v/>
      </c>
      <c r="N76" s="27" t="str">
        <f t="shared" si="24"/>
        <v/>
      </c>
      <c r="O76" s="51"/>
      <c r="P76" s="51"/>
      <c r="Q76" s="51"/>
      <c r="R76" s="27" t="str">
        <f t="shared" si="25"/>
        <v/>
      </c>
    </row>
    <row r="77" spans="1:18">
      <c r="A77" s="52">
        <f t="shared" si="22"/>
        <v>20</v>
      </c>
      <c r="C77" s="61">
        <v>4.462E-2</v>
      </c>
      <c r="D77" s="61">
        <v>0</v>
      </c>
      <c r="G77" s="27"/>
      <c r="H77" s="27"/>
      <c r="I77" s="27"/>
      <c r="J77" s="27"/>
      <c r="K77" s="27"/>
      <c r="L77" s="27"/>
      <c r="M77" s="27" t="str">
        <f t="shared" si="23"/>
        <v/>
      </c>
      <c r="N77" s="27" t="str">
        <f t="shared" si="24"/>
        <v/>
      </c>
      <c r="O77" s="51"/>
      <c r="P77" s="51"/>
      <c r="Q77" s="51"/>
      <c r="R77" s="27" t="str">
        <f t="shared" si="25"/>
        <v/>
      </c>
    </row>
    <row r="78" spans="1:18">
      <c r="A78" s="52">
        <f t="shared" si="22"/>
        <v>21</v>
      </c>
      <c r="C78" s="61">
        <v>4.4609999999999997E-2</v>
      </c>
      <c r="D78" s="61">
        <v>0</v>
      </c>
      <c r="G78" s="27"/>
      <c r="H78" s="27"/>
      <c r="I78" s="27"/>
      <c r="J78" s="27"/>
      <c r="K78" s="27"/>
      <c r="L78" s="27"/>
      <c r="M78" s="27" t="str">
        <f t="shared" si="23"/>
        <v/>
      </c>
      <c r="N78" s="27" t="str">
        <f t="shared" si="24"/>
        <v/>
      </c>
      <c r="O78" s="51"/>
      <c r="P78" s="51"/>
      <c r="Q78" s="51"/>
      <c r="R78" s="27" t="str">
        <f t="shared" si="25"/>
        <v/>
      </c>
    </row>
    <row r="79" spans="1:18">
      <c r="A79" s="52">
        <f t="shared" si="22"/>
        <v>22</v>
      </c>
      <c r="C79" s="61">
        <v>4.462E-2</v>
      </c>
      <c r="D79" s="61">
        <v>0</v>
      </c>
      <c r="G79" s="27"/>
      <c r="H79" s="27"/>
      <c r="I79" s="27"/>
      <c r="J79" s="27"/>
      <c r="K79" s="27"/>
      <c r="L79" s="27"/>
      <c r="M79" s="27" t="str">
        <f t="shared" si="23"/>
        <v/>
      </c>
      <c r="N79" s="27" t="str">
        <f t="shared" si="24"/>
        <v/>
      </c>
      <c r="O79" s="51"/>
      <c r="P79" s="51"/>
      <c r="Q79" s="51"/>
      <c r="R79" s="27" t="str">
        <f t="shared" si="25"/>
        <v/>
      </c>
    </row>
    <row r="80" spans="1:18">
      <c r="A80" s="52">
        <f t="shared" si="22"/>
        <v>23</v>
      </c>
      <c r="C80" s="61">
        <v>4.4609999999999997E-2</v>
      </c>
      <c r="D80" s="61">
        <v>0</v>
      </c>
      <c r="G80" s="27"/>
      <c r="H80" s="27"/>
      <c r="I80" s="27"/>
      <c r="J80" s="27"/>
      <c r="K80" s="27"/>
      <c r="L80" s="27"/>
      <c r="M80" s="27" t="str">
        <f t="shared" si="23"/>
        <v/>
      </c>
      <c r="N80" s="27" t="str">
        <f t="shared" si="24"/>
        <v/>
      </c>
      <c r="O80" s="51"/>
      <c r="P80" s="51"/>
      <c r="Q80" s="51"/>
      <c r="R80" s="27" t="str">
        <f t="shared" si="25"/>
        <v/>
      </c>
    </row>
    <row r="81" spans="1:18">
      <c r="A81" s="52">
        <f t="shared" si="22"/>
        <v>24</v>
      </c>
      <c r="C81" s="61">
        <v>2.231E-2</v>
      </c>
      <c r="D81" s="61">
        <v>0</v>
      </c>
      <c r="G81" s="27"/>
      <c r="H81" s="27"/>
      <c r="I81" s="27"/>
      <c r="J81" s="27"/>
      <c r="K81" s="27"/>
      <c r="L81" s="27"/>
      <c r="M81" s="27" t="str">
        <f t="shared" si="23"/>
        <v/>
      </c>
      <c r="N81" s="27" t="str">
        <f t="shared" si="24"/>
        <v/>
      </c>
      <c r="O81" s="51"/>
      <c r="P81" s="51"/>
      <c r="Q81" s="51"/>
      <c r="R81" s="27" t="str">
        <f t="shared" si="25"/>
        <v/>
      </c>
    </row>
    <row r="82" spans="1:18">
      <c r="A82" s="52">
        <f t="shared" si="22"/>
        <v>25</v>
      </c>
      <c r="C82" s="61">
        <v>0</v>
      </c>
      <c r="D82" s="61">
        <v>0</v>
      </c>
      <c r="G82" s="27"/>
      <c r="H82" s="27"/>
      <c r="I82" s="27"/>
      <c r="J82" s="27"/>
      <c r="K82" s="27"/>
      <c r="L82" s="27"/>
      <c r="M82" s="27" t="str">
        <f t="shared" si="23"/>
        <v/>
      </c>
      <c r="N82" s="27" t="str">
        <f t="shared" si="24"/>
        <v/>
      </c>
      <c r="O82" s="51"/>
      <c r="P82" s="51"/>
      <c r="Q82" s="51"/>
      <c r="R82" s="27" t="str">
        <f t="shared" si="25"/>
        <v/>
      </c>
    </row>
    <row r="83" spans="1:18">
      <c r="A83" s="52">
        <f t="shared" si="22"/>
        <v>26</v>
      </c>
      <c r="C83" s="61">
        <v>0</v>
      </c>
      <c r="G83" s="27"/>
      <c r="H83" s="27"/>
      <c r="I83" s="27"/>
      <c r="J83" s="27"/>
      <c r="M83" s="27" t="str">
        <f t="shared" si="23"/>
        <v/>
      </c>
      <c r="N83" s="27" t="str">
        <f t="shared" si="24"/>
        <v/>
      </c>
      <c r="O83" s="51"/>
      <c r="P83" s="51"/>
      <c r="Q83" s="51"/>
      <c r="R83" s="27" t="str">
        <f t="shared" si="25"/>
        <v/>
      </c>
    </row>
    <row r="84" spans="1:18">
      <c r="A84" s="52">
        <f t="shared" si="22"/>
        <v>27</v>
      </c>
      <c r="C84" s="61">
        <v>0</v>
      </c>
      <c r="G84" s="27"/>
      <c r="H84" s="27"/>
      <c r="I84" s="27"/>
      <c r="J84" s="27"/>
      <c r="M84" s="27" t="str">
        <f t="shared" si="23"/>
        <v/>
      </c>
      <c r="N84" s="27" t="str">
        <f t="shared" si="24"/>
        <v/>
      </c>
      <c r="O84" s="51"/>
      <c r="P84" s="51"/>
      <c r="Q84" s="51"/>
      <c r="R84" s="27" t="str">
        <f t="shared" si="25"/>
        <v/>
      </c>
    </row>
    <row r="85" spans="1:18">
      <c r="A85" s="52">
        <f t="shared" si="22"/>
        <v>28</v>
      </c>
      <c r="C85" s="61">
        <v>0</v>
      </c>
      <c r="G85" s="27"/>
      <c r="H85" s="27"/>
      <c r="I85" s="27"/>
      <c r="J85" s="27"/>
      <c r="M85" s="27" t="str">
        <f t="shared" si="23"/>
        <v/>
      </c>
      <c r="N85" s="27" t="str">
        <f t="shared" si="24"/>
        <v/>
      </c>
      <c r="O85" s="51"/>
      <c r="P85" s="51"/>
      <c r="Q85" s="51"/>
      <c r="R85" s="27" t="str">
        <f t="shared" si="25"/>
        <v/>
      </c>
    </row>
    <row r="86" spans="1:18">
      <c r="A86" s="52">
        <f t="shared" si="22"/>
        <v>29</v>
      </c>
      <c r="C86" s="61">
        <v>0</v>
      </c>
      <c r="G86" s="27"/>
      <c r="H86" s="27"/>
      <c r="I86" s="27"/>
      <c r="J86" s="27"/>
      <c r="M86" s="27" t="str">
        <f t="shared" si="23"/>
        <v/>
      </c>
      <c r="N86" s="27" t="str">
        <f t="shared" si="24"/>
        <v/>
      </c>
      <c r="O86" s="51"/>
      <c r="P86" s="51"/>
      <c r="Q86" s="51"/>
      <c r="R86" s="27" t="str">
        <f t="shared" si="25"/>
        <v/>
      </c>
    </row>
    <row r="87" spans="1:18">
      <c r="A87" s="52">
        <f t="shared" si="22"/>
        <v>30</v>
      </c>
      <c r="C87" s="61">
        <v>0</v>
      </c>
      <c r="J87" s="27"/>
      <c r="M87" s="27" t="str">
        <f t="shared" si="23"/>
        <v/>
      </c>
      <c r="N87" s="27" t="str">
        <f t="shared" si="24"/>
        <v/>
      </c>
      <c r="R87" s="27" t="str">
        <f t="shared" si="25"/>
        <v/>
      </c>
    </row>
    <row r="88" spans="1:18">
      <c r="A88" s="52">
        <f t="shared" si="22"/>
        <v>31</v>
      </c>
      <c r="G88" s="27">
        <f t="shared" ref="G88:N88" si="26">SUM(G61:G87)</f>
        <v>899488.84469840012</v>
      </c>
      <c r="H88" s="27">
        <f t="shared" si="26"/>
        <v>897605.74743679969</v>
      </c>
      <c r="I88" s="27">
        <f t="shared" si="26"/>
        <v>7011339.8004999999</v>
      </c>
      <c r="J88" s="27">
        <f t="shared" si="26"/>
        <v>8808434.3926352002</v>
      </c>
      <c r="K88" s="27">
        <f t="shared" si="26"/>
        <v>4623567.2799999993</v>
      </c>
      <c r="L88" s="27">
        <f t="shared" si="26"/>
        <v>1339501.8727035001</v>
      </c>
      <c r="M88" s="27">
        <f t="shared" si="26"/>
        <v>12092499.799931698</v>
      </c>
      <c r="N88" s="27">
        <f t="shared" si="26"/>
        <v>604624.98999658495</v>
      </c>
      <c r="O88" s="27"/>
      <c r="P88" s="27"/>
      <c r="Q88" s="27"/>
      <c r="R88" s="27"/>
    </row>
    <row r="89" spans="1:18">
      <c r="G89" s="27"/>
      <c r="H89" s="27"/>
      <c r="I89" s="27"/>
      <c r="J89" s="27"/>
      <c r="K89" s="27"/>
      <c r="L89" s="27"/>
      <c r="R89" s="27"/>
    </row>
    <row r="91" spans="1:18">
      <c r="B91" s="60" t="s">
        <v>166</v>
      </c>
      <c r="C91" s="52" t="s">
        <v>491</v>
      </c>
    </row>
    <row r="92" spans="1:18">
      <c r="B92" s="60" t="s">
        <v>167</v>
      </c>
      <c r="C92" s="52" t="s">
        <v>490</v>
      </c>
      <c r="D92" s="246"/>
    </row>
    <row r="93" spans="1:18">
      <c r="B93" s="60" t="s">
        <v>168</v>
      </c>
      <c r="C93" s="52" t="s">
        <v>489</v>
      </c>
    </row>
  </sheetData>
  <pageMargins left="0.7" right="0.7" top="0.75" bottom="0.75" header="0.3" footer="0.3"/>
  <pageSetup scale="56" orientation="landscape" r:id="rId1"/>
  <headerFooter>
    <oddFooter>&amp;R&amp;"Times New Roman,Bold"&amp;17Exhibit 4
Page 17 of 17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339"/>
  <sheetViews>
    <sheetView workbookViewId="0"/>
  </sheetViews>
  <sheetFormatPr defaultRowHeight="13.2"/>
  <cols>
    <col min="3" max="3" width="12.5546875" bestFit="1" customWidth="1"/>
    <col min="4" max="4" width="32.77734375" bestFit="1" customWidth="1"/>
    <col min="5" max="5" width="5.21875" customWidth="1"/>
    <col min="6" max="18" width="10.77734375" customWidth="1"/>
    <col min="20" max="20" width="10.77734375" bestFit="1" customWidth="1"/>
  </cols>
  <sheetData>
    <row r="1" spans="1:20">
      <c r="A1" s="2" t="s">
        <v>275</v>
      </c>
    </row>
    <row r="2" spans="1:20">
      <c r="A2" s="2" t="s">
        <v>276</v>
      </c>
    </row>
    <row r="3" spans="1:20">
      <c r="A3" s="2" t="s">
        <v>499</v>
      </c>
    </row>
    <row r="4" spans="1:20">
      <c r="A4" s="2"/>
    </row>
    <row r="5" spans="1:20">
      <c r="A5" t="s">
        <v>483</v>
      </c>
      <c r="B5" t="s">
        <v>500</v>
      </c>
    </row>
    <row r="7" spans="1:20">
      <c r="A7" t="s">
        <v>278</v>
      </c>
      <c r="B7" t="s">
        <v>139</v>
      </c>
      <c r="C7" t="s">
        <v>141</v>
      </c>
      <c r="D7" t="s">
        <v>279</v>
      </c>
      <c r="E7" t="s">
        <v>143</v>
      </c>
      <c r="F7" t="s">
        <v>280</v>
      </c>
      <c r="G7" t="s">
        <v>281</v>
      </c>
      <c r="H7" t="s">
        <v>282</v>
      </c>
      <c r="I7" t="s">
        <v>283</v>
      </c>
      <c r="J7" t="s">
        <v>284</v>
      </c>
      <c r="K7" t="s">
        <v>285</v>
      </c>
      <c r="L7" t="s">
        <v>286</v>
      </c>
      <c r="M7" t="s">
        <v>287</v>
      </c>
      <c r="N7" t="s">
        <v>288</v>
      </c>
      <c r="O7" t="s">
        <v>289</v>
      </c>
      <c r="P7" t="s">
        <v>290</v>
      </c>
      <c r="Q7" t="s">
        <v>291</v>
      </c>
      <c r="R7" s="439" t="s">
        <v>292</v>
      </c>
    </row>
    <row r="8" spans="1:20">
      <c r="A8" t="s">
        <v>293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40"/>
    </row>
    <row r="9" spans="1:20">
      <c r="A9">
        <v>380</v>
      </c>
      <c r="B9" t="s">
        <v>113</v>
      </c>
      <c r="C9" s="423" t="s">
        <v>114</v>
      </c>
      <c r="D9" s="423" t="s">
        <v>115</v>
      </c>
      <c r="E9">
        <v>2019</v>
      </c>
      <c r="F9" s="427">
        <f t="shared" ref="F9:Q18" si="0">SUMIFS($O$55:$O$339,$A$55:$A$339,F$7,$B$55:$B$339,$A9,$C$55:$C$339,$C9)</f>
        <v>0</v>
      </c>
      <c r="G9" s="422">
        <f t="shared" si="0"/>
        <v>0</v>
      </c>
      <c r="H9" s="422">
        <f t="shared" si="0"/>
        <v>1054768.6599999999</v>
      </c>
      <c r="I9" s="422">
        <f t="shared" si="0"/>
        <v>269152.17</v>
      </c>
      <c r="J9" s="422">
        <f t="shared" si="0"/>
        <v>314241.31</v>
      </c>
      <c r="K9" s="422">
        <f t="shared" si="0"/>
        <v>180309.94</v>
      </c>
      <c r="L9" s="422">
        <f t="shared" si="0"/>
        <v>216193.19</v>
      </c>
      <c r="M9" s="422">
        <f t="shared" si="0"/>
        <v>203113.62999999974</v>
      </c>
      <c r="N9" s="422">
        <f t="shared" si="0"/>
        <v>209453.17</v>
      </c>
      <c r="O9" s="422">
        <f t="shared" si="0"/>
        <v>248626.05</v>
      </c>
      <c r="P9" s="422">
        <f t="shared" si="0"/>
        <v>152162.60999999999</v>
      </c>
      <c r="Q9" s="422">
        <f t="shared" si="0"/>
        <v>132148.76</v>
      </c>
      <c r="R9" s="440">
        <f>SUM(F9:Q9)</f>
        <v>2980169.4899999993</v>
      </c>
    </row>
    <row r="10" spans="1:20">
      <c r="A10">
        <v>380</v>
      </c>
      <c r="C10" s="423" t="s">
        <v>116</v>
      </c>
      <c r="D10" s="423" t="s">
        <v>117</v>
      </c>
      <c r="E10">
        <v>2019</v>
      </c>
      <c r="F10" s="427">
        <f t="shared" si="0"/>
        <v>8345.9699999999993</v>
      </c>
      <c r="G10" s="422">
        <f t="shared" si="0"/>
        <v>5312.59</v>
      </c>
      <c r="H10" s="422">
        <f t="shared" si="0"/>
        <v>0</v>
      </c>
      <c r="I10" s="422">
        <f t="shared" si="0"/>
        <v>6316.84</v>
      </c>
      <c r="J10" s="422">
        <f t="shared" si="0"/>
        <v>8709.7900000000009</v>
      </c>
      <c r="K10" s="422">
        <f t="shared" si="0"/>
        <v>19087.150000000001</v>
      </c>
      <c r="L10" s="422">
        <f t="shared" si="0"/>
        <v>9034.86</v>
      </c>
      <c r="M10" s="422">
        <f t="shared" si="0"/>
        <v>5648.369999999999</v>
      </c>
      <c r="N10" s="422">
        <f t="shared" si="0"/>
        <v>2027.89</v>
      </c>
      <c r="O10" s="422">
        <f t="shared" si="0"/>
        <v>2163.19</v>
      </c>
      <c r="P10" s="422">
        <f t="shared" si="0"/>
        <v>4403.7299999999996</v>
      </c>
      <c r="Q10" s="422">
        <f t="shared" si="0"/>
        <v>11487.86</v>
      </c>
      <c r="R10" s="440">
        <f t="shared" ref="R10:R26" si="1">SUM(F10:Q10)</f>
        <v>82538.240000000005</v>
      </c>
    </row>
    <row r="11" spans="1:20">
      <c r="A11">
        <v>380</v>
      </c>
      <c r="C11" s="423" t="s">
        <v>118</v>
      </c>
      <c r="D11" s="423" t="s">
        <v>119</v>
      </c>
      <c r="E11">
        <v>2019</v>
      </c>
      <c r="F11" s="427">
        <f t="shared" si="0"/>
        <v>-13621.14</v>
      </c>
      <c r="G11" s="422">
        <f t="shared" si="0"/>
        <v>15790.08</v>
      </c>
      <c r="H11" s="422">
        <f t="shared" si="0"/>
        <v>2852.37</v>
      </c>
      <c r="I11" s="422">
        <f t="shared" si="0"/>
        <v>1018.98</v>
      </c>
      <c r="J11" s="422">
        <f t="shared" si="0"/>
        <v>3696.93</v>
      </c>
      <c r="K11" s="422">
        <f t="shared" si="0"/>
        <v>0</v>
      </c>
      <c r="L11" s="422">
        <f t="shared" si="0"/>
        <v>523.55999999999995</v>
      </c>
      <c r="M11" s="422">
        <f t="shared" si="0"/>
        <v>0</v>
      </c>
      <c r="N11" s="422">
        <f t="shared" si="0"/>
        <v>845.01</v>
      </c>
      <c r="O11" s="422">
        <f t="shared" si="0"/>
        <v>17011.22</v>
      </c>
      <c r="P11" s="422">
        <f t="shared" si="0"/>
        <v>6171.64</v>
      </c>
      <c r="Q11" s="422">
        <f t="shared" si="0"/>
        <v>60339</v>
      </c>
      <c r="R11" s="440">
        <f t="shared" si="1"/>
        <v>94627.65</v>
      </c>
    </row>
    <row r="12" spans="1:20">
      <c r="A12">
        <v>380</v>
      </c>
      <c r="C12" s="423" t="s">
        <v>120</v>
      </c>
      <c r="D12" s="423" t="s">
        <v>121</v>
      </c>
      <c r="E12">
        <v>2019</v>
      </c>
      <c r="F12" s="428">
        <f t="shared" si="0"/>
        <v>457313.39</v>
      </c>
      <c r="G12" s="422">
        <f t="shared" si="0"/>
        <v>278665.15000000002</v>
      </c>
      <c r="H12" s="422">
        <f t="shared" si="0"/>
        <v>428131.92</v>
      </c>
      <c r="I12" s="422">
        <f t="shared" si="0"/>
        <v>286209.09999999998</v>
      </c>
      <c r="J12" s="422">
        <f t="shared" si="0"/>
        <v>314530.95</v>
      </c>
      <c r="K12" s="422">
        <f t="shared" si="0"/>
        <v>377695.32</v>
      </c>
      <c r="L12" s="422">
        <f t="shared" si="0"/>
        <v>384921.36</v>
      </c>
      <c r="M12" s="422">
        <f t="shared" si="0"/>
        <v>372946.73999999976</v>
      </c>
      <c r="N12" s="422">
        <f t="shared" si="0"/>
        <v>422411.35</v>
      </c>
      <c r="O12" s="422">
        <f t="shared" si="0"/>
        <v>471489.46</v>
      </c>
      <c r="P12" s="422">
        <f t="shared" si="0"/>
        <v>466468.35</v>
      </c>
      <c r="Q12" s="422">
        <f t="shared" si="0"/>
        <v>451090.26</v>
      </c>
      <c r="R12" s="440">
        <f t="shared" si="1"/>
        <v>4711873.3499999996</v>
      </c>
    </row>
    <row r="13" spans="1:20">
      <c r="A13">
        <v>380</v>
      </c>
      <c r="C13" s="423" t="s">
        <v>122</v>
      </c>
      <c r="D13" s="423" t="s">
        <v>219</v>
      </c>
      <c r="E13">
        <v>2019</v>
      </c>
      <c r="F13" s="428">
        <f t="shared" si="0"/>
        <v>-20586.79</v>
      </c>
      <c r="G13" s="422">
        <f t="shared" si="0"/>
        <v>24815.56</v>
      </c>
      <c r="H13" s="422">
        <f t="shared" si="0"/>
        <v>3486.26</v>
      </c>
      <c r="I13" s="422">
        <f t="shared" si="0"/>
        <v>922.03</v>
      </c>
      <c r="J13" s="422">
        <f t="shared" si="0"/>
        <v>1761.37</v>
      </c>
      <c r="K13" s="422">
        <f t="shared" si="0"/>
        <v>6242.28</v>
      </c>
      <c r="L13" s="422">
        <f t="shared" si="0"/>
        <v>8213.9699999999993</v>
      </c>
      <c r="M13" s="422">
        <f t="shared" si="0"/>
        <v>10163.890000000007</v>
      </c>
      <c r="N13" s="422">
        <f t="shared" si="0"/>
        <v>8868.14</v>
      </c>
      <c r="O13" s="422">
        <f t="shared" si="0"/>
        <v>5016.43</v>
      </c>
      <c r="P13" s="422">
        <f t="shared" si="0"/>
        <v>5697.69</v>
      </c>
      <c r="Q13" s="422">
        <f t="shared" si="0"/>
        <v>5183.21</v>
      </c>
      <c r="R13" s="440">
        <f t="shared" si="1"/>
        <v>59784.040000000008</v>
      </c>
    </row>
    <row r="14" spans="1:20">
      <c r="A14">
        <v>380</v>
      </c>
      <c r="C14" s="423" t="s">
        <v>296</v>
      </c>
      <c r="D14" s="423" t="s">
        <v>297</v>
      </c>
      <c r="E14">
        <v>2019</v>
      </c>
      <c r="F14" s="428">
        <f t="shared" si="0"/>
        <v>-65430.65</v>
      </c>
      <c r="G14" s="422">
        <f t="shared" si="0"/>
        <v>69345.33</v>
      </c>
      <c r="H14" s="422">
        <f t="shared" si="0"/>
        <v>0</v>
      </c>
      <c r="I14" s="422">
        <f t="shared" si="0"/>
        <v>0</v>
      </c>
      <c r="J14" s="422">
        <f t="shared" si="0"/>
        <v>0</v>
      </c>
      <c r="K14" s="422">
        <f t="shared" si="0"/>
        <v>3553.6</v>
      </c>
      <c r="L14" s="422">
        <f t="shared" si="0"/>
        <v>246.85</v>
      </c>
      <c r="M14" s="422">
        <f t="shared" si="0"/>
        <v>0</v>
      </c>
      <c r="N14" s="422">
        <f t="shared" si="0"/>
        <v>1264.29</v>
      </c>
      <c r="O14" s="422">
        <f t="shared" si="0"/>
        <v>8787.6</v>
      </c>
      <c r="P14" s="422">
        <f t="shared" si="0"/>
        <v>1568.78</v>
      </c>
      <c r="Q14" s="422">
        <f t="shared" si="0"/>
        <v>10927.35</v>
      </c>
      <c r="R14" s="440">
        <f t="shared" si="1"/>
        <v>30263.15</v>
      </c>
      <c r="T14" s="422"/>
    </row>
    <row r="15" spans="1:20">
      <c r="A15">
        <v>380</v>
      </c>
      <c r="C15" s="423" t="s">
        <v>223</v>
      </c>
      <c r="D15" s="423" t="s">
        <v>224</v>
      </c>
      <c r="E15">
        <v>2019</v>
      </c>
      <c r="F15" s="428">
        <f t="shared" si="0"/>
        <v>-113371.91999999993</v>
      </c>
      <c r="G15" s="422">
        <f t="shared" si="0"/>
        <v>953.5</v>
      </c>
      <c r="H15" s="422">
        <f t="shared" si="0"/>
        <v>0</v>
      </c>
      <c r="I15" s="422">
        <f t="shared" si="0"/>
        <v>-9.3132257461547852E-10</v>
      </c>
      <c r="J15" s="422">
        <f t="shared" si="0"/>
        <v>-6.9849193096160889E-10</v>
      </c>
      <c r="K15" s="422">
        <f t="shared" si="0"/>
        <v>0</v>
      </c>
      <c r="L15" s="422">
        <f t="shared" si="0"/>
        <v>0</v>
      </c>
      <c r="M15" s="422">
        <f t="shared" si="0"/>
        <v>0</v>
      </c>
      <c r="N15" s="422">
        <f t="shared" si="0"/>
        <v>4212.38</v>
      </c>
      <c r="O15" s="422">
        <f t="shared" si="0"/>
        <v>0</v>
      </c>
      <c r="P15" s="422">
        <f t="shared" si="0"/>
        <v>0</v>
      </c>
      <c r="Q15" s="422">
        <f t="shared" si="0"/>
        <v>0</v>
      </c>
      <c r="R15" s="440">
        <f t="shared" si="1"/>
        <v>-108206.04000000155</v>
      </c>
    </row>
    <row r="16" spans="1:20">
      <c r="A16">
        <v>376</v>
      </c>
      <c r="C16" s="424" t="s">
        <v>123</v>
      </c>
      <c r="D16" s="424" t="s">
        <v>124</v>
      </c>
      <c r="E16">
        <v>2019</v>
      </c>
      <c r="F16" s="422">
        <f t="shared" si="0"/>
        <v>-4250.5899999999674</v>
      </c>
      <c r="G16" s="422">
        <f t="shared" si="0"/>
        <v>14464.93</v>
      </c>
      <c r="H16" s="422">
        <f t="shared" si="0"/>
        <v>0</v>
      </c>
      <c r="I16" s="422">
        <f t="shared" si="0"/>
        <v>38923.71</v>
      </c>
      <c r="J16" s="422">
        <f t="shared" si="0"/>
        <v>20480.28</v>
      </c>
      <c r="K16" s="422">
        <f t="shared" si="0"/>
        <v>21227.07</v>
      </c>
      <c r="L16" s="422">
        <f t="shared" si="0"/>
        <v>23381.06</v>
      </c>
      <c r="M16" s="422">
        <f t="shared" si="0"/>
        <v>21802.720000000001</v>
      </c>
      <c r="N16" s="422">
        <f t="shared" si="0"/>
        <v>18614.91</v>
      </c>
      <c r="O16" s="422">
        <f t="shared" si="0"/>
        <v>19615.71</v>
      </c>
      <c r="P16" s="422">
        <f t="shared" si="0"/>
        <v>79040.13</v>
      </c>
      <c r="Q16" s="422">
        <f t="shared" si="0"/>
        <v>13353.02</v>
      </c>
      <c r="R16" s="440">
        <f t="shared" si="1"/>
        <v>266652.95</v>
      </c>
    </row>
    <row r="17" spans="1:18">
      <c r="A17">
        <v>376</v>
      </c>
      <c r="C17" s="424" t="s">
        <v>128</v>
      </c>
      <c r="D17" s="424" t="s">
        <v>129</v>
      </c>
      <c r="E17">
        <v>2019</v>
      </c>
      <c r="F17" s="427">
        <f t="shared" si="0"/>
        <v>476.57999999998719</v>
      </c>
      <c r="G17" s="422">
        <f t="shared" si="0"/>
        <v>0</v>
      </c>
      <c r="H17" s="422">
        <f t="shared" si="0"/>
        <v>0</v>
      </c>
      <c r="I17" s="422">
        <f t="shared" si="0"/>
        <v>0</v>
      </c>
      <c r="J17" s="422">
        <f t="shared" si="0"/>
        <v>0</v>
      </c>
      <c r="K17" s="422">
        <f t="shared" si="0"/>
        <v>0</v>
      </c>
      <c r="L17" s="422">
        <f t="shared" si="0"/>
        <v>0</v>
      </c>
      <c r="M17" s="422">
        <f t="shared" si="0"/>
        <v>0</v>
      </c>
      <c r="N17" s="422">
        <f t="shared" si="0"/>
        <v>0</v>
      </c>
      <c r="O17" s="422">
        <f t="shared" si="0"/>
        <v>-504.98</v>
      </c>
      <c r="P17" s="422">
        <f t="shared" si="0"/>
        <v>0</v>
      </c>
      <c r="Q17" s="422">
        <f t="shared" si="0"/>
        <v>0</v>
      </c>
      <c r="R17" s="440">
        <f t="shared" si="1"/>
        <v>-28.400000000012824</v>
      </c>
    </row>
    <row r="18" spans="1:18">
      <c r="A18">
        <v>376</v>
      </c>
      <c r="C18" s="424" t="s">
        <v>126</v>
      </c>
      <c r="D18" s="424" t="s">
        <v>127</v>
      </c>
      <c r="E18">
        <v>2019</v>
      </c>
      <c r="F18" s="3">
        <f t="shared" si="0"/>
        <v>1520.0200000000004</v>
      </c>
      <c r="G18" s="422">
        <f t="shared" si="0"/>
        <v>121.79</v>
      </c>
      <c r="H18" s="422">
        <f t="shared" si="0"/>
        <v>0</v>
      </c>
      <c r="I18" s="422">
        <f t="shared" si="0"/>
        <v>0</v>
      </c>
      <c r="J18" s="422">
        <f t="shared" si="0"/>
        <v>0</v>
      </c>
      <c r="K18" s="422">
        <f t="shared" si="0"/>
        <v>0</v>
      </c>
      <c r="L18" s="422">
        <f t="shared" si="0"/>
        <v>0</v>
      </c>
      <c r="M18" s="422">
        <f t="shared" si="0"/>
        <v>0</v>
      </c>
      <c r="N18" s="422">
        <f t="shared" si="0"/>
        <v>0</v>
      </c>
      <c r="O18" s="422">
        <f t="shared" si="0"/>
        <v>0</v>
      </c>
      <c r="P18" s="422">
        <f t="shared" si="0"/>
        <v>0</v>
      </c>
      <c r="Q18" s="422">
        <f t="shared" si="0"/>
        <v>0</v>
      </c>
      <c r="R18" s="440">
        <f t="shared" si="1"/>
        <v>1641.8100000000004</v>
      </c>
    </row>
    <row r="19" spans="1:18">
      <c r="A19">
        <v>376</v>
      </c>
      <c r="C19" s="424" t="s">
        <v>130</v>
      </c>
      <c r="D19" s="424" t="s">
        <v>131</v>
      </c>
      <c r="E19">
        <v>2019</v>
      </c>
      <c r="F19" s="427">
        <f t="shared" ref="F19:Q25" si="2">SUMIFS($O$55:$O$339,$A$55:$A$339,F$7,$B$55:$B$339,$A19,$C$55:$C$339,$C19)</f>
        <v>0</v>
      </c>
      <c r="G19" s="422">
        <f t="shared" si="2"/>
        <v>81.099999999999994</v>
      </c>
      <c r="H19" s="422">
        <f t="shared" si="2"/>
        <v>0</v>
      </c>
      <c r="I19" s="422">
        <f t="shared" si="2"/>
        <v>0</v>
      </c>
      <c r="J19" s="422">
        <f t="shared" si="2"/>
        <v>0</v>
      </c>
      <c r="K19" s="422">
        <f t="shared" si="2"/>
        <v>43.98</v>
      </c>
      <c r="L19" s="422">
        <f t="shared" si="2"/>
        <v>0</v>
      </c>
      <c r="M19" s="422">
        <f t="shared" si="2"/>
        <v>207.52</v>
      </c>
      <c r="N19" s="422">
        <f t="shared" si="2"/>
        <v>346.58</v>
      </c>
      <c r="O19" s="422">
        <f t="shared" si="2"/>
        <v>971.83</v>
      </c>
      <c r="P19" s="422">
        <f t="shared" si="2"/>
        <v>830.88</v>
      </c>
      <c r="Q19" s="422">
        <f t="shared" si="2"/>
        <v>661.53</v>
      </c>
      <c r="R19" s="440">
        <f t="shared" si="1"/>
        <v>3143.42</v>
      </c>
    </row>
    <row r="20" spans="1:18">
      <c r="A20">
        <v>380</v>
      </c>
      <c r="C20" s="425" t="s">
        <v>130</v>
      </c>
      <c r="D20" s="425" t="s">
        <v>131</v>
      </c>
      <c r="E20">
        <v>2019</v>
      </c>
      <c r="F20" s="427">
        <f t="shared" si="2"/>
        <v>516934.82</v>
      </c>
      <c r="G20" s="422">
        <f t="shared" si="2"/>
        <v>199834.85</v>
      </c>
      <c r="H20" s="422">
        <f t="shared" si="2"/>
        <v>0</v>
      </c>
      <c r="I20" s="422">
        <f t="shared" si="2"/>
        <v>528130.11</v>
      </c>
      <c r="J20" s="422">
        <f t="shared" si="2"/>
        <v>333182.82</v>
      </c>
      <c r="K20" s="422">
        <f t="shared" si="2"/>
        <v>303068.81</v>
      </c>
      <c r="L20" s="422">
        <f t="shared" si="2"/>
        <v>284864.46000000002</v>
      </c>
      <c r="M20" s="422">
        <f t="shared" si="2"/>
        <v>232409.20999999996</v>
      </c>
      <c r="N20" s="422">
        <f t="shared" si="2"/>
        <v>308155.68</v>
      </c>
      <c r="O20" s="422">
        <f t="shared" si="2"/>
        <v>200869.63</v>
      </c>
      <c r="P20" s="422">
        <f t="shared" si="2"/>
        <v>168482.88</v>
      </c>
      <c r="Q20" s="422">
        <f t="shared" si="2"/>
        <v>238878.51</v>
      </c>
      <c r="R20" s="440">
        <f t="shared" si="1"/>
        <v>3314811.7800000003</v>
      </c>
    </row>
    <row r="21" spans="1:18">
      <c r="A21">
        <v>380</v>
      </c>
      <c r="C21" s="425" t="s">
        <v>132</v>
      </c>
      <c r="D21" s="425" t="s">
        <v>133</v>
      </c>
      <c r="E21">
        <v>2019</v>
      </c>
      <c r="F21" s="427">
        <f t="shared" si="2"/>
        <v>265.04000000000002</v>
      </c>
      <c r="G21" s="422">
        <f t="shared" si="2"/>
        <v>0</v>
      </c>
      <c r="H21" s="422">
        <f t="shared" si="2"/>
        <v>0</v>
      </c>
      <c r="I21" s="422">
        <f t="shared" si="2"/>
        <v>0</v>
      </c>
      <c r="J21" s="422">
        <f t="shared" si="2"/>
        <v>930.88</v>
      </c>
      <c r="K21" s="422">
        <f t="shared" si="2"/>
        <v>0</v>
      </c>
      <c r="L21" s="422">
        <f t="shared" si="2"/>
        <v>0</v>
      </c>
      <c r="M21" s="422">
        <f t="shared" si="2"/>
        <v>0</v>
      </c>
      <c r="N21" s="422">
        <f t="shared" si="2"/>
        <v>0</v>
      </c>
      <c r="O21" s="422">
        <f t="shared" si="2"/>
        <v>0</v>
      </c>
      <c r="P21" s="422">
        <f t="shared" si="2"/>
        <v>1579.31</v>
      </c>
      <c r="Q21" s="422">
        <f t="shared" si="2"/>
        <v>503.52</v>
      </c>
      <c r="R21" s="440">
        <f t="shared" si="1"/>
        <v>3278.75</v>
      </c>
    </row>
    <row r="22" spans="1:18">
      <c r="C22" s="426" t="s">
        <v>318</v>
      </c>
      <c r="D22" s="426" t="s">
        <v>319</v>
      </c>
      <c r="E22">
        <v>2019</v>
      </c>
      <c r="F22" s="422">
        <f t="shared" si="2"/>
        <v>0</v>
      </c>
      <c r="G22" s="422">
        <f t="shared" si="2"/>
        <v>0</v>
      </c>
      <c r="H22" s="422">
        <f t="shared" si="2"/>
        <v>0</v>
      </c>
      <c r="I22" s="422">
        <f t="shared" si="2"/>
        <v>0</v>
      </c>
      <c r="J22" s="422">
        <f t="shared" si="2"/>
        <v>0</v>
      </c>
      <c r="K22" s="422">
        <f t="shared" si="2"/>
        <v>0</v>
      </c>
      <c r="L22" s="422">
        <f t="shared" si="2"/>
        <v>0</v>
      </c>
      <c r="M22" s="422">
        <f t="shared" si="2"/>
        <v>0</v>
      </c>
      <c r="N22" s="422">
        <f t="shared" si="2"/>
        <v>0</v>
      </c>
      <c r="O22" s="422">
        <f t="shared" si="2"/>
        <v>0</v>
      </c>
      <c r="P22" s="422">
        <f t="shared" si="2"/>
        <v>0</v>
      </c>
      <c r="Q22" s="422">
        <f t="shared" si="2"/>
        <v>0</v>
      </c>
      <c r="R22" s="440">
        <f t="shared" si="1"/>
        <v>0</v>
      </c>
    </row>
    <row r="23" spans="1:18">
      <c r="C23" s="426" t="s">
        <v>320</v>
      </c>
      <c r="D23" s="426" t="s">
        <v>321</v>
      </c>
      <c r="E23">
        <v>2019</v>
      </c>
      <c r="F23" s="422">
        <f t="shared" si="2"/>
        <v>0</v>
      </c>
      <c r="G23" s="422">
        <f t="shared" si="2"/>
        <v>0</v>
      </c>
      <c r="H23" s="422">
        <f t="shared" si="2"/>
        <v>0</v>
      </c>
      <c r="I23" s="422">
        <f t="shared" si="2"/>
        <v>0</v>
      </c>
      <c r="J23" s="422">
        <f t="shared" si="2"/>
        <v>0</v>
      </c>
      <c r="K23" s="422">
        <f t="shared" si="2"/>
        <v>0</v>
      </c>
      <c r="L23" s="422">
        <f t="shared" si="2"/>
        <v>0</v>
      </c>
      <c r="M23" s="422">
        <f t="shared" si="2"/>
        <v>0</v>
      </c>
      <c r="N23" s="422">
        <f t="shared" si="2"/>
        <v>0</v>
      </c>
      <c r="O23" s="422">
        <f t="shared" si="2"/>
        <v>0</v>
      </c>
      <c r="P23" s="422">
        <f t="shared" si="2"/>
        <v>0</v>
      </c>
      <c r="Q23" s="422">
        <f t="shared" si="2"/>
        <v>0</v>
      </c>
      <c r="R23" s="440">
        <f t="shared" si="1"/>
        <v>0</v>
      </c>
    </row>
    <row r="24" spans="1:18">
      <c r="C24" s="426" t="s">
        <v>322</v>
      </c>
      <c r="D24" s="426" t="s">
        <v>323</v>
      </c>
      <c r="E24">
        <v>2019</v>
      </c>
      <c r="F24" s="422">
        <f t="shared" si="2"/>
        <v>0</v>
      </c>
      <c r="G24" s="422">
        <f t="shared" si="2"/>
        <v>0</v>
      </c>
      <c r="H24" s="422">
        <f t="shared" si="2"/>
        <v>0</v>
      </c>
      <c r="I24" s="422">
        <f t="shared" si="2"/>
        <v>0</v>
      </c>
      <c r="J24" s="422">
        <f t="shared" si="2"/>
        <v>0</v>
      </c>
      <c r="K24" s="422">
        <f t="shared" si="2"/>
        <v>0</v>
      </c>
      <c r="L24" s="422">
        <f t="shared" si="2"/>
        <v>0</v>
      </c>
      <c r="M24" s="422">
        <f t="shared" si="2"/>
        <v>0</v>
      </c>
      <c r="N24" s="422">
        <f t="shared" si="2"/>
        <v>0</v>
      </c>
      <c r="O24" s="422">
        <f t="shared" si="2"/>
        <v>0</v>
      </c>
      <c r="P24" s="422">
        <f t="shared" si="2"/>
        <v>0</v>
      </c>
      <c r="Q24" s="422">
        <f t="shared" si="2"/>
        <v>0</v>
      </c>
      <c r="R24" s="440">
        <f t="shared" si="1"/>
        <v>0</v>
      </c>
    </row>
    <row r="25" spans="1:18">
      <c r="A25">
        <v>380</v>
      </c>
      <c r="C25" s="423" t="s">
        <v>484</v>
      </c>
      <c r="D25" s="423" t="s">
        <v>485</v>
      </c>
      <c r="E25">
        <v>2019</v>
      </c>
      <c r="F25" s="3">
        <f t="shared" si="2"/>
        <v>0</v>
      </c>
      <c r="G25" s="422">
        <f t="shared" si="2"/>
        <v>0</v>
      </c>
      <c r="H25" s="422">
        <f t="shared" si="2"/>
        <v>0</v>
      </c>
      <c r="I25" s="422">
        <f t="shared" si="2"/>
        <v>2843402.61</v>
      </c>
      <c r="J25" s="422">
        <f t="shared" si="2"/>
        <v>755002.67</v>
      </c>
      <c r="K25" s="422">
        <f t="shared" si="2"/>
        <v>906245.31</v>
      </c>
      <c r="L25" s="422">
        <f t="shared" si="2"/>
        <v>704122.58</v>
      </c>
      <c r="M25" s="422">
        <f t="shared" si="2"/>
        <v>791386.81</v>
      </c>
      <c r="N25" s="422">
        <f t="shared" si="2"/>
        <v>780073.36</v>
      </c>
      <c r="O25" s="422">
        <f t="shared" si="2"/>
        <v>678227.19</v>
      </c>
      <c r="P25" s="422">
        <f t="shared" si="2"/>
        <v>1048351.57</v>
      </c>
      <c r="Q25" s="422">
        <f t="shared" si="2"/>
        <v>739148.52</v>
      </c>
      <c r="R25" s="440">
        <f t="shared" si="1"/>
        <v>9245960.620000001</v>
      </c>
    </row>
    <row r="26" spans="1:18">
      <c r="C26" s="426" t="s">
        <v>486</v>
      </c>
      <c r="D26" s="426" t="s">
        <v>487</v>
      </c>
      <c r="E26">
        <v>2019</v>
      </c>
      <c r="F26" s="422">
        <f t="shared" ref="F26:Q26" si="3">SUMIFS($O$55:$O$339,$A$55:$A$339,F$7,$B$55:$B$339,$A26,$C$55:$C$339,$C26)</f>
        <v>0</v>
      </c>
      <c r="G26" s="422">
        <f t="shared" si="3"/>
        <v>0</v>
      </c>
      <c r="H26" s="422">
        <f t="shared" si="3"/>
        <v>0</v>
      </c>
      <c r="I26" s="422">
        <f t="shared" si="3"/>
        <v>0</v>
      </c>
      <c r="J26" s="422">
        <f t="shared" si="3"/>
        <v>0</v>
      </c>
      <c r="K26" s="422">
        <f t="shared" si="3"/>
        <v>0</v>
      </c>
      <c r="L26" s="422">
        <f t="shared" si="3"/>
        <v>0</v>
      </c>
      <c r="M26" s="422">
        <f t="shared" si="3"/>
        <v>0</v>
      </c>
      <c r="N26" s="422">
        <f t="shared" si="3"/>
        <v>0</v>
      </c>
      <c r="O26" s="422">
        <f t="shared" si="3"/>
        <v>0</v>
      </c>
      <c r="P26" s="422">
        <f t="shared" si="3"/>
        <v>0</v>
      </c>
      <c r="Q26" s="422">
        <f t="shared" si="3"/>
        <v>0</v>
      </c>
      <c r="R26" s="440">
        <f t="shared" si="1"/>
        <v>0</v>
      </c>
    </row>
    <row r="27" spans="1:18">
      <c r="A27" t="s">
        <v>326</v>
      </c>
      <c r="F27" s="436">
        <f>SUM(F9:F26)</f>
        <v>767594.73000000021</v>
      </c>
      <c r="G27" s="437">
        <f t="shared" ref="G27:Q27" si="4">SUM(G9:G26)</f>
        <v>609384.88</v>
      </c>
      <c r="H27" s="437">
        <f t="shared" si="4"/>
        <v>1489239.21</v>
      </c>
      <c r="I27" s="437">
        <f t="shared" si="4"/>
        <v>3974075.5499999989</v>
      </c>
      <c r="J27" s="437">
        <f t="shared" si="4"/>
        <v>1752536.9999999993</v>
      </c>
      <c r="K27" s="437">
        <f t="shared" si="4"/>
        <v>1817473.46</v>
      </c>
      <c r="L27" s="437">
        <f t="shared" si="4"/>
        <v>1631501.8900000001</v>
      </c>
      <c r="M27" s="437">
        <f t="shared" si="4"/>
        <v>1637678.8899999997</v>
      </c>
      <c r="N27" s="437">
        <f t="shared" si="4"/>
        <v>1756272.7600000002</v>
      </c>
      <c r="O27" s="437">
        <f t="shared" si="4"/>
        <v>1652273.3299999998</v>
      </c>
      <c r="P27" s="437">
        <f t="shared" si="4"/>
        <v>1934757.5699999998</v>
      </c>
      <c r="Q27" s="438">
        <f t="shared" si="4"/>
        <v>1663721.54</v>
      </c>
      <c r="R27" s="441">
        <f>SUM(R9:R26)</f>
        <v>20686510.809999999</v>
      </c>
    </row>
    <row r="28" spans="1:18"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</row>
    <row r="29" spans="1:18">
      <c r="A29" t="s">
        <v>327</v>
      </c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</row>
    <row r="30" spans="1:18">
      <c r="B30" t="s">
        <v>135</v>
      </c>
      <c r="C30" s="429" t="s">
        <v>116</v>
      </c>
      <c r="D30" s="429" t="s">
        <v>117</v>
      </c>
      <c r="E30">
        <v>2019</v>
      </c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42">
        <f>SUM(F30:Q30)</f>
        <v>0</v>
      </c>
    </row>
    <row r="31" spans="1:18">
      <c r="C31" s="429" t="s">
        <v>118</v>
      </c>
      <c r="D31" s="429" t="s">
        <v>119</v>
      </c>
      <c r="E31">
        <v>2019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40">
        <f t="shared" ref="R31:R42" si="5">SUM(F31:Q31)</f>
        <v>0</v>
      </c>
    </row>
    <row r="32" spans="1:18">
      <c r="C32" s="429" t="s">
        <v>223</v>
      </c>
      <c r="D32" s="429" t="s">
        <v>224</v>
      </c>
      <c r="E32">
        <v>2019</v>
      </c>
      <c r="F32" s="422">
        <v>160988.62</v>
      </c>
      <c r="G32" s="422">
        <v>-0.01</v>
      </c>
      <c r="H32" s="422">
        <v>1507.16</v>
      </c>
      <c r="I32" s="422">
        <v>-1507.16</v>
      </c>
      <c r="J32" s="422">
        <v>0</v>
      </c>
      <c r="K32" s="422">
        <v>0</v>
      </c>
      <c r="L32" s="422">
        <v>0</v>
      </c>
      <c r="M32" s="422">
        <v>0</v>
      </c>
      <c r="N32" s="422">
        <v>0</v>
      </c>
      <c r="O32" s="422">
        <v>0</v>
      </c>
      <c r="P32" s="422">
        <v>0</v>
      </c>
      <c r="Q32" s="422">
        <v>0</v>
      </c>
      <c r="R32" s="440">
        <f t="shared" si="5"/>
        <v>160988.60999999999</v>
      </c>
    </row>
    <row r="33" spans="1:20">
      <c r="C33" s="424" t="s">
        <v>123</v>
      </c>
      <c r="D33" s="424" t="s">
        <v>124</v>
      </c>
      <c r="E33">
        <v>2019</v>
      </c>
      <c r="F33" s="422">
        <v>1729.7</v>
      </c>
      <c r="G33" s="422">
        <v>0</v>
      </c>
      <c r="H33" s="422">
        <v>0</v>
      </c>
      <c r="I33" s="422">
        <v>0</v>
      </c>
      <c r="J33" s="422">
        <v>0</v>
      </c>
      <c r="K33" s="422">
        <v>0</v>
      </c>
      <c r="L33" s="422">
        <v>0</v>
      </c>
      <c r="M33" s="422">
        <v>0</v>
      </c>
      <c r="N33" s="422">
        <v>0</v>
      </c>
      <c r="O33" s="422">
        <v>0</v>
      </c>
      <c r="P33" s="422">
        <v>0</v>
      </c>
      <c r="Q33" s="422">
        <v>0</v>
      </c>
      <c r="R33" s="440">
        <f t="shared" si="5"/>
        <v>1729.7</v>
      </c>
    </row>
    <row r="34" spans="1:20">
      <c r="C34" s="424" t="s">
        <v>126</v>
      </c>
      <c r="D34" s="424" t="s">
        <v>127</v>
      </c>
      <c r="E34">
        <v>2019</v>
      </c>
      <c r="F34" s="422">
        <v>213.63</v>
      </c>
      <c r="G34" s="422">
        <v>0</v>
      </c>
      <c r="H34" s="422">
        <v>0</v>
      </c>
      <c r="I34" s="422">
        <v>0</v>
      </c>
      <c r="J34" s="422">
        <v>0</v>
      </c>
      <c r="K34" s="422">
        <v>0</v>
      </c>
      <c r="L34" s="422">
        <v>0</v>
      </c>
      <c r="M34" s="422">
        <v>0</v>
      </c>
      <c r="N34" s="422">
        <v>0</v>
      </c>
      <c r="O34" s="422">
        <v>0</v>
      </c>
      <c r="P34" s="422">
        <v>0</v>
      </c>
      <c r="Q34" s="422">
        <v>0</v>
      </c>
      <c r="R34" s="440">
        <f t="shared" si="5"/>
        <v>213.63</v>
      </c>
    </row>
    <row r="35" spans="1:20">
      <c r="C35" s="424" t="s">
        <v>128</v>
      </c>
      <c r="D35" s="424" t="s">
        <v>129</v>
      </c>
      <c r="E35">
        <v>2019</v>
      </c>
      <c r="F35" s="422">
        <v>0</v>
      </c>
      <c r="G35" s="422">
        <v>0</v>
      </c>
      <c r="H35" s="422">
        <v>0</v>
      </c>
      <c r="I35" s="422">
        <v>0</v>
      </c>
      <c r="J35" s="422">
        <v>0</v>
      </c>
      <c r="K35" s="422">
        <v>0</v>
      </c>
      <c r="L35" s="422">
        <v>0</v>
      </c>
      <c r="M35" s="422">
        <v>0</v>
      </c>
      <c r="N35" s="422">
        <v>0</v>
      </c>
      <c r="O35" s="422">
        <v>0</v>
      </c>
      <c r="P35" s="422">
        <v>0</v>
      </c>
      <c r="Q35" s="422">
        <v>0</v>
      </c>
      <c r="R35" s="440">
        <f t="shared" si="5"/>
        <v>0</v>
      </c>
    </row>
    <row r="36" spans="1:20">
      <c r="C36" s="424" t="s">
        <v>192</v>
      </c>
      <c r="D36" s="424" t="s">
        <v>193</v>
      </c>
      <c r="E36">
        <v>2019</v>
      </c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40">
        <f t="shared" si="5"/>
        <v>0</v>
      </c>
    </row>
    <row r="37" spans="1:20">
      <c r="C37" s="423" t="s">
        <v>130</v>
      </c>
      <c r="D37" s="423" t="s">
        <v>131</v>
      </c>
      <c r="E37">
        <v>2019</v>
      </c>
      <c r="F37" s="422">
        <v>4701.95</v>
      </c>
      <c r="G37" s="422">
        <v>16296.17</v>
      </c>
      <c r="H37" s="422">
        <v>24103.74</v>
      </c>
      <c r="I37" s="422">
        <v>24499.48</v>
      </c>
      <c r="J37" s="422">
        <v>4355.13</v>
      </c>
      <c r="K37" s="422">
        <v>86348.82</v>
      </c>
      <c r="L37" s="422">
        <v>32943.269999999997</v>
      </c>
      <c r="M37" s="422">
        <v>36575.300000000003</v>
      </c>
      <c r="N37" s="422">
        <v>57961.71</v>
      </c>
      <c r="O37" s="422">
        <v>37067.68</v>
      </c>
      <c r="P37" s="422">
        <v>129187.5</v>
      </c>
      <c r="Q37" s="422">
        <v>85854.35</v>
      </c>
      <c r="R37" s="440">
        <f>SUM(F37:Q37)</f>
        <v>539895.1</v>
      </c>
    </row>
    <row r="38" spans="1:20">
      <c r="C38" s="423" t="s">
        <v>132</v>
      </c>
      <c r="D38" s="423" t="s">
        <v>133</v>
      </c>
      <c r="E38">
        <v>2019</v>
      </c>
      <c r="F38" s="422">
        <v>35354.42</v>
      </c>
      <c r="G38" s="422">
        <v>-688.5</v>
      </c>
      <c r="H38" s="422">
        <v>4716.4799999999996</v>
      </c>
      <c r="I38" s="422">
        <v>23536.07</v>
      </c>
      <c r="J38" s="422">
        <v>29270.2</v>
      </c>
      <c r="K38" s="422">
        <v>69483.649999999994</v>
      </c>
      <c r="L38" s="422">
        <v>11488.22</v>
      </c>
      <c r="M38" s="422">
        <v>65923.899999999994</v>
      </c>
      <c r="N38" s="422">
        <v>54326.09</v>
      </c>
      <c r="O38" s="422">
        <v>57640.5</v>
      </c>
      <c r="P38" s="422">
        <v>58693.31</v>
      </c>
      <c r="Q38" s="422">
        <v>74034.759999999995</v>
      </c>
      <c r="R38" s="440">
        <f t="shared" si="5"/>
        <v>483779.10000000003</v>
      </c>
    </row>
    <row r="39" spans="1:20">
      <c r="C39" s="426" t="s">
        <v>318</v>
      </c>
      <c r="D39" s="426" t="s">
        <v>319</v>
      </c>
      <c r="E39">
        <v>2019</v>
      </c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40">
        <f t="shared" si="5"/>
        <v>0</v>
      </c>
    </row>
    <row r="40" spans="1:20">
      <c r="C40" s="426" t="s">
        <v>322</v>
      </c>
      <c r="D40" s="426" t="s">
        <v>323</v>
      </c>
      <c r="E40">
        <v>2019</v>
      </c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40">
        <f t="shared" si="5"/>
        <v>0</v>
      </c>
    </row>
    <row r="41" spans="1:20">
      <c r="C41" s="423" t="s">
        <v>484</v>
      </c>
      <c r="D41" s="423" t="s">
        <v>485</v>
      </c>
      <c r="E41">
        <v>2019</v>
      </c>
      <c r="F41" s="422">
        <v>102269.04</v>
      </c>
      <c r="G41" s="422">
        <v>155570.01999999999</v>
      </c>
      <c r="H41" s="422">
        <v>154860.07999999999</v>
      </c>
      <c r="I41" s="422">
        <v>326487.37</v>
      </c>
      <c r="J41" s="422">
        <v>358707.24</v>
      </c>
      <c r="K41" s="422">
        <v>295038.78000000003</v>
      </c>
      <c r="L41" s="422">
        <v>340286.83</v>
      </c>
      <c r="M41" s="422">
        <v>271706.46999999997</v>
      </c>
      <c r="N41" s="422">
        <v>355931.17</v>
      </c>
      <c r="O41" s="422">
        <v>318756.58</v>
      </c>
      <c r="P41" s="422">
        <v>315162.8</v>
      </c>
      <c r="Q41" s="422">
        <v>442184.76</v>
      </c>
      <c r="R41" s="440">
        <f t="shared" si="5"/>
        <v>3436961.1399999997</v>
      </c>
    </row>
    <row r="42" spans="1:20">
      <c r="B42" t="s">
        <v>488</v>
      </c>
      <c r="C42" s="423" t="s">
        <v>132</v>
      </c>
      <c r="D42" s="423" t="s">
        <v>133</v>
      </c>
      <c r="E42">
        <v>2019</v>
      </c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45">
        <f t="shared" si="5"/>
        <v>0</v>
      </c>
    </row>
    <row r="43" spans="1:20">
      <c r="A43" t="s">
        <v>328</v>
      </c>
      <c r="F43" s="436">
        <f>SUM(F30:F42)</f>
        <v>305257.36</v>
      </c>
      <c r="G43" s="437">
        <f>SUM(G30:G42)</f>
        <v>171177.68</v>
      </c>
      <c r="H43" s="437">
        <f t="shared" ref="H43:R43" si="6">SUM(H30:H42)</f>
        <v>185187.46</v>
      </c>
      <c r="I43" s="437">
        <f t="shared" si="6"/>
        <v>373015.76</v>
      </c>
      <c r="J43" s="437">
        <f t="shared" si="6"/>
        <v>392332.57</v>
      </c>
      <c r="K43" s="437">
        <f t="shared" si="6"/>
        <v>450871.25</v>
      </c>
      <c r="L43" s="437">
        <f t="shared" si="6"/>
        <v>384718.32</v>
      </c>
      <c r="M43" s="437">
        <f t="shared" si="6"/>
        <v>374205.67</v>
      </c>
      <c r="N43" s="437">
        <f t="shared" si="6"/>
        <v>468218.97</v>
      </c>
      <c r="O43" s="437">
        <f t="shared" si="6"/>
        <v>413464.76</v>
      </c>
      <c r="P43" s="437">
        <f t="shared" si="6"/>
        <v>503043.61</v>
      </c>
      <c r="Q43" s="437">
        <f t="shared" si="6"/>
        <v>602073.87</v>
      </c>
      <c r="R43" s="441">
        <f t="shared" si="6"/>
        <v>4623567.2799999993</v>
      </c>
    </row>
    <row r="44" spans="1:20"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</row>
    <row r="45" spans="1:20">
      <c r="A45" t="s">
        <v>329</v>
      </c>
      <c r="F45" s="436">
        <f>F27+F43</f>
        <v>1072852.0900000003</v>
      </c>
      <c r="G45" s="437">
        <f t="shared" ref="G45:R45" si="7">G27+G43</f>
        <v>780562.56</v>
      </c>
      <c r="H45" s="437">
        <f t="shared" si="7"/>
        <v>1674426.67</v>
      </c>
      <c r="I45" s="437">
        <f t="shared" si="7"/>
        <v>4347091.3099999987</v>
      </c>
      <c r="J45" s="437">
        <f t="shared" si="7"/>
        <v>2144869.5699999994</v>
      </c>
      <c r="K45" s="437">
        <f t="shared" si="7"/>
        <v>2268344.71</v>
      </c>
      <c r="L45" s="437">
        <f t="shared" si="7"/>
        <v>2016220.2100000002</v>
      </c>
      <c r="M45" s="437">
        <f t="shared" si="7"/>
        <v>2011884.5599999996</v>
      </c>
      <c r="N45" s="437">
        <f t="shared" si="7"/>
        <v>2224491.7300000004</v>
      </c>
      <c r="O45" s="437">
        <f t="shared" si="7"/>
        <v>2065738.0899999999</v>
      </c>
      <c r="P45" s="437">
        <f t="shared" si="7"/>
        <v>2437801.1799999997</v>
      </c>
      <c r="Q45" s="437">
        <f t="shared" si="7"/>
        <v>2265795.41</v>
      </c>
      <c r="R45" s="438">
        <f t="shared" si="7"/>
        <v>25310078.089999996</v>
      </c>
      <c r="T45" s="446"/>
    </row>
    <row r="47" spans="1:20">
      <c r="T47" s="422"/>
    </row>
    <row r="49" spans="1:21">
      <c r="D49" s="200" t="s">
        <v>586</v>
      </c>
      <c r="F49">
        <v>11864591.74</v>
      </c>
      <c r="G49">
        <v>12426920.369999999</v>
      </c>
      <c r="H49">
        <v>15217857.67</v>
      </c>
      <c r="I49">
        <v>16484315.449999999</v>
      </c>
      <c r="J49">
        <v>19551518.379999999</v>
      </c>
      <c r="K49">
        <v>20801914.799999997</v>
      </c>
      <c r="L49">
        <v>23420482.129999999</v>
      </c>
      <c r="M49">
        <v>26447799.649999999</v>
      </c>
      <c r="N49">
        <v>31360379.030000001</v>
      </c>
      <c r="O49">
        <v>37085782.100000001</v>
      </c>
      <c r="P49">
        <v>42365586.899999999</v>
      </c>
      <c r="Q49">
        <v>44002739.890000001</v>
      </c>
    </row>
    <row r="50" spans="1:21">
      <c r="F50">
        <f>F49-'Rev Req 2018-Trans'!P11</f>
        <v>657153.20000000112</v>
      </c>
      <c r="G50">
        <f>G49-F49</f>
        <v>562328.62999999896</v>
      </c>
      <c r="H50">
        <f t="shared" ref="H50:Q50" si="8">H49-G49</f>
        <v>2790937.3000000007</v>
      </c>
      <c r="I50">
        <f t="shared" si="8"/>
        <v>1266457.7799999993</v>
      </c>
      <c r="J50">
        <f t="shared" si="8"/>
        <v>3067202.9299999997</v>
      </c>
      <c r="K50">
        <f t="shared" si="8"/>
        <v>1250396.4199999981</v>
      </c>
      <c r="L50">
        <f t="shared" si="8"/>
        <v>2618567.3300000019</v>
      </c>
      <c r="M50">
        <f t="shared" si="8"/>
        <v>3027317.5199999996</v>
      </c>
      <c r="N50">
        <f t="shared" si="8"/>
        <v>4912579.3800000027</v>
      </c>
      <c r="O50">
        <f t="shared" si="8"/>
        <v>5725403.0700000003</v>
      </c>
      <c r="P50">
        <f t="shared" si="8"/>
        <v>5279804.799999997</v>
      </c>
      <c r="Q50">
        <f t="shared" si="8"/>
        <v>1637152.9900000021</v>
      </c>
    </row>
    <row r="54" spans="1:21">
      <c r="F54" t="s">
        <v>511</v>
      </c>
      <c r="G54" t="s">
        <v>512</v>
      </c>
      <c r="H54" t="s">
        <v>513</v>
      </c>
      <c r="I54" t="s">
        <v>514</v>
      </c>
      <c r="J54" t="s">
        <v>515</v>
      </c>
      <c r="K54" t="s">
        <v>516</v>
      </c>
      <c r="L54" t="s">
        <v>517</v>
      </c>
      <c r="N54" t="s">
        <v>518</v>
      </c>
      <c r="O54" t="s">
        <v>519</v>
      </c>
      <c r="P54" t="s">
        <v>520</v>
      </c>
      <c r="Q54" t="s">
        <v>521</v>
      </c>
    </row>
    <row r="55" spans="1:21">
      <c r="A55" t="str">
        <f t="shared" ref="A55:A118" si="9">IF(ISERROR(VLOOKUP(K55,$T$55:$U$66,2,FALSE)),"",VLOOKUP(K55,$T$55:$U$66,2,FALSE))</f>
        <v>01_Jan</v>
      </c>
      <c r="B55">
        <v>376</v>
      </c>
      <c r="C55" t="s">
        <v>123</v>
      </c>
      <c r="F55">
        <v>405403829</v>
      </c>
      <c r="G55" t="s">
        <v>522</v>
      </c>
      <c r="H55" t="s">
        <v>523</v>
      </c>
      <c r="I55" t="s">
        <v>524</v>
      </c>
      <c r="J55" t="s">
        <v>525</v>
      </c>
      <c r="K55">
        <v>201901</v>
      </c>
      <c r="L55" t="s">
        <v>123</v>
      </c>
      <c r="N55">
        <v>1</v>
      </c>
      <c r="O55">
        <v>-623595.61</v>
      </c>
      <c r="P55">
        <v>-623595.61</v>
      </c>
      <c r="Q55">
        <v>0</v>
      </c>
      <c r="T55">
        <v>201901</v>
      </c>
      <c r="U55" s="444" t="s">
        <v>280</v>
      </c>
    </row>
    <row r="56" spans="1:21">
      <c r="A56" t="str">
        <f t="shared" si="9"/>
        <v>10_Oct</v>
      </c>
      <c r="B56">
        <v>376</v>
      </c>
      <c r="C56" t="s">
        <v>123</v>
      </c>
      <c r="F56">
        <v>405403847</v>
      </c>
      <c r="G56" t="s">
        <v>522</v>
      </c>
      <c r="H56" t="s">
        <v>523</v>
      </c>
      <c r="I56" t="s">
        <v>524</v>
      </c>
      <c r="J56" t="s">
        <v>525</v>
      </c>
      <c r="K56">
        <v>201910</v>
      </c>
      <c r="L56" t="s">
        <v>527</v>
      </c>
      <c r="N56">
        <v>2</v>
      </c>
      <c r="O56">
        <v>19615.71</v>
      </c>
      <c r="P56">
        <v>9807.8549999999996</v>
      </c>
      <c r="Q56">
        <v>0</v>
      </c>
      <c r="T56">
        <v>201902</v>
      </c>
      <c r="U56" s="444" t="s">
        <v>281</v>
      </c>
    </row>
    <row r="57" spans="1:21">
      <c r="A57" t="str">
        <f t="shared" si="9"/>
        <v>09_Sep</v>
      </c>
      <c r="B57">
        <v>376</v>
      </c>
      <c r="C57" t="s">
        <v>123</v>
      </c>
      <c r="F57">
        <v>405403847</v>
      </c>
      <c r="G57" t="s">
        <v>522</v>
      </c>
      <c r="H57" t="s">
        <v>523</v>
      </c>
      <c r="I57" t="s">
        <v>524</v>
      </c>
      <c r="J57" t="s">
        <v>525</v>
      </c>
      <c r="K57">
        <v>201909</v>
      </c>
      <c r="L57" t="s">
        <v>527</v>
      </c>
      <c r="N57">
        <v>2</v>
      </c>
      <c r="O57">
        <v>18614.91</v>
      </c>
      <c r="P57">
        <v>9307.4549999999999</v>
      </c>
      <c r="Q57">
        <v>0</v>
      </c>
      <c r="T57">
        <v>201903</v>
      </c>
      <c r="U57" s="444" t="s">
        <v>282</v>
      </c>
    </row>
    <row r="58" spans="1:21">
      <c r="A58" t="str">
        <f t="shared" si="9"/>
        <v>11_Nov</v>
      </c>
      <c r="B58">
        <v>376</v>
      </c>
      <c r="C58" t="s">
        <v>123</v>
      </c>
      <c r="F58">
        <v>405403847</v>
      </c>
      <c r="G58" t="s">
        <v>522</v>
      </c>
      <c r="H58" t="s">
        <v>523</v>
      </c>
      <c r="I58" t="s">
        <v>524</v>
      </c>
      <c r="J58" t="s">
        <v>525</v>
      </c>
      <c r="K58">
        <v>201911</v>
      </c>
      <c r="L58" t="s">
        <v>527</v>
      </c>
      <c r="N58">
        <v>2</v>
      </c>
      <c r="O58">
        <v>79040.13</v>
      </c>
      <c r="P58">
        <v>39520.065000000002</v>
      </c>
      <c r="Q58">
        <v>0</v>
      </c>
      <c r="T58">
        <v>201904</v>
      </c>
      <c r="U58" s="444" t="s">
        <v>283</v>
      </c>
    </row>
    <row r="59" spans="1:21">
      <c r="A59" t="str">
        <f t="shared" si="9"/>
        <v>01_Jan</v>
      </c>
      <c r="B59">
        <v>376</v>
      </c>
      <c r="C59" t="s">
        <v>123</v>
      </c>
      <c r="F59">
        <v>405403847</v>
      </c>
      <c r="G59" t="s">
        <v>522</v>
      </c>
      <c r="H59" t="s">
        <v>523</v>
      </c>
      <c r="I59" t="s">
        <v>524</v>
      </c>
      <c r="J59" t="s">
        <v>525</v>
      </c>
      <c r="K59">
        <v>201901</v>
      </c>
      <c r="L59" t="s">
        <v>527</v>
      </c>
      <c r="N59">
        <v>2</v>
      </c>
      <c r="O59">
        <v>619345.02</v>
      </c>
      <c r="P59">
        <v>309672.51</v>
      </c>
      <c r="Q59">
        <v>0</v>
      </c>
      <c r="T59">
        <v>201905</v>
      </c>
      <c r="U59" s="444" t="s">
        <v>284</v>
      </c>
    </row>
    <row r="60" spans="1:21">
      <c r="A60" t="str">
        <f t="shared" si="9"/>
        <v>04_Apr</v>
      </c>
      <c r="B60">
        <v>376</v>
      </c>
      <c r="C60" t="s">
        <v>123</v>
      </c>
      <c r="F60">
        <v>405403847</v>
      </c>
      <c r="G60" t="s">
        <v>522</v>
      </c>
      <c r="H60" t="s">
        <v>523</v>
      </c>
      <c r="I60" t="s">
        <v>524</v>
      </c>
      <c r="J60" t="s">
        <v>525</v>
      </c>
      <c r="K60">
        <v>201904</v>
      </c>
      <c r="L60" t="s">
        <v>527</v>
      </c>
      <c r="N60">
        <v>2</v>
      </c>
      <c r="O60">
        <v>38923.71</v>
      </c>
      <c r="P60">
        <v>19461.855</v>
      </c>
      <c r="Q60">
        <v>0</v>
      </c>
      <c r="T60">
        <v>201906</v>
      </c>
      <c r="U60" s="444" t="s">
        <v>285</v>
      </c>
    </row>
    <row r="61" spans="1:21">
      <c r="A61" t="str">
        <f t="shared" si="9"/>
        <v>02_Feb</v>
      </c>
      <c r="B61">
        <v>376</v>
      </c>
      <c r="C61" t="s">
        <v>123</v>
      </c>
      <c r="F61">
        <v>405403847</v>
      </c>
      <c r="G61" t="s">
        <v>522</v>
      </c>
      <c r="H61" t="s">
        <v>523</v>
      </c>
      <c r="I61" t="s">
        <v>524</v>
      </c>
      <c r="J61" t="s">
        <v>525</v>
      </c>
      <c r="K61">
        <v>201902</v>
      </c>
      <c r="L61" t="s">
        <v>527</v>
      </c>
      <c r="N61">
        <v>2</v>
      </c>
      <c r="O61">
        <v>14464.93</v>
      </c>
      <c r="P61">
        <v>7232.4650000000001</v>
      </c>
      <c r="Q61">
        <v>0</v>
      </c>
      <c r="T61">
        <v>201907</v>
      </c>
      <c r="U61" s="444" t="s">
        <v>286</v>
      </c>
    </row>
    <row r="62" spans="1:21">
      <c r="A62" t="str">
        <f t="shared" si="9"/>
        <v>06_Jun</v>
      </c>
      <c r="B62">
        <v>376</v>
      </c>
      <c r="C62" t="s">
        <v>123</v>
      </c>
      <c r="F62">
        <v>405403847</v>
      </c>
      <c r="G62" t="s">
        <v>522</v>
      </c>
      <c r="H62" t="s">
        <v>523</v>
      </c>
      <c r="I62" t="s">
        <v>524</v>
      </c>
      <c r="J62" t="s">
        <v>525</v>
      </c>
      <c r="K62">
        <v>201906</v>
      </c>
      <c r="L62" t="s">
        <v>527</v>
      </c>
      <c r="N62">
        <v>2</v>
      </c>
      <c r="O62">
        <v>21227.07</v>
      </c>
      <c r="P62">
        <v>10613.535</v>
      </c>
      <c r="Q62">
        <v>0</v>
      </c>
      <c r="T62">
        <v>201908</v>
      </c>
      <c r="U62" s="444" t="s">
        <v>287</v>
      </c>
    </row>
    <row r="63" spans="1:21">
      <c r="A63" t="str">
        <f t="shared" si="9"/>
        <v>08_Aug</v>
      </c>
      <c r="B63">
        <v>376</v>
      </c>
      <c r="C63" t="s">
        <v>123</v>
      </c>
      <c r="F63">
        <v>405403847</v>
      </c>
      <c r="G63" t="s">
        <v>522</v>
      </c>
      <c r="H63" t="s">
        <v>523</v>
      </c>
      <c r="I63" t="s">
        <v>524</v>
      </c>
      <c r="J63" t="s">
        <v>525</v>
      </c>
      <c r="K63">
        <v>201908</v>
      </c>
      <c r="L63" t="s">
        <v>527</v>
      </c>
      <c r="N63">
        <v>2</v>
      </c>
      <c r="O63">
        <v>21802.720000000001</v>
      </c>
      <c r="P63">
        <v>10901.36</v>
      </c>
      <c r="Q63">
        <v>0</v>
      </c>
      <c r="T63">
        <v>201909</v>
      </c>
      <c r="U63" s="444" t="s">
        <v>288</v>
      </c>
    </row>
    <row r="64" spans="1:21">
      <c r="A64" t="str">
        <f t="shared" si="9"/>
        <v>05_May</v>
      </c>
      <c r="B64">
        <v>376</v>
      </c>
      <c r="C64" t="s">
        <v>123</v>
      </c>
      <c r="F64">
        <v>405403847</v>
      </c>
      <c r="G64" t="s">
        <v>522</v>
      </c>
      <c r="H64" t="s">
        <v>523</v>
      </c>
      <c r="I64" t="s">
        <v>524</v>
      </c>
      <c r="J64" t="s">
        <v>525</v>
      </c>
      <c r="K64">
        <v>201905</v>
      </c>
      <c r="L64" t="s">
        <v>527</v>
      </c>
      <c r="N64">
        <v>2</v>
      </c>
      <c r="O64">
        <v>20480.28</v>
      </c>
      <c r="P64">
        <v>10240.14</v>
      </c>
      <c r="Q64">
        <v>0</v>
      </c>
      <c r="T64">
        <v>201910</v>
      </c>
      <c r="U64" s="444" t="s">
        <v>289</v>
      </c>
    </row>
    <row r="65" spans="1:21">
      <c r="A65" t="str">
        <f t="shared" si="9"/>
        <v>07_Jul</v>
      </c>
      <c r="B65">
        <v>376</v>
      </c>
      <c r="C65" t="s">
        <v>123</v>
      </c>
      <c r="F65">
        <v>405403847</v>
      </c>
      <c r="G65" t="s">
        <v>522</v>
      </c>
      <c r="H65" t="s">
        <v>523</v>
      </c>
      <c r="I65" t="s">
        <v>524</v>
      </c>
      <c r="J65" t="s">
        <v>525</v>
      </c>
      <c r="K65">
        <v>201907</v>
      </c>
      <c r="L65" t="s">
        <v>527</v>
      </c>
      <c r="N65">
        <v>2</v>
      </c>
      <c r="O65">
        <v>23381.06</v>
      </c>
      <c r="P65">
        <v>11690.53</v>
      </c>
      <c r="Q65">
        <v>0</v>
      </c>
      <c r="T65">
        <v>201911</v>
      </c>
      <c r="U65" s="444" t="s">
        <v>290</v>
      </c>
    </row>
    <row r="66" spans="1:21">
      <c r="A66" t="str">
        <f t="shared" si="9"/>
        <v>12_Dec</v>
      </c>
      <c r="B66">
        <v>376</v>
      </c>
      <c r="C66" t="s">
        <v>123</v>
      </c>
      <c r="F66">
        <v>405403847</v>
      </c>
      <c r="G66" t="s">
        <v>522</v>
      </c>
      <c r="H66" t="s">
        <v>523</v>
      </c>
      <c r="I66" t="s">
        <v>524</v>
      </c>
      <c r="J66" t="s">
        <v>525</v>
      </c>
      <c r="K66">
        <v>201912</v>
      </c>
      <c r="L66" t="s">
        <v>527</v>
      </c>
      <c r="N66">
        <v>2</v>
      </c>
      <c r="O66">
        <v>13353.02</v>
      </c>
      <c r="P66">
        <v>6676.51</v>
      </c>
      <c r="Q66">
        <v>0</v>
      </c>
      <c r="T66">
        <v>201912</v>
      </c>
      <c r="U66" t="s">
        <v>291</v>
      </c>
    </row>
    <row r="67" spans="1:21">
      <c r="A67" t="str">
        <f t="shared" si="9"/>
        <v>01_Jan</v>
      </c>
      <c r="B67">
        <v>376</v>
      </c>
      <c r="C67" t="s">
        <v>126</v>
      </c>
      <c r="F67">
        <v>405404675</v>
      </c>
      <c r="G67" t="s">
        <v>522</v>
      </c>
      <c r="H67" t="s">
        <v>523</v>
      </c>
      <c r="I67" t="s">
        <v>524</v>
      </c>
      <c r="J67" t="s">
        <v>525</v>
      </c>
      <c r="K67">
        <v>201901</v>
      </c>
      <c r="L67" t="s">
        <v>126</v>
      </c>
      <c r="N67">
        <v>2</v>
      </c>
      <c r="O67">
        <v>-2708.29</v>
      </c>
      <c r="P67">
        <v>-1354.145</v>
      </c>
      <c r="Q67">
        <v>0</v>
      </c>
    </row>
    <row r="68" spans="1:21">
      <c r="A68" t="str">
        <f t="shared" si="9"/>
        <v>01_Jan</v>
      </c>
      <c r="B68">
        <v>376</v>
      </c>
      <c r="C68" t="s">
        <v>126</v>
      </c>
      <c r="F68">
        <v>405437976</v>
      </c>
      <c r="G68" t="s">
        <v>522</v>
      </c>
      <c r="H68" t="s">
        <v>523</v>
      </c>
      <c r="I68" t="s">
        <v>524</v>
      </c>
      <c r="J68" t="s">
        <v>525</v>
      </c>
      <c r="K68">
        <v>201901</v>
      </c>
      <c r="L68" t="s">
        <v>528</v>
      </c>
      <c r="N68">
        <v>1</v>
      </c>
      <c r="O68">
        <v>4228.3100000000004</v>
      </c>
      <c r="P68">
        <v>4228.3100000000004</v>
      </c>
      <c r="Q68">
        <v>0</v>
      </c>
    </row>
    <row r="69" spans="1:21">
      <c r="A69" t="str">
        <f t="shared" si="9"/>
        <v>02_Feb</v>
      </c>
      <c r="B69">
        <v>376</v>
      </c>
      <c r="C69" t="s">
        <v>126</v>
      </c>
      <c r="F69">
        <v>405437976</v>
      </c>
      <c r="G69" t="s">
        <v>522</v>
      </c>
      <c r="H69" t="s">
        <v>523</v>
      </c>
      <c r="I69" t="s">
        <v>524</v>
      </c>
      <c r="J69" t="s">
        <v>525</v>
      </c>
      <c r="K69">
        <v>201902</v>
      </c>
      <c r="L69" t="s">
        <v>528</v>
      </c>
      <c r="N69">
        <v>2</v>
      </c>
      <c r="O69">
        <v>121.79</v>
      </c>
      <c r="P69">
        <v>60.895000000000003</v>
      </c>
      <c r="Q69">
        <v>0</v>
      </c>
    </row>
    <row r="70" spans="1:21">
      <c r="A70" t="str">
        <f t="shared" si="9"/>
        <v>03_Mar</v>
      </c>
      <c r="B70">
        <v>376</v>
      </c>
      <c r="C70" t="s">
        <v>128</v>
      </c>
      <c r="F70">
        <v>392804923</v>
      </c>
      <c r="G70" t="s">
        <v>522</v>
      </c>
      <c r="H70" t="s">
        <v>523</v>
      </c>
      <c r="I70" t="s">
        <v>524</v>
      </c>
      <c r="J70" t="s">
        <v>526</v>
      </c>
      <c r="K70">
        <v>201903</v>
      </c>
      <c r="L70" t="s">
        <v>128</v>
      </c>
      <c r="N70">
        <v>0</v>
      </c>
      <c r="O70">
        <v>0</v>
      </c>
      <c r="P70">
        <v>0</v>
      </c>
    </row>
    <row r="71" spans="1:21">
      <c r="A71" t="str">
        <f t="shared" si="9"/>
        <v>01_Jan</v>
      </c>
      <c r="B71">
        <v>376</v>
      </c>
      <c r="C71" t="s">
        <v>128</v>
      </c>
      <c r="F71">
        <v>405404693</v>
      </c>
      <c r="G71" t="s">
        <v>522</v>
      </c>
      <c r="H71" t="s">
        <v>523</v>
      </c>
      <c r="I71" t="s">
        <v>524</v>
      </c>
      <c r="J71" t="s">
        <v>525</v>
      </c>
      <c r="K71">
        <v>201901</v>
      </c>
      <c r="L71" t="s">
        <v>128</v>
      </c>
      <c r="N71">
        <v>1</v>
      </c>
      <c r="O71">
        <v>-68745.320000000007</v>
      </c>
      <c r="P71">
        <v>-68745.320000000007</v>
      </c>
      <c r="Q71">
        <v>0</v>
      </c>
    </row>
    <row r="72" spans="1:21">
      <c r="A72" t="str">
        <f t="shared" si="9"/>
        <v>03_Mar</v>
      </c>
      <c r="B72">
        <v>376</v>
      </c>
      <c r="C72" t="s">
        <v>128</v>
      </c>
      <c r="F72">
        <v>392804932</v>
      </c>
      <c r="G72" t="s">
        <v>522</v>
      </c>
      <c r="H72" t="s">
        <v>523</v>
      </c>
      <c r="I72" t="s">
        <v>524</v>
      </c>
      <c r="J72" t="s">
        <v>526</v>
      </c>
      <c r="K72">
        <v>201903</v>
      </c>
      <c r="L72" t="s">
        <v>128</v>
      </c>
      <c r="N72">
        <v>0</v>
      </c>
      <c r="O72">
        <v>0</v>
      </c>
      <c r="P72">
        <v>0</v>
      </c>
    </row>
    <row r="73" spans="1:21">
      <c r="A73" t="str">
        <f t="shared" si="9"/>
        <v>03_Mar</v>
      </c>
      <c r="B73">
        <v>376</v>
      </c>
      <c r="C73" t="s">
        <v>128</v>
      </c>
      <c r="F73">
        <v>310968987</v>
      </c>
      <c r="G73" t="s">
        <v>522</v>
      </c>
      <c r="H73" t="s">
        <v>523</v>
      </c>
      <c r="I73" t="s">
        <v>524</v>
      </c>
      <c r="J73" t="s">
        <v>525</v>
      </c>
      <c r="K73">
        <v>201903</v>
      </c>
      <c r="L73" t="s">
        <v>128</v>
      </c>
      <c r="N73">
        <v>0</v>
      </c>
      <c r="O73">
        <v>0</v>
      </c>
      <c r="P73">
        <v>0</v>
      </c>
    </row>
    <row r="74" spans="1:21">
      <c r="A74" t="str">
        <f t="shared" si="9"/>
        <v>03_Mar</v>
      </c>
      <c r="B74">
        <v>376</v>
      </c>
      <c r="C74" t="s">
        <v>128</v>
      </c>
      <c r="F74">
        <v>392804890</v>
      </c>
      <c r="G74" t="s">
        <v>522</v>
      </c>
      <c r="H74" t="s">
        <v>523</v>
      </c>
      <c r="I74" t="s">
        <v>524</v>
      </c>
      <c r="J74" t="s">
        <v>526</v>
      </c>
      <c r="K74">
        <v>201903</v>
      </c>
      <c r="L74" t="s">
        <v>128</v>
      </c>
      <c r="N74">
        <v>0</v>
      </c>
      <c r="O74">
        <v>0</v>
      </c>
      <c r="P74">
        <v>0</v>
      </c>
    </row>
    <row r="75" spans="1:21">
      <c r="A75" t="str">
        <f t="shared" si="9"/>
        <v>03_Mar</v>
      </c>
      <c r="B75">
        <v>376</v>
      </c>
      <c r="C75" t="s">
        <v>128</v>
      </c>
      <c r="F75">
        <v>392803814</v>
      </c>
      <c r="G75" t="s">
        <v>522</v>
      </c>
      <c r="H75" t="s">
        <v>523</v>
      </c>
      <c r="I75" t="s">
        <v>524</v>
      </c>
      <c r="J75" t="s">
        <v>526</v>
      </c>
      <c r="K75">
        <v>201903</v>
      </c>
      <c r="L75" t="s">
        <v>128</v>
      </c>
      <c r="N75">
        <v>0</v>
      </c>
      <c r="O75">
        <v>0</v>
      </c>
      <c r="P75">
        <v>0</v>
      </c>
    </row>
    <row r="76" spans="1:21">
      <c r="A76" t="str">
        <f t="shared" si="9"/>
        <v>10_Oct</v>
      </c>
      <c r="B76">
        <v>376</v>
      </c>
      <c r="C76" t="s">
        <v>128</v>
      </c>
      <c r="F76">
        <v>395570557</v>
      </c>
      <c r="G76" t="s">
        <v>522</v>
      </c>
      <c r="H76" t="s">
        <v>523</v>
      </c>
      <c r="I76" t="s">
        <v>524</v>
      </c>
      <c r="J76" t="s">
        <v>525</v>
      </c>
      <c r="K76">
        <v>201910</v>
      </c>
      <c r="L76" t="s">
        <v>529</v>
      </c>
      <c r="N76">
        <v>1</v>
      </c>
      <c r="O76">
        <v>-504.98</v>
      </c>
      <c r="P76">
        <v>-504.98</v>
      </c>
      <c r="Q76">
        <v>0</v>
      </c>
    </row>
    <row r="77" spans="1:21">
      <c r="A77" t="str">
        <f t="shared" si="9"/>
        <v>01_Jan</v>
      </c>
      <c r="B77">
        <v>376</v>
      </c>
      <c r="C77" t="s">
        <v>128</v>
      </c>
      <c r="F77">
        <v>405404711</v>
      </c>
      <c r="G77" t="s">
        <v>522</v>
      </c>
      <c r="H77" t="s">
        <v>523</v>
      </c>
      <c r="I77" t="s">
        <v>524</v>
      </c>
      <c r="J77" t="s">
        <v>525</v>
      </c>
      <c r="K77">
        <v>201901</v>
      </c>
      <c r="L77" t="s">
        <v>529</v>
      </c>
      <c r="N77">
        <v>1</v>
      </c>
      <c r="O77">
        <v>69221.899999999994</v>
      </c>
      <c r="P77">
        <v>69221.899999999994</v>
      </c>
      <c r="Q77">
        <v>0</v>
      </c>
    </row>
    <row r="78" spans="1:21">
      <c r="A78" t="str">
        <f t="shared" si="9"/>
        <v>06_Jun</v>
      </c>
      <c r="B78">
        <v>376</v>
      </c>
      <c r="C78" t="s">
        <v>130</v>
      </c>
      <c r="F78">
        <v>395570602</v>
      </c>
      <c r="G78" t="s">
        <v>522</v>
      </c>
      <c r="H78" t="s">
        <v>523</v>
      </c>
      <c r="I78" t="s">
        <v>524</v>
      </c>
      <c r="J78" t="s">
        <v>525</v>
      </c>
      <c r="K78">
        <v>201906</v>
      </c>
      <c r="L78" t="s">
        <v>130</v>
      </c>
      <c r="N78">
        <v>2</v>
      </c>
      <c r="O78">
        <v>43.98</v>
      </c>
      <c r="P78">
        <v>21.99</v>
      </c>
      <c r="Q78">
        <v>0</v>
      </c>
    </row>
    <row r="79" spans="1:21">
      <c r="A79" t="str">
        <f t="shared" si="9"/>
        <v>09_Sep</v>
      </c>
      <c r="B79">
        <v>376</v>
      </c>
      <c r="C79" t="s">
        <v>130</v>
      </c>
      <c r="F79">
        <v>395570602</v>
      </c>
      <c r="G79" t="s">
        <v>522</v>
      </c>
      <c r="H79" t="s">
        <v>523</v>
      </c>
      <c r="I79" t="s">
        <v>524</v>
      </c>
      <c r="J79" t="s">
        <v>525</v>
      </c>
      <c r="K79">
        <v>201909</v>
      </c>
      <c r="L79" t="s">
        <v>130</v>
      </c>
      <c r="N79">
        <v>2</v>
      </c>
      <c r="O79">
        <v>346.58</v>
      </c>
      <c r="P79">
        <v>173.29</v>
      </c>
      <c r="Q79">
        <v>0</v>
      </c>
    </row>
    <row r="80" spans="1:21">
      <c r="A80" t="str">
        <f t="shared" si="9"/>
        <v>02_Feb</v>
      </c>
      <c r="B80">
        <v>376</v>
      </c>
      <c r="C80" t="s">
        <v>130</v>
      </c>
      <c r="F80">
        <v>395570602</v>
      </c>
      <c r="G80" t="s">
        <v>522</v>
      </c>
      <c r="H80" t="s">
        <v>523</v>
      </c>
      <c r="I80" t="s">
        <v>524</v>
      </c>
      <c r="J80" t="s">
        <v>525</v>
      </c>
      <c r="K80">
        <v>201902</v>
      </c>
      <c r="L80" t="s">
        <v>130</v>
      </c>
      <c r="N80">
        <v>1</v>
      </c>
      <c r="O80">
        <v>81.099999999999994</v>
      </c>
      <c r="P80">
        <v>81.099999999999994</v>
      </c>
      <c r="Q80">
        <v>0</v>
      </c>
    </row>
    <row r="81" spans="1:17">
      <c r="A81" t="str">
        <f t="shared" si="9"/>
        <v>10_Oct</v>
      </c>
      <c r="B81">
        <v>376</v>
      </c>
      <c r="C81" t="s">
        <v>130</v>
      </c>
      <c r="F81">
        <v>395570602</v>
      </c>
      <c r="G81" t="s">
        <v>522</v>
      </c>
      <c r="H81" t="s">
        <v>523</v>
      </c>
      <c r="I81" t="s">
        <v>524</v>
      </c>
      <c r="J81" t="s">
        <v>525</v>
      </c>
      <c r="K81">
        <v>201910</v>
      </c>
      <c r="L81" t="s">
        <v>130</v>
      </c>
      <c r="N81">
        <v>2</v>
      </c>
      <c r="O81">
        <v>971.83</v>
      </c>
      <c r="P81">
        <v>485.91500000000002</v>
      </c>
      <c r="Q81">
        <v>0</v>
      </c>
    </row>
    <row r="82" spans="1:17">
      <c r="A82" t="str">
        <f t="shared" si="9"/>
        <v>11_Nov</v>
      </c>
      <c r="B82">
        <v>376</v>
      </c>
      <c r="C82" t="s">
        <v>130</v>
      </c>
      <c r="F82">
        <v>395570602</v>
      </c>
      <c r="G82" t="s">
        <v>522</v>
      </c>
      <c r="H82" t="s">
        <v>523</v>
      </c>
      <c r="I82" t="s">
        <v>524</v>
      </c>
      <c r="J82" t="s">
        <v>525</v>
      </c>
      <c r="K82">
        <v>201911</v>
      </c>
      <c r="L82" t="s">
        <v>130</v>
      </c>
      <c r="N82">
        <v>2</v>
      </c>
      <c r="O82">
        <v>830.88</v>
      </c>
      <c r="P82">
        <v>415.44</v>
      </c>
      <c r="Q82">
        <v>0</v>
      </c>
    </row>
    <row r="83" spans="1:17">
      <c r="A83" t="str">
        <f t="shared" si="9"/>
        <v>08_Aug</v>
      </c>
      <c r="B83">
        <v>376</v>
      </c>
      <c r="C83" t="s">
        <v>130</v>
      </c>
      <c r="F83">
        <v>395570602</v>
      </c>
      <c r="G83" t="s">
        <v>522</v>
      </c>
      <c r="H83" t="s">
        <v>523</v>
      </c>
      <c r="I83" t="s">
        <v>524</v>
      </c>
      <c r="J83" t="s">
        <v>525</v>
      </c>
      <c r="K83">
        <v>201908</v>
      </c>
      <c r="L83" t="s">
        <v>130</v>
      </c>
      <c r="N83">
        <v>2</v>
      </c>
      <c r="O83">
        <v>207.52</v>
      </c>
      <c r="P83">
        <v>103.76</v>
      </c>
      <c r="Q83">
        <v>0</v>
      </c>
    </row>
    <row r="84" spans="1:17">
      <c r="A84" t="str">
        <f t="shared" si="9"/>
        <v>12_Dec</v>
      </c>
      <c r="B84">
        <v>376</v>
      </c>
      <c r="C84" t="s">
        <v>130</v>
      </c>
      <c r="F84">
        <v>395570602</v>
      </c>
      <c r="G84" t="s">
        <v>522</v>
      </c>
      <c r="H84" t="s">
        <v>523</v>
      </c>
      <c r="I84" t="s">
        <v>524</v>
      </c>
      <c r="J84" t="s">
        <v>525</v>
      </c>
      <c r="K84">
        <v>201912</v>
      </c>
      <c r="L84" t="s">
        <v>130</v>
      </c>
      <c r="N84">
        <v>2</v>
      </c>
      <c r="O84">
        <v>661.53</v>
      </c>
      <c r="P84">
        <v>330.76499999999999</v>
      </c>
      <c r="Q84">
        <v>0</v>
      </c>
    </row>
    <row r="85" spans="1:17">
      <c r="A85" t="str">
        <f t="shared" si="9"/>
        <v>03_Mar</v>
      </c>
      <c r="B85">
        <v>376</v>
      </c>
      <c r="C85" t="s">
        <v>130</v>
      </c>
      <c r="F85">
        <v>279416891</v>
      </c>
      <c r="G85" t="s">
        <v>522</v>
      </c>
      <c r="H85" t="s">
        <v>523</v>
      </c>
      <c r="I85" t="s">
        <v>524</v>
      </c>
      <c r="J85" t="s">
        <v>525</v>
      </c>
      <c r="K85">
        <v>201903</v>
      </c>
      <c r="L85" t="s">
        <v>130</v>
      </c>
      <c r="N85">
        <v>0</v>
      </c>
      <c r="O85">
        <v>0</v>
      </c>
      <c r="P85">
        <v>0</v>
      </c>
    </row>
    <row r="86" spans="1:17">
      <c r="A86" t="str">
        <f t="shared" si="9"/>
        <v>03_Mar</v>
      </c>
      <c r="B86">
        <v>376</v>
      </c>
      <c r="C86" t="s">
        <v>130</v>
      </c>
      <c r="F86">
        <v>395570602</v>
      </c>
      <c r="G86" t="s">
        <v>522</v>
      </c>
      <c r="H86" t="s">
        <v>523</v>
      </c>
      <c r="I86" t="s">
        <v>524</v>
      </c>
      <c r="J86" t="s">
        <v>525</v>
      </c>
      <c r="K86">
        <v>201903</v>
      </c>
      <c r="L86" t="s">
        <v>130</v>
      </c>
      <c r="N86">
        <v>0</v>
      </c>
      <c r="O86">
        <v>0</v>
      </c>
      <c r="P86">
        <v>0</v>
      </c>
    </row>
    <row r="87" spans="1:17">
      <c r="A87" t="str">
        <f t="shared" si="9"/>
        <v>06_Jun</v>
      </c>
      <c r="B87">
        <v>380</v>
      </c>
      <c r="C87">
        <v>414000001</v>
      </c>
      <c r="F87">
        <v>414658967</v>
      </c>
      <c r="G87" t="s">
        <v>522</v>
      </c>
      <c r="H87" t="s">
        <v>530</v>
      </c>
      <c r="I87" t="s">
        <v>531</v>
      </c>
      <c r="J87" t="s">
        <v>525</v>
      </c>
      <c r="K87">
        <v>201906</v>
      </c>
      <c r="L87" t="s">
        <v>484</v>
      </c>
      <c r="N87">
        <v>2</v>
      </c>
      <c r="O87">
        <v>906245.31</v>
      </c>
      <c r="P87">
        <v>453122.65500000003</v>
      </c>
      <c r="Q87">
        <v>0</v>
      </c>
    </row>
    <row r="88" spans="1:17">
      <c r="A88" t="str">
        <f t="shared" si="9"/>
        <v>07_Jul</v>
      </c>
      <c r="B88">
        <v>380</v>
      </c>
      <c r="C88">
        <v>414000001</v>
      </c>
      <c r="F88">
        <v>414658967</v>
      </c>
      <c r="G88" t="s">
        <v>522</v>
      </c>
      <c r="H88" t="s">
        <v>530</v>
      </c>
      <c r="I88" t="s">
        <v>531</v>
      </c>
      <c r="J88" t="s">
        <v>525</v>
      </c>
      <c r="K88">
        <v>201907</v>
      </c>
      <c r="L88" t="s">
        <v>484</v>
      </c>
      <c r="N88">
        <v>2</v>
      </c>
      <c r="O88">
        <v>704122.58</v>
      </c>
      <c r="P88">
        <v>352061.29</v>
      </c>
      <c r="Q88">
        <v>0</v>
      </c>
    </row>
    <row r="89" spans="1:17">
      <c r="A89" t="str">
        <f t="shared" si="9"/>
        <v>05_May</v>
      </c>
      <c r="B89">
        <v>380</v>
      </c>
      <c r="C89">
        <v>414000001</v>
      </c>
      <c r="F89">
        <v>414658967</v>
      </c>
      <c r="G89" t="s">
        <v>522</v>
      </c>
      <c r="H89" t="s">
        <v>530</v>
      </c>
      <c r="I89" t="s">
        <v>531</v>
      </c>
      <c r="J89" t="s">
        <v>525</v>
      </c>
      <c r="K89">
        <v>201905</v>
      </c>
      <c r="L89" t="s">
        <v>484</v>
      </c>
      <c r="N89">
        <v>2</v>
      </c>
      <c r="O89">
        <v>755002.67</v>
      </c>
      <c r="P89">
        <v>377501.33500000002</v>
      </c>
      <c r="Q89">
        <v>0</v>
      </c>
    </row>
    <row r="90" spans="1:17">
      <c r="A90" t="str">
        <f t="shared" si="9"/>
        <v>09_Sep</v>
      </c>
      <c r="B90">
        <v>380</v>
      </c>
      <c r="C90">
        <v>414000001</v>
      </c>
      <c r="F90">
        <v>414658967</v>
      </c>
      <c r="G90" t="s">
        <v>522</v>
      </c>
      <c r="H90" t="s">
        <v>530</v>
      </c>
      <c r="I90" t="s">
        <v>531</v>
      </c>
      <c r="J90" t="s">
        <v>525</v>
      </c>
      <c r="K90">
        <v>201909</v>
      </c>
      <c r="L90" t="s">
        <v>484</v>
      </c>
      <c r="N90">
        <v>2</v>
      </c>
      <c r="O90">
        <v>780073.36</v>
      </c>
      <c r="P90">
        <v>390036.68</v>
      </c>
      <c r="Q90">
        <v>0</v>
      </c>
    </row>
    <row r="91" spans="1:17">
      <c r="A91" t="str">
        <f t="shared" si="9"/>
        <v>04_Apr</v>
      </c>
      <c r="B91">
        <v>380</v>
      </c>
      <c r="C91">
        <v>414000001</v>
      </c>
      <c r="F91">
        <v>414658967</v>
      </c>
      <c r="G91" t="s">
        <v>522</v>
      </c>
      <c r="H91" t="s">
        <v>530</v>
      </c>
      <c r="I91" t="s">
        <v>531</v>
      </c>
      <c r="J91" t="s">
        <v>525</v>
      </c>
      <c r="K91">
        <v>201904</v>
      </c>
      <c r="L91" t="s">
        <v>484</v>
      </c>
      <c r="N91">
        <v>2</v>
      </c>
      <c r="O91">
        <v>2843402.61</v>
      </c>
      <c r="P91">
        <v>1421701.3049999999</v>
      </c>
      <c r="Q91">
        <v>0</v>
      </c>
    </row>
    <row r="92" spans="1:17">
      <c r="A92" t="str">
        <f t="shared" si="9"/>
        <v>08_Aug</v>
      </c>
      <c r="B92">
        <v>380</v>
      </c>
      <c r="C92">
        <v>414000001</v>
      </c>
      <c r="F92">
        <v>414658967</v>
      </c>
      <c r="G92" t="s">
        <v>522</v>
      </c>
      <c r="H92" t="s">
        <v>530</v>
      </c>
      <c r="I92" t="s">
        <v>531</v>
      </c>
      <c r="J92" t="s">
        <v>525</v>
      </c>
      <c r="K92">
        <v>201908</v>
      </c>
      <c r="L92" t="s">
        <v>484</v>
      </c>
      <c r="N92">
        <v>2</v>
      </c>
      <c r="O92">
        <v>791386.81</v>
      </c>
      <c r="P92">
        <v>395693.40500000003</v>
      </c>
      <c r="Q92">
        <v>0</v>
      </c>
    </row>
    <row r="93" spans="1:17">
      <c r="A93" t="str">
        <f t="shared" si="9"/>
        <v>10_Oct</v>
      </c>
      <c r="B93">
        <v>380</v>
      </c>
      <c r="C93">
        <v>414000001</v>
      </c>
      <c r="F93">
        <v>414658967</v>
      </c>
      <c r="G93" t="s">
        <v>522</v>
      </c>
      <c r="H93" t="s">
        <v>530</v>
      </c>
      <c r="I93" t="s">
        <v>531</v>
      </c>
      <c r="J93" t="s">
        <v>525</v>
      </c>
      <c r="K93">
        <v>201910</v>
      </c>
      <c r="L93" t="s">
        <v>484</v>
      </c>
      <c r="N93">
        <v>2</v>
      </c>
      <c r="O93">
        <v>678227.19</v>
      </c>
      <c r="P93">
        <v>339113.59499999997</v>
      </c>
      <c r="Q93">
        <v>0</v>
      </c>
    </row>
    <row r="94" spans="1:17">
      <c r="A94" t="str">
        <f t="shared" si="9"/>
        <v>12_Dec</v>
      </c>
      <c r="B94">
        <v>380</v>
      </c>
      <c r="C94">
        <v>414000001</v>
      </c>
      <c r="F94">
        <v>414658967</v>
      </c>
      <c r="G94" t="s">
        <v>522</v>
      </c>
      <c r="H94" t="s">
        <v>530</v>
      </c>
      <c r="I94" t="s">
        <v>531</v>
      </c>
      <c r="J94" t="s">
        <v>525</v>
      </c>
      <c r="K94">
        <v>201912</v>
      </c>
      <c r="L94" t="s">
        <v>484</v>
      </c>
      <c r="N94">
        <v>2</v>
      </c>
      <c r="O94">
        <v>739148.52</v>
      </c>
      <c r="P94">
        <v>369574.26</v>
      </c>
      <c r="Q94">
        <v>0</v>
      </c>
    </row>
    <row r="95" spans="1:17">
      <c r="A95" s="458" t="str">
        <f t="shared" si="9"/>
        <v>11_Nov</v>
      </c>
      <c r="B95" s="458">
        <v>380</v>
      </c>
      <c r="C95" s="458">
        <v>414000001</v>
      </c>
      <c r="F95">
        <v>414658967</v>
      </c>
      <c r="G95" t="s">
        <v>522</v>
      </c>
      <c r="H95" t="s">
        <v>530</v>
      </c>
      <c r="I95" t="s">
        <v>531</v>
      </c>
      <c r="J95" t="s">
        <v>525</v>
      </c>
      <c r="K95">
        <v>201911</v>
      </c>
      <c r="L95" t="s">
        <v>484</v>
      </c>
      <c r="N95">
        <v>2</v>
      </c>
      <c r="O95" s="458">
        <v>1048351.57</v>
      </c>
      <c r="P95" s="458">
        <v>524175.78499999997</v>
      </c>
      <c r="Q95">
        <v>0</v>
      </c>
    </row>
    <row r="96" spans="1:17">
      <c r="A96" t="str">
        <f t="shared" si="9"/>
        <v>05_May</v>
      </c>
      <c r="B96">
        <v>380</v>
      </c>
      <c r="C96" t="s">
        <v>114</v>
      </c>
      <c r="F96">
        <v>411220508</v>
      </c>
      <c r="G96" t="s">
        <v>522</v>
      </c>
      <c r="H96" t="s">
        <v>530</v>
      </c>
      <c r="I96" t="s">
        <v>531</v>
      </c>
      <c r="J96" t="s">
        <v>525</v>
      </c>
      <c r="K96">
        <v>201905</v>
      </c>
      <c r="L96" t="s">
        <v>532</v>
      </c>
      <c r="N96">
        <v>2</v>
      </c>
      <c r="O96">
        <v>314241.31</v>
      </c>
      <c r="P96">
        <v>157120.655</v>
      </c>
      <c r="Q96">
        <v>0</v>
      </c>
    </row>
    <row r="97" spans="1:17">
      <c r="A97" t="str">
        <f t="shared" si="9"/>
        <v>06_Jun</v>
      </c>
      <c r="B97">
        <v>380</v>
      </c>
      <c r="C97" t="s">
        <v>114</v>
      </c>
      <c r="F97">
        <v>411220508</v>
      </c>
      <c r="G97" t="s">
        <v>522</v>
      </c>
      <c r="H97" t="s">
        <v>530</v>
      </c>
      <c r="I97" t="s">
        <v>531</v>
      </c>
      <c r="J97" t="s">
        <v>525</v>
      </c>
      <c r="K97">
        <v>201906</v>
      </c>
      <c r="L97" t="s">
        <v>532</v>
      </c>
      <c r="N97">
        <v>2</v>
      </c>
      <c r="O97">
        <v>180309.94</v>
      </c>
      <c r="P97">
        <v>90154.97</v>
      </c>
      <c r="Q97">
        <v>0</v>
      </c>
    </row>
    <row r="98" spans="1:17">
      <c r="A98" t="str">
        <f t="shared" si="9"/>
        <v>09_Sep</v>
      </c>
      <c r="B98">
        <v>380</v>
      </c>
      <c r="C98" t="s">
        <v>114</v>
      </c>
      <c r="F98">
        <v>411220508</v>
      </c>
      <c r="G98" t="s">
        <v>522</v>
      </c>
      <c r="H98" t="s">
        <v>530</v>
      </c>
      <c r="I98" t="s">
        <v>531</v>
      </c>
      <c r="J98" t="s">
        <v>525</v>
      </c>
      <c r="K98">
        <v>201909</v>
      </c>
      <c r="L98" t="s">
        <v>532</v>
      </c>
      <c r="N98">
        <v>2</v>
      </c>
      <c r="O98">
        <v>209453.17</v>
      </c>
      <c r="P98">
        <v>104726.58500000001</v>
      </c>
      <c r="Q98">
        <v>0</v>
      </c>
    </row>
    <row r="99" spans="1:17">
      <c r="A99" t="str">
        <f t="shared" si="9"/>
        <v>11_Nov</v>
      </c>
      <c r="B99">
        <v>380</v>
      </c>
      <c r="C99" t="s">
        <v>114</v>
      </c>
      <c r="F99">
        <v>411220508</v>
      </c>
      <c r="G99" t="s">
        <v>522</v>
      </c>
      <c r="H99" t="s">
        <v>530</v>
      </c>
      <c r="I99" t="s">
        <v>531</v>
      </c>
      <c r="J99" t="s">
        <v>525</v>
      </c>
      <c r="K99">
        <v>201911</v>
      </c>
      <c r="L99" t="s">
        <v>532</v>
      </c>
      <c r="N99">
        <v>2</v>
      </c>
      <c r="O99">
        <v>152162.60999999999</v>
      </c>
      <c r="P99">
        <v>76081.304999999993</v>
      </c>
      <c r="Q99">
        <v>0</v>
      </c>
    </row>
    <row r="100" spans="1:17">
      <c r="A100" t="str">
        <f t="shared" si="9"/>
        <v>08_Aug</v>
      </c>
      <c r="B100">
        <v>380</v>
      </c>
      <c r="C100" t="s">
        <v>114</v>
      </c>
      <c r="F100">
        <v>411220508</v>
      </c>
      <c r="G100" t="s">
        <v>522</v>
      </c>
      <c r="H100" t="s">
        <v>530</v>
      </c>
      <c r="I100" t="s">
        <v>531</v>
      </c>
      <c r="J100" t="s">
        <v>525</v>
      </c>
      <c r="K100">
        <v>201908</v>
      </c>
      <c r="L100" t="s">
        <v>532</v>
      </c>
      <c r="N100">
        <v>-8</v>
      </c>
      <c r="O100">
        <v>-1786803.57</v>
      </c>
      <c r="P100">
        <v>223350.44625000001</v>
      </c>
      <c r="Q100">
        <v>0</v>
      </c>
    </row>
    <row r="101" spans="1:17">
      <c r="A101" t="str">
        <f t="shared" si="9"/>
        <v>10_Oct</v>
      </c>
      <c r="B101">
        <v>380</v>
      </c>
      <c r="C101" t="s">
        <v>114</v>
      </c>
      <c r="F101">
        <v>411220508</v>
      </c>
      <c r="G101" t="s">
        <v>522</v>
      </c>
      <c r="H101" t="s">
        <v>530</v>
      </c>
      <c r="I101" t="s">
        <v>531</v>
      </c>
      <c r="J101" t="s">
        <v>525</v>
      </c>
      <c r="K101">
        <v>201910</v>
      </c>
      <c r="L101" t="s">
        <v>532</v>
      </c>
      <c r="N101">
        <v>2</v>
      </c>
      <c r="O101">
        <v>248626.05</v>
      </c>
      <c r="P101">
        <v>124313.02499999999</v>
      </c>
      <c r="Q101">
        <v>0</v>
      </c>
    </row>
    <row r="102" spans="1:17">
      <c r="A102" t="str">
        <f t="shared" si="9"/>
        <v>04_Apr</v>
      </c>
      <c r="B102">
        <v>380</v>
      </c>
      <c r="C102" t="s">
        <v>114</v>
      </c>
      <c r="F102">
        <v>411220508</v>
      </c>
      <c r="G102" t="s">
        <v>522</v>
      </c>
      <c r="H102" t="s">
        <v>530</v>
      </c>
      <c r="I102" t="s">
        <v>531</v>
      </c>
      <c r="J102" t="s">
        <v>525</v>
      </c>
      <c r="K102">
        <v>201904</v>
      </c>
      <c r="L102" t="s">
        <v>532</v>
      </c>
      <c r="N102">
        <v>2</v>
      </c>
      <c r="O102">
        <v>269152.17</v>
      </c>
      <c r="P102">
        <v>134576.08499999999</v>
      </c>
      <c r="Q102">
        <v>0</v>
      </c>
    </row>
    <row r="103" spans="1:17">
      <c r="A103" t="str">
        <f t="shared" si="9"/>
        <v>08_Aug</v>
      </c>
      <c r="B103">
        <v>380</v>
      </c>
      <c r="C103" t="s">
        <v>114</v>
      </c>
      <c r="F103">
        <v>452731400</v>
      </c>
      <c r="G103" t="s">
        <v>522</v>
      </c>
      <c r="H103" t="s">
        <v>530</v>
      </c>
      <c r="I103" t="s">
        <v>531</v>
      </c>
      <c r="J103" t="s">
        <v>526</v>
      </c>
      <c r="K103">
        <v>201908</v>
      </c>
      <c r="L103" t="s">
        <v>532</v>
      </c>
      <c r="N103">
        <v>6</v>
      </c>
      <c r="O103">
        <v>63151.42</v>
      </c>
      <c r="P103">
        <v>10525.2366666667</v>
      </c>
      <c r="Q103">
        <v>0</v>
      </c>
    </row>
    <row r="104" spans="1:17">
      <c r="A104" t="str">
        <f t="shared" si="9"/>
        <v>08_Aug</v>
      </c>
      <c r="B104">
        <v>380</v>
      </c>
      <c r="C104" t="s">
        <v>114</v>
      </c>
      <c r="F104">
        <v>452731391</v>
      </c>
      <c r="G104" t="s">
        <v>522</v>
      </c>
      <c r="H104" t="s">
        <v>530</v>
      </c>
      <c r="I104" t="s">
        <v>531</v>
      </c>
      <c r="J104" t="s">
        <v>526</v>
      </c>
      <c r="K104">
        <v>201908</v>
      </c>
      <c r="L104" t="s">
        <v>532</v>
      </c>
      <c r="N104">
        <v>78</v>
      </c>
      <c r="O104">
        <v>444083.39</v>
      </c>
      <c r="P104">
        <v>5693.3767948717996</v>
      </c>
      <c r="Q104">
        <v>0</v>
      </c>
    </row>
    <row r="105" spans="1:17">
      <c r="A105" t="str">
        <f t="shared" si="9"/>
        <v>08_Aug</v>
      </c>
      <c r="B105">
        <v>380</v>
      </c>
      <c r="C105" t="s">
        <v>114</v>
      </c>
      <c r="F105">
        <v>452731374</v>
      </c>
      <c r="G105" t="s">
        <v>522</v>
      </c>
      <c r="H105" t="s">
        <v>530</v>
      </c>
      <c r="I105" t="s">
        <v>531</v>
      </c>
      <c r="J105" t="s">
        <v>526</v>
      </c>
      <c r="K105">
        <v>201908</v>
      </c>
      <c r="L105" t="s">
        <v>532</v>
      </c>
      <c r="N105">
        <v>396</v>
      </c>
      <c r="O105">
        <v>1324952.23</v>
      </c>
      <c r="P105">
        <v>3345.8389646464602</v>
      </c>
      <c r="Q105">
        <v>0</v>
      </c>
    </row>
    <row r="106" spans="1:17">
      <c r="A106" t="str">
        <f t="shared" si="9"/>
        <v>07_Jul</v>
      </c>
      <c r="B106">
        <v>380</v>
      </c>
      <c r="C106" t="s">
        <v>114</v>
      </c>
      <c r="F106">
        <v>411220508</v>
      </c>
      <c r="G106" t="s">
        <v>522</v>
      </c>
      <c r="H106" t="s">
        <v>530</v>
      </c>
      <c r="I106" t="s">
        <v>531</v>
      </c>
      <c r="J106" t="s">
        <v>525</v>
      </c>
      <c r="K106">
        <v>201907</v>
      </c>
      <c r="L106" t="s">
        <v>532</v>
      </c>
      <c r="N106">
        <v>2</v>
      </c>
      <c r="O106">
        <v>216193.19</v>
      </c>
      <c r="P106">
        <v>108096.595</v>
      </c>
      <c r="Q106">
        <v>0</v>
      </c>
    </row>
    <row r="107" spans="1:17">
      <c r="A107" t="str">
        <f t="shared" si="9"/>
        <v>03_Mar</v>
      </c>
      <c r="B107">
        <v>380</v>
      </c>
      <c r="C107" t="s">
        <v>114</v>
      </c>
      <c r="F107">
        <v>411220508</v>
      </c>
      <c r="G107" t="s">
        <v>522</v>
      </c>
      <c r="H107" t="s">
        <v>530</v>
      </c>
      <c r="I107" t="s">
        <v>531</v>
      </c>
      <c r="J107" t="s">
        <v>525</v>
      </c>
      <c r="K107">
        <v>201903</v>
      </c>
      <c r="L107" t="s">
        <v>532</v>
      </c>
      <c r="N107">
        <v>2</v>
      </c>
      <c r="O107">
        <v>1054768.6599999999</v>
      </c>
      <c r="P107">
        <v>527384.32999999996</v>
      </c>
      <c r="Q107">
        <v>0</v>
      </c>
    </row>
    <row r="108" spans="1:17">
      <c r="A108" t="str">
        <f t="shared" si="9"/>
        <v>12_Dec</v>
      </c>
      <c r="B108">
        <v>380</v>
      </c>
      <c r="C108" t="s">
        <v>114</v>
      </c>
      <c r="F108">
        <v>411220508</v>
      </c>
      <c r="G108" t="s">
        <v>522</v>
      </c>
      <c r="H108" t="s">
        <v>530</v>
      </c>
      <c r="I108" t="s">
        <v>531</v>
      </c>
      <c r="J108" t="s">
        <v>525</v>
      </c>
      <c r="K108">
        <v>201912</v>
      </c>
      <c r="L108" t="s">
        <v>532</v>
      </c>
      <c r="N108">
        <v>2</v>
      </c>
      <c r="O108">
        <v>132148.76</v>
      </c>
      <c r="P108">
        <v>66074.38</v>
      </c>
      <c r="Q108">
        <v>0</v>
      </c>
    </row>
    <row r="109" spans="1:17">
      <c r="A109" t="str">
        <f t="shared" si="9"/>
        <v>08_Aug</v>
      </c>
      <c r="B109">
        <v>380</v>
      </c>
      <c r="C109" t="s">
        <v>114</v>
      </c>
      <c r="F109">
        <v>452731409</v>
      </c>
      <c r="G109" t="s">
        <v>522</v>
      </c>
      <c r="H109" t="s">
        <v>530</v>
      </c>
      <c r="I109" t="s">
        <v>531</v>
      </c>
      <c r="J109" t="s">
        <v>526</v>
      </c>
      <c r="K109">
        <v>201908</v>
      </c>
      <c r="L109" t="s">
        <v>532</v>
      </c>
      <c r="N109">
        <v>14</v>
      </c>
      <c r="O109">
        <v>157730.16</v>
      </c>
      <c r="P109">
        <v>11266.44</v>
      </c>
      <c r="Q109">
        <v>0</v>
      </c>
    </row>
    <row r="110" spans="1:17">
      <c r="A110" t="str">
        <f t="shared" si="9"/>
        <v>03_Mar</v>
      </c>
      <c r="B110">
        <v>380</v>
      </c>
      <c r="C110" t="s">
        <v>116</v>
      </c>
      <c r="F110">
        <v>392799787</v>
      </c>
      <c r="G110" t="s">
        <v>522</v>
      </c>
      <c r="H110" t="s">
        <v>530</v>
      </c>
      <c r="I110" t="s">
        <v>531</v>
      </c>
      <c r="J110" t="s">
        <v>526</v>
      </c>
      <c r="K110">
        <v>201903</v>
      </c>
      <c r="L110" t="s">
        <v>116</v>
      </c>
      <c r="N110">
        <v>0</v>
      </c>
      <c r="O110">
        <v>0</v>
      </c>
      <c r="P110">
        <v>0</v>
      </c>
    </row>
    <row r="111" spans="1:17">
      <c r="A111" t="str">
        <f t="shared" si="9"/>
        <v>03_Mar</v>
      </c>
      <c r="B111">
        <v>380</v>
      </c>
      <c r="C111" t="s">
        <v>116</v>
      </c>
      <c r="F111">
        <v>392799720</v>
      </c>
      <c r="G111" t="s">
        <v>522</v>
      </c>
      <c r="H111" t="s">
        <v>530</v>
      </c>
      <c r="I111" t="s">
        <v>531</v>
      </c>
      <c r="J111" t="s">
        <v>526</v>
      </c>
      <c r="K111">
        <v>201903</v>
      </c>
      <c r="L111" t="s">
        <v>116</v>
      </c>
      <c r="N111">
        <v>0</v>
      </c>
      <c r="O111">
        <v>0</v>
      </c>
      <c r="P111">
        <v>0</v>
      </c>
    </row>
    <row r="112" spans="1:17">
      <c r="A112" t="str">
        <f t="shared" si="9"/>
        <v>03_Mar</v>
      </c>
      <c r="B112">
        <v>380</v>
      </c>
      <c r="C112" t="s">
        <v>116</v>
      </c>
      <c r="F112">
        <v>392799778</v>
      </c>
      <c r="G112" t="s">
        <v>522</v>
      </c>
      <c r="H112" t="s">
        <v>530</v>
      </c>
      <c r="I112" t="s">
        <v>531</v>
      </c>
      <c r="J112" t="s">
        <v>526</v>
      </c>
      <c r="K112">
        <v>201903</v>
      </c>
      <c r="L112" t="s">
        <v>116</v>
      </c>
      <c r="N112">
        <v>0</v>
      </c>
      <c r="O112">
        <v>0</v>
      </c>
      <c r="P112">
        <v>0</v>
      </c>
    </row>
    <row r="113" spans="1:17">
      <c r="A113" t="str">
        <f t="shared" si="9"/>
        <v>03_Mar</v>
      </c>
      <c r="B113">
        <v>380</v>
      </c>
      <c r="C113" t="s">
        <v>116</v>
      </c>
      <c r="F113">
        <v>392799769</v>
      </c>
      <c r="G113" t="s">
        <v>522</v>
      </c>
      <c r="H113" t="s">
        <v>530</v>
      </c>
      <c r="I113" t="s">
        <v>531</v>
      </c>
      <c r="J113" t="s">
        <v>526</v>
      </c>
      <c r="K113">
        <v>201903</v>
      </c>
      <c r="L113" t="s">
        <v>116</v>
      </c>
      <c r="N113">
        <v>0</v>
      </c>
      <c r="O113">
        <v>0</v>
      </c>
      <c r="P113">
        <v>0</v>
      </c>
    </row>
    <row r="114" spans="1:17">
      <c r="A114" t="str">
        <f t="shared" si="9"/>
        <v>03_Mar</v>
      </c>
      <c r="B114">
        <v>380</v>
      </c>
      <c r="C114" t="s">
        <v>116</v>
      </c>
      <c r="F114">
        <v>310966583</v>
      </c>
      <c r="G114" t="s">
        <v>522</v>
      </c>
      <c r="H114" t="s">
        <v>530</v>
      </c>
      <c r="I114" t="s">
        <v>531</v>
      </c>
      <c r="J114" t="s">
        <v>525</v>
      </c>
      <c r="K114">
        <v>201903</v>
      </c>
      <c r="L114" t="s">
        <v>116</v>
      </c>
      <c r="N114">
        <v>0</v>
      </c>
      <c r="O114">
        <v>0</v>
      </c>
      <c r="P114">
        <v>0</v>
      </c>
    </row>
    <row r="115" spans="1:17">
      <c r="A115" t="str">
        <f t="shared" si="9"/>
        <v>03_Mar</v>
      </c>
      <c r="B115">
        <v>380</v>
      </c>
      <c r="C115" t="s">
        <v>116</v>
      </c>
      <c r="F115">
        <v>397871508</v>
      </c>
      <c r="G115" t="s">
        <v>522</v>
      </c>
      <c r="H115" t="s">
        <v>530</v>
      </c>
      <c r="I115" t="s">
        <v>531</v>
      </c>
      <c r="J115" t="s">
        <v>525</v>
      </c>
      <c r="K115">
        <v>201903</v>
      </c>
      <c r="L115" t="s">
        <v>116</v>
      </c>
      <c r="N115">
        <v>0</v>
      </c>
      <c r="O115">
        <v>0</v>
      </c>
      <c r="P115">
        <v>0</v>
      </c>
    </row>
    <row r="116" spans="1:17">
      <c r="A116" t="str">
        <f t="shared" si="9"/>
        <v>01_Jan</v>
      </c>
      <c r="B116">
        <v>380</v>
      </c>
      <c r="C116" t="s">
        <v>116</v>
      </c>
      <c r="F116">
        <v>405402253</v>
      </c>
      <c r="G116" t="s">
        <v>522</v>
      </c>
      <c r="H116" t="s">
        <v>530</v>
      </c>
      <c r="I116" t="s">
        <v>531</v>
      </c>
      <c r="J116" t="s">
        <v>525</v>
      </c>
      <c r="K116">
        <v>201901</v>
      </c>
      <c r="L116" t="s">
        <v>116</v>
      </c>
      <c r="N116">
        <v>1</v>
      </c>
      <c r="O116">
        <v>-1207.02</v>
      </c>
      <c r="P116">
        <v>-1207.02</v>
      </c>
      <c r="Q116">
        <v>0</v>
      </c>
    </row>
    <row r="117" spans="1:17">
      <c r="A117" t="str">
        <f t="shared" si="9"/>
        <v>01_Jan</v>
      </c>
      <c r="B117">
        <v>380</v>
      </c>
      <c r="C117" t="s">
        <v>116</v>
      </c>
      <c r="F117">
        <v>405402262</v>
      </c>
      <c r="G117" t="s">
        <v>522</v>
      </c>
      <c r="H117" t="s">
        <v>530</v>
      </c>
      <c r="I117" t="s">
        <v>531</v>
      </c>
      <c r="J117" t="s">
        <v>525</v>
      </c>
      <c r="K117">
        <v>201901</v>
      </c>
      <c r="L117" t="s">
        <v>116</v>
      </c>
      <c r="N117">
        <v>1</v>
      </c>
      <c r="O117">
        <v>-1206.99</v>
      </c>
      <c r="P117">
        <v>-1206.99</v>
      </c>
      <c r="Q117">
        <v>0</v>
      </c>
    </row>
    <row r="118" spans="1:17">
      <c r="A118" t="str">
        <f t="shared" si="9"/>
        <v>08_Aug</v>
      </c>
      <c r="B118">
        <v>380</v>
      </c>
      <c r="C118" t="s">
        <v>116</v>
      </c>
      <c r="F118">
        <v>452731374</v>
      </c>
      <c r="G118" t="s">
        <v>522</v>
      </c>
      <c r="H118" t="s">
        <v>530</v>
      </c>
      <c r="I118" t="s">
        <v>531</v>
      </c>
      <c r="J118" t="s">
        <v>526</v>
      </c>
      <c r="K118">
        <v>201908</v>
      </c>
      <c r="L118" t="s">
        <v>533</v>
      </c>
      <c r="N118">
        <v>12</v>
      </c>
      <c r="O118">
        <v>53376.03</v>
      </c>
      <c r="P118">
        <v>4448.0024999999996</v>
      </c>
      <c r="Q118">
        <v>0</v>
      </c>
    </row>
    <row r="119" spans="1:17">
      <c r="A119" t="str">
        <f t="shared" ref="A119:A182" si="10">IF(ISERROR(VLOOKUP(K119,$T$55:$U$66,2,FALSE)),"",VLOOKUP(K119,$T$55:$U$66,2,FALSE))</f>
        <v>08_Aug</v>
      </c>
      <c r="B119">
        <v>380</v>
      </c>
      <c r="C119" t="s">
        <v>116</v>
      </c>
      <c r="F119">
        <v>405402280</v>
      </c>
      <c r="G119" t="s">
        <v>522</v>
      </c>
      <c r="H119" t="s">
        <v>530</v>
      </c>
      <c r="I119" t="s">
        <v>531</v>
      </c>
      <c r="J119" t="s">
        <v>525</v>
      </c>
      <c r="K119">
        <v>201908</v>
      </c>
      <c r="L119" t="s">
        <v>533</v>
      </c>
      <c r="N119">
        <v>-10</v>
      </c>
      <c r="O119">
        <v>-55296.5</v>
      </c>
      <c r="P119">
        <v>5529.65</v>
      </c>
      <c r="Q119">
        <v>0</v>
      </c>
    </row>
    <row r="120" spans="1:17">
      <c r="A120" t="str">
        <f t="shared" si="10"/>
        <v>09_Sep</v>
      </c>
      <c r="B120">
        <v>380</v>
      </c>
      <c r="C120" t="s">
        <v>116</v>
      </c>
      <c r="F120">
        <v>405402280</v>
      </c>
      <c r="G120" t="s">
        <v>522</v>
      </c>
      <c r="H120" t="s">
        <v>530</v>
      </c>
      <c r="I120" t="s">
        <v>531</v>
      </c>
      <c r="J120" t="s">
        <v>525</v>
      </c>
      <c r="K120">
        <v>201909</v>
      </c>
      <c r="L120" t="s">
        <v>533</v>
      </c>
      <c r="N120">
        <v>2</v>
      </c>
      <c r="O120">
        <v>2027.89</v>
      </c>
      <c r="P120">
        <v>1013.9450000000001</v>
      </c>
      <c r="Q120">
        <v>0</v>
      </c>
    </row>
    <row r="121" spans="1:17">
      <c r="A121" t="str">
        <f t="shared" si="10"/>
        <v>12_Dec</v>
      </c>
      <c r="B121">
        <v>380</v>
      </c>
      <c r="C121" t="s">
        <v>116</v>
      </c>
      <c r="F121">
        <v>405402280</v>
      </c>
      <c r="G121" t="s">
        <v>522</v>
      </c>
      <c r="H121" t="s">
        <v>530</v>
      </c>
      <c r="I121" t="s">
        <v>531</v>
      </c>
      <c r="J121" t="s">
        <v>525</v>
      </c>
      <c r="K121">
        <v>201912</v>
      </c>
      <c r="L121" t="s">
        <v>533</v>
      </c>
      <c r="N121">
        <v>2</v>
      </c>
      <c r="O121">
        <v>11487.86</v>
      </c>
      <c r="P121">
        <v>5743.93</v>
      </c>
      <c r="Q121">
        <v>0</v>
      </c>
    </row>
    <row r="122" spans="1:17">
      <c r="A122" t="str">
        <f t="shared" si="10"/>
        <v>06_Jun</v>
      </c>
      <c r="B122">
        <v>380</v>
      </c>
      <c r="C122" t="s">
        <v>116</v>
      </c>
      <c r="F122">
        <v>405402280</v>
      </c>
      <c r="G122" t="s">
        <v>522</v>
      </c>
      <c r="H122" t="s">
        <v>530</v>
      </c>
      <c r="I122" t="s">
        <v>531</v>
      </c>
      <c r="J122" t="s">
        <v>525</v>
      </c>
      <c r="K122">
        <v>201906</v>
      </c>
      <c r="L122" t="s">
        <v>533</v>
      </c>
      <c r="N122">
        <v>2</v>
      </c>
      <c r="O122">
        <v>19087.150000000001</v>
      </c>
      <c r="P122">
        <v>9543.5750000000007</v>
      </c>
      <c r="Q122">
        <v>0</v>
      </c>
    </row>
    <row r="123" spans="1:17">
      <c r="A123" t="str">
        <f t="shared" si="10"/>
        <v>07_Jul</v>
      </c>
      <c r="B123">
        <v>380</v>
      </c>
      <c r="C123" t="s">
        <v>116</v>
      </c>
      <c r="F123">
        <v>405402280</v>
      </c>
      <c r="G123" t="s">
        <v>522</v>
      </c>
      <c r="H123" t="s">
        <v>530</v>
      </c>
      <c r="I123" t="s">
        <v>531</v>
      </c>
      <c r="J123" t="s">
        <v>525</v>
      </c>
      <c r="K123">
        <v>201907</v>
      </c>
      <c r="L123" t="s">
        <v>533</v>
      </c>
      <c r="N123">
        <v>2</v>
      </c>
      <c r="O123">
        <v>9034.86</v>
      </c>
      <c r="P123">
        <v>4517.43</v>
      </c>
      <c r="Q123">
        <v>0</v>
      </c>
    </row>
    <row r="124" spans="1:17">
      <c r="A124" t="str">
        <f t="shared" si="10"/>
        <v>11_Nov</v>
      </c>
      <c r="B124">
        <v>380</v>
      </c>
      <c r="C124" t="s">
        <v>116</v>
      </c>
      <c r="F124">
        <v>405402280</v>
      </c>
      <c r="G124" t="s">
        <v>522</v>
      </c>
      <c r="H124" t="s">
        <v>530</v>
      </c>
      <c r="I124" t="s">
        <v>531</v>
      </c>
      <c r="J124" t="s">
        <v>525</v>
      </c>
      <c r="K124">
        <v>201911</v>
      </c>
      <c r="L124" t="s">
        <v>533</v>
      </c>
      <c r="N124">
        <v>2</v>
      </c>
      <c r="O124">
        <v>4403.7299999999996</v>
      </c>
      <c r="P124">
        <v>2201.8649999999998</v>
      </c>
      <c r="Q124">
        <v>0</v>
      </c>
    </row>
    <row r="125" spans="1:17">
      <c r="A125" t="str">
        <f t="shared" si="10"/>
        <v>04_Apr</v>
      </c>
      <c r="B125">
        <v>380</v>
      </c>
      <c r="C125" t="s">
        <v>116</v>
      </c>
      <c r="F125">
        <v>405402280</v>
      </c>
      <c r="G125" t="s">
        <v>522</v>
      </c>
      <c r="H125" t="s">
        <v>530</v>
      </c>
      <c r="I125" t="s">
        <v>531</v>
      </c>
      <c r="J125" t="s">
        <v>525</v>
      </c>
      <c r="K125">
        <v>201904</v>
      </c>
      <c r="L125" t="s">
        <v>533</v>
      </c>
      <c r="N125">
        <v>2</v>
      </c>
      <c r="O125">
        <v>6316.84</v>
      </c>
      <c r="P125">
        <v>3158.42</v>
      </c>
      <c r="Q125">
        <v>0</v>
      </c>
    </row>
    <row r="126" spans="1:17">
      <c r="A126" t="str">
        <f t="shared" si="10"/>
        <v>10_Oct</v>
      </c>
      <c r="B126">
        <v>380</v>
      </c>
      <c r="C126" t="s">
        <v>116</v>
      </c>
      <c r="F126">
        <v>405402280</v>
      </c>
      <c r="G126" t="s">
        <v>522</v>
      </c>
      <c r="H126" t="s">
        <v>530</v>
      </c>
      <c r="I126" t="s">
        <v>531</v>
      </c>
      <c r="J126" t="s">
        <v>525</v>
      </c>
      <c r="K126">
        <v>201910</v>
      </c>
      <c r="L126" t="s">
        <v>533</v>
      </c>
      <c r="N126">
        <v>2</v>
      </c>
      <c r="O126">
        <v>2163.19</v>
      </c>
      <c r="P126">
        <v>1081.595</v>
      </c>
      <c r="Q126">
        <v>0</v>
      </c>
    </row>
    <row r="127" spans="1:17">
      <c r="A127" t="str">
        <f t="shared" si="10"/>
        <v>01_Jan</v>
      </c>
      <c r="B127">
        <v>380</v>
      </c>
      <c r="C127" t="s">
        <v>116</v>
      </c>
      <c r="F127">
        <v>405402280</v>
      </c>
      <c r="G127" t="s">
        <v>522</v>
      </c>
      <c r="H127" t="s">
        <v>530</v>
      </c>
      <c r="I127" t="s">
        <v>531</v>
      </c>
      <c r="J127" t="s">
        <v>525</v>
      </c>
      <c r="K127">
        <v>201901</v>
      </c>
      <c r="L127" t="s">
        <v>533</v>
      </c>
      <c r="N127">
        <v>2</v>
      </c>
      <c r="O127">
        <v>10759.98</v>
      </c>
      <c r="P127">
        <v>5379.99</v>
      </c>
      <c r="Q127">
        <v>0</v>
      </c>
    </row>
    <row r="128" spans="1:17">
      <c r="A128" t="str">
        <f t="shared" si="10"/>
        <v>05_May</v>
      </c>
      <c r="B128">
        <v>380</v>
      </c>
      <c r="C128" t="s">
        <v>116</v>
      </c>
      <c r="F128">
        <v>405402280</v>
      </c>
      <c r="G128" t="s">
        <v>522</v>
      </c>
      <c r="H128" t="s">
        <v>530</v>
      </c>
      <c r="I128" t="s">
        <v>531</v>
      </c>
      <c r="J128" t="s">
        <v>525</v>
      </c>
      <c r="K128">
        <v>201905</v>
      </c>
      <c r="L128" t="s">
        <v>533</v>
      </c>
      <c r="N128">
        <v>2</v>
      </c>
      <c r="O128">
        <v>8709.7900000000009</v>
      </c>
      <c r="P128">
        <v>4354.8950000000004</v>
      </c>
      <c r="Q128">
        <v>0</v>
      </c>
    </row>
    <row r="129" spans="1:17">
      <c r="A129" t="str">
        <f t="shared" si="10"/>
        <v>08_Aug</v>
      </c>
      <c r="B129">
        <v>380</v>
      </c>
      <c r="C129" t="s">
        <v>116</v>
      </c>
      <c r="F129">
        <v>452731391</v>
      </c>
      <c r="G129" t="s">
        <v>522</v>
      </c>
      <c r="H129" t="s">
        <v>530</v>
      </c>
      <c r="I129" t="s">
        <v>531</v>
      </c>
      <c r="J129" t="s">
        <v>526</v>
      </c>
      <c r="K129">
        <v>201908</v>
      </c>
      <c r="L129" t="s">
        <v>533</v>
      </c>
      <c r="N129">
        <v>1</v>
      </c>
      <c r="O129">
        <v>7568.84</v>
      </c>
      <c r="P129">
        <v>7568.84</v>
      </c>
      <c r="Q129">
        <v>0</v>
      </c>
    </row>
    <row r="130" spans="1:17">
      <c r="A130" t="str">
        <f t="shared" si="10"/>
        <v>02_Feb</v>
      </c>
      <c r="B130">
        <v>380</v>
      </c>
      <c r="C130" t="s">
        <v>116</v>
      </c>
      <c r="F130">
        <v>405402280</v>
      </c>
      <c r="G130" t="s">
        <v>522</v>
      </c>
      <c r="H130" t="s">
        <v>530</v>
      </c>
      <c r="I130" t="s">
        <v>531</v>
      </c>
      <c r="J130" t="s">
        <v>525</v>
      </c>
      <c r="K130">
        <v>201902</v>
      </c>
      <c r="L130" t="s">
        <v>533</v>
      </c>
      <c r="N130">
        <v>2</v>
      </c>
      <c r="O130">
        <v>5312.59</v>
      </c>
      <c r="P130">
        <v>2656.2950000000001</v>
      </c>
      <c r="Q130">
        <v>0</v>
      </c>
    </row>
    <row r="131" spans="1:17">
      <c r="A131" t="str">
        <f t="shared" si="10"/>
        <v>04_Apr</v>
      </c>
      <c r="B131">
        <v>380</v>
      </c>
      <c r="C131" t="s">
        <v>118</v>
      </c>
      <c r="F131">
        <v>405402289</v>
      </c>
      <c r="G131" t="s">
        <v>522</v>
      </c>
      <c r="H131" t="s">
        <v>530</v>
      </c>
      <c r="I131" t="s">
        <v>531</v>
      </c>
      <c r="J131" t="s">
        <v>525</v>
      </c>
      <c r="K131">
        <v>201904</v>
      </c>
      <c r="L131" t="s">
        <v>118</v>
      </c>
      <c r="N131">
        <v>1</v>
      </c>
      <c r="O131">
        <v>0</v>
      </c>
      <c r="P131">
        <v>0</v>
      </c>
      <c r="Q131">
        <v>0</v>
      </c>
    </row>
    <row r="132" spans="1:17">
      <c r="A132" t="str">
        <f t="shared" si="10"/>
        <v>07_Jul</v>
      </c>
      <c r="B132">
        <v>380</v>
      </c>
      <c r="C132" t="s">
        <v>118</v>
      </c>
      <c r="F132">
        <v>405402289</v>
      </c>
      <c r="G132" t="s">
        <v>522</v>
      </c>
      <c r="H132" t="s">
        <v>530</v>
      </c>
      <c r="I132" t="s">
        <v>531</v>
      </c>
      <c r="J132" t="s">
        <v>525</v>
      </c>
      <c r="K132">
        <v>201907</v>
      </c>
      <c r="L132" t="s">
        <v>118</v>
      </c>
      <c r="N132">
        <v>1</v>
      </c>
      <c r="O132">
        <v>0</v>
      </c>
      <c r="P132">
        <v>0</v>
      </c>
      <c r="Q132">
        <v>0</v>
      </c>
    </row>
    <row r="133" spans="1:17">
      <c r="A133" t="str">
        <f t="shared" si="10"/>
        <v>03_Mar</v>
      </c>
      <c r="B133">
        <v>380</v>
      </c>
      <c r="C133" t="s">
        <v>118</v>
      </c>
      <c r="F133">
        <v>392799778</v>
      </c>
      <c r="G133" t="s">
        <v>522</v>
      </c>
      <c r="H133" t="s">
        <v>530</v>
      </c>
      <c r="I133" t="s">
        <v>531</v>
      </c>
      <c r="J133" t="s">
        <v>526</v>
      </c>
      <c r="K133">
        <v>201903</v>
      </c>
      <c r="L133" t="s">
        <v>118</v>
      </c>
      <c r="N133">
        <v>0</v>
      </c>
      <c r="O133">
        <v>0</v>
      </c>
      <c r="P133">
        <v>0</v>
      </c>
    </row>
    <row r="134" spans="1:17">
      <c r="A134" t="str">
        <f t="shared" si="10"/>
        <v>03_Mar</v>
      </c>
      <c r="B134">
        <v>380</v>
      </c>
      <c r="C134" t="s">
        <v>118</v>
      </c>
      <c r="F134">
        <v>392799787</v>
      </c>
      <c r="G134" t="s">
        <v>522</v>
      </c>
      <c r="H134" t="s">
        <v>530</v>
      </c>
      <c r="I134" t="s">
        <v>531</v>
      </c>
      <c r="J134" t="s">
        <v>526</v>
      </c>
      <c r="K134">
        <v>201903</v>
      </c>
      <c r="L134" t="s">
        <v>118</v>
      </c>
      <c r="N134">
        <v>0</v>
      </c>
      <c r="O134">
        <v>0</v>
      </c>
      <c r="P134">
        <v>0</v>
      </c>
    </row>
    <row r="135" spans="1:17">
      <c r="A135" t="str">
        <f t="shared" si="10"/>
        <v>03_Mar</v>
      </c>
      <c r="B135">
        <v>380</v>
      </c>
      <c r="C135" t="s">
        <v>118</v>
      </c>
      <c r="F135">
        <v>310966601</v>
      </c>
      <c r="G135" t="s">
        <v>522</v>
      </c>
      <c r="H135" t="s">
        <v>530</v>
      </c>
      <c r="I135" t="s">
        <v>531</v>
      </c>
      <c r="J135" t="s">
        <v>525</v>
      </c>
      <c r="K135">
        <v>201903</v>
      </c>
      <c r="L135" t="s">
        <v>118</v>
      </c>
      <c r="N135">
        <v>0</v>
      </c>
      <c r="O135">
        <v>0</v>
      </c>
      <c r="P135">
        <v>0</v>
      </c>
    </row>
    <row r="136" spans="1:17">
      <c r="A136" t="str">
        <f t="shared" si="10"/>
        <v>02_Feb</v>
      </c>
      <c r="B136">
        <v>380</v>
      </c>
      <c r="C136" t="s">
        <v>118</v>
      </c>
      <c r="F136">
        <v>405402289</v>
      </c>
      <c r="G136" t="s">
        <v>522</v>
      </c>
      <c r="H136" t="s">
        <v>530</v>
      </c>
      <c r="I136" t="s">
        <v>531</v>
      </c>
      <c r="J136" t="s">
        <v>525</v>
      </c>
      <c r="K136">
        <v>201902</v>
      </c>
      <c r="L136" t="s">
        <v>118</v>
      </c>
      <c r="N136">
        <v>1</v>
      </c>
      <c r="O136">
        <v>0</v>
      </c>
      <c r="P136">
        <v>0</v>
      </c>
      <c r="Q136">
        <v>0</v>
      </c>
    </row>
    <row r="137" spans="1:17">
      <c r="A137" t="str">
        <f t="shared" si="10"/>
        <v>05_May</v>
      </c>
      <c r="B137">
        <v>380</v>
      </c>
      <c r="C137" t="s">
        <v>118</v>
      </c>
      <c r="F137">
        <v>405402289</v>
      </c>
      <c r="G137" t="s">
        <v>522</v>
      </c>
      <c r="H137" t="s">
        <v>530</v>
      </c>
      <c r="I137" t="s">
        <v>531</v>
      </c>
      <c r="J137" t="s">
        <v>525</v>
      </c>
      <c r="K137">
        <v>201905</v>
      </c>
      <c r="L137" t="s">
        <v>118</v>
      </c>
      <c r="N137">
        <v>1</v>
      </c>
      <c r="O137">
        <v>0</v>
      </c>
      <c r="P137">
        <v>0</v>
      </c>
      <c r="Q137">
        <v>0</v>
      </c>
    </row>
    <row r="138" spans="1:17">
      <c r="A138" t="str">
        <f t="shared" si="10"/>
        <v>01_Jan</v>
      </c>
      <c r="B138">
        <v>380</v>
      </c>
      <c r="C138" t="s">
        <v>118</v>
      </c>
      <c r="F138">
        <v>405402289</v>
      </c>
      <c r="G138" t="s">
        <v>522</v>
      </c>
      <c r="H138" t="s">
        <v>530</v>
      </c>
      <c r="I138" t="s">
        <v>531</v>
      </c>
      <c r="J138" t="s">
        <v>525</v>
      </c>
      <c r="K138">
        <v>201901</v>
      </c>
      <c r="L138" t="s">
        <v>118</v>
      </c>
      <c r="N138">
        <v>1</v>
      </c>
      <c r="O138">
        <v>-13621.14</v>
      </c>
      <c r="P138">
        <v>-13621.14</v>
      </c>
      <c r="Q138">
        <v>0</v>
      </c>
    </row>
    <row r="139" spans="1:17">
      <c r="A139" t="str">
        <f t="shared" si="10"/>
        <v>06_Jun</v>
      </c>
      <c r="B139">
        <v>380</v>
      </c>
      <c r="C139" t="s">
        <v>118</v>
      </c>
      <c r="F139">
        <v>405402289</v>
      </c>
      <c r="G139" t="s">
        <v>522</v>
      </c>
      <c r="H139" t="s">
        <v>530</v>
      </c>
      <c r="I139" t="s">
        <v>531</v>
      </c>
      <c r="J139" t="s">
        <v>525</v>
      </c>
      <c r="K139">
        <v>201906</v>
      </c>
      <c r="L139" t="s">
        <v>118</v>
      </c>
      <c r="N139">
        <v>1</v>
      </c>
      <c r="O139">
        <v>0</v>
      </c>
      <c r="P139">
        <v>0</v>
      </c>
      <c r="Q139">
        <v>0</v>
      </c>
    </row>
    <row r="140" spans="1:17">
      <c r="A140" t="str">
        <f t="shared" si="10"/>
        <v>08_Aug</v>
      </c>
      <c r="B140">
        <v>380</v>
      </c>
      <c r="C140" t="s">
        <v>118</v>
      </c>
      <c r="F140">
        <v>405402289</v>
      </c>
      <c r="G140" t="s">
        <v>522</v>
      </c>
      <c r="H140" t="s">
        <v>530</v>
      </c>
      <c r="I140" t="s">
        <v>531</v>
      </c>
      <c r="J140" t="s">
        <v>525</v>
      </c>
      <c r="K140">
        <v>201908</v>
      </c>
      <c r="L140" t="s">
        <v>118</v>
      </c>
      <c r="N140">
        <v>1</v>
      </c>
      <c r="O140">
        <v>0</v>
      </c>
      <c r="P140">
        <v>0</v>
      </c>
      <c r="Q140">
        <v>0</v>
      </c>
    </row>
    <row r="141" spans="1:17">
      <c r="A141" t="str">
        <f t="shared" si="10"/>
        <v>11_Nov</v>
      </c>
      <c r="B141">
        <v>380</v>
      </c>
      <c r="C141" t="s">
        <v>118</v>
      </c>
      <c r="F141">
        <v>405402289</v>
      </c>
      <c r="G141" t="s">
        <v>522</v>
      </c>
      <c r="H141" t="s">
        <v>530</v>
      </c>
      <c r="I141" t="s">
        <v>531</v>
      </c>
      <c r="J141" t="s">
        <v>525</v>
      </c>
      <c r="K141">
        <v>201911</v>
      </c>
      <c r="L141" t="s">
        <v>118</v>
      </c>
      <c r="N141">
        <v>1</v>
      </c>
      <c r="O141">
        <v>0</v>
      </c>
      <c r="P141">
        <v>0</v>
      </c>
      <c r="Q141">
        <v>0</v>
      </c>
    </row>
    <row r="142" spans="1:17">
      <c r="A142" t="str">
        <f t="shared" si="10"/>
        <v>12_Dec</v>
      </c>
      <c r="B142">
        <v>380</v>
      </c>
      <c r="C142" t="s">
        <v>118</v>
      </c>
      <c r="F142">
        <v>405402289</v>
      </c>
      <c r="G142" t="s">
        <v>522</v>
      </c>
      <c r="H142" t="s">
        <v>530</v>
      </c>
      <c r="I142" t="s">
        <v>531</v>
      </c>
      <c r="J142" t="s">
        <v>525</v>
      </c>
      <c r="K142">
        <v>201912</v>
      </c>
      <c r="L142" t="s">
        <v>118</v>
      </c>
      <c r="N142">
        <v>1</v>
      </c>
      <c r="O142">
        <v>0</v>
      </c>
      <c r="P142">
        <v>0</v>
      </c>
      <c r="Q142">
        <v>0</v>
      </c>
    </row>
    <row r="143" spans="1:17">
      <c r="A143" t="str">
        <f t="shared" si="10"/>
        <v>03_Mar</v>
      </c>
      <c r="B143">
        <v>380</v>
      </c>
      <c r="C143" t="s">
        <v>118</v>
      </c>
      <c r="F143">
        <v>392799769</v>
      </c>
      <c r="G143" t="s">
        <v>522</v>
      </c>
      <c r="H143" t="s">
        <v>530</v>
      </c>
      <c r="I143" t="s">
        <v>531</v>
      </c>
      <c r="J143" t="s">
        <v>526</v>
      </c>
      <c r="K143">
        <v>201903</v>
      </c>
      <c r="L143" t="s">
        <v>118</v>
      </c>
      <c r="N143">
        <v>0</v>
      </c>
      <c r="O143">
        <v>0</v>
      </c>
      <c r="P143">
        <v>0</v>
      </c>
    </row>
    <row r="144" spans="1:17">
      <c r="A144" t="str">
        <f t="shared" si="10"/>
        <v>03_Mar</v>
      </c>
      <c r="B144">
        <v>380</v>
      </c>
      <c r="C144" t="s">
        <v>118</v>
      </c>
      <c r="F144">
        <v>392799720</v>
      </c>
      <c r="G144" t="s">
        <v>522</v>
      </c>
      <c r="H144" t="s">
        <v>530</v>
      </c>
      <c r="I144" t="s">
        <v>531</v>
      </c>
      <c r="J144" t="s">
        <v>526</v>
      </c>
      <c r="K144">
        <v>201903</v>
      </c>
      <c r="L144" t="s">
        <v>118</v>
      </c>
      <c r="N144">
        <v>0</v>
      </c>
      <c r="O144">
        <v>0</v>
      </c>
      <c r="P144">
        <v>0</v>
      </c>
    </row>
    <row r="145" spans="1:17">
      <c r="A145" t="str">
        <f t="shared" si="10"/>
        <v>10_Oct</v>
      </c>
      <c r="B145">
        <v>380</v>
      </c>
      <c r="C145" t="s">
        <v>118</v>
      </c>
      <c r="F145">
        <v>405402289</v>
      </c>
      <c r="G145" t="s">
        <v>522</v>
      </c>
      <c r="H145" t="s">
        <v>530</v>
      </c>
      <c r="I145" t="s">
        <v>531</v>
      </c>
      <c r="J145" t="s">
        <v>525</v>
      </c>
      <c r="K145">
        <v>201910</v>
      </c>
      <c r="L145" t="s">
        <v>118</v>
      </c>
      <c r="N145">
        <v>1</v>
      </c>
      <c r="O145">
        <v>0</v>
      </c>
      <c r="P145">
        <v>0</v>
      </c>
      <c r="Q145">
        <v>0</v>
      </c>
    </row>
    <row r="146" spans="1:17">
      <c r="A146" t="str">
        <f t="shared" si="10"/>
        <v>09_Sep</v>
      </c>
      <c r="B146">
        <v>380</v>
      </c>
      <c r="C146" t="s">
        <v>118</v>
      </c>
      <c r="F146">
        <v>405402289</v>
      </c>
      <c r="G146" t="s">
        <v>522</v>
      </c>
      <c r="H146" t="s">
        <v>530</v>
      </c>
      <c r="I146" t="s">
        <v>531</v>
      </c>
      <c r="J146" t="s">
        <v>525</v>
      </c>
      <c r="K146">
        <v>201909</v>
      </c>
      <c r="L146" t="s">
        <v>118</v>
      </c>
      <c r="N146">
        <v>1</v>
      </c>
      <c r="O146">
        <v>0</v>
      </c>
      <c r="P146">
        <v>0</v>
      </c>
      <c r="Q146">
        <v>0</v>
      </c>
    </row>
    <row r="147" spans="1:17">
      <c r="A147" t="str">
        <f t="shared" si="10"/>
        <v>03_Mar</v>
      </c>
      <c r="B147">
        <v>380</v>
      </c>
      <c r="C147" t="s">
        <v>118</v>
      </c>
      <c r="F147">
        <v>405402289</v>
      </c>
      <c r="G147" t="s">
        <v>522</v>
      </c>
      <c r="H147" t="s">
        <v>530</v>
      </c>
      <c r="I147" t="s">
        <v>531</v>
      </c>
      <c r="J147" t="s">
        <v>525</v>
      </c>
      <c r="K147">
        <v>201903</v>
      </c>
      <c r="L147" t="s">
        <v>118</v>
      </c>
      <c r="N147">
        <v>1</v>
      </c>
      <c r="O147">
        <v>0</v>
      </c>
      <c r="P147">
        <v>0</v>
      </c>
      <c r="Q147">
        <v>0</v>
      </c>
    </row>
    <row r="148" spans="1:17">
      <c r="A148" t="str">
        <f t="shared" si="10"/>
        <v>08_Aug</v>
      </c>
      <c r="B148">
        <v>380</v>
      </c>
      <c r="C148" t="s">
        <v>118</v>
      </c>
      <c r="F148">
        <v>452731400</v>
      </c>
      <c r="G148" t="s">
        <v>522</v>
      </c>
      <c r="H148" t="s">
        <v>530</v>
      </c>
      <c r="I148" t="s">
        <v>531</v>
      </c>
      <c r="J148" t="s">
        <v>526</v>
      </c>
      <c r="K148">
        <v>201908</v>
      </c>
      <c r="L148" t="s">
        <v>534</v>
      </c>
      <c r="N148">
        <v>1</v>
      </c>
      <c r="O148">
        <v>5986.68</v>
      </c>
      <c r="P148">
        <v>5986.68</v>
      </c>
      <c r="Q148">
        <v>0</v>
      </c>
    </row>
    <row r="149" spans="1:17">
      <c r="A149" t="str">
        <f t="shared" si="10"/>
        <v>02_Feb</v>
      </c>
      <c r="B149">
        <v>380</v>
      </c>
      <c r="C149" t="s">
        <v>118</v>
      </c>
      <c r="F149">
        <v>408216851</v>
      </c>
      <c r="G149" t="s">
        <v>522</v>
      </c>
      <c r="H149" t="s">
        <v>530</v>
      </c>
      <c r="I149" t="s">
        <v>531</v>
      </c>
      <c r="J149" t="s">
        <v>525</v>
      </c>
      <c r="K149">
        <v>201902</v>
      </c>
      <c r="L149" t="s">
        <v>534</v>
      </c>
      <c r="N149">
        <v>1</v>
      </c>
      <c r="O149">
        <v>15790.08</v>
      </c>
      <c r="P149">
        <v>15790.08</v>
      </c>
      <c r="Q149">
        <v>0</v>
      </c>
    </row>
    <row r="150" spans="1:17">
      <c r="A150" t="str">
        <f t="shared" si="10"/>
        <v>07_Jul</v>
      </c>
      <c r="B150">
        <v>380</v>
      </c>
      <c r="C150" t="s">
        <v>118</v>
      </c>
      <c r="F150">
        <v>408216851</v>
      </c>
      <c r="G150" t="s">
        <v>522</v>
      </c>
      <c r="H150" t="s">
        <v>530</v>
      </c>
      <c r="I150" t="s">
        <v>531</v>
      </c>
      <c r="J150" t="s">
        <v>525</v>
      </c>
      <c r="K150">
        <v>201907</v>
      </c>
      <c r="L150" t="s">
        <v>534</v>
      </c>
      <c r="N150">
        <v>1</v>
      </c>
      <c r="O150">
        <v>523.55999999999995</v>
      </c>
      <c r="P150">
        <v>523.55999999999995</v>
      </c>
      <c r="Q150">
        <v>0</v>
      </c>
    </row>
    <row r="151" spans="1:17">
      <c r="A151" t="str">
        <f t="shared" si="10"/>
        <v>08_Aug</v>
      </c>
      <c r="B151">
        <v>380</v>
      </c>
      <c r="C151" t="s">
        <v>118</v>
      </c>
      <c r="F151">
        <v>452731391</v>
      </c>
      <c r="G151" t="s">
        <v>522</v>
      </c>
      <c r="H151" t="s">
        <v>530</v>
      </c>
      <c r="I151" t="s">
        <v>531</v>
      </c>
      <c r="J151" t="s">
        <v>526</v>
      </c>
      <c r="K151">
        <v>201908</v>
      </c>
      <c r="L151" t="s">
        <v>534</v>
      </c>
      <c r="N151">
        <v>2</v>
      </c>
      <c r="O151">
        <v>6476.69</v>
      </c>
      <c r="P151">
        <v>3238.3449999999998</v>
      </c>
      <c r="Q151">
        <v>0</v>
      </c>
    </row>
    <row r="152" spans="1:17">
      <c r="A152" t="str">
        <f t="shared" si="10"/>
        <v>05_May</v>
      </c>
      <c r="B152">
        <v>380</v>
      </c>
      <c r="C152" t="s">
        <v>118</v>
      </c>
      <c r="F152">
        <v>408216851</v>
      </c>
      <c r="G152" t="s">
        <v>522</v>
      </c>
      <c r="H152" t="s">
        <v>530</v>
      </c>
      <c r="I152" t="s">
        <v>531</v>
      </c>
      <c r="J152" t="s">
        <v>525</v>
      </c>
      <c r="K152">
        <v>201905</v>
      </c>
      <c r="L152" t="s">
        <v>534</v>
      </c>
      <c r="N152">
        <v>2</v>
      </c>
      <c r="O152">
        <v>3696.93</v>
      </c>
      <c r="P152">
        <v>1848.4649999999999</v>
      </c>
      <c r="Q152">
        <v>0</v>
      </c>
    </row>
    <row r="153" spans="1:17">
      <c r="A153" t="str">
        <f t="shared" si="10"/>
        <v>08_Aug</v>
      </c>
      <c r="B153">
        <v>380</v>
      </c>
      <c r="C153" t="s">
        <v>118</v>
      </c>
      <c r="F153">
        <v>408216851</v>
      </c>
      <c r="G153" t="s">
        <v>522</v>
      </c>
      <c r="H153" t="s">
        <v>530</v>
      </c>
      <c r="I153" t="s">
        <v>531</v>
      </c>
      <c r="J153" t="s">
        <v>525</v>
      </c>
      <c r="K153">
        <v>201908</v>
      </c>
      <c r="L153" t="s">
        <v>534</v>
      </c>
      <c r="N153">
        <v>-9</v>
      </c>
      <c r="O153">
        <v>-23881.919999999998</v>
      </c>
      <c r="P153">
        <v>2653.5466666666698</v>
      </c>
      <c r="Q153">
        <v>0</v>
      </c>
    </row>
    <row r="154" spans="1:17">
      <c r="A154" t="str">
        <f t="shared" si="10"/>
        <v>06_Jun</v>
      </c>
      <c r="B154">
        <v>380</v>
      </c>
      <c r="C154" t="s">
        <v>118</v>
      </c>
      <c r="F154">
        <v>408216851</v>
      </c>
      <c r="G154" t="s">
        <v>522</v>
      </c>
      <c r="H154" t="s">
        <v>530</v>
      </c>
      <c r="I154" t="s">
        <v>531</v>
      </c>
      <c r="J154" t="s">
        <v>525</v>
      </c>
      <c r="K154">
        <v>201906</v>
      </c>
      <c r="L154" t="s">
        <v>534</v>
      </c>
      <c r="N154">
        <v>1</v>
      </c>
      <c r="O154">
        <v>0</v>
      </c>
      <c r="P154">
        <v>0</v>
      </c>
      <c r="Q154">
        <v>0</v>
      </c>
    </row>
    <row r="155" spans="1:17">
      <c r="A155" t="str">
        <f t="shared" si="10"/>
        <v>03_Mar</v>
      </c>
      <c r="B155">
        <v>380</v>
      </c>
      <c r="C155" t="s">
        <v>118</v>
      </c>
      <c r="F155">
        <v>408216851</v>
      </c>
      <c r="G155" t="s">
        <v>522</v>
      </c>
      <c r="H155" t="s">
        <v>530</v>
      </c>
      <c r="I155" t="s">
        <v>531</v>
      </c>
      <c r="J155" t="s">
        <v>525</v>
      </c>
      <c r="K155">
        <v>201903</v>
      </c>
      <c r="L155" t="s">
        <v>534</v>
      </c>
      <c r="N155">
        <v>2</v>
      </c>
      <c r="O155">
        <v>2852.37</v>
      </c>
      <c r="P155">
        <v>1426.1849999999999</v>
      </c>
      <c r="Q155">
        <v>0</v>
      </c>
    </row>
    <row r="156" spans="1:17">
      <c r="A156" t="str">
        <f t="shared" si="10"/>
        <v>04_Apr</v>
      </c>
      <c r="B156">
        <v>380</v>
      </c>
      <c r="C156" t="s">
        <v>118</v>
      </c>
      <c r="F156">
        <v>408216851</v>
      </c>
      <c r="G156" t="s">
        <v>522</v>
      </c>
      <c r="H156" t="s">
        <v>530</v>
      </c>
      <c r="I156" t="s">
        <v>531</v>
      </c>
      <c r="J156" t="s">
        <v>525</v>
      </c>
      <c r="K156">
        <v>201904</v>
      </c>
      <c r="L156" t="s">
        <v>534</v>
      </c>
      <c r="N156">
        <v>2</v>
      </c>
      <c r="O156">
        <v>1018.98</v>
      </c>
      <c r="P156">
        <v>509.49</v>
      </c>
      <c r="Q156">
        <v>0</v>
      </c>
    </row>
    <row r="157" spans="1:17">
      <c r="A157" t="str">
        <f t="shared" si="10"/>
        <v>08_Aug</v>
      </c>
      <c r="B157">
        <v>380</v>
      </c>
      <c r="C157" t="s">
        <v>118</v>
      </c>
      <c r="F157">
        <v>452731374</v>
      </c>
      <c r="G157" t="s">
        <v>522</v>
      </c>
      <c r="H157" t="s">
        <v>530</v>
      </c>
      <c r="I157" t="s">
        <v>531</v>
      </c>
      <c r="J157" t="s">
        <v>526</v>
      </c>
      <c r="K157">
        <v>201908</v>
      </c>
      <c r="L157" t="s">
        <v>534</v>
      </c>
      <c r="N157">
        <v>6</v>
      </c>
      <c r="O157">
        <v>11418.55</v>
      </c>
      <c r="P157">
        <v>1903.0916666666701</v>
      </c>
      <c r="Q157">
        <v>0</v>
      </c>
    </row>
    <row r="158" spans="1:17">
      <c r="A158" t="str">
        <f t="shared" si="10"/>
        <v>09_Sep</v>
      </c>
      <c r="B158">
        <v>380</v>
      </c>
      <c r="C158" t="s">
        <v>118</v>
      </c>
      <c r="F158">
        <v>408216851</v>
      </c>
      <c r="G158" t="s">
        <v>522</v>
      </c>
      <c r="H158" t="s">
        <v>530</v>
      </c>
      <c r="I158" t="s">
        <v>531</v>
      </c>
      <c r="J158" t="s">
        <v>525</v>
      </c>
      <c r="K158">
        <v>201909</v>
      </c>
      <c r="L158" t="s">
        <v>534</v>
      </c>
      <c r="N158">
        <v>2</v>
      </c>
      <c r="O158">
        <v>845.01</v>
      </c>
      <c r="P158">
        <v>422.505</v>
      </c>
      <c r="Q158">
        <v>0</v>
      </c>
    </row>
    <row r="159" spans="1:17">
      <c r="A159" t="str">
        <f t="shared" si="10"/>
        <v>10_Oct</v>
      </c>
      <c r="B159">
        <v>380</v>
      </c>
      <c r="C159" t="s">
        <v>118</v>
      </c>
      <c r="F159">
        <v>408216851</v>
      </c>
      <c r="G159" t="s">
        <v>522</v>
      </c>
      <c r="H159" t="s">
        <v>530</v>
      </c>
      <c r="I159" t="s">
        <v>531</v>
      </c>
      <c r="J159" t="s">
        <v>525</v>
      </c>
      <c r="K159">
        <v>201910</v>
      </c>
      <c r="L159" t="s">
        <v>534</v>
      </c>
      <c r="N159">
        <v>2</v>
      </c>
      <c r="O159">
        <v>17011.22</v>
      </c>
      <c r="P159">
        <v>8505.61</v>
      </c>
      <c r="Q159">
        <v>0</v>
      </c>
    </row>
    <row r="160" spans="1:17">
      <c r="A160" t="str">
        <f t="shared" si="10"/>
        <v>11_Nov</v>
      </c>
      <c r="B160">
        <v>380</v>
      </c>
      <c r="C160" t="s">
        <v>118</v>
      </c>
      <c r="F160">
        <v>408216851</v>
      </c>
      <c r="G160" t="s">
        <v>522</v>
      </c>
      <c r="H160" t="s">
        <v>530</v>
      </c>
      <c r="I160" t="s">
        <v>531</v>
      </c>
      <c r="J160" t="s">
        <v>525</v>
      </c>
      <c r="K160">
        <v>201911</v>
      </c>
      <c r="L160" t="s">
        <v>534</v>
      </c>
      <c r="N160">
        <v>1</v>
      </c>
      <c r="O160">
        <v>6171.64</v>
      </c>
      <c r="P160">
        <v>6171.64</v>
      </c>
      <c r="Q160">
        <v>0</v>
      </c>
    </row>
    <row r="161" spans="1:17">
      <c r="A161" t="str">
        <f t="shared" si="10"/>
        <v>12_Dec</v>
      </c>
      <c r="B161">
        <v>380</v>
      </c>
      <c r="C161" t="s">
        <v>118</v>
      </c>
      <c r="F161">
        <v>408216851</v>
      </c>
      <c r="G161" t="s">
        <v>522</v>
      </c>
      <c r="H161" t="s">
        <v>530</v>
      </c>
      <c r="I161" t="s">
        <v>531</v>
      </c>
      <c r="J161" t="s">
        <v>525</v>
      </c>
      <c r="K161">
        <v>201912</v>
      </c>
      <c r="L161" t="s">
        <v>534</v>
      </c>
      <c r="N161">
        <v>2</v>
      </c>
      <c r="O161">
        <v>60339</v>
      </c>
      <c r="P161">
        <v>30169.5</v>
      </c>
      <c r="Q161">
        <v>0</v>
      </c>
    </row>
    <row r="162" spans="1:17">
      <c r="A162" t="str">
        <f t="shared" si="10"/>
        <v>08_Aug</v>
      </c>
      <c r="B162">
        <v>380</v>
      </c>
      <c r="C162" t="s">
        <v>120</v>
      </c>
      <c r="F162">
        <v>452731409</v>
      </c>
      <c r="G162" t="s">
        <v>522</v>
      </c>
      <c r="H162" t="s">
        <v>530</v>
      </c>
      <c r="I162" t="s">
        <v>531</v>
      </c>
      <c r="J162" t="s">
        <v>526</v>
      </c>
      <c r="K162">
        <v>201908</v>
      </c>
      <c r="L162" t="s">
        <v>535</v>
      </c>
      <c r="N162">
        <v>28</v>
      </c>
      <c r="O162">
        <v>159136.38</v>
      </c>
      <c r="P162">
        <v>5683.4421428571404</v>
      </c>
      <c r="Q162">
        <v>0</v>
      </c>
    </row>
    <row r="163" spans="1:17">
      <c r="A163" t="str">
        <f t="shared" si="10"/>
        <v>08_Aug</v>
      </c>
      <c r="B163">
        <v>380</v>
      </c>
      <c r="C163" t="s">
        <v>120</v>
      </c>
      <c r="F163">
        <v>452731400</v>
      </c>
      <c r="G163" t="s">
        <v>522</v>
      </c>
      <c r="H163" t="s">
        <v>530</v>
      </c>
      <c r="I163" t="s">
        <v>531</v>
      </c>
      <c r="J163" t="s">
        <v>526</v>
      </c>
      <c r="K163">
        <v>201908</v>
      </c>
      <c r="L163" t="s">
        <v>535</v>
      </c>
      <c r="N163">
        <v>27</v>
      </c>
      <c r="O163">
        <v>143357.54999999999</v>
      </c>
      <c r="P163">
        <v>5309.5388888888901</v>
      </c>
      <c r="Q163">
        <v>0</v>
      </c>
    </row>
    <row r="164" spans="1:17">
      <c r="A164" t="str">
        <f t="shared" si="10"/>
        <v>03_Mar</v>
      </c>
      <c r="B164">
        <v>380</v>
      </c>
      <c r="C164" t="s">
        <v>120</v>
      </c>
      <c r="F164">
        <v>405402504</v>
      </c>
      <c r="G164" t="s">
        <v>522</v>
      </c>
      <c r="H164" t="s">
        <v>530</v>
      </c>
      <c r="I164" t="s">
        <v>531</v>
      </c>
      <c r="J164" t="s">
        <v>525</v>
      </c>
      <c r="K164">
        <v>201903</v>
      </c>
      <c r="L164" t="s">
        <v>535</v>
      </c>
      <c r="N164">
        <v>2</v>
      </c>
      <c r="O164">
        <v>428131.92</v>
      </c>
      <c r="P164">
        <v>214065.96</v>
      </c>
      <c r="Q164">
        <v>0</v>
      </c>
    </row>
    <row r="165" spans="1:17">
      <c r="A165" t="str">
        <f t="shared" si="10"/>
        <v>06_Jun</v>
      </c>
      <c r="B165">
        <v>380</v>
      </c>
      <c r="C165" t="s">
        <v>120</v>
      </c>
      <c r="F165">
        <v>405402504</v>
      </c>
      <c r="G165" t="s">
        <v>522</v>
      </c>
      <c r="H165" t="s">
        <v>530</v>
      </c>
      <c r="I165" t="s">
        <v>531</v>
      </c>
      <c r="J165" t="s">
        <v>525</v>
      </c>
      <c r="K165">
        <v>201906</v>
      </c>
      <c r="L165" t="s">
        <v>535</v>
      </c>
      <c r="N165">
        <v>2</v>
      </c>
      <c r="O165">
        <v>377695.32</v>
      </c>
      <c r="P165">
        <v>188847.66</v>
      </c>
      <c r="Q165">
        <v>0</v>
      </c>
    </row>
    <row r="166" spans="1:17">
      <c r="A166" t="str">
        <f t="shared" si="10"/>
        <v>11_Nov</v>
      </c>
      <c r="B166">
        <v>380</v>
      </c>
      <c r="C166" t="s">
        <v>120</v>
      </c>
      <c r="F166">
        <v>405402504</v>
      </c>
      <c r="G166" t="s">
        <v>522</v>
      </c>
      <c r="H166" t="s">
        <v>530</v>
      </c>
      <c r="I166" t="s">
        <v>531</v>
      </c>
      <c r="J166" t="s">
        <v>525</v>
      </c>
      <c r="K166">
        <v>201911</v>
      </c>
      <c r="L166" t="s">
        <v>535</v>
      </c>
      <c r="N166">
        <v>2</v>
      </c>
      <c r="O166">
        <v>466468.35</v>
      </c>
      <c r="P166">
        <v>233234.17499999999</v>
      </c>
      <c r="Q166">
        <v>0</v>
      </c>
    </row>
    <row r="167" spans="1:17">
      <c r="A167" t="str">
        <f t="shared" si="10"/>
        <v>02_Feb</v>
      </c>
      <c r="B167">
        <v>380</v>
      </c>
      <c r="C167" t="s">
        <v>120</v>
      </c>
      <c r="F167">
        <v>405402504</v>
      </c>
      <c r="G167" t="s">
        <v>522</v>
      </c>
      <c r="H167" t="s">
        <v>530</v>
      </c>
      <c r="I167" t="s">
        <v>531</v>
      </c>
      <c r="J167" t="s">
        <v>525</v>
      </c>
      <c r="K167">
        <v>201902</v>
      </c>
      <c r="L167" t="s">
        <v>535</v>
      </c>
      <c r="N167">
        <v>2</v>
      </c>
      <c r="O167">
        <v>278665.15000000002</v>
      </c>
      <c r="P167">
        <v>139332.57500000001</v>
      </c>
      <c r="Q167">
        <v>0</v>
      </c>
    </row>
    <row r="168" spans="1:17">
      <c r="A168" t="str">
        <f t="shared" si="10"/>
        <v>05_May</v>
      </c>
      <c r="B168">
        <v>380</v>
      </c>
      <c r="C168" t="s">
        <v>120</v>
      </c>
      <c r="F168">
        <v>405402504</v>
      </c>
      <c r="G168" t="s">
        <v>522</v>
      </c>
      <c r="H168" t="s">
        <v>530</v>
      </c>
      <c r="I168" t="s">
        <v>531</v>
      </c>
      <c r="J168" t="s">
        <v>525</v>
      </c>
      <c r="K168">
        <v>201905</v>
      </c>
      <c r="L168" t="s">
        <v>535</v>
      </c>
      <c r="N168">
        <v>2</v>
      </c>
      <c r="O168">
        <v>314530.95</v>
      </c>
      <c r="P168">
        <v>157265.47500000001</v>
      </c>
      <c r="Q168">
        <v>0</v>
      </c>
    </row>
    <row r="169" spans="1:17">
      <c r="A169" t="str">
        <f t="shared" si="10"/>
        <v>10_Oct</v>
      </c>
      <c r="B169">
        <v>380</v>
      </c>
      <c r="C169" t="s">
        <v>120</v>
      </c>
      <c r="F169">
        <v>405402504</v>
      </c>
      <c r="G169" t="s">
        <v>522</v>
      </c>
      <c r="H169" t="s">
        <v>530</v>
      </c>
      <c r="I169" t="s">
        <v>531</v>
      </c>
      <c r="J169" t="s">
        <v>525</v>
      </c>
      <c r="K169">
        <v>201910</v>
      </c>
      <c r="L169" t="s">
        <v>535</v>
      </c>
      <c r="N169">
        <v>2</v>
      </c>
      <c r="O169">
        <v>471489.46</v>
      </c>
      <c r="P169">
        <v>235744.73</v>
      </c>
      <c r="Q169">
        <v>0</v>
      </c>
    </row>
    <row r="170" spans="1:17">
      <c r="A170" t="str">
        <f t="shared" si="10"/>
        <v>12_Dec</v>
      </c>
      <c r="B170">
        <v>380</v>
      </c>
      <c r="C170" t="s">
        <v>120</v>
      </c>
      <c r="F170">
        <v>405402504</v>
      </c>
      <c r="G170" t="s">
        <v>522</v>
      </c>
      <c r="H170" t="s">
        <v>530</v>
      </c>
      <c r="I170" t="s">
        <v>531</v>
      </c>
      <c r="J170" t="s">
        <v>525</v>
      </c>
      <c r="K170">
        <v>201912</v>
      </c>
      <c r="L170" t="s">
        <v>535</v>
      </c>
      <c r="N170">
        <v>2</v>
      </c>
      <c r="O170">
        <v>451090.26</v>
      </c>
      <c r="P170">
        <v>225545.13</v>
      </c>
      <c r="Q170">
        <v>0</v>
      </c>
    </row>
    <row r="171" spans="1:17">
      <c r="A171" t="str">
        <f t="shared" si="10"/>
        <v>08_Aug</v>
      </c>
      <c r="B171">
        <v>380</v>
      </c>
      <c r="C171" t="s">
        <v>120</v>
      </c>
      <c r="F171">
        <v>452731522</v>
      </c>
      <c r="G171" t="s">
        <v>522</v>
      </c>
      <c r="H171" t="s">
        <v>530</v>
      </c>
      <c r="I171" t="s">
        <v>531</v>
      </c>
      <c r="J171" t="s">
        <v>526</v>
      </c>
      <c r="K171">
        <v>201908</v>
      </c>
      <c r="L171" t="s">
        <v>535</v>
      </c>
      <c r="N171">
        <v>7</v>
      </c>
      <c r="O171">
        <v>53904.74</v>
      </c>
      <c r="P171">
        <v>7700.6771428571401</v>
      </c>
      <c r="Q171">
        <v>0</v>
      </c>
    </row>
    <row r="172" spans="1:17">
      <c r="A172" t="str">
        <f t="shared" si="10"/>
        <v>08_Aug</v>
      </c>
      <c r="B172">
        <v>380</v>
      </c>
      <c r="C172" t="s">
        <v>120</v>
      </c>
      <c r="F172">
        <v>452731391</v>
      </c>
      <c r="G172" t="s">
        <v>522</v>
      </c>
      <c r="H172" t="s">
        <v>530</v>
      </c>
      <c r="I172" t="s">
        <v>531</v>
      </c>
      <c r="J172" t="s">
        <v>526</v>
      </c>
      <c r="K172">
        <v>201908</v>
      </c>
      <c r="L172" t="s">
        <v>535</v>
      </c>
      <c r="N172">
        <v>1093</v>
      </c>
      <c r="O172">
        <v>3139170.73</v>
      </c>
      <c r="P172">
        <v>2872.0683714547099</v>
      </c>
      <c r="Q172">
        <v>0</v>
      </c>
    </row>
    <row r="173" spans="1:17">
      <c r="A173" t="str">
        <f t="shared" si="10"/>
        <v>08_Aug</v>
      </c>
      <c r="B173">
        <v>380</v>
      </c>
      <c r="C173" t="s">
        <v>120</v>
      </c>
      <c r="F173">
        <v>452731374</v>
      </c>
      <c r="G173" t="s">
        <v>522</v>
      </c>
      <c r="H173" t="s">
        <v>530</v>
      </c>
      <c r="I173" t="s">
        <v>531</v>
      </c>
      <c r="J173" t="s">
        <v>526</v>
      </c>
      <c r="K173">
        <v>201908</v>
      </c>
      <c r="L173" t="s">
        <v>535</v>
      </c>
      <c r="N173">
        <v>20</v>
      </c>
      <c r="O173">
        <v>33756.69</v>
      </c>
      <c r="P173">
        <v>1687.8344999999999</v>
      </c>
      <c r="Q173">
        <v>0</v>
      </c>
    </row>
    <row r="174" spans="1:17">
      <c r="A174" t="str">
        <f t="shared" si="10"/>
        <v>09_Sep</v>
      </c>
      <c r="B174">
        <v>380</v>
      </c>
      <c r="C174" t="s">
        <v>120</v>
      </c>
      <c r="F174">
        <v>405402504</v>
      </c>
      <c r="G174" t="s">
        <v>522</v>
      </c>
      <c r="H174" t="s">
        <v>530</v>
      </c>
      <c r="I174" t="s">
        <v>531</v>
      </c>
      <c r="J174" t="s">
        <v>525</v>
      </c>
      <c r="K174">
        <v>201909</v>
      </c>
      <c r="L174" t="s">
        <v>535</v>
      </c>
      <c r="N174">
        <v>2</v>
      </c>
      <c r="O174">
        <v>422411.35</v>
      </c>
      <c r="P174">
        <v>211205.67499999999</v>
      </c>
      <c r="Q174">
        <v>0</v>
      </c>
    </row>
    <row r="175" spans="1:17">
      <c r="A175" t="str">
        <f t="shared" si="10"/>
        <v>04_Apr</v>
      </c>
      <c r="B175">
        <v>380</v>
      </c>
      <c r="C175" t="s">
        <v>120</v>
      </c>
      <c r="F175">
        <v>405402504</v>
      </c>
      <c r="G175" t="s">
        <v>522</v>
      </c>
      <c r="H175" t="s">
        <v>530</v>
      </c>
      <c r="I175" t="s">
        <v>531</v>
      </c>
      <c r="J175" t="s">
        <v>525</v>
      </c>
      <c r="K175">
        <v>201904</v>
      </c>
      <c r="L175" t="s">
        <v>535</v>
      </c>
      <c r="N175">
        <v>2</v>
      </c>
      <c r="O175">
        <v>286209.09999999998</v>
      </c>
      <c r="P175">
        <v>143104.54999999999</v>
      </c>
      <c r="Q175">
        <v>0</v>
      </c>
    </row>
    <row r="176" spans="1:17">
      <c r="A176" t="str">
        <f t="shared" si="10"/>
        <v>07_Jul</v>
      </c>
      <c r="B176">
        <v>380</v>
      </c>
      <c r="C176" t="s">
        <v>120</v>
      </c>
      <c r="F176">
        <v>405402504</v>
      </c>
      <c r="G176" t="s">
        <v>522</v>
      </c>
      <c r="H176" t="s">
        <v>530</v>
      </c>
      <c r="I176" t="s">
        <v>531</v>
      </c>
      <c r="J176" t="s">
        <v>525</v>
      </c>
      <c r="K176">
        <v>201907</v>
      </c>
      <c r="L176" t="s">
        <v>535</v>
      </c>
      <c r="N176">
        <v>2</v>
      </c>
      <c r="O176">
        <v>384921.36</v>
      </c>
      <c r="P176">
        <v>192460.68</v>
      </c>
      <c r="Q176">
        <v>0</v>
      </c>
    </row>
    <row r="177" spans="1:17">
      <c r="A177" t="str">
        <f t="shared" si="10"/>
        <v>08_Aug</v>
      </c>
      <c r="B177">
        <v>380</v>
      </c>
      <c r="C177" t="s">
        <v>120</v>
      </c>
      <c r="F177">
        <v>395569410</v>
      </c>
      <c r="G177" t="s">
        <v>522</v>
      </c>
      <c r="H177" t="s">
        <v>530</v>
      </c>
      <c r="I177" t="s">
        <v>531</v>
      </c>
      <c r="J177" t="s">
        <v>525</v>
      </c>
      <c r="K177">
        <v>201908</v>
      </c>
      <c r="L177" t="s">
        <v>535</v>
      </c>
      <c r="N177">
        <v>-4</v>
      </c>
      <c r="O177">
        <v>-1029592.65</v>
      </c>
      <c r="P177">
        <v>257398.16250000001</v>
      </c>
      <c r="Q177">
        <v>0</v>
      </c>
    </row>
    <row r="178" spans="1:17">
      <c r="A178" t="str">
        <f t="shared" si="10"/>
        <v>01_Jan</v>
      </c>
      <c r="B178">
        <v>380</v>
      </c>
      <c r="C178" t="s">
        <v>120</v>
      </c>
      <c r="F178">
        <v>405402504</v>
      </c>
      <c r="G178" t="s">
        <v>522</v>
      </c>
      <c r="H178" t="s">
        <v>530</v>
      </c>
      <c r="I178" t="s">
        <v>531</v>
      </c>
      <c r="J178" t="s">
        <v>525</v>
      </c>
      <c r="K178">
        <v>201901</v>
      </c>
      <c r="L178" t="s">
        <v>535</v>
      </c>
      <c r="N178">
        <v>2</v>
      </c>
      <c r="O178">
        <v>457313.39</v>
      </c>
      <c r="P178">
        <v>228656.69500000001</v>
      </c>
      <c r="Q178">
        <v>0</v>
      </c>
    </row>
    <row r="179" spans="1:17">
      <c r="A179" t="str">
        <f t="shared" si="10"/>
        <v>08_Aug</v>
      </c>
      <c r="B179">
        <v>380</v>
      </c>
      <c r="C179" t="s">
        <v>120</v>
      </c>
      <c r="F179">
        <v>405402504</v>
      </c>
      <c r="G179" t="s">
        <v>522</v>
      </c>
      <c r="H179" t="s">
        <v>530</v>
      </c>
      <c r="I179" t="s">
        <v>531</v>
      </c>
      <c r="J179" t="s">
        <v>525</v>
      </c>
      <c r="K179">
        <v>201908</v>
      </c>
      <c r="L179" t="s">
        <v>535</v>
      </c>
      <c r="N179">
        <v>-12</v>
      </c>
      <c r="O179">
        <v>-2126786.7000000002</v>
      </c>
      <c r="P179">
        <v>177232.22500000001</v>
      </c>
      <c r="Q179">
        <v>0</v>
      </c>
    </row>
    <row r="180" spans="1:17">
      <c r="A180" t="str">
        <f t="shared" si="10"/>
        <v>08_Aug</v>
      </c>
      <c r="B180">
        <v>380</v>
      </c>
      <c r="C180" t="s">
        <v>122</v>
      </c>
      <c r="F180">
        <v>405402513</v>
      </c>
      <c r="G180" t="s">
        <v>522</v>
      </c>
      <c r="H180" t="s">
        <v>530</v>
      </c>
      <c r="I180" t="s">
        <v>531</v>
      </c>
      <c r="J180" t="s">
        <v>525</v>
      </c>
      <c r="K180">
        <v>201908</v>
      </c>
      <c r="L180" t="s">
        <v>122</v>
      </c>
      <c r="N180">
        <v>1</v>
      </c>
      <c r="O180">
        <v>0</v>
      </c>
      <c r="P180">
        <v>0</v>
      </c>
      <c r="Q180">
        <v>0</v>
      </c>
    </row>
    <row r="181" spans="1:17">
      <c r="A181" t="str">
        <f t="shared" si="10"/>
        <v>09_Sep</v>
      </c>
      <c r="B181">
        <v>380</v>
      </c>
      <c r="C181" t="s">
        <v>122</v>
      </c>
      <c r="F181">
        <v>405402513</v>
      </c>
      <c r="G181" t="s">
        <v>522</v>
      </c>
      <c r="H181" t="s">
        <v>530</v>
      </c>
      <c r="I181" t="s">
        <v>531</v>
      </c>
      <c r="J181" t="s">
        <v>525</v>
      </c>
      <c r="K181">
        <v>201909</v>
      </c>
      <c r="L181" t="s">
        <v>122</v>
      </c>
      <c r="N181">
        <v>1</v>
      </c>
      <c r="O181">
        <v>0</v>
      </c>
      <c r="P181">
        <v>0</v>
      </c>
      <c r="Q181">
        <v>0</v>
      </c>
    </row>
    <row r="182" spans="1:17">
      <c r="A182" t="str">
        <f t="shared" si="10"/>
        <v>11_Nov</v>
      </c>
      <c r="B182">
        <v>380</v>
      </c>
      <c r="C182" t="s">
        <v>122</v>
      </c>
      <c r="F182">
        <v>405402513</v>
      </c>
      <c r="G182" t="s">
        <v>522</v>
      </c>
      <c r="H182" t="s">
        <v>530</v>
      </c>
      <c r="I182" t="s">
        <v>531</v>
      </c>
      <c r="J182" t="s">
        <v>525</v>
      </c>
      <c r="K182">
        <v>201911</v>
      </c>
      <c r="L182" t="s">
        <v>122</v>
      </c>
      <c r="N182">
        <v>1</v>
      </c>
      <c r="O182">
        <v>0</v>
      </c>
      <c r="P182">
        <v>0</v>
      </c>
      <c r="Q182">
        <v>0</v>
      </c>
    </row>
    <row r="183" spans="1:17">
      <c r="A183" t="str">
        <f t="shared" ref="A183:A246" si="11">IF(ISERROR(VLOOKUP(K183,$T$55:$U$66,2,FALSE)),"",VLOOKUP(K183,$T$55:$U$66,2,FALSE))</f>
        <v>05_May</v>
      </c>
      <c r="B183">
        <v>380</v>
      </c>
      <c r="C183" t="s">
        <v>122</v>
      </c>
      <c r="F183">
        <v>405402513</v>
      </c>
      <c r="G183" t="s">
        <v>522</v>
      </c>
      <c r="H183" t="s">
        <v>530</v>
      </c>
      <c r="I183" t="s">
        <v>531</v>
      </c>
      <c r="J183" t="s">
        <v>525</v>
      </c>
      <c r="K183">
        <v>201905</v>
      </c>
      <c r="L183" t="s">
        <v>122</v>
      </c>
      <c r="N183">
        <v>1</v>
      </c>
      <c r="O183">
        <v>0</v>
      </c>
      <c r="P183">
        <v>0</v>
      </c>
      <c r="Q183">
        <v>0</v>
      </c>
    </row>
    <row r="184" spans="1:17">
      <c r="A184" t="str">
        <f t="shared" si="11"/>
        <v>01_Jan</v>
      </c>
      <c r="B184">
        <v>380</v>
      </c>
      <c r="C184" t="s">
        <v>122</v>
      </c>
      <c r="F184">
        <v>405402513</v>
      </c>
      <c r="G184" t="s">
        <v>522</v>
      </c>
      <c r="H184" t="s">
        <v>530</v>
      </c>
      <c r="I184" t="s">
        <v>531</v>
      </c>
      <c r="J184" t="s">
        <v>525</v>
      </c>
      <c r="K184">
        <v>201901</v>
      </c>
      <c r="L184" t="s">
        <v>122</v>
      </c>
      <c r="N184">
        <v>2</v>
      </c>
      <c r="O184">
        <v>-20586.79</v>
      </c>
      <c r="P184">
        <v>-10293.395</v>
      </c>
      <c r="Q184">
        <v>0</v>
      </c>
    </row>
    <row r="185" spans="1:17">
      <c r="A185" t="str">
        <f t="shared" si="11"/>
        <v>02_Feb</v>
      </c>
      <c r="B185">
        <v>380</v>
      </c>
      <c r="C185" t="s">
        <v>122</v>
      </c>
      <c r="F185">
        <v>405402513</v>
      </c>
      <c r="G185" t="s">
        <v>522</v>
      </c>
      <c r="H185" t="s">
        <v>530</v>
      </c>
      <c r="I185" t="s">
        <v>531</v>
      </c>
      <c r="J185" t="s">
        <v>525</v>
      </c>
      <c r="K185">
        <v>201902</v>
      </c>
      <c r="L185" t="s">
        <v>122</v>
      </c>
      <c r="N185">
        <v>1</v>
      </c>
      <c r="O185">
        <v>0</v>
      </c>
      <c r="P185">
        <v>0</v>
      </c>
      <c r="Q185">
        <v>0</v>
      </c>
    </row>
    <row r="186" spans="1:17">
      <c r="A186" t="str">
        <f t="shared" si="11"/>
        <v>03_Mar</v>
      </c>
      <c r="B186">
        <v>380</v>
      </c>
      <c r="C186" t="s">
        <v>122</v>
      </c>
      <c r="F186">
        <v>405402513</v>
      </c>
      <c r="G186" t="s">
        <v>522</v>
      </c>
      <c r="H186" t="s">
        <v>530</v>
      </c>
      <c r="I186" t="s">
        <v>531</v>
      </c>
      <c r="J186" t="s">
        <v>525</v>
      </c>
      <c r="K186">
        <v>201903</v>
      </c>
      <c r="L186" t="s">
        <v>122</v>
      </c>
      <c r="N186">
        <v>1</v>
      </c>
      <c r="O186">
        <v>0</v>
      </c>
      <c r="P186">
        <v>0</v>
      </c>
      <c r="Q186">
        <v>0</v>
      </c>
    </row>
    <row r="187" spans="1:17">
      <c r="A187" t="str">
        <f t="shared" si="11"/>
        <v>06_Jun</v>
      </c>
      <c r="B187">
        <v>380</v>
      </c>
      <c r="C187" t="s">
        <v>122</v>
      </c>
      <c r="F187">
        <v>405402513</v>
      </c>
      <c r="G187" t="s">
        <v>522</v>
      </c>
      <c r="H187" t="s">
        <v>530</v>
      </c>
      <c r="I187" t="s">
        <v>531</v>
      </c>
      <c r="J187" t="s">
        <v>525</v>
      </c>
      <c r="K187">
        <v>201906</v>
      </c>
      <c r="L187" t="s">
        <v>122</v>
      </c>
      <c r="N187">
        <v>1</v>
      </c>
      <c r="O187">
        <v>0</v>
      </c>
      <c r="P187">
        <v>0</v>
      </c>
      <c r="Q187">
        <v>0</v>
      </c>
    </row>
    <row r="188" spans="1:17">
      <c r="A188" t="str">
        <f t="shared" si="11"/>
        <v>04_Apr</v>
      </c>
      <c r="B188">
        <v>380</v>
      </c>
      <c r="C188" t="s">
        <v>122</v>
      </c>
      <c r="F188">
        <v>405402513</v>
      </c>
      <c r="G188" t="s">
        <v>522</v>
      </c>
      <c r="H188" t="s">
        <v>530</v>
      </c>
      <c r="I188" t="s">
        <v>531</v>
      </c>
      <c r="J188" t="s">
        <v>525</v>
      </c>
      <c r="K188">
        <v>201904</v>
      </c>
      <c r="L188" t="s">
        <v>122</v>
      </c>
      <c r="N188">
        <v>1</v>
      </c>
      <c r="O188">
        <v>0</v>
      </c>
      <c r="P188">
        <v>0</v>
      </c>
      <c r="Q188">
        <v>0</v>
      </c>
    </row>
    <row r="189" spans="1:17">
      <c r="A189" t="str">
        <f t="shared" si="11"/>
        <v>10_Oct</v>
      </c>
      <c r="B189">
        <v>380</v>
      </c>
      <c r="C189" t="s">
        <v>122</v>
      </c>
      <c r="F189">
        <v>405402513</v>
      </c>
      <c r="G189" t="s">
        <v>522</v>
      </c>
      <c r="H189" t="s">
        <v>530</v>
      </c>
      <c r="I189" t="s">
        <v>531</v>
      </c>
      <c r="J189" t="s">
        <v>525</v>
      </c>
      <c r="K189">
        <v>201910</v>
      </c>
      <c r="L189" t="s">
        <v>122</v>
      </c>
      <c r="N189">
        <v>1</v>
      </c>
      <c r="O189">
        <v>0</v>
      </c>
      <c r="P189">
        <v>0</v>
      </c>
      <c r="Q189">
        <v>0</v>
      </c>
    </row>
    <row r="190" spans="1:17">
      <c r="A190" t="str">
        <f t="shared" si="11"/>
        <v>07_Jul</v>
      </c>
      <c r="B190">
        <v>380</v>
      </c>
      <c r="C190" t="s">
        <v>122</v>
      </c>
      <c r="F190">
        <v>405402513</v>
      </c>
      <c r="G190" t="s">
        <v>522</v>
      </c>
      <c r="H190" t="s">
        <v>530</v>
      </c>
      <c r="I190" t="s">
        <v>531</v>
      </c>
      <c r="J190" t="s">
        <v>525</v>
      </c>
      <c r="K190">
        <v>201907</v>
      </c>
      <c r="L190" t="s">
        <v>122</v>
      </c>
      <c r="N190">
        <v>1</v>
      </c>
      <c r="O190">
        <v>0</v>
      </c>
      <c r="P190">
        <v>0</v>
      </c>
      <c r="Q190">
        <v>0</v>
      </c>
    </row>
    <row r="191" spans="1:17">
      <c r="A191" t="str">
        <f t="shared" si="11"/>
        <v>12_Dec</v>
      </c>
      <c r="B191">
        <v>380</v>
      </c>
      <c r="C191" t="s">
        <v>122</v>
      </c>
      <c r="F191">
        <v>405402513</v>
      </c>
      <c r="G191" t="s">
        <v>522</v>
      </c>
      <c r="H191" t="s">
        <v>530</v>
      </c>
      <c r="I191" t="s">
        <v>531</v>
      </c>
      <c r="J191" t="s">
        <v>525</v>
      </c>
      <c r="K191">
        <v>201912</v>
      </c>
      <c r="L191" t="s">
        <v>122</v>
      </c>
      <c r="N191">
        <v>1</v>
      </c>
      <c r="O191">
        <v>0</v>
      </c>
      <c r="P191">
        <v>0</v>
      </c>
      <c r="Q191">
        <v>0</v>
      </c>
    </row>
    <row r="192" spans="1:17">
      <c r="A192" t="str">
        <f t="shared" si="11"/>
        <v>08_Aug</v>
      </c>
      <c r="B192">
        <v>380</v>
      </c>
      <c r="C192" t="s">
        <v>122</v>
      </c>
      <c r="F192">
        <v>452731391</v>
      </c>
      <c r="G192" t="s">
        <v>522</v>
      </c>
      <c r="H192" t="s">
        <v>530</v>
      </c>
      <c r="I192" t="s">
        <v>531</v>
      </c>
      <c r="J192" t="s">
        <v>526</v>
      </c>
      <c r="K192">
        <v>201908</v>
      </c>
      <c r="L192" t="s">
        <v>536</v>
      </c>
      <c r="N192">
        <v>6</v>
      </c>
      <c r="O192">
        <v>47000.73</v>
      </c>
      <c r="P192">
        <v>7833.4549999999999</v>
      </c>
      <c r="Q192">
        <v>0</v>
      </c>
    </row>
    <row r="193" spans="1:17">
      <c r="A193" t="str">
        <f t="shared" si="11"/>
        <v>05_May</v>
      </c>
      <c r="B193">
        <v>380</v>
      </c>
      <c r="C193" t="s">
        <v>122</v>
      </c>
      <c r="F193">
        <v>408160257</v>
      </c>
      <c r="G193" t="s">
        <v>522</v>
      </c>
      <c r="H193" t="s">
        <v>530</v>
      </c>
      <c r="I193" t="s">
        <v>531</v>
      </c>
      <c r="J193" t="s">
        <v>525</v>
      </c>
      <c r="K193">
        <v>201905</v>
      </c>
      <c r="L193" t="s">
        <v>536</v>
      </c>
      <c r="N193">
        <v>2</v>
      </c>
      <c r="O193">
        <v>1761.37</v>
      </c>
      <c r="P193">
        <v>880.68499999999995</v>
      </c>
      <c r="Q193">
        <v>0</v>
      </c>
    </row>
    <row r="194" spans="1:17">
      <c r="A194" t="str">
        <f t="shared" si="11"/>
        <v>12_Dec</v>
      </c>
      <c r="B194">
        <v>380</v>
      </c>
      <c r="C194" t="s">
        <v>122</v>
      </c>
      <c r="F194">
        <v>408160257</v>
      </c>
      <c r="G194" t="s">
        <v>522</v>
      </c>
      <c r="H194" t="s">
        <v>530</v>
      </c>
      <c r="I194" t="s">
        <v>531</v>
      </c>
      <c r="J194" t="s">
        <v>525</v>
      </c>
      <c r="K194">
        <v>201912</v>
      </c>
      <c r="L194" t="s">
        <v>536</v>
      </c>
      <c r="N194">
        <v>2</v>
      </c>
      <c r="O194">
        <v>5183.21</v>
      </c>
      <c r="P194">
        <v>2591.605</v>
      </c>
      <c r="Q194">
        <v>0</v>
      </c>
    </row>
    <row r="195" spans="1:17">
      <c r="A195" t="str">
        <f t="shared" si="11"/>
        <v>04_Apr</v>
      </c>
      <c r="B195">
        <v>380</v>
      </c>
      <c r="C195" t="s">
        <v>122</v>
      </c>
      <c r="F195">
        <v>408160257</v>
      </c>
      <c r="G195" t="s">
        <v>522</v>
      </c>
      <c r="H195" t="s">
        <v>530</v>
      </c>
      <c r="I195" t="s">
        <v>531</v>
      </c>
      <c r="J195" t="s">
        <v>525</v>
      </c>
      <c r="K195">
        <v>201904</v>
      </c>
      <c r="L195" t="s">
        <v>536</v>
      </c>
      <c r="N195">
        <v>2</v>
      </c>
      <c r="O195">
        <v>922.03</v>
      </c>
      <c r="P195">
        <v>461.01499999999999</v>
      </c>
      <c r="Q195">
        <v>0</v>
      </c>
    </row>
    <row r="196" spans="1:17">
      <c r="A196" t="str">
        <f t="shared" si="11"/>
        <v>10_Oct</v>
      </c>
      <c r="B196">
        <v>380</v>
      </c>
      <c r="C196" t="s">
        <v>122</v>
      </c>
      <c r="F196">
        <v>408160257</v>
      </c>
      <c r="G196" t="s">
        <v>522</v>
      </c>
      <c r="H196" t="s">
        <v>530</v>
      </c>
      <c r="I196" t="s">
        <v>531</v>
      </c>
      <c r="J196" t="s">
        <v>525</v>
      </c>
      <c r="K196">
        <v>201910</v>
      </c>
      <c r="L196" t="s">
        <v>536</v>
      </c>
      <c r="N196">
        <v>2</v>
      </c>
      <c r="O196">
        <v>5016.43</v>
      </c>
      <c r="P196">
        <v>2508.2150000000001</v>
      </c>
      <c r="Q196">
        <v>0</v>
      </c>
    </row>
    <row r="197" spans="1:17">
      <c r="A197" t="str">
        <f t="shared" si="11"/>
        <v>11_Nov</v>
      </c>
      <c r="B197">
        <v>380</v>
      </c>
      <c r="C197" t="s">
        <v>122</v>
      </c>
      <c r="F197">
        <v>408160257</v>
      </c>
      <c r="G197" t="s">
        <v>522</v>
      </c>
      <c r="H197" t="s">
        <v>530</v>
      </c>
      <c r="I197" t="s">
        <v>531</v>
      </c>
      <c r="J197" t="s">
        <v>525</v>
      </c>
      <c r="K197">
        <v>201911</v>
      </c>
      <c r="L197" t="s">
        <v>536</v>
      </c>
      <c r="N197">
        <v>2</v>
      </c>
      <c r="O197">
        <v>5697.69</v>
      </c>
      <c r="P197">
        <v>2848.8449999999998</v>
      </c>
      <c r="Q197">
        <v>0</v>
      </c>
    </row>
    <row r="198" spans="1:17">
      <c r="A198" t="str">
        <f t="shared" si="11"/>
        <v>03_Mar</v>
      </c>
      <c r="B198">
        <v>380</v>
      </c>
      <c r="C198" t="s">
        <v>122</v>
      </c>
      <c r="F198">
        <v>408160257</v>
      </c>
      <c r="G198" t="s">
        <v>522</v>
      </c>
      <c r="H198" t="s">
        <v>530</v>
      </c>
      <c r="I198" t="s">
        <v>531</v>
      </c>
      <c r="J198" t="s">
        <v>525</v>
      </c>
      <c r="K198">
        <v>201903</v>
      </c>
      <c r="L198" t="s">
        <v>536</v>
      </c>
      <c r="N198">
        <v>2</v>
      </c>
      <c r="O198">
        <v>3486.26</v>
      </c>
      <c r="P198">
        <v>1743.13</v>
      </c>
      <c r="Q198">
        <v>0</v>
      </c>
    </row>
    <row r="199" spans="1:17">
      <c r="A199" t="str">
        <f t="shared" si="11"/>
        <v>06_Jun</v>
      </c>
      <c r="B199">
        <v>380</v>
      </c>
      <c r="C199" t="s">
        <v>122</v>
      </c>
      <c r="F199">
        <v>408160257</v>
      </c>
      <c r="G199" t="s">
        <v>522</v>
      </c>
      <c r="H199" t="s">
        <v>530</v>
      </c>
      <c r="I199" t="s">
        <v>531</v>
      </c>
      <c r="J199" t="s">
        <v>525</v>
      </c>
      <c r="K199">
        <v>201906</v>
      </c>
      <c r="L199" t="s">
        <v>536</v>
      </c>
      <c r="N199">
        <v>2</v>
      </c>
      <c r="O199">
        <v>6242.28</v>
      </c>
      <c r="P199">
        <v>3121.14</v>
      </c>
      <c r="Q199">
        <v>0</v>
      </c>
    </row>
    <row r="200" spans="1:17">
      <c r="A200" t="str">
        <f t="shared" si="11"/>
        <v>09_Sep</v>
      </c>
      <c r="B200">
        <v>380</v>
      </c>
      <c r="C200" t="s">
        <v>122</v>
      </c>
      <c r="F200">
        <v>408160257</v>
      </c>
      <c r="G200" t="s">
        <v>522</v>
      </c>
      <c r="H200" t="s">
        <v>530</v>
      </c>
      <c r="I200" t="s">
        <v>531</v>
      </c>
      <c r="J200" t="s">
        <v>525</v>
      </c>
      <c r="K200">
        <v>201909</v>
      </c>
      <c r="L200" t="s">
        <v>536</v>
      </c>
      <c r="N200">
        <v>2</v>
      </c>
      <c r="O200">
        <v>8868.14</v>
      </c>
      <c r="P200">
        <v>4434.07</v>
      </c>
      <c r="Q200">
        <v>0</v>
      </c>
    </row>
    <row r="201" spans="1:17">
      <c r="A201" t="str">
        <f t="shared" si="11"/>
        <v>02_Feb</v>
      </c>
      <c r="B201">
        <v>380</v>
      </c>
      <c r="C201" t="s">
        <v>122</v>
      </c>
      <c r="F201">
        <v>408160257</v>
      </c>
      <c r="G201" t="s">
        <v>522</v>
      </c>
      <c r="H201" t="s">
        <v>530</v>
      </c>
      <c r="I201" t="s">
        <v>531</v>
      </c>
      <c r="J201" t="s">
        <v>525</v>
      </c>
      <c r="K201">
        <v>201902</v>
      </c>
      <c r="L201" t="s">
        <v>536</v>
      </c>
      <c r="N201">
        <v>2</v>
      </c>
      <c r="O201">
        <v>24815.56</v>
      </c>
      <c r="P201">
        <v>12407.78</v>
      </c>
      <c r="Q201">
        <v>0</v>
      </c>
    </row>
    <row r="202" spans="1:17">
      <c r="A202" t="str">
        <f t="shared" si="11"/>
        <v>07_Jul</v>
      </c>
      <c r="B202">
        <v>380</v>
      </c>
      <c r="C202" t="s">
        <v>122</v>
      </c>
      <c r="F202">
        <v>408160257</v>
      </c>
      <c r="G202" t="s">
        <v>522</v>
      </c>
      <c r="H202" t="s">
        <v>530</v>
      </c>
      <c r="I202" t="s">
        <v>531</v>
      </c>
      <c r="J202" t="s">
        <v>525</v>
      </c>
      <c r="K202">
        <v>201907</v>
      </c>
      <c r="L202" t="s">
        <v>536</v>
      </c>
      <c r="N202">
        <v>2</v>
      </c>
      <c r="O202">
        <v>8213.9699999999993</v>
      </c>
      <c r="P202">
        <v>4106.9849999999997</v>
      </c>
      <c r="Q202">
        <v>0</v>
      </c>
    </row>
    <row r="203" spans="1:17">
      <c r="A203" t="str">
        <f t="shared" si="11"/>
        <v>08_Aug</v>
      </c>
      <c r="B203">
        <v>380</v>
      </c>
      <c r="C203" t="s">
        <v>122</v>
      </c>
      <c r="F203">
        <v>408160257</v>
      </c>
      <c r="G203" t="s">
        <v>522</v>
      </c>
      <c r="H203" t="s">
        <v>530</v>
      </c>
      <c r="I203" t="s">
        <v>531</v>
      </c>
      <c r="J203" t="s">
        <v>525</v>
      </c>
      <c r="K203">
        <v>201908</v>
      </c>
      <c r="L203" t="s">
        <v>536</v>
      </c>
      <c r="N203">
        <v>-10</v>
      </c>
      <c r="O203">
        <v>-36836.839999999997</v>
      </c>
      <c r="P203">
        <v>3683.6840000000002</v>
      </c>
      <c r="Q203">
        <v>0</v>
      </c>
    </row>
    <row r="204" spans="1:17">
      <c r="A204" t="str">
        <f t="shared" si="11"/>
        <v>09_Sep</v>
      </c>
      <c r="B204">
        <v>380</v>
      </c>
      <c r="C204" t="s">
        <v>296</v>
      </c>
      <c r="F204">
        <v>405402531</v>
      </c>
      <c r="G204" t="s">
        <v>522</v>
      </c>
      <c r="H204" t="s">
        <v>530</v>
      </c>
      <c r="I204" t="s">
        <v>531</v>
      </c>
      <c r="J204" t="s">
        <v>525</v>
      </c>
      <c r="K204">
        <v>201909</v>
      </c>
      <c r="L204" t="s">
        <v>296</v>
      </c>
      <c r="N204">
        <v>1</v>
      </c>
      <c r="O204">
        <v>0</v>
      </c>
      <c r="P204">
        <v>0</v>
      </c>
      <c r="Q204">
        <v>0</v>
      </c>
    </row>
    <row r="205" spans="1:17">
      <c r="A205" t="str">
        <f t="shared" si="11"/>
        <v>10_Oct</v>
      </c>
      <c r="B205">
        <v>380</v>
      </c>
      <c r="C205" t="s">
        <v>296</v>
      </c>
      <c r="F205">
        <v>405402531</v>
      </c>
      <c r="G205" t="s">
        <v>522</v>
      </c>
      <c r="H205" t="s">
        <v>530</v>
      </c>
      <c r="I205" t="s">
        <v>531</v>
      </c>
      <c r="J205" t="s">
        <v>525</v>
      </c>
      <c r="K205">
        <v>201910</v>
      </c>
      <c r="L205" t="s">
        <v>296</v>
      </c>
      <c r="N205">
        <v>1</v>
      </c>
      <c r="O205">
        <v>0</v>
      </c>
      <c r="P205">
        <v>0</v>
      </c>
      <c r="Q205">
        <v>0</v>
      </c>
    </row>
    <row r="206" spans="1:17">
      <c r="A206" t="str">
        <f t="shared" si="11"/>
        <v>12_Dec</v>
      </c>
      <c r="B206">
        <v>380</v>
      </c>
      <c r="C206" t="s">
        <v>296</v>
      </c>
      <c r="F206">
        <v>405402531</v>
      </c>
      <c r="G206" t="s">
        <v>522</v>
      </c>
      <c r="H206" t="s">
        <v>530</v>
      </c>
      <c r="I206" t="s">
        <v>531</v>
      </c>
      <c r="J206" t="s">
        <v>525</v>
      </c>
      <c r="K206">
        <v>201912</v>
      </c>
      <c r="L206" t="s">
        <v>296</v>
      </c>
      <c r="N206">
        <v>1</v>
      </c>
      <c r="O206">
        <v>0</v>
      </c>
      <c r="P206">
        <v>0</v>
      </c>
      <c r="Q206">
        <v>0</v>
      </c>
    </row>
    <row r="207" spans="1:17">
      <c r="A207" t="str">
        <f t="shared" si="11"/>
        <v>02_Feb</v>
      </c>
      <c r="B207">
        <v>380</v>
      </c>
      <c r="C207" t="s">
        <v>296</v>
      </c>
      <c r="F207">
        <v>405402531</v>
      </c>
      <c r="G207" t="s">
        <v>522</v>
      </c>
      <c r="H207" t="s">
        <v>530</v>
      </c>
      <c r="I207" t="s">
        <v>531</v>
      </c>
      <c r="J207" t="s">
        <v>525</v>
      </c>
      <c r="K207">
        <v>201902</v>
      </c>
      <c r="L207" t="s">
        <v>296</v>
      </c>
      <c r="N207">
        <v>1</v>
      </c>
      <c r="O207">
        <v>0</v>
      </c>
      <c r="P207">
        <v>0</v>
      </c>
      <c r="Q207">
        <v>0</v>
      </c>
    </row>
    <row r="208" spans="1:17">
      <c r="A208" t="str">
        <f t="shared" si="11"/>
        <v>03_Mar</v>
      </c>
      <c r="B208">
        <v>380</v>
      </c>
      <c r="C208" t="s">
        <v>296</v>
      </c>
      <c r="F208">
        <v>405402531</v>
      </c>
      <c r="G208" t="s">
        <v>522</v>
      </c>
      <c r="H208" t="s">
        <v>530</v>
      </c>
      <c r="I208" t="s">
        <v>531</v>
      </c>
      <c r="J208" t="s">
        <v>525</v>
      </c>
      <c r="K208">
        <v>201903</v>
      </c>
      <c r="L208" t="s">
        <v>296</v>
      </c>
      <c r="N208">
        <v>1</v>
      </c>
      <c r="O208">
        <v>0</v>
      </c>
      <c r="P208">
        <v>0</v>
      </c>
      <c r="Q208">
        <v>0</v>
      </c>
    </row>
    <row r="209" spans="1:17">
      <c r="A209" t="str">
        <f t="shared" si="11"/>
        <v>07_Jul</v>
      </c>
      <c r="B209">
        <v>380</v>
      </c>
      <c r="C209" t="s">
        <v>296</v>
      </c>
      <c r="F209">
        <v>405402531</v>
      </c>
      <c r="G209" t="s">
        <v>522</v>
      </c>
      <c r="H209" t="s">
        <v>530</v>
      </c>
      <c r="I209" t="s">
        <v>531</v>
      </c>
      <c r="J209" t="s">
        <v>525</v>
      </c>
      <c r="K209">
        <v>201907</v>
      </c>
      <c r="L209" t="s">
        <v>296</v>
      </c>
      <c r="N209">
        <v>1</v>
      </c>
      <c r="O209">
        <v>0</v>
      </c>
      <c r="P209">
        <v>0</v>
      </c>
      <c r="Q209">
        <v>0</v>
      </c>
    </row>
    <row r="210" spans="1:17">
      <c r="A210" t="str">
        <f t="shared" si="11"/>
        <v>11_Nov</v>
      </c>
      <c r="B210">
        <v>380</v>
      </c>
      <c r="C210" t="s">
        <v>296</v>
      </c>
      <c r="F210">
        <v>405402531</v>
      </c>
      <c r="G210" t="s">
        <v>522</v>
      </c>
      <c r="H210" t="s">
        <v>530</v>
      </c>
      <c r="I210" t="s">
        <v>531</v>
      </c>
      <c r="J210" t="s">
        <v>525</v>
      </c>
      <c r="K210">
        <v>201911</v>
      </c>
      <c r="L210" t="s">
        <v>296</v>
      </c>
      <c r="N210">
        <v>1</v>
      </c>
      <c r="O210">
        <v>0</v>
      </c>
      <c r="P210">
        <v>0</v>
      </c>
      <c r="Q210">
        <v>0</v>
      </c>
    </row>
    <row r="211" spans="1:17">
      <c r="A211" t="str">
        <f t="shared" si="11"/>
        <v>04_Apr</v>
      </c>
      <c r="B211">
        <v>380</v>
      </c>
      <c r="C211" t="s">
        <v>296</v>
      </c>
      <c r="F211">
        <v>405402531</v>
      </c>
      <c r="G211" t="s">
        <v>522</v>
      </c>
      <c r="H211" t="s">
        <v>530</v>
      </c>
      <c r="I211" t="s">
        <v>531</v>
      </c>
      <c r="J211" t="s">
        <v>525</v>
      </c>
      <c r="K211">
        <v>201904</v>
      </c>
      <c r="L211" t="s">
        <v>296</v>
      </c>
      <c r="N211">
        <v>1</v>
      </c>
      <c r="O211">
        <v>0</v>
      </c>
      <c r="P211">
        <v>0</v>
      </c>
      <c r="Q211">
        <v>0</v>
      </c>
    </row>
    <row r="212" spans="1:17">
      <c r="A212" t="str">
        <f t="shared" si="11"/>
        <v>05_May</v>
      </c>
      <c r="B212">
        <v>380</v>
      </c>
      <c r="C212" t="s">
        <v>296</v>
      </c>
      <c r="F212">
        <v>405402531</v>
      </c>
      <c r="G212" t="s">
        <v>522</v>
      </c>
      <c r="H212" t="s">
        <v>530</v>
      </c>
      <c r="I212" t="s">
        <v>531</v>
      </c>
      <c r="J212" t="s">
        <v>525</v>
      </c>
      <c r="K212">
        <v>201905</v>
      </c>
      <c r="L212" t="s">
        <v>296</v>
      </c>
      <c r="N212">
        <v>1</v>
      </c>
      <c r="O212">
        <v>0</v>
      </c>
      <c r="P212">
        <v>0</v>
      </c>
      <c r="Q212">
        <v>0</v>
      </c>
    </row>
    <row r="213" spans="1:17">
      <c r="A213" t="str">
        <f t="shared" si="11"/>
        <v>01_Jan</v>
      </c>
      <c r="B213">
        <v>380</v>
      </c>
      <c r="C213" t="s">
        <v>296</v>
      </c>
      <c r="F213">
        <v>405402531</v>
      </c>
      <c r="G213" t="s">
        <v>522</v>
      </c>
      <c r="H213" t="s">
        <v>530</v>
      </c>
      <c r="I213" t="s">
        <v>531</v>
      </c>
      <c r="J213" t="s">
        <v>525</v>
      </c>
      <c r="K213">
        <v>201901</v>
      </c>
      <c r="L213" t="s">
        <v>296</v>
      </c>
      <c r="N213">
        <v>2</v>
      </c>
      <c r="O213">
        <v>-65430.65</v>
      </c>
      <c r="P213">
        <v>-32715.325000000001</v>
      </c>
      <c r="Q213">
        <v>0</v>
      </c>
    </row>
    <row r="214" spans="1:17">
      <c r="A214" t="str">
        <f t="shared" si="11"/>
        <v>06_Jun</v>
      </c>
      <c r="B214">
        <v>380</v>
      </c>
      <c r="C214" t="s">
        <v>296</v>
      </c>
      <c r="F214">
        <v>405402531</v>
      </c>
      <c r="G214" t="s">
        <v>522</v>
      </c>
      <c r="H214" t="s">
        <v>530</v>
      </c>
      <c r="I214" t="s">
        <v>531</v>
      </c>
      <c r="J214" t="s">
        <v>525</v>
      </c>
      <c r="K214">
        <v>201906</v>
      </c>
      <c r="L214" t="s">
        <v>296</v>
      </c>
      <c r="N214">
        <v>1</v>
      </c>
      <c r="O214">
        <v>0</v>
      </c>
      <c r="P214">
        <v>0</v>
      </c>
      <c r="Q214">
        <v>0</v>
      </c>
    </row>
    <row r="215" spans="1:17">
      <c r="A215" t="str">
        <f t="shared" si="11"/>
        <v>08_Aug</v>
      </c>
      <c r="B215">
        <v>380</v>
      </c>
      <c r="C215" t="s">
        <v>296</v>
      </c>
      <c r="F215">
        <v>405402531</v>
      </c>
      <c r="G215" t="s">
        <v>522</v>
      </c>
      <c r="H215" t="s">
        <v>530</v>
      </c>
      <c r="I215" t="s">
        <v>531</v>
      </c>
      <c r="J215" t="s">
        <v>525</v>
      </c>
      <c r="K215">
        <v>201908</v>
      </c>
      <c r="L215" t="s">
        <v>296</v>
      </c>
      <c r="N215">
        <v>1</v>
      </c>
      <c r="O215">
        <v>0</v>
      </c>
      <c r="P215">
        <v>0</v>
      </c>
      <c r="Q215">
        <v>0</v>
      </c>
    </row>
    <row r="216" spans="1:17">
      <c r="A216" t="str">
        <f t="shared" si="11"/>
        <v>07_Jul</v>
      </c>
      <c r="B216">
        <v>380</v>
      </c>
      <c r="C216" t="s">
        <v>296</v>
      </c>
      <c r="F216">
        <v>408160282</v>
      </c>
      <c r="G216" t="s">
        <v>522</v>
      </c>
      <c r="H216" t="s">
        <v>530</v>
      </c>
      <c r="I216" t="s">
        <v>531</v>
      </c>
      <c r="J216" t="s">
        <v>525</v>
      </c>
      <c r="K216">
        <v>201907</v>
      </c>
      <c r="L216" t="s">
        <v>537</v>
      </c>
      <c r="N216">
        <v>1</v>
      </c>
      <c r="O216">
        <v>246.85</v>
      </c>
      <c r="P216">
        <v>246.85</v>
      </c>
      <c r="Q216">
        <v>0</v>
      </c>
    </row>
    <row r="217" spans="1:17">
      <c r="A217" t="str">
        <f t="shared" si="11"/>
        <v>10_Oct</v>
      </c>
      <c r="B217">
        <v>380</v>
      </c>
      <c r="C217" t="s">
        <v>296</v>
      </c>
      <c r="F217">
        <v>408160282</v>
      </c>
      <c r="G217" t="s">
        <v>522</v>
      </c>
      <c r="H217" t="s">
        <v>530</v>
      </c>
      <c r="I217" t="s">
        <v>531</v>
      </c>
      <c r="J217" t="s">
        <v>525</v>
      </c>
      <c r="K217">
        <v>201910</v>
      </c>
      <c r="L217" t="s">
        <v>537</v>
      </c>
      <c r="N217">
        <v>2</v>
      </c>
      <c r="O217">
        <v>8787.6</v>
      </c>
      <c r="P217">
        <v>4393.8</v>
      </c>
      <c r="Q217">
        <v>0</v>
      </c>
    </row>
    <row r="218" spans="1:17">
      <c r="A218" t="str">
        <f t="shared" si="11"/>
        <v>02_Feb</v>
      </c>
      <c r="B218">
        <v>380</v>
      </c>
      <c r="C218" t="s">
        <v>296</v>
      </c>
      <c r="F218">
        <v>408160282</v>
      </c>
      <c r="G218" t="s">
        <v>522</v>
      </c>
      <c r="H218" t="s">
        <v>530</v>
      </c>
      <c r="I218" t="s">
        <v>531</v>
      </c>
      <c r="J218" t="s">
        <v>525</v>
      </c>
      <c r="K218">
        <v>201902</v>
      </c>
      <c r="L218" t="s">
        <v>537</v>
      </c>
      <c r="N218">
        <v>1</v>
      </c>
      <c r="O218">
        <v>69345.33</v>
      </c>
      <c r="P218">
        <v>69345.33</v>
      </c>
      <c r="Q218">
        <v>0</v>
      </c>
    </row>
    <row r="219" spans="1:17">
      <c r="A219" t="str">
        <f t="shared" si="11"/>
        <v>03_Mar</v>
      </c>
      <c r="B219">
        <v>380</v>
      </c>
      <c r="C219" t="s">
        <v>296</v>
      </c>
      <c r="F219">
        <v>408160282</v>
      </c>
      <c r="G219" t="s">
        <v>522</v>
      </c>
      <c r="H219" t="s">
        <v>530</v>
      </c>
      <c r="I219" t="s">
        <v>531</v>
      </c>
      <c r="J219" t="s">
        <v>525</v>
      </c>
      <c r="K219">
        <v>201903</v>
      </c>
      <c r="L219" t="s">
        <v>537</v>
      </c>
      <c r="N219">
        <v>1</v>
      </c>
      <c r="O219">
        <v>0</v>
      </c>
      <c r="P219">
        <v>0</v>
      </c>
      <c r="Q219">
        <v>0</v>
      </c>
    </row>
    <row r="220" spans="1:17">
      <c r="A220" t="str">
        <f t="shared" si="11"/>
        <v>08_Aug</v>
      </c>
      <c r="B220">
        <v>380</v>
      </c>
      <c r="C220" t="s">
        <v>296</v>
      </c>
      <c r="F220">
        <v>408160282</v>
      </c>
      <c r="G220" t="s">
        <v>522</v>
      </c>
      <c r="H220" t="s">
        <v>530</v>
      </c>
      <c r="I220" t="s">
        <v>531</v>
      </c>
      <c r="J220" t="s">
        <v>525</v>
      </c>
      <c r="K220">
        <v>201908</v>
      </c>
      <c r="L220" t="s">
        <v>537</v>
      </c>
      <c r="N220">
        <v>-7</v>
      </c>
      <c r="O220">
        <v>-73145.78</v>
      </c>
      <c r="P220">
        <v>10449.3971428571</v>
      </c>
      <c r="Q220">
        <v>0</v>
      </c>
    </row>
    <row r="221" spans="1:17">
      <c r="A221" t="str">
        <f t="shared" si="11"/>
        <v>09_Sep</v>
      </c>
      <c r="B221">
        <v>380</v>
      </c>
      <c r="C221" t="s">
        <v>296</v>
      </c>
      <c r="F221">
        <v>408160282</v>
      </c>
      <c r="G221" t="s">
        <v>522</v>
      </c>
      <c r="H221" t="s">
        <v>530</v>
      </c>
      <c r="I221" t="s">
        <v>531</v>
      </c>
      <c r="J221" t="s">
        <v>525</v>
      </c>
      <c r="K221">
        <v>201909</v>
      </c>
      <c r="L221" t="s">
        <v>537</v>
      </c>
      <c r="N221">
        <v>1</v>
      </c>
      <c r="O221">
        <v>1264.29</v>
      </c>
      <c r="P221">
        <v>1264.29</v>
      </c>
      <c r="Q221">
        <v>0</v>
      </c>
    </row>
    <row r="222" spans="1:17">
      <c r="A222" t="str">
        <f t="shared" si="11"/>
        <v>12_Dec</v>
      </c>
      <c r="B222">
        <v>380</v>
      </c>
      <c r="C222" t="s">
        <v>296</v>
      </c>
      <c r="F222">
        <v>408160282</v>
      </c>
      <c r="G222" t="s">
        <v>522</v>
      </c>
      <c r="H222" t="s">
        <v>530</v>
      </c>
      <c r="I222" t="s">
        <v>531</v>
      </c>
      <c r="J222" t="s">
        <v>525</v>
      </c>
      <c r="K222">
        <v>201912</v>
      </c>
      <c r="L222" t="s">
        <v>537</v>
      </c>
      <c r="N222">
        <v>1</v>
      </c>
      <c r="O222">
        <v>10927.35</v>
      </c>
      <c r="P222">
        <v>10927.35</v>
      </c>
      <c r="Q222">
        <v>0</v>
      </c>
    </row>
    <row r="223" spans="1:17">
      <c r="A223" t="str">
        <f t="shared" si="11"/>
        <v>08_Aug</v>
      </c>
      <c r="B223">
        <v>380</v>
      </c>
      <c r="C223" t="s">
        <v>296</v>
      </c>
      <c r="F223">
        <v>452731391</v>
      </c>
      <c r="G223" t="s">
        <v>522</v>
      </c>
      <c r="H223" t="s">
        <v>530</v>
      </c>
      <c r="I223" t="s">
        <v>531</v>
      </c>
      <c r="J223" t="s">
        <v>526</v>
      </c>
      <c r="K223">
        <v>201908</v>
      </c>
      <c r="L223" t="s">
        <v>537</v>
      </c>
      <c r="N223">
        <v>4</v>
      </c>
      <c r="O223">
        <v>45457.89</v>
      </c>
      <c r="P223">
        <v>11364.4725</v>
      </c>
      <c r="Q223">
        <v>0</v>
      </c>
    </row>
    <row r="224" spans="1:17">
      <c r="A224" t="str">
        <f t="shared" si="11"/>
        <v>08_Aug</v>
      </c>
      <c r="B224">
        <v>380</v>
      </c>
      <c r="C224" t="s">
        <v>296</v>
      </c>
      <c r="F224">
        <v>452731374</v>
      </c>
      <c r="G224" t="s">
        <v>522</v>
      </c>
      <c r="H224" t="s">
        <v>530</v>
      </c>
      <c r="I224" t="s">
        <v>531</v>
      </c>
      <c r="J224" t="s">
        <v>526</v>
      </c>
      <c r="K224">
        <v>201908</v>
      </c>
      <c r="L224" t="s">
        <v>537</v>
      </c>
      <c r="N224">
        <v>1</v>
      </c>
      <c r="O224">
        <v>6678.61</v>
      </c>
      <c r="P224">
        <v>6678.61</v>
      </c>
      <c r="Q224">
        <v>0</v>
      </c>
    </row>
    <row r="225" spans="1:17">
      <c r="A225" t="str">
        <f t="shared" si="11"/>
        <v>04_Apr</v>
      </c>
      <c r="B225">
        <v>380</v>
      </c>
      <c r="C225" t="s">
        <v>296</v>
      </c>
      <c r="F225">
        <v>408160282</v>
      </c>
      <c r="G225" t="s">
        <v>522</v>
      </c>
      <c r="H225" t="s">
        <v>530</v>
      </c>
      <c r="I225" t="s">
        <v>531</v>
      </c>
      <c r="J225" t="s">
        <v>525</v>
      </c>
      <c r="K225">
        <v>201904</v>
      </c>
      <c r="L225" t="s">
        <v>537</v>
      </c>
      <c r="N225">
        <v>1</v>
      </c>
      <c r="O225">
        <v>0</v>
      </c>
      <c r="P225">
        <v>0</v>
      </c>
      <c r="Q225">
        <v>0</v>
      </c>
    </row>
    <row r="226" spans="1:17">
      <c r="A226" t="str">
        <f t="shared" si="11"/>
        <v>11_Nov</v>
      </c>
      <c r="B226">
        <v>380</v>
      </c>
      <c r="C226" t="s">
        <v>296</v>
      </c>
      <c r="F226">
        <v>408160282</v>
      </c>
      <c r="G226" t="s">
        <v>522</v>
      </c>
      <c r="H226" t="s">
        <v>530</v>
      </c>
      <c r="I226" t="s">
        <v>531</v>
      </c>
      <c r="J226" t="s">
        <v>525</v>
      </c>
      <c r="K226">
        <v>201911</v>
      </c>
      <c r="L226" t="s">
        <v>537</v>
      </c>
      <c r="N226">
        <v>2</v>
      </c>
      <c r="O226">
        <v>1568.78</v>
      </c>
      <c r="P226">
        <v>784.39</v>
      </c>
      <c r="Q226">
        <v>0</v>
      </c>
    </row>
    <row r="227" spans="1:17">
      <c r="A227" t="str">
        <f t="shared" si="11"/>
        <v>08_Aug</v>
      </c>
      <c r="B227">
        <v>380</v>
      </c>
      <c r="C227" t="s">
        <v>296</v>
      </c>
      <c r="F227">
        <v>452731400</v>
      </c>
      <c r="G227" t="s">
        <v>522</v>
      </c>
      <c r="H227" t="s">
        <v>530</v>
      </c>
      <c r="I227" t="s">
        <v>531</v>
      </c>
      <c r="J227" t="s">
        <v>526</v>
      </c>
      <c r="K227">
        <v>201908</v>
      </c>
      <c r="L227" t="s">
        <v>537</v>
      </c>
      <c r="N227">
        <v>1</v>
      </c>
      <c r="O227">
        <v>21009.279999999999</v>
      </c>
      <c r="P227">
        <v>21009.279999999999</v>
      </c>
      <c r="Q227">
        <v>0</v>
      </c>
    </row>
    <row r="228" spans="1:17">
      <c r="A228" t="str">
        <f t="shared" si="11"/>
        <v>06_Jun</v>
      </c>
      <c r="B228">
        <v>380</v>
      </c>
      <c r="C228" t="s">
        <v>296</v>
      </c>
      <c r="F228">
        <v>408160282</v>
      </c>
      <c r="G228" t="s">
        <v>522</v>
      </c>
      <c r="H228" t="s">
        <v>530</v>
      </c>
      <c r="I228" t="s">
        <v>531</v>
      </c>
      <c r="J228" t="s">
        <v>525</v>
      </c>
      <c r="K228">
        <v>201906</v>
      </c>
      <c r="L228" t="s">
        <v>537</v>
      </c>
      <c r="N228">
        <v>2</v>
      </c>
      <c r="O228">
        <v>3553.6</v>
      </c>
      <c r="P228">
        <v>1776.8</v>
      </c>
      <c r="Q228">
        <v>0</v>
      </c>
    </row>
    <row r="229" spans="1:17">
      <c r="A229" t="str">
        <f t="shared" si="11"/>
        <v>05_May</v>
      </c>
      <c r="B229">
        <v>380</v>
      </c>
      <c r="C229" t="s">
        <v>296</v>
      </c>
      <c r="F229">
        <v>408160282</v>
      </c>
      <c r="G229" t="s">
        <v>522</v>
      </c>
      <c r="H229" t="s">
        <v>530</v>
      </c>
      <c r="I229" t="s">
        <v>531</v>
      </c>
      <c r="J229" t="s">
        <v>525</v>
      </c>
      <c r="K229">
        <v>201905</v>
      </c>
      <c r="L229" t="s">
        <v>537</v>
      </c>
      <c r="N229">
        <v>1</v>
      </c>
      <c r="O229">
        <v>0</v>
      </c>
      <c r="P229">
        <v>0</v>
      </c>
      <c r="Q229">
        <v>0</v>
      </c>
    </row>
    <row r="230" spans="1:17">
      <c r="A230" t="str">
        <f t="shared" si="11"/>
        <v>05_May</v>
      </c>
      <c r="B230">
        <v>380</v>
      </c>
      <c r="C230" t="s">
        <v>538</v>
      </c>
      <c r="F230">
        <v>422399289</v>
      </c>
      <c r="G230" t="s">
        <v>522</v>
      </c>
      <c r="H230" t="s">
        <v>530</v>
      </c>
      <c r="I230" t="s">
        <v>531</v>
      </c>
      <c r="J230" t="s">
        <v>526</v>
      </c>
      <c r="K230">
        <v>201905</v>
      </c>
      <c r="L230" t="s">
        <v>538</v>
      </c>
      <c r="N230">
        <v>1</v>
      </c>
      <c r="O230">
        <v>432734.28</v>
      </c>
      <c r="P230">
        <v>432734.28</v>
      </c>
      <c r="Q230">
        <v>0</v>
      </c>
    </row>
    <row r="231" spans="1:17">
      <c r="A231" t="str">
        <f t="shared" si="11"/>
        <v>05_May</v>
      </c>
      <c r="B231">
        <v>380</v>
      </c>
      <c r="C231" t="s">
        <v>538</v>
      </c>
      <c r="F231">
        <v>321308097</v>
      </c>
      <c r="G231" t="s">
        <v>522</v>
      </c>
      <c r="H231" t="s">
        <v>530</v>
      </c>
      <c r="I231" t="s">
        <v>531</v>
      </c>
      <c r="J231" t="s">
        <v>526</v>
      </c>
      <c r="K231">
        <v>201905</v>
      </c>
      <c r="L231" t="s">
        <v>538</v>
      </c>
      <c r="N231">
        <v>-5</v>
      </c>
      <c r="O231">
        <v>-22111.84</v>
      </c>
      <c r="P231">
        <v>4422.3680000000004</v>
      </c>
      <c r="Q231">
        <v>0</v>
      </c>
    </row>
    <row r="232" spans="1:17">
      <c r="A232" t="str">
        <f t="shared" si="11"/>
        <v>05_May</v>
      </c>
      <c r="B232">
        <v>380</v>
      </c>
      <c r="C232" t="s">
        <v>538</v>
      </c>
      <c r="F232">
        <v>392799805</v>
      </c>
      <c r="G232" t="s">
        <v>522</v>
      </c>
      <c r="H232" t="s">
        <v>530</v>
      </c>
      <c r="I232" t="s">
        <v>531</v>
      </c>
      <c r="J232" t="s">
        <v>526</v>
      </c>
      <c r="K232">
        <v>201905</v>
      </c>
      <c r="L232" t="s">
        <v>538</v>
      </c>
      <c r="N232">
        <v>2</v>
      </c>
      <c r="O232">
        <v>432734.28</v>
      </c>
      <c r="P232">
        <v>216367.14</v>
      </c>
      <c r="Q232">
        <v>0</v>
      </c>
    </row>
    <row r="233" spans="1:17">
      <c r="A233" t="str">
        <f t="shared" si="11"/>
        <v>05_May</v>
      </c>
      <c r="B233">
        <v>380</v>
      </c>
      <c r="C233" t="s">
        <v>538</v>
      </c>
      <c r="F233">
        <v>392799787</v>
      </c>
      <c r="G233" t="s">
        <v>522</v>
      </c>
      <c r="H233" t="s">
        <v>530</v>
      </c>
      <c r="I233" t="s">
        <v>531</v>
      </c>
      <c r="J233" t="s">
        <v>526</v>
      </c>
      <c r="K233">
        <v>201905</v>
      </c>
      <c r="L233" t="s">
        <v>538</v>
      </c>
      <c r="N233">
        <v>11</v>
      </c>
      <c r="O233">
        <v>432734.28</v>
      </c>
      <c r="P233">
        <v>39339.480000000003</v>
      </c>
      <c r="Q233">
        <v>0</v>
      </c>
    </row>
    <row r="234" spans="1:17">
      <c r="A234" t="str">
        <f t="shared" si="11"/>
        <v>05_May</v>
      </c>
      <c r="B234">
        <v>380</v>
      </c>
      <c r="C234" t="s">
        <v>538</v>
      </c>
      <c r="F234">
        <v>321308063</v>
      </c>
      <c r="G234" t="s">
        <v>522</v>
      </c>
      <c r="H234" t="s">
        <v>530</v>
      </c>
      <c r="I234" t="s">
        <v>531</v>
      </c>
      <c r="J234" t="s">
        <v>526</v>
      </c>
      <c r="K234">
        <v>201905</v>
      </c>
      <c r="L234" t="s">
        <v>538</v>
      </c>
      <c r="N234">
        <v>-1</v>
      </c>
      <c r="O234">
        <v>-6406.73</v>
      </c>
      <c r="P234">
        <v>6406.73</v>
      </c>
      <c r="Q234">
        <v>0</v>
      </c>
    </row>
    <row r="235" spans="1:17">
      <c r="A235" t="str">
        <f t="shared" si="11"/>
        <v>05_May</v>
      </c>
      <c r="B235">
        <v>380</v>
      </c>
      <c r="C235" t="s">
        <v>538</v>
      </c>
      <c r="F235">
        <v>321308029</v>
      </c>
      <c r="G235" t="s">
        <v>522</v>
      </c>
      <c r="H235" t="s">
        <v>530</v>
      </c>
      <c r="I235" t="s">
        <v>531</v>
      </c>
      <c r="J235" t="s">
        <v>526</v>
      </c>
      <c r="K235">
        <v>201905</v>
      </c>
      <c r="L235" t="s">
        <v>538</v>
      </c>
      <c r="N235">
        <v>-1</v>
      </c>
      <c r="O235">
        <v>-432734.23</v>
      </c>
      <c r="P235">
        <v>432734.23</v>
      </c>
      <c r="Q235">
        <v>0</v>
      </c>
    </row>
    <row r="236" spans="1:17">
      <c r="A236" t="str">
        <f t="shared" si="11"/>
        <v>05_May</v>
      </c>
      <c r="B236">
        <v>380</v>
      </c>
      <c r="C236" t="s">
        <v>538</v>
      </c>
      <c r="F236">
        <v>321308020</v>
      </c>
      <c r="G236" t="s">
        <v>522</v>
      </c>
      <c r="H236" t="s">
        <v>530</v>
      </c>
      <c r="I236" t="s">
        <v>531</v>
      </c>
      <c r="J236" t="s">
        <v>526</v>
      </c>
      <c r="K236">
        <v>201905</v>
      </c>
      <c r="L236" t="s">
        <v>538</v>
      </c>
      <c r="N236">
        <v>-1</v>
      </c>
      <c r="O236">
        <v>-432734.28</v>
      </c>
      <c r="P236">
        <v>432734.28</v>
      </c>
      <c r="Q236">
        <v>0</v>
      </c>
    </row>
    <row r="237" spans="1:17">
      <c r="A237" t="str">
        <f t="shared" si="11"/>
        <v>05_May</v>
      </c>
      <c r="B237">
        <v>380</v>
      </c>
      <c r="C237" t="s">
        <v>538</v>
      </c>
      <c r="F237">
        <v>321307993</v>
      </c>
      <c r="G237" t="s">
        <v>522</v>
      </c>
      <c r="H237" t="s">
        <v>530</v>
      </c>
      <c r="I237" t="s">
        <v>531</v>
      </c>
      <c r="J237" t="s">
        <v>526</v>
      </c>
      <c r="K237">
        <v>201905</v>
      </c>
      <c r="L237" t="s">
        <v>538</v>
      </c>
      <c r="N237">
        <v>-11</v>
      </c>
      <c r="O237">
        <v>-432734.28</v>
      </c>
      <c r="P237">
        <v>39339.480000000003</v>
      </c>
      <c r="Q237">
        <v>0</v>
      </c>
    </row>
    <row r="238" spans="1:17">
      <c r="A238" t="str">
        <f t="shared" si="11"/>
        <v>05_May</v>
      </c>
      <c r="B238">
        <v>380</v>
      </c>
      <c r="C238" t="s">
        <v>538</v>
      </c>
      <c r="F238">
        <v>279363480</v>
      </c>
      <c r="G238" t="s">
        <v>522</v>
      </c>
      <c r="H238" t="s">
        <v>530</v>
      </c>
      <c r="I238" t="s">
        <v>531</v>
      </c>
      <c r="J238" t="s">
        <v>526</v>
      </c>
      <c r="K238">
        <v>201905</v>
      </c>
      <c r="L238" t="s">
        <v>538</v>
      </c>
      <c r="N238">
        <v>-1</v>
      </c>
      <c r="O238">
        <v>-163662.07999999999</v>
      </c>
      <c r="P238">
        <v>163662.07999999999</v>
      </c>
      <c r="Q238">
        <v>0</v>
      </c>
    </row>
    <row r="239" spans="1:17">
      <c r="A239" t="str">
        <f t="shared" si="11"/>
        <v>05_May</v>
      </c>
      <c r="B239">
        <v>380</v>
      </c>
      <c r="C239" t="s">
        <v>538</v>
      </c>
      <c r="F239">
        <v>264941162</v>
      </c>
      <c r="G239" t="s">
        <v>522</v>
      </c>
      <c r="H239" t="s">
        <v>530</v>
      </c>
      <c r="I239" t="s">
        <v>531</v>
      </c>
      <c r="J239" t="s">
        <v>526</v>
      </c>
      <c r="K239">
        <v>201905</v>
      </c>
      <c r="L239" t="s">
        <v>538</v>
      </c>
      <c r="N239">
        <v>1</v>
      </c>
      <c r="O239">
        <v>163662.07999999999</v>
      </c>
      <c r="P239">
        <v>163662.07999999999</v>
      </c>
      <c r="Q239">
        <v>0</v>
      </c>
    </row>
    <row r="240" spans="1:17">
      <c r="A240" t="str">
        <f t="shared" si="11"/>
        <v>05_May</v>
      </c>
      <c r="B240">
        <v>380</v>
      </c>
      <c r="C240" t="s">
        <v>538</v>
      </c>
      <c r="F240">
        <v>321307984</v>
      </c>
      <c r="G240" t="s">
        <v>522</v>
      </c>
      <c r="H240" t="s">
        <v>530</v>
      </c>
      <c r="I240" t="s">
        <v>531</v>
      </c>
      <c r="J240" t="s">
        <v>526</v>
      </c>
      <c r="K240">
        <v>201905</v>
      </c>
      <c r="L240" t="s">
        <v>538</v>
      </c>
      <c r="N240">
        <v>-438</v>
      </c>
      <c r="O240">
        <v>-432734.28</v>
      </c>
      <c r="P240">
        <v>987.97780821917797</v>
      </c>
      <c r="Q240">
        <v>0</v>
      </c>
    </row>
    <row r="241" spans="1:17">
      <c r="A241" t="str">
        <f t="shared" si="11"/>
        <v>05_May</v>
      </c>
      <c r="B241">
        <v>380</v>
      </c>
      <c r="C241" t="s">
        <v>538</v>
      </c>
      <c r="F241">
        <v>321308002</v>
      </c>
      <c r="G241" t="s">
        <v>522</v>
      </c>
      <c r="H241" t="s">
        <v>530</v>
      </c>
      <c r="I241" t="s">
        <v>531</v>
      </c>
      <c r="J241" t="s">
        <v>526</v>
      </c>
      <c r="K241">
        <v>201905</v>
      </c>
      <c r="L241" t="s">
        <v>538</v>
      </c>
      <c r="N241">
        <v>-19</v>
      </c>
      <c r="O241">
        <v>-432734.28</v>
      </c>
      <c r="P241">
        <v>22775.4884210526</v>
      </c>
      <c r="Q241">
        <v>0</v>
      </c>
    </row>
    <row r="242" spans="1:17">
      <c r="A242" t="str">
        <f t="shared" si="11"/>
        <v>05_May</v>
      </c>
      <c r="B242">
        <v>380</v>
      </c>
      <c r="C242" t="s">
        <v>538</v>
      </c>
      <c r="F242">
        <v>422399330</v>
      </c>
      <c r="G242" t="s">
        <v>522</v>
      </c>
      <c r="H242" t="s">
        <v>530</v>
      </c>
      <c r="I242" t="s">
        <v>531</v>
      </c>
      <c r="J242" t="s">
        <v>526</v>
      </c>
      <c r="K242">
        <v>201905</v>
      </c>
      <c r="L242" t="s">
        <v>538</v>
      </c>
      <c r="N242">
        <v>1</v>
      </c>
      <c r="O242">
        <v>432734.23</v>
      </c>
      <c r="P242">
        <v>432734.23</v>
      </c>
      <c r="Q242">
        <v>0</v>
      </c>
    </row>
    <row r="243" spans="1:17">
      <c r="A243" t="str">
        <f t="shared" si="11"/>
        <v>05_May</v>
      </c>
      <c r="B243">
        <v>380</v>
      </c>
      <c r="C243" t="s">
        <v>538</v>
      </c>
      <c r="F243">
        <v>321308011</v>
      </c>
      <c r="G243" t="s">
        <v>522</v>
      </c>
      <c r="H243" t="s">
        <v>530</v>
      </c>
      <c r="I243" t="s">
        <v>531</v>
      </c>
      <c r="J243" t="s">
        <v>526</v>
      </c>
      <c r="K243">
        <v>201905</v>
      </c>
      <c r="L243" t="s">
        <v>538</v>
      </c>
      <c r="N243">
        <v>-2</v>
      </c>
      <c r="O243">
        <v>-432734.28</v>
      </c>
      <c r="P243">
        <v>216367.14</v>
      </c>
      <c r="Q243">
        <v>0</v>
      </c>
    </row>
    <row r="244" spans="1:17">
      <c r="A244" t="str">
        <f t="shared" si="11"/>
        <v>05_May</v>
      </c>
      <c r="B244">
        <v>380</v>
      </c>
      <c r="C244" t="s">
        <v>538</v>
      </c>
      <c r="F244">
        <v>321308072</v>
      </c>
      <c r="G244" t="s">
        <v>522</v>
      </c>
      <c r="H244" t="s">
        <v>530</v>
      </c>
      <c r="I244" t="s">
        <v>531</v>
      </c>
      <c r="J244" t="s">
        <v>526</v>
      </c>
      <c r="K244">
        <v>201905</v>
      </c>
      <c r="L244" t="s">
        <v>538</v>
      </c>
      <c r="N244">
        <v>-3</v>
      </c>
      <c r="O244">
        <v>-13267.13</v>
      </c>
      <c r="P244">
        <v>4422.3766666666697</v>
      </c>
      <c r="Q244">
        <v>0</v>
      </c>
    </row>
    <row r="245" spans="1:17">
      <c r="A245" t="str">
        <f t="shared" si="11"/>
        <v>05_May</v>
      </c>
      <c r="B245">
        <v>380</v>
      </c>
      <c r="C245" t="s">
        <v>538</v>
      </c>
      <c r="F245">
        <v>392799796</v>
      </c>
      <c r="G245" t="s">
        <v>522</v>
      </c>
      <c r="H245" t="s">
        <v>530</v>
      </c>
      <c r="I245" t="s">
        <v>531</v>
      </c>
      <c r="J245" t="s">
        <v>526</v>
      </c>
      <c r="K245">
        <v>201905</v>
      </c>
      <c r="L245" t="s">
        <v>538</v>
      </c>
      <c r="N245">
        <v>20</v>
      </c>
      <c r="O245">
        <v>439141.01</v>
      </c>
      <c r="P245">
        <v>21957.050500000001</v>
      </c>
      <c r="Q245">
        <v>0</v>
      </c>
    </row>
    <row r="246" spans="1:17">
      <c r="A246" t="str">
        <f t="shared" si="11"/>
        <v>05_May</v>
      </c>
      <c r="B246">
        <v>380</v>
      </c>
      <c r="C246" t="s">
        <v>538</v>
      </c>
      <c r="F246">
        <v>392799769</v>
      </c>
      <c r="G246" t="s">
        <v>522</v>
      </c>
      <c r="H246" t="s">
        <v>530</v>
      </c>
      <c r="I246" t="s">
        <v>531</v>
      </c>
      <c r="J246" t="s">
        <v>526</v>
      </c>
      <c r="K246">
        <v>201905</v>
      </c>
      <c r="L246" t="s">
        <v>538</v>
      </c>
      <c r="N246">
        <v>489</v>
      </c>
      <c r="O246">
        <v>446001.41</v>
      </c>
      <c r="P246">
        <v>912.06832310838399</v>
      </c>
      <c r="Q246">
        <v>0</v>
      </c>
    </row>
    <row r="247" spans="1:17">
      <c r="A247" t="str">
        <f t="shared" ref="A247:A310" si="12">IF(ISERROR(VLOOKUP(K247,$T$55:$U$66,2,FALSE)),"",VLOOKUP(K247,$T$55:$U$66,2,FALSE))</f>
        <v>05_May</v>
      </c>
      <c r="B247">
        <v>380</v>
      </c>
      <c r="C247" t="s">
        <v>538</v>
      </c>
      <c r="F247">
        <v>321308038</v>
      </c>
      <c r="G247" t="s">
        <v>522</v>
      </c>
      <c r="H247" t="s">
        <v>530</v>
      </c>
      <c r="I247" t="s">
        <v>531</v>
      </c>
      <c r="J247" t="s">
        <v>526</v>
      </c>
      <c r="K247">
        <v>201905</v>
      </c>
      <c r="L247" t="s">
        <v>538</v>
      </c>
      <c r="N247">
        <v>-9</v>
      </c>
      <c r="O247">
        <v>-57660.63</v>
      </c>
      <c r="P247">
        <v>6406.7366666666703</v>
      </c>
      <c r="Q247">
        <v>0</v>
      </c>
    </row>
    <row r="248" spans="1:17">
      <c r="A248" t="str">
        <f t="shared" si="12"/>
        <v>05_May</v>
      </c>
      <c r="B248">
        <v>380</v>
      </c>
      <c r="C248" t="s">
        <v>538</v>
      </c>
      <c r="F248">
        <v>321307959</v>
      </c>
      <c r="G248" t="s">
        <v>522</v>
      </c>
      <c r="H248" t="s">
        <v>530</v>
      </c>
      <c r="I248" t="s">
        <v>531</v>
      </c>
      <c r="J248" t="s">
        <v>526</v>
      </c>
      <c r="K248">
        <v>201905</v>
      </c>
      <c r="L248" t="s">
        <v>538</v>
      </c>
      <c r="N248">
        <v>-486</v>
      </c>
      <c r="O248">
        <v>-432734.28</v>
      </c>
      <c r="P248">
        <v>890.39975308641999</v>
      </c>
      <c r="Q248">
        <v>0</v>
      </c>
    </row>
    <row r="249" spans="1:17">
      <c r="A249" t="str">
        <f t="shared" si="12"/>
        <v>05_May</v>
      </c>
      <c r="B249">
        <v>380</v>
      </c>
      <c r="C249" t="s">
        <v>538</v>
      </c>
      <c r="F249">
        <v>392799778</v>
      </c>
      <c r="G249" t="s">
        <v>522</v>
      </c>
      <c r="H249" t="s">
        <v>530</v>
      </c>
      <c r="I249" t="s">
        <v>531</v>
      </c>
      <c r="J249" t="s">
        <v>526</v>
      </c>
      <c r="K249">
        <v>201905</v>
      </c>
      <c r="L249" t="s">
        <v>538</v>
      </c>
      <c r="N249">
        <v>452</v>
      </c>
      <c r="O249">
        <v>512506.75</v>
      </c>
      <c r="P249">
        <v>1133.86449115044</v>
      </c>
      <c r="Q249">
        <v>0</v>
      </c>
    </row>
    <row r="250" spans="1:17">
      <c r="A250" t="str">
        <f t="shared" si="12"/>
        <v>01_Jan</v>
      </c>
      <c r="B250">
        <v>380</v>
      </c>
      <c r="C250" t="s">
        <v>223</v>
      </c>
      <c r="F250">
        <v>405403160</v>
      </c>
      <c r="G250" t="s">
        <v>522</v>
      </c>
      <c r="H250" t="s">
        <v>530</v>
      </c>
      <c r="I250" t="s">
        <v>531</v>
      </c>
      <c r="J250" t="s">
        <v>525</v>
      </c>
      <c r="K250">
        <v>201901</v>
      </c>
      <c r="L250" t="s">
        <v>223</v>
      </c>
      <c r="N250">
        <v>1</v>
      </c>
      <c r="O250">
        <v>-5012089.13</v>
      </c>
      <c r="P250">
        <v>-5012089.13</v>
      </c>
      <c r="Q250">
        <v>0</v>
      </c>
    </row>
    <row r="251" spans="1:17">
      <c r="A251" t="str">
        <f t="shared" si="12"/>
        <v>05_May</v>
      </c>
      <c r="B251">
        <v>380</v>
      </c>
      <c r="C251" t="s">
        <v>223</v>
      </c>
      <c r="F251">
        <v>397856076</v>
      </c>
      <c r="G251" t="s">
        <v>522</v>
      </c>
      <c r="H251" t="s">
        <v>530</v>
      </c>
      <c r="I251" t="s">
        <v>531</v>
      </c>
      <c r="J251" t="s">
        <v>525</v>
      </c>
      <c r="K251">
        <v>201905</v>
      </c>
      <c r="L251" t="s">
        <v>223</v>
      </c>
      <c r="N251">
        <v>-1</v>
      </c>
      <c r="O251">
        <v>-680888.33</v>
      </c>
      <c r="P251">
        <v>680888.33</v>
      </c>
      <c r="Q251">
        <v>0</v>
      </c>
    </row>
    <row r="252" spans="1:17">
      <c r="A252" t="str">
        <f t="shared" si="12"/>
        <v>05_May</v>
      </c>
      <c r="B252">
        <v>380</v>
      </c>
      <c r="C252" t="s">
        <v>223</v>
      </c>
      <c r="F252">
        <v>333468652</v>
      </c>
      <c r="G252" t="s">
        <v>522</v>
      </c>
      <c r="H252" t="s">
        <v>530</v>
      </c>
      <c r="I252" t="s">
        <v>531</v>
      </c>
      <c r="J252" t="s">
        <v>525</v>
      </c>
      <c r="K252">
        <v>201905</v>
      </c>
      <c r="L252" t="s">
        <v>223</v>
      </c>
      <c r="N252">
        <v>-14</v>
      </c>
      <c r="O252">
        <v>-3467523.49</v>
      </c>
      <c r="P252">
        <v>247680.249285714</v>
      </c>
      <c r="Q252">
        <v>0</v>
      </c>
    </row>
    <row r="253" spans="1:17">
      <c r="A253" t="str">
        <f t="shared" si="12"/>
        <v>05_May</v>
      </c>
      <c r="B253">
        <v>380</v>
      </c>
      <c r="C253" t="s">
        <v>223</v>
      </c>
      <c r="F253">
        <v>395569890</v>
      </c>
      <c r="G253" t="s">
        <v>522</v>
      </c>
      <c r="H253" t="s">
        <v>530</v>
      </c>
      <c r="I253" t="s">
        <v>531</v>
      </c>
      <c r="J253" t="s">
        <v>525</v>
      </c>
      <c r="K253">
        <v>201905</v>
      </c>
      <c r="L253" t="s">
        <v>223</v>
      </c>
      <c r="N253">
        <v>-2</v>
      </c>
      <c r="O253">
        <v>-541028.06999999995</v>
      </c>
      <c r="P253">
        <v>270514.03499999997</v>
      </c>
      <c r="Q253">
        <v>0</v>
      </c>
    </row>
    <row r="254" spans="1:17">
      <c r="A254" t="str">
        <f t="shared" si="12"/>
        <v>05_May</v>
      </c>
      <c r="B254">
        <v>380</v>
      </c>
      <c r="C254" t="s">
        <v>223</v>
      </c>
      <c r="F254">
        <v>405403160</v>
      </c>
      <c r="G254" t="s">
        <v>522</v>
      </c>
      <c r="H254" t="s">
        <v>530</v>
      </c>
      <c r="I254" t="s">
        <v>531</v>
      </c>
      <c r="J254" t="s">
        <v>525</v>
      </c>
      <c r="K254">
        <v>201905</v>
      </c>
      <c r="L254" t="s">
        <v>223</v>
      </c>
      <c r="N254">
        <v>-1</v>
      </c>
      <c r="O254">
        <v>5012089.13</v>
      </c>
      <c r="P254">
        <v>-5012089.13</v>
      </c>
      <c r="Q254">
        <v>0</v>
      </c>
    </row>
    <row r="255" spans="1:17">
      <c r="A255" t="str">
        <f t="shared" si="12"/>
        <v>05_May</v>
      </c>
      <c r="B255">
        <v>380</v>
      </c>
      <c r="C255" t="s">
        <v>223</v>
      </c>
      <c r="F255">
        <v>321447376</v>
      </c>
      <c r="G255" t="s">
        <v>522</v>
      </c>
      <c r="H255" t="s">
        <v>530</v>
      </c>
      <c r="I255" t="s">
        <v>531</v>
      </c>
      <c r="J255" t="s">
        <v>525</v>
      </c>
      <c r="K255">
        <v>201905</v>
      </c>
      <c r="L255" t="s">
        <v>223</v>
      </c>
      <c r="N255">
        <v>-2</v>
      </c>
      <c r="O255">
        <v>-322649.24</v>
      </c>
      <c r="P255">
        <v>161324.62</v>
      </c>
      <c r="Q255">
        <v>0</v>
      </c>
    </row>
    <row r="256" spans="1:17">
      <c r="A256" t="str">
        <f t="shared" si="12"/>
        <v>04_Apr</v>
      </c>
      <c r="B256">
        <v>380</v>
      </c>
      <c r="C256" t="s">
        <v>223</v>
      </c>
      <c r="F256">
        <v>414578011</v>
      </c>
      <c r="G256" t="s">
        <v>522</v>
      </c>
      <c r="H256" t="s">
        <v>530</v>
      </c>
      <c r="I256" t="s">
        <v>531</v>
      </c>
      <c r="J256" t="s">
        <v>526</v>
      </c>
      <c r="K256">
        <v>201904</v>
      </c>
      <c r="L256" t="s">
        <v>539</v>
      </c>
      <c r="N256">
        <v>6630</v>
      </c>
      <c r="O256">
        <v>3648035.6</v>
      </c>
      <c r="P256">
        <v>550.23161387632001</v>
      </c>
      <c r="Q256">
        <v>0</v>
      </c>
    </row>
    <row r="257" spans="1:17">
      <c r="A257" t="str">
        <f t="shared" si="12"/>
        <v>04_Apr</v>
      </c>
      <c r="B257">
        <v>380</v>
      </c>
      <c r="C257" t="s">
        <v>223</v>
      </c>
      <c r="F257">
        <v>414577984</v>
      </c>
      <c r="G257" t="s">
        <v>522</v>
      </c>
      <c r="H257" t="s">
        <v>530</v>
      </c>
      <c r="I257" t="s">
        <v>531</v>
      </c>
      <c r="J257" t="s">
        <v>526</v>
      </c>
      <c r="K257">
        <v>201904</v>
      </c>
      <c r="L257" t="s">
        <v>539</v>
      </c>
      <c r="N257">
        <v>2480</v>
      </c>
      <c r="O257">
        <v>340659.71</v>
      </c>
      <c r="P257">
        <v>137.36278629032299</v>
      </c>
      <c r="Q257">
        <v>0</v>
      </c>
    </row>
    <row r="258" spans="1:17">
      <c r="A258" t="str">
        <f t="shared" si="12"/>
        <v>04_Apr</v>
      </c>
      <c r="B258">
        <v>380</v>
      </c>
      <c r="C258" t="s">
        <v>223</v>
      </c>
      <c r="F258">
        <v>414577975</v>
      </c>
      <c r="G258" t="s">
        <v>522</v>
      </c>
      <c r="H258" t="s">
        <v>530</v>
      </c>
      <c r="I258" t="s">
        <v>531</v>
      </c>
      <c r="J258" t="s">
        <v>526</v>
      </c>
      <c r="K258">
        <v>201904</v>
      </c>
      <c r="L258" t="s">
        <v>539</v>
      </c>
      <c r="N258">
        <v>3763</v>
      </c>
      <c r="O258">
        <v>438110.65</v>
      </c>
      <c r="P258">
        <v>116.425896890779</v>
      </c>
      <c r="Q258">
        <v>0</v>
      </c>
    </row>
    <row r="259" spans="1:17">
      <c r="A259" t="str">
        <f t="shared" si="12"/>
        <v>04_Apr</v>
      </c>
      <c r="B259">
        <v>380</v>
      </c>
      <c r="C259" t="s">
        <v>223</v>
      </c>
      <c r="F259">
        <v>414577966</v>
      </c>
      <c r="G259" t="s">
        <v>522</v>
      </c>
      <c r="H259" t="s">
        <v>530</v>
      </c>
      <c r="I259" t="s">
        <v>531</v>
      </c>
      <c r="J259" t="s">
        <v>526</v>
      </c>
      <c r="K259">
        <v>201904</v>
      </c>
      <c r="L259" t="s">
        <v>539</v>
      </c>
      <c r="N259">
        <v>41</v>
      </c>
      <c r="O259">
        <v>32318.68</v>
      </c>
      <c r="P259">
        <v>788.26048780487804</v>
      </c>
      <c r="Q259">
        <v>0</v>
      </c>
    </row>
    <row r="260" spans="1:17">
      <c r="A260" t="str">
        <f t="shared" si="12"/>
        <v>01_Jan</v>
      </c>
      <c r="B260">
        <v>380</v>
      </c>
      <c r="C260" t="s">
        <v>223</v>
      </c>
      <c r="F260">
        <v>405403169</v>
      </c>
      <c r="G260" t="s">
        <v>522</v>
      </c>
      <c r="H260" t="s">
        <v>530</v>
      </c>
      <c r="I260" t="s">
        <v>531</v>
      </c>
      <c r="J260" t="s">
        <v>525</v>
      </c>
      <c r="K260">
        <v>201901</v>
      </c>
      <c r="L260" t="s">
        <v>539</v>
      </c>
      <c r="N260">
        <v>2</v>
      </c>
      <c r="O260">
        <v>4898717.21</v>
      </c>
      <c r="P260">
        <v>2449358.605</v>
      </c>
      <c r="Q260">
        <v>0</v>
      </c>
    </row>
    <row r="261" spans="1:17">
      <c r="A261" t="str">
        <f t="shared" si="12"/>
        <v>04_Apr</v>
      </c>
      <c r="B261">
        <v>380</v>
      </c>
      <c r="C261" t="s">
        <v>223</v>
      </c>
      <c r="F261">
        <v>414577940</v>
      </c>
      <c r="G261" t="s">
        <v>522</v>
      </c>
      <c r="H261" t="s">
        <v>530</v>
      </c>
      <c r="I261" t="s">
        <v>531</v>
      </c>
      <c r="J261" t="s">
        <v>526</v>
      </c>
      <c r="K261">
        <v>201904</v>
      </c>
      <c r="L261" t="s">
        <v>539</v>
      </c>
      <c r="N261">
        <v>1909</v>
      </c>
      <c r="O261">
        <v>262225.56</v>
      </c>
      <c r="P261">
        <v>137.36278679937101</v>
      </c>
      <c r="Q261">
        <v>0</v>
      </c>
    </row>
    <row r="262" spans="1:17">
      <c r="A262" t="str">
        <f t="shared" si="12"/>
        <v>04_Apr</v>
      </c>
      <c r="B262">
        <v>380</v>
      </c>
      <c r="C262" t="s">
        <v>223</v>
      </c>
      <c r="F262">
        <v>414578002</v>
      </c>
      <c r="G262" t="s">
        <v>522</v>
      </c>
      <c r="H262" t="s">
        <v>530</v>
      </c>
      <c r="I262" t="s">
        <v>531</v>
      </c>
      <c r="J262" t="s">
        <v>526</v>
      </c>
      <c r="K262">
        <v>201904</v>
      </c>
      <c r="L262" t="s">
        <v>539</v>
      </c>
      <c r="N262">
        <v>1</v>
      </c>
      <c r="O262">
        <v>788.2</v>
      </c>
      <c r="P262">
        <v>788.2</v>
      </c>
      <c r="Q262">
        <v>0</v>
      </c>
    </row>
    <row r="263" spans="1:17">
      <c r="A263" t="str">
        <f t="shared" si="12"/>
        <v>04_Apr</v>
      </c>
      <c r="B263">
        <v>380</v>
      </c>
      <c r="C263" t="s">
        <v>223</v>
      </c>
      <c r="F263">
        <v>414577993</v>
      </c>
      <c r="G263" t="s">
        <v>522</v>
      </c>
      <c r="H263" t="s">
        <v>530</v>
      </c>
      <c r="I263" t="s">
        <v>531</v>
      </c>
      <c r="J263" t="s">
        <v>526</v>
      </c>
      <c r="K263">
        <v>201904</v>
      </c>
      <c r="L263" t="s">
        <v>539</v>
      </c>
      <c r="N263">
        <v>56</v>
      </c>
      <c r="O263">
        <v>72042.05</v>
      </c>
      <c r="P263">
        <v>1286.46517857143</v>
      </c>
      <c r="Q263">
        <v>0</v>
      </c>
    </row>
    <row r="264" spans="1:17">
      <c r="A264" t="str">
        <f t="shared" si="12"/>
        <v>09_Sep</v>
      </c>
      <c r="B264">
        <v>380</v>
      </c>
      <c r="C264" t="s">
        <v>223</v>
      </c>
      <c r="F264">
        <v>414577975</v>
      </c>
      <c r="G264" t="s">
        <v>522</v>
      </c>
      <c r="H264" t="s">
        <v>530</v>
      </c>
      <c r="I264" t="s">
        <v>531</v>
      </c>
      <c r="J264" t="s">
        <v>526</v>
      </c>
      <c r="K264">
        <v>201909</v>
      </c>
      <c r="L264" t="s">
        <v>539</v>
      </c>
      <c r="N264">
        <v>150</v>
      </c>
      <c r="O264">
        <v>4212.38</v>
      </c>
      <c r="P264">
        <v>28.082533333333298</v>
      </c>
      <c r="Q264">
        <v>0</v>
      </c>
    </row>
    <row r="265" spans="1:17">
      <c r="A265" t="str">
        <f t="shared" si="12"/>
        <v>04_Apr</v>
      </c>
      <c r="B265">
        <v>380</v>
      </c>
      <c r="C265" t="s">
        <v>223</v>
      </c>
      <c r="F265">
        <v>414577957</v>
      </c>
      <c r="G265" t="s">
        <v>522</v>
      </c>
      <c r="H265" t="s">
        <v>530</v>
      </c>
      <c r="I265" t="s">
        <v>531</v>
      </c>
      <c r="J265" t="s">
        <v>526</v>
      </c>
      <c r="K265">
        <v>201904</v>
      </c>
      <c r="L265" t="s">
        <v>539</v>
      </c>
      <c r="N265">
        <v>82</v>
      </c>
      <c r="O265">
        <v>105490.26</v>
      </c>
      <c r="P265">
        <v>1286.4665853658501</v>
      </c>
      <c r="Q265">
        <v>0</v>
      </c>
    </row>
    <row r="266" spans="1:17">
      <c r="A266" t="str">
        <f t="shared" si="12"/>
        <v>02_Feb</v>
      </c>
      <c r="B266">
        <v>380</v>
      </c>
      <c r="C266" t="s">
        <v>223</v>
      </c>
      <c r="F266">
        <v>405403169</v>
      </c>
      <c r="G266" t="s">
        <v>522</v>
      </c>
      <c r="H266" t="s">
        <v>530</v>
      </c>
      <c r="I266" t="s">
        <v>531</v>
      </c>
      <c r="J266" t="s">
        <v>525</v>
      </c>
      <c r="K266">
        <v>201902</v>
      </c>
      <c r="L266" t="s">
        <v>539</v>
      </c>
      <c r="N266">
        <v>1</v>
      </c>
      <c r="O266">
        <v>953.5</v>
      </c>
      <c r="P266">
        <v>953.5</v>
      </c>
      <c r="Q266">
        <v>0</v>
      </c>
    </row>
    <row r="267" spans="1:17">
      <c r="A267" t="str">
        <f t="shared" si="12"/>
        <v>04_Apr</v>
      </c>
      <c r="B267">
        <v>380</v>
      </c>
      <c r="C267" t="s">
        <v>223</v>
      </c>
      <c r="F267">
        <v>405403169</v>
      </c>
      <c r="G267" t="s">
        <v>522</v>
      </c>
      <c r="H267" t="s">
        <v>530</v>
      </c>
      <c r="I267" t="s">
        <v>531</v>
      </c>
      <c r="J267" t="s">
        <v>525</v>
      </c>
      <c r="K267">
        <v>201904</v>
      </c>
      <c r="L267" t="s">
        <v>539</v>
      </c>
      <c r="N267">
        <v>-3</v>
      </c>
      <c r="O267">
        <v>-4899670.71</v>
      </c>
      <c r="P267">
        <v>1633223.57</v>
      </c>
      <c r="Q267">
        <v>0</v>
      </c>
    </row>
    <row r="268" spans="1:17">
      <c r="A268" t="str">
        <f t="shared" si="12"/>
        <v>02_Feb</v>
      </c>
      <c r="B268">
        <v>380</v>
      </c>
      <c r="C268" t="s">
        <v>130</v>
      </c>
      <c r="F268">
        <v>395570674</v>
      </c>
      <c r="G268" t="s">
        <v>522</v>
      </c>
      <c r="H268" t="s">
        <v>530</v>
      </c>
      <c r="I268" t="s">
        <v>531</v>
      </c>
      <c r="J268" t="s">
        <v>525</v>
      </c>
      <c r="K268">
        <v>201902</v>
      </c>
      <c r="L268" t="s">
        <v>130</v>
      </c>
      <c r="N268">
        <v>1</v>
      </c>
      <c r="O268">
        <v>81.099999999999994</v>
      </c>
      <c r="P268">
        <v>81.099999999999994</v>
      </c>
      <c r="Q268">
        <v>0</v>
      </c>
    </row>
    <row r="269" spans="1:17">
      <c r="A269" t="str">
        <f t="shared" si="12"/>
        <v>12_Dec</v>
      </c>
      <c r="B269">
        <v>380</v>
      </c>
      <c r="C269" t="s">
        <v>130</v>
      </c>
      <c r="F269">
        <v>397871557</v>
      </c>
      <c r="G269" t="s">
        <v>522</v>
      </c>
      <c r="H269" t="s">
        <v>530</v>
      </c>
      <c r="I269" t="s">
        <v>531</v>
      </c>
      <c r="J269" t="s">
        <v>525</v>
      </c>
      <c r="K269">
        <v>201912</v>
      </c>
      <c r="L269" t="s">
        <v>130</v>
      </c>
      <c r="N269">
        <v>2</v>
      </c>
      <c r="O269">
        <v>15.32</v>
      </c>
      <c r="P269">
        <v>7.66</v>
      </c>
      <c r="Q269">
        <v>0</v>
      </c>
    </row>
    <row r="270" spans="1:17">
      <c r="A270" t="str">
        <f t="shared" si="12"/>
        <v>03_Mar</v>
      </c>
      <c r="B270">
        <v>380</v>
      </c>
      <c r="C270" t="s">
        <v>130</v>
      </c>
      <c r="F270">
        <v>395430420</v>
      </c>
      <c r="G270" t="s">
        <v>522</v>
      </c>
      <c r="H270" t="s">
        <v>530</v>
      </c>
      <c r="I270" t="s">
        <v>531</v>
      </c>
      <c r="J270" t="s">
        <v>526</v>
      </c>
      <c r="K270">
        <v>201903</v>
      </c>
      <c r="L270" t="s">
        <v>130</v>
      </c>
      <c r="N270">
        <v>0</v>
      </c>
      <c r="O270">
        <v>0</v>
      </c>
      <c r="P270">
        <v>0</v>
      </c>
    </row>
    <row r="271" spans="1:17">
      <c r="A271" t="str">
        <f t="shared" si="12"/>
        <v>06_Jun</v>
      </c>
      <c r="B271">
        <v>380</v>
      </c>
      <c r="C271" t="s">
        <v>130</v>
      </c>
      <c r="F271">
        <v>395570674</v>
      </c>
      <c r="G271" t="s">
        <v>522</v>
      </c>
      <c r="H271" t="s">
        <v>530</v>
      </c>
      <c r="I271" t="s">
        <v>531</v>
      </c>
      <c r="J271" t="s">
        <v>525</v>
      </c>
      <c r="K271">
        <v>201906</v>
      </c>
      <c r="L271" t="s">
        <v>130</v>
      </c>
      <c r="N271">
        <v>2</v>
      </c>
      <c r="O271">
        <v>43.98</v>
      </c>
      <c r="P271">
        <v>21.99</v>
      </c>
      <c r="Q271">
        <v>0</v>
      </c>
    </row>
    <row r="272" spans="1:17">
      <c r="A272" t="str">
        <f t="shared" si="12"/>
        <v>10_Oct</v>
      </c>
      <c r="B272">
        <v>380</v>
      </c>
      <c r="C272" t="s">
        <v>130</v>
      </c>
      <c r="F272">
        <v>395570674</v>
      </c>
      <c r="G272" t="s">
        <v>522</v>
      </c>
      <c r="H272" t="s">
        <v>530</v>
      </c>
      <c r="I272" t="s">
        <v>531</v>
      </c>
      <c r="J272" t="s">
        <v>525</v>
      </c>
      <c r="K272">
        <v>201910</v>
      </c>
      <c r="L272" t="s">
        <v>130</v>
      </c>
      <c r="N272">
        <v>2</v>
      </c>
      <c r="O272">
        <v>971.83</v>
      </c>
      <c r="P272">
        <v>485.91500000000002</v>
      </c>
      <c r="Q272">
        <v>0</v>
      </c>
    </row>
    <row r="273" spans="1:17">
      <c r="A273" t="str">
        <f t="shared" si="12"/>
        <v>12_Dec</v>
      </c>
      <c r="B273">
        <v>380</v>
      </c>
      <c r="C273" t="s">
        <v>130</v>
      </c>
      <c r="F273">
        <v>395570638</v>
      </c>
      <c r="G273" t="s">
        <v>522</v>
      </c>
      <c r="H273" t="s">
        <v>530</v>
      </c>
      <c r="I273" t="s">
        <v>531</v>
      </c>
      <c r="J273" t="s">
        <v>525</v>
      </c>
      <c r="K273">
        <v>201912</v>
      </c>
      <c r="L273" t="s">
        <v>130</v>
      </c>
      <c r="N273">
        <v>2</v>
      </c>
      <c r="O273">
        <v>661.53</v>
      </c>
      <c r="P273">
        <v>330.76499999999999</v>
      </c>
      <c r="Q273">
        <v>0</v>
      </c>
    </row>
    <row r="274" spans="1:17">
      <c r="A274" t="str">
        <f t="shared" si="12"/>
        <v>09_Sep</v>
      </c>
      <c r="B274">
        <v>380</v>
      </c>
      <c r="C274" t="s">
        <v>130</v>
      </c>
      <c r="F274">
        <v>395570620</v>
      </c>
      <c r="G274" t="s">
        <v>522</v>
      </c>
      <c r="H274" t="s">
        <v>530</v>
      </c>
      <c r="I274" t="s">
        <v>531</v>
      </c>
      <c r="J274" t="s">
        <v>525</v>
      </c>
      <c r="K274">
        <v>201909</v>
      </c>
      <c r="L274" t="s">
        <v>130</v>
      </c>
      <c r="N274">
        <v>2</v>
      </c>
      <c r="O274">
        <v>346.58</v>
      </c>
      <c r="P274">
        <v>173.29</v>
      </c>
      <c r="Q274">
        <v>0</v>
      </c>
    </row>
    <row r="275" spans="1:17">
      <c r="A275" t="str">
        <f t="shared" si="12"/>
        <v>11_Nov</v>
      </c>
      <c r="B275">
        <v>380</v>
      </c>
      <c r="C275" t="s">
        <v>130</v>
      </c>
      <c r="F275">
        <v>395570620</v>
      </c>
      <c r="G275" t="s">
        <v>522</v>
      </c>
      <c r="H275" t="s">
        <v>530</v>
      </c>
      <c r="I275" t="s">
        <v>531</v>
      </c>
      <c r="J275" t="s">
        <v>525</v>
      </c>
      <c r="K275">
        <v>201911</v>
      </c>
      <c r="L275" t="s">
        <v>130</v>
      </c>
      <c r="N275">
        <v>2</v>
      </c>
      <c r="O275">
        <v>830.89</v>
      </c>
      <c r="P275">
        <v>415.44499999999999</v>
      </c>
      <c r="Q275">
        <v>0</v>
      </c>
    </row>
    <row r="276" spans="1:17">
      <c r="A276" t="str">
        <f t="shared" si="12"/>
        <v>03_Mar</v>
      </c>
      <c r="B276">
        <v>380</v>
      </c>
      <c r="C276" t="s">
        <v>130</v>
      </c>
      <c r="F276">
        <v>279416673</v>
      </c>
      <c r="G276" t="s">
        <v>522</v>
      </c>
      <c r="H276" t="s">
        <v>530</v>
      </c>
      <c r="I276" t="s">
        <v>531</v>
      </c>
      <c r="J276" t="s">
        <v>525</v>
      </c>
      <c r="K276">
        <v>201903</v>
      </c>
      <c r="L276" t="s">
        <v>130</v>
      </c>
      <c r="N276">
        <v>0</v>
      </c>
      <c r="O276">
        <v>0</v>
      </c>
      <c r="P276">
        <v>0</v>
      </c>
    </row>
    <row r="277" spans="1:17">
      <c r="A277" t="str">
        <f t="shared" si="12"/>
        <v>02_Feb</v>
      </c>
      <c r="B277">
        <v>380</v>
      </c>
      <c r="C277" t="s">
        <v>130</v>
      </c>
      <c r="F277">
        <v>395570665</v>
      </c>
      <c r="G277" t="s">
        <v>522</v>
      </c>
      <c r="H277" t="s">
        <v>530</v>
      </c>
      <c r="I277" t="s">
        <v>531</v>
      </c>
      <c r="J277" t="s">
        <v>525</v>
      </c>
      <c r="K277">
        <v>201902</v>
      </c>
      <c r="L277" t="s">
        <v>130</v>
      </c>
      <c r="N277">
        <v>1</v>
      </c>
      <c r="O277">
        <v>81.099999999999994</v>
      </c>
      <c r="P277">
        <v>81.099999999999994</v>
      </c>
      <c r="Q277">
        <v>0</v>
      </c>
    </row>
    <row r="278" spans="1:17">
      <c r="A278" t="str">
        <f t="shared" si="12"/>
        <v>06_Jun</v>
      </c>
      <c r="B278">
        <v>380</v>
      </c>
      <c r="C278" t="s">
        <v>130</v>
      </c>
      <c r="F278">
        <v>395570665</v>
      </c>
      <c r="G278" t="s">
        <v>522</v>
      </c>
      <c r="H278" t="s">
        <v>530</v>
      </c>
      <c r="I278" t="s">
        <v>531</v>
      </c>
      <c r="J278" t="s">
        <v>525</v>
      </c>
      <c r="K278">
        <v>201906</v>
      </c>
      <c r="L278" t="s">
        <v>130</v>
      </c>
      <c r="N278">
        <v>2</v>
      </c>
      <c r="O278">
        <v>43.98</v>
      </c>
      <c r="P278">
        <v>21.99</v>
      </c>
      <c r="Q278">
        <v>0</v>
      </c>
    </row>
    <row r="279" spans="1:17">
      <c r="A279" t="str">
        <f t="shared" si="12"/>
        <v>11_Nov</v>
      </c>
      <c r="B279">
        <v>380</v>
      </c>
      <c r="C279" t="s">
        <v>130</v>
      </c>
      <c r="F279">
        <v>395570665</v>
      </c>
      <c r="G279" t="s">
        <v>522</v>
      </c>
      <c r="H279" t="s">
        <v>530</v>
      </c>
      <c r="I279" t="s">
        <v>531</v>
      </c>
      <c r="J279" t="s">
        <v>525</v>
      </c>
      <c r="K279">
        <v>201911</v>
      </c>
      <c r="L279" t="s">
        <v>130</v>
      </c>
      <c r="N279">
        <v>2</v>
      </c>
      <c r="O279">
        <v>830.88</v>
      </c>
      <c r="P279">
        <v>415.44</v>
      </c>
      <c r="Q279">
        <v>0</v>
      </c>
    </row>
    <row r="280" spans="1:17">
      <c r="A280" t="str">
        <f t="shared" si="12"/>
        <v>11_Nov</v>
      </c>
      <c r="B280">
        <v>380</v>
      </c>
      <c r="C280" t="s">
        <v>130</v>
      </c>
      <c r="F280">
        <v>395570638</v>
      </c>
      <c r="G280" t="s">
        <v>522</v>
      </c>
      <c r="H280" t="s">
        <v>530</v>
      </c>
      <c r="I280" t="s">
        <v>531</v>
      </c>
      <c r="J280" t="s">
        <v>525</v>
      </c>
      <c r="K280">
        <v>201911</v>
      </c>
      <c r="L280" t="s">
        <v>130</v>
      </c>
      <c r="N280">
        <v>2</v>
      </c>
      <c r="O280">
        <v>830.88</v>
      </c>
      <c r="P280">
        <v>415.44</v>
      </c>
      <c r="Q280">
        <v>0</v>
      </c>
    </row>
    <row r="281" spans="1:17">
      <c r="A281" t="str">
        <f t="shared" si="12"/>
        <v>06_Jun</v>
      </c>
      <c r="B281">
        <v>380</v>
      </c>
      <c r="C281" t="s">
        <v>130</v>
      </c>
      <c r="F281">
        <v>395570620</v>
      </c>
      <c r="G281" t="s">
        <v>522</v>
      </c>
      <c r="H281" t="s">
        <v>530</v>
      </c>
      <c r="I281" t="s">
        <v>531</v>
      </c>
      <c r="J281" t="s">
        <v>525</v>
      </c>
      <c r="K281">
        <v>201906</v>
      </c>
      <c r="L281" t="s">
        <v>130</v>
      </c>
      <c r="N281">
        <v>2</v>
      </c>
      <c r="O281">
        <v>43.98</v>
      </c>
      <c r="P281">
        <v>21.99</v>
      </c>
      <c r="Q281">
        <v>0</v>
      </c>
    </row>
    <row r="282" spans="1:17">
      <c r="A282" t="str">
        <f t="shared" si="12"/>
        <v>10_Oct</v>
      </c>
      <c r="B282">
        <v>380</v>
      </c>
      <c r="C282" t="s">
        <v>130</v>
      </c>
      <c r="F282">
        <v>395570620</v>
      </c>
      <c r="G282" t="s">
        <v>522</v>
      </c>
      <c r="H282" t="s">
        <v>530</v>
      </c>
      <c r="I282" t="s">
        <v>531</v>
      </c>
      <c r="J282" t="s">
        <v>525</v>
      </c>
      <c r="K282">
        <v>201910</v>
      </c>
      <c r="L282" t="s">
        <v>130</v>
      </c>
      <c r="N282">
        <v>2</v>
      </c>
      <c r="O282">
        <v>971.84</v>
      </c>
      <c r="P282">
        <v>485.92</v>
      </c>
      <c r="Q282">
        <v>0</v>
      </c>
    </row>
    <row r="283" spans="1:17">
      <c r="A283" t="str">
        <f t="shared" si="12"/>
        <v>09_Sep</v>
      </c>
      <c r="B283">
        <v>380</v>
      </c>
      <c r="C283" t="s">
        <v>130</v>
      </c>
      <c r="F283">
        <v>397871557</v>
      </c>
      <c r="G283" t="s">
        <v>522</v>
      </c>
      <c r="H283" t="s">
        <v>530</v>
      </c>
      <c r="I283" t="s">
        <v>531</v>
      </c>
      <c r="J283" t="s">
        <v>525</v>
      </c>
      <c r="K283">
        <v>201909</v>
      </c>
      <c r="L283" t="s">
        <v>130</v>
      </c>
      <c r="N283">
        <v>2</v>
      </c>
      <c r="O283">
        <v>338.98</v>
      </c>
      <c r="P283">
        <v>169.49</v>
      </c>
      <c r="Q283">
        <v>0</v>
      </c>
    </row>
    <row r="284" spans="1:17">
      <c r="A284" t="str">
        <f t="shared" si="12"/>
        <v>03_Mar</v>
      </c>
      <c r="B284">
        <v>380</v>
      </c>
      <c r="C284" t="s">
        <v>130</v>
      </c>
      <c r="F284">
        <v>395430567</v>
      </c>
      <c r="G284" t="s">
        <v>522</v>
      </c>
      <c r="H284" t="s">
        <v>530</v>
      </c>
      <c r="I284" t="s">
        <v>531</v>
      </c>
      <c r="J284" t="s">
        <v>526</v>
      </c>
      <c r="K284">
        <v>201903</v>
      </c>
      <c r="L284" t="s">
        <v>130</v>
      </c>
      <c r="N284">
        <v>0</v>
      </c>
      <c r="O284">
        <v>0</v>
      </c>
      <c r="P284">
        <v>0</v>
      </c>
    </row>
    <row r="285" spans="1:17">
      <c r="A285" t="str">
        <f t="shared" si="12"/>
        <v>03_Mar</v>
      </c>
      <c r="B285">
        <v>380</v>
      </c>
      <c r="C285" t="s">
        <v>130</v>
      </c>
      <c r="F285">
        <v>395430558</v>
      </c>
      <c r="G285" t="s">
        <v>522</v>
      </c>
      <c r="H285" t="s">
        <v>530</v>
      </c>
      <c r="I285" t="s">
        <v>531</v>
      </c>
      <c r="J285" t="s">
        <v>526</v>
      </c>
      <c r="K285">
        <v>201903</v>
      </c>
      <c r="L285" t="s">
        <v>130</v>
      </c>
      <c r="N285">
        <v>0</v>
      </c>
      <c r="O285">
        <v>0</v>
      </c>
      <c r="P285">
        <v>0</v>
      </c>
    </row>
    <row r="286" spans="1:17">
      <c r="A286" t="str">
        <f t="shared" si="12"/>
        <v>08_Aug</v>
      </c>
      <c r="B286">
        <v>380</v>
      </c>
      <c r="C286" t="s">
        <v>130</v>
      </c>
      <c r="F286">
        <v>395570665</v>
      </c>
      <c r="G286" t="s">
        <v>522</v>
      </c>
      <c r="H286" t="s">
        <v>530</v>
      </c>
      <c r="I286" t="s">
        <v>531</v>
      </c>
      <c r="J286" t="s">
        <v>525</v>
      </c>
      <c r="K286">
        <v>201908</v>
      </c>
      <c r="L286" t="s">
        <v>130</v>
      </c>
      <c r="N286">
        <v>2</v>
      </c>
      <c r="O286">
        <v>207.52</v>
      </c>
      <c r="P286">
        <v>103.76</v>
      </c>
      <c r="Q286">
        <v>0</v>
      </c>
    </row>
    <row r="287" spans="1:17">
      <c r="A287" t="str">
        <f t="shared" si="12"/>
        <v>09_Sep</v>
      </c>
      <c r="B287">
        <v>380</v>
      </c>
      <c r="C287" t="s">
        <v>130</v>
      </c>
      <c r="F287">
        <v>395570665</v>
      </c>
      <c r="G287" t="s">
        <v>522</v>
      </c>
      <c r="H287" t="s">
        <v>530</v>
      </c>
      <c r="I287" t="s">
        <v>531</v>
      </c>
      <c r="J287" t="s">
        <v>525</v>
      </c>
      <c r="K287">
        <v>201909</v>
      </c>
      <c r="L287" t="s">
        <v>130</v>
      </c>
      <c r="N287">
        <v>2</v>
      </c>
      <c r="O287">
        <v>346.58</v>
      </c>
      <c r="P287">
        <v>173.29</v>
      </c>
      <c r="Q287">
        <v>0</v>
      </c>
    </row>
    <row r="288" spans="1:17">
      <c r="A288" t="str">
        <f t="shared" si="12"/>
        <v>02_Feb</v>
      </c>
      <c r="B288">
        <v>380</v>
      </c>
      <c r="C288" t="s">
        <v>130</v>
      </c>
      <c r="F288">
        <v>395570638</v>
      </c>
      <c r="G288" t="s">
        <v>522</v>
      </c>
      <c r="H288" t="s">
        <v>530</v>
      </c>
      <c r="I288" t="s">
        <v>531</v>
      </c>
      <c r="J288" t="s">
        <v>525</v>
      </c>
      <c r="K288">
        <v>201902</v>
      </c>
      <c r="L288" t="s">
        <v>130</v>
      </c>
      <c r="N288">
        <v>1</v>
      </c>
      <c r="O288">
        <v>81.099999999999994</v>
      </c>
      <c r="P288">
        <v>81.099999999999994</v>
      </c>
      <c r="Q288">
        <v>0</v>
      </c>
    </row>
    <row r="289" spans="1:17">
      <c r="A289" t="str">
        <f t="shared" si="12"/>
        <v>03_Mar</v>
      </c>
      <c r="B289">
        <v>380</v>
      </c>
      <c r="C289" t="s">
        <v>130</v>
      </c>
      <c r="F289">
        <v>395570638</v>
      </c>
      <c r="G289" t="s">
        <v>522</v>
      </c>
      <c r="H289" t="s">
        <v>530</v>
      </c>
      <c r="I289" t="s">
        <v>531</v>
      </c>
      <c r="J289" t="s">
        <v>525</v>
      </c>
      <c r="K289">
        <v>201903</v>
      </c>
      <c r="L289" t="s">
        <v>130</v>
      </c>
      <c r="N289">
        <v>0</v>
      </c>
      <c r="O289">
        <v>0</v>
      </c>
      <c r="P289">
        <v>0</v>
      </c>
    </row>
    <row r="290" spans="1:17">
      <c r="A290" t="str">
        <f t="shared" si="12"/>
        <v>08_Aug</v>
      </c>
      <c r="B290">
        <v>380</v>
      </c>
      <c r="C290" t="s">
        <v>130</v>
      </c>
      <c r="F290">
        <v>395570638</v>
      </c>
      <c r="G290" t="s">
        <v>522</v>
      </c>
      <c r="H290" t="s">
        <v>530</v>
      </c>
      <c r="I290" t="s">
        <v>531</v>
      </c>
      <c r="J290" t="s">
        <v>525</v>
      </c>
      <c r="K290">
        <v>201908</v>
      </c>
      <c r="L290" t="s">
        <v>130</v>
      </c>
      <c r="N290">
        <v>2</v>
      </c>
      <c r="O290">
        <v>207.52</v>
      </c>
      <c r="P290">
        <v>103.76</v>
      </c>
      <c r="Q290">
        <v>0</v>
      </c>
    </row>
    <row r="291" spans="1:17">
      <c r="A291" t="str">
        <f t="shared" si="12"/>
        <v>09_Sep</v>
      </c>
      <c r="B291">
        <v>380</v>
      </c>
      <c r="C291" t="s">
        <v>130</v>
      </c>
      <c r="F291">
        <v>395570638</v>
      </c>
      <c r="G291" t="s">
        <v>522</v>
      </c>
      <c r="H291" t="s">
        <v>530</v>
      </c>
      <c r="I291" t="s">
        <v>531</v>
      </c>
      <c r="J291" t="s">
        <v>525</v>
      </c>
      <c r="K291">
        <v>201909</v>
      </c>
      <c r="L291" t="s">
        <v>130</v>
      </c>
      <c r="N291">
        <v>2</v>
      </c>
      <c r="O291">
        <v>346.58</v>
      </c>
      <c r="P291">
        <v>173.29</v>
      </c>
      <c r="Q291">
        <v>0</v>
      </c>
    </row>
    <row r="292" spans="1:17">
      <c r="A292" t="str">
        <f t="shared" si="12"/>
        <v>12_Dec</v>
      </c>
      <c r="B292">
        <v>380</v>
      </c>
      <c r="C292" t="s">
        <v>130</v>
      </c>
      <c r="F292">
        <v>395570620</v>
      </c>
      <c r="G292" t="s">
        <v>522</v>
      </c>
      <c r="H292" t="s">
        <v>530</v>
      </c>
      <c r="I292" t="s">
        <v>531</v>
      </c>
      <c r="J292" t="s">
        <v>525</v>
      </c>
      <c r="K292">
        <v>201912</v>
      </c>
      <c r="L292" t="s">
        <v>130</v>
      </c>
      <c r="N292">
        <v>2</v>
      </c>
      <c r="O292">
        <v>661.54</v>
      </c>
      <c r="P292">
        <v>330.77</v>
      </c>
      <c r="Q292">
        <v>0</v>
      </c>
    </row>
    <row r="293" spans="1:17">
      <c r="A293" t="str">
        <f t="shared" si="12"/>
        <v>02_Feb</v>
      </c>
      <c r="B293">
        <v>380</v>
      </c>
      <c r="C293" t="s">
        <v>130</v>
      </c>
      <c r="F293">
        <v>397871557</v>
      </c>
      <c r="G293" t="s">
        <v>522</v>
      </c>
      <c r="H293" t="s">
        <v>530</v>
      </c>
      <c r="I293" t="s">
        <v>531</v>
      </c>
      <c r="J293" t="s">
        <v>525</v>
      </c>
      <c r="K293">
        <v>201902</v>
      </c>
      <c r="L293" t="s">
        <v>130</v>
      </c>
      <c r="N293">
        <v>1</v>
      </c>
      <c r="O293">
        <v>0</v>
      </c>
      <c r="P293">
        <v>0</v>
      </c>
      <c r="Q293">
        <v>0</v>
      </c>
    </row>
    <row r="294" spans="1:17">
      <c r="A294" t="str">
        <f t="shared" si="12"/>
        <v>11_Nov</v>
      </c>
      <c r="B294">
        <v>380</v>
      </c>
      <c r="C294" t="s">
        <v>130</v>
      </c>
      <c r="F294">
        <v>395570674</v>
      </c>
      <c r="G294" t="s">
        <v>522</v>
      </c>
      <c r="H294" t="s">
        <v>530</v>
      </c>
      <c r="I294" t="s">
        <v>531</v>
      </c>
      <c r="J294" t="s">
        <v>525</v>
      </c>
      <c r="K294">
        <v>201911</v>
      </c>
      <c r="L294" t="s">
        <v>130</v>
      </c>
      <c r="N294">
        <v>2</v>
      </c>
      <c r="O294">
        <v>830.88</v>
      </c>
      <c r="P294">
        <v>415.44</v>
      </c>
      <c r="Q294">
        <v>0</v>
      </c>
    </row>
    <row r="295" spans="1:17">
      <c r="A295" t="str">
        <f t="shared" si="12"/>
        <v>10_Oct</v>
      </c>
      <c r="B295">
        <v>380</v>
      </c>
      <c r="C295" t="s">
        <v>130</v>
      </c>
      <c r="F295">
        <v>395570665</v>
      </c>
      <c r="G295" t="s">
        <v>522</v>
      </c>
      <c r="H295" t="s">
        <v>530</v>
      </c>
      <c r="I295" t="s">
        <v>531</v>
      </c>
      <c r="J295" t="s">
        <v>525</v>
      </c>
      <c r="K295">
        <v>201910</v>
      </c>
      <c r="L295" t="s">
        <v>130</v>
      </c>
      <c r="N295">
        <v>2</v>
      </c>
      <c r="O295">
        <v>971.83</v>
      </c>
      <c r="P295">
        <v>485.91500000000002</v>
      </c>
      <c r="Q295">
        <v>0</v>
      </c>
    </row>
    <row r="296" spans="1:17">
      <c r="A296" t="str">
        <f t="shared" si="12"/>
        <v>12_Dec</v>
      </c>
      <c r="B296">
        <v>380</v>
      </c>
      <c r="C296" t="s">
        <v>130</v>
      </c>
      <c r="F296">
        <v>395570665</v>
      </c>
      <c r="G296" t="s">
        <v>522</v>
      </c>
      <c r="H296" t="s">
        <v>530</v>
      </c>
      <c r="I296" t="s">
        <v>531</v>
      </c>
      <c r="J296" t="s">
        <v>525</v>
      </c>
      <c r="K296">
        <v>201912</v>
      </c>
      <c r="L296" t="s">
        <v>130</v>
      </c>
      <c r="N296">
        <v>2</v>
      </c>
      <c r="O296">
        <v>661.53</v>
      </c>
      <c r="P296">
        <v>330.76499999999999</v>
      </c>
      <c r="Q296">
        <v>0</v>
      </c>
    </row>
    <row r="297" spans="1:17">
      <c r="A297" t="str">
        <f t="shared" si="12"/>
        <v>06_Jun</v>
      </c>
      <c r="B297">
        <v>380</v>
      </c>
      <c r="C297" t="s">
        <v>130</v>
      </c>
      <c r="F297">
        <v>395570638</v>
      </c>
      <c r="G297" t="s">
        <v>522</v>
      </c>
      <c r="H297" t="s">
        <v>530</v>
      </c>
      <c r="I297" t="s">
        <v>531</v>
      </c>
      <c r="J297" t="s">
        <v>525</v>
      </c>
      <c r="K297">
        <v>201906</v>
      </c>
      <c r="L297" t="s">
        <v>130</v>
      </c>
      <c r="N297">
        <v>2</v>
      </c>
      <c r="O297">
        <v>43.98</v>
      </c>
      <c r="P297">
        <v>21.99</v>
      </c>
      <c r="Q297">
        <v>0</v>
      </c>
    </row>
    <row r="298" spans="1:17">
      <c r="A298" t="str">
        <f t="shared" si="12"/>
        <v>02_Feb</v>
      </c>
      <c r="B298">
        <v>380</v>
      </c>
      <c r="C298" t="s">
        <v>130</v>
      </c>
      <c r="F298">
        <v>395570620</v>
      </c>
      <c r="G298" t="s">
        <v>522</v>
      </c>
      <c r="H298" t="s">
        <v>530</v>
      </c>
      <c r="I298" t="s">
        <v>531</v>
      </c>
      <c r="J298" t="s">
        <v>525</v>
      </c>
      <c r="K298">
        <v>201902</v>
      </c>
      <c r="L298" t="s">
        <v>130</v>
      </c>
      <c r="N298">
        <v>1</v>
      </c>
      <c r="O298">
        <v>81.099999999999994</v>
      </c>
      <c r="P298">
        <v>81.099999999999994</v>
      </c>
      <c r="Q298">
        <v>0</v>
      </c>
    </row>
    <row r="299" spans="1:17">
      <c r="A299" t="str">
        <f t="shared" si="12"/>
        <v>03_Mar</v>
      </c>
      <c r="B299">
        <v>380</v>
      </c>
      <c r="C299" t="s">
        <v>130</v>
      </c>
      <c r="F299">
        <v>395570620</v>
      </c>
      <c r="G299" t="s">
        <v>522</v>
      </c>
      <c r="H299" t="s">
        <v>530</v>
      </c>
      <c r="I299" t="s">
        <v>531</v>
      </c>
      <c r="J299" t="s">
        <v>525</v>
      </c>
      <c r="K299">
        <v>201903</v>
      </c>
      <c r="L299" t="s">
        <v>130</v>
      </c>
      <c r="N299">
        <v>0</v>
      </c>
      <c r="O299">
        <v>0</v>
      </c>
      <c r="P299">
        <v>0</v>
      </c>
    </row>
    <row r="300" spans="1:17">
      <c r="A300" t="str">
        <f t="shared" si="12"/>
        <v>10_Oct</v>
      </c>
      <c r="B300">
        <v>380</v>
      </c>
      <c r="C300" t="s">
        <v>130</v>
      </c>
      <c r="F300">
        <v>397871557</v>
      </c>
      <c r="G300" t="s">
        <v>522</v>
      </c>
      <c r="H300" t="s">
        <v>530</v>
      </c>
      <c r="I300" t="s">
        <v>531</v>
      </c>
      <c r="J300" t="s">
        <v>525</v>
      </c>
      <c r="K300">
        <v>201910</v>
      </c>
      <c r="L300" t="s">
        <v>130</v>
      </c>
      <c r="N300">
        <v>2</v>
      </c>
      <c r="O300">
        <v>22.56</v>
      </c>
      <c r="P300">
        <v>11.28</v>
      </c>
      <c r="Q300">
        <v>0</v>
      </c>
    </row>
    <row r="301" spans="1:17">
      <c r="A301" t="str">
        <f t="shared" si="12"/>
        <v>11_Nov</v>
      </c>
      <c r="B301">
        <v>380</v>
      </c>
      <c r="C301" t="s">
        <v>130</v>
      </c>
      <c r="F301">
        <v>397871557</v>
      </c>
      <c r="G301" t="s">
        <v>522</v>
      </c>
      <c r="H301" t="s">
        <v>530</v>
      </c>
      <c r="I301" t="s">
        <v>531</v>
      </c>
      <c r="J301" t="s">
        <v>525</v>
      </c>
      <c r="K301">
        <v>201911</v>
      </c>
      <c r="L301" t="s">
        <v>130</v>
      </c>
      <c r="N301">
        <v>2</v>
      </c>
      <c r="O301">
        <v>19.28</v>
      </c>
      <c r="P301">
        <v>9.64</v>
      </c>
      <c r="Q301">
        <v>0</v>
      </c>
    </row>
    <row r="302" spans="1:17">
      <c r="A302" t="str">
        <f t="shared" si="12"/>
        <v>03_Mar</v>
      </c>
      <c r="B302">
        <v>380</v>
      </c>
      <c r="C302" t="s">
        <v>130</v>
      </c>
      <c r="F302">
        <v>279416710</v>
      </c>
      <c r="G302" t="s">
        <v>522</v>
      </c>
      <c r="H302" t="s">
        <v>530</v>
      </c>
      <c r="I302" t="s">
        <v>531</v>
      </c>
      <c r="J302" t="s">
        <v>525</v>
      </c>
      <c r="K302">
        <v>201903</v>
      </c>
      <c r="L302" t="s">
        <v>130</v>
      </c>
      <c r="N302">
        <v>0</v>
      </c>
      <c r="O302">
        <v>0</v>
      </c>
      <c r="P302">
        <v>0</v>
      </c>
    </row>
    <row r="303" spans="1:17">
      <c r="A303" t="str">
        <f t="shared" si="12"/>
        <v>03_Mar</v>
      </c>
      <c r="B303">
        <v>380</v>
      </c>
      <c r="C303" t="s">
        <v>130</v>
      </c>
      <c r="F303">
        <v>395430576</v>
      </c>
      <c r="G303" t="s">
        <v>522</v>
      </c>
      <c r="H303" t="s">
        <v>530</v>
      </c>
      <c r="I303" t="s">
        <v>531</v>
      </c>
      <c r="J303" t="s">
        <v>526</v>
      </c>
      <c r="K303">
        <v>201903</v>
      </c>
      <c r="L303" t="s">
        <v>130</v>
      </c>
      <c r="N303">
        <v>0</v>
      </c>
      <c r="O303">
        <v>0</v>
      </c>
      <c r="P303">
        <v>0</v>
      </c>
    </row>
    <row r="304" spans="1:17">
      <c r="A304" t="str">
        <f t="shared" si="12"/>
        <v>08_Aug</v>
      </c>
      <c r="B304">
        <v>380</v>
      </c>
      <c r="C304" t="s">
        <v>130</v>
      </c>
      <c r="F304">
        <v>395570674</v>
      </c>
      <c r="G304" t="s">
        <v>522</v>
      </c>
      <c r="H304" t="s">
        <v>530</v>
      </c>
      <c r="I304" t="s">
        <v>531</v>
      </c>
      <c r="J304" t="s">
        <v>525</v>
      </c>
      <c r="K304">
        <v>201908</v>
      </c>
      <c r="L304" t="s">
        <v>130</v>
      </c>
      <c r="N304">
        <v>2</v>
      </c>
      <c r="O304">
        <v>207.52</v>
      </c>
      <c r="P304">
        <v>103.76</v>
      </c>
      <c r="Q304">
        <v>0</v>
      </c>
    </row>
    <row r="305" spans="1:17">
      <c r="A305" t="str">
        <f t="shared" si="12"/>
        <v>03_Mar</v>
      </c>
      <c r="B305">
        <v>380</v>
      </c>
      <c r="C305" t="s">
        <v>130</v>
      </c>
      <c r="F305">
        <v>395570665</v>
      </c>
      <c r="G305" t="s">
        <v>522</v>
      </c>
      <c r="H305" t="s">
        <v>530</v>
      </c>
      <c r="I305" t="s">
        <v>531</v>
      </c>
      <c r="J305" t="s">
        <v>525</v>
      </c>
      <c r="K305">
        <v>201903</v>
      </c>
      <c r="L305" t="s">
        <v>130</v>
      </c>
      <c r="N305">
        <v>0</v>
      </c>
      <c r="O305">
        <v>0</v>
      </c>
      <c r="P305">
        <v>0</v>
      </c>
    </row>
    <row r="306" spans="1:17">
      <c r="A306" t="str">
        <f t="shared" si="12"/>
        <v>03_Mar</v>
      </c>
      <c r="B306">
        <v>380</v>
      </c>
      <c r="C306" t="s">
        <v>130</v>
      </c>
      <c r="F306">
        <v>397871557</v>
      </c>
      <c r="G306" t="s">
        <v>522</v>
      </c>
      <c r="H306" t="s">
        <v>530</v>
      </c>
      <c r="I306" t="s">
        <v>531</v>
      </c>
      <c r="J306" t="s">
        <v>525</v>
      </c>
      <c r="K306">
        <v>201903</v>
      </c>
      <c r="L306" t="s">
        <v>130</v>
      </c>
      <c r="N306">
        <v>0</v>
      </c>
      <c r="O306">
        <v>0</v>
      </c>
      <c r="P306">
        <v>0</v>
      </c>
    </row>
    <row r="307" spans="1:17">
      <c r="A307" t="str">
        <f t="shared" si="12"/>
        <v>08_Aug</v>
      </c>
      <c r="B307">
        <v>380</v>
      </c>
      <c r="C307" t="s">
        <v>130</v>
      </c>
      <c r="F307">
        <v>397871557</v>
      </c>
      <c r="G307" t="s">
        <v>522</v>
      </c>
      <c r="H307" t="s">
        <v>530</v>
      </c>
      <c r="I307" t="s">
        <v>531</v>
      </c>
      <c r="J307" t="s">
        <v>525</v>
      </c>
      <c r="K307">
        <v>201908</v>
      </c>
      <c r="L307" t="s">
        <v>130</v>
      </c>
      <c r="N307">
        <v>2</v>
      </c>
      <c r="O307">
        <v>0</v>
      </c>
      <c r="P307">
        <v>0</v>
      </c>
      <c r="Q307">
        <v>0</v>
      </c>
    </row>
    <row r="308" spans="1:17">
      <c r="A308" t="str">
        <f t="shared" si="12"/>
        <v>03_Mar</v>
      </c>
      <c r="B308">
        <v>380</v>
      </c>
      <c r="C308" t="s">
        <v>130</v>
      </c>
      <c r="F308">
        <v>279416636</v>
      </c>
      <c r="G308" t="s">
        <v>522</v>
      </c>
      <c r="H308" t="s">
        <v>530</v>
      </c>
      <c r="I308" t="s">
        <v>531</v>
      </c>
      <c r="J308" t="s">
        <v>525</v>
      </c>
      <c r="K308">
        <v>201903</v>
      </c>
      <c r="L308" t="s">
        <v>130</v>
      </c>
      <c r="N308">
        <v>0</v>
      </c>
      <c r="O308">
        <v>0</v>
      </c>
      <c r="P308">
        <v>0</v>
      </c>
    </row>
    <row r="309" spans="1:17">
      <c r="A309" t="str">
        <f t="shared" si="12"/>
        <v>09_Sep</v>
      </c>
      <c r="B309">
        <v>380</v>
      </c>
      <c r="C309" t="s">
        <v>130</v>
      </c>
      <c r="F309">
        <v>395570674</v>
      </c>
      <c r="G309" t="s">
        <v>522</v>
      </c>
      <c r="H309" t="s">
        <v>530</v>
      </c>
      <c r="I309" t="s">
        <v>531</v>
      </c>
      <c r="J309" t="s">
        <v>525</v>
      </c>
      <c r="K309">
        <v>201909</v>
      </c>
      <c r="L309" t="s">
        <v>130</v>
      </c>
      <c r="N309">
        <v>2</v>
      </c>
      <c r="O309">
        <v>346.58</v>
      </c>
      <c r="P309">
        <v>173.29</v>
      </c>
      <c r="Q309">
        <v>0</v>
      </c>
    </row>
    <row r="310" spans="1:17">
      <c r="A310" t="str">
        <f t="shared" si="12"/>
        <v>08_Aug</v>
      </c>
      <c r="B310">
        <v>380</v>
      </c>
      <c r="C310" t="s">
        <v>130</v>
      </c>
      <c r="F310">
        <v>395570620</v>
      </c>
      <c r="G310" t="s">
        <v>522</v>
      </c>
      <c r="H310" t="s">
        <v>530</v>
      </c>
      <c r="I310" t="s">
        <v>531</v>
      </c>
      <c r="J310" t="s">
        <v>525</v>
      </c>
      <c r="K310">
        <v>201908</v>
      </c>
      <c r="L310" t="s">
        <v>130</v>
      </c>
      <c r="N310">
        <v>2</v>
      </c>
      <c r="O310">
        <v>207.53</v>
      </c>
      <c r="P310">
        <v>103.765</v>
      </c>
      <c r="Q310">
        <v>0</v>
      </c>
    </row>
    <row r="311" spans="1:17">
      <c r="A311" t="str">
        <f t="shared" ref="A311:A339" si="13">IF(ISERROR(VLOOKUP(K311,$T$55:$U$66,2,FALSE)),"",VLOOKUP(K311,$T$55:$U$66,2,FALSE))</f>
        <v>06_Jun</v>
      </c>
      <c r="B311">
        <v>380</v>
      </c>
      <c r="C311" t="s">
        <v>130</v>
      </c>
      <c r="F311">
        <v>397871557</v>
      </c>
      <c r="G311" t="s">
        <v>522</v>
      </c>
      <c r="H311" t="s">
        <v>530</v>
      </c>
      <c r="I311" t="s">
        <v>531</v>
      </c>
      <c r="J311" t="s">
        <v>525</v>
      </c>
      <c r="K311">
        <v>201906</v>
      </c>
      <c r="L311" t="s">
        <v>130</v>
      </c>
      <c r="N311">
        <v>2</v>
      </c>
      <c r="O311">
        <v>0</v>
      </c>
      <c r="P311">
        <v>0</v>
      </c>
      <c r="Q311">
        <v>0</v>
      </c>
    </row>
    <row r="312" spans="1:17">
      <c r="A312" t="str">
        <f t="shared" si="13"/>
        <v>03_Mar</v>
      </c>
      <c r="B312">
        <v>380</v>
      </c>
      <c r="C312" t="s">
        <v>130</v>
      </c>
      <c r="F312">
        <v>279416599</v>
      </c>
      <c r="G312" t="s">
        <v>522</v>
      </c>
      <c r="H312" t="s">
        <v>530</v>
      </c>
      <c r="I312" t="s">
        <v>531</v>
      </c>
      <c r="J312" t="s">
        <v>525</v>
      </c>
      <c r="K312">
        <v>201903</v>
      </c>
      <c r="L312" t="s">
        <v>130</v>
      </c>
      <c r="N312">
        <v>0</v>
      </c>
      <c r="O312">
        <v>0</v>
      </c>
      <c r="P312">
        <v>0</v>
      </c>
    </row>
    <row r="313" spans="1:17">
      <c r="A313" t="str">
        <f t="shared" si="13"/>
        <v>03_Mar</v>
      </c>
      <c r="B313">
        <v>380</v>
      </c>
      <c r="C313" t="s">
        <v>130</v>
      </c>
      <c r="F313">
        <v>395430549</v>
      </c>
      <c r="G313" t="s">
        <v>522</v>
      </c>
      <c r="H313" t="s">
        <v>530</v>
      </c>
      <c r="I313" t="s">
        <v>531</v>
      </c>
      <c r="J313" t="s">
        <v>526</v>
      </c>
      <c r="K313">
        <v>201903</v>
      </c>
      <c r="L313" t="s">
        <v>130</v>
      </c>
      <c r="N313">
        <v>0</v>
      </c>
      <c r="O313">
        <v>0</v>
      </c>
      <c r="P313">
        <v>0</v>
      </c>
    </row>
    <row r="314" spans="1:17">
      <c r="A314" t="str">
        <f t="shared" si="13"/>
        <v>03_Mar</v>
      </c>
      <c r="B314">
        <v>380</v>
      </c>
      <c r="C314" t="s">
        <v>130</v>
      </c>
      <c r="F314">
        <v>395570674</v>
      </c>
      <c r="G314" t="s">
        <v>522</v>
      </c>
      <c r="H314" t="s">
        <v>530</v>
      </c>
      <c r="I314" t="s">
        <v>531</v>
      </c>
      <c r="J314" t="s">
        <v>525</v>
      </c>
      <c r="K314">
        <v>201903</v>
      </c>
      <c r="L314" t="s">
        <v>130</v>
      </c>
      <c r="N314">
        <v>0</v>
      </c>
      <c r="O314">
        <v>0</v>
      </c>
      <c r="P314">
        <v>0</v>
      </c>
    </row>
    <row r="315" spans="1:17">
      <c r="A315" t="str">
        <f t="shared" si="13"/>
        <v>12_Dec</v>
      </c>
      <c r="B315">
        <v>380</v>
      </c>
      <c r="C315" t="s">
        <v>130</v>
      </c>
      <c r="F315">
        <v>395570674</v>
      </c>
      <c r="G315" t="s">
        <v>522</v>
      </c>
      <c r="H315" t="s">
        <v>530</v>
      </c>
      <c r="I315" t="s">
        <v>531</v>
      </c>
      <c r="J315" t="s">
        <v>525</v>
      </c>
      <c r="K315">
        <v>201912</v>
      </c>
      <c r="L315" t="s">
        <v>130</v>
      </c>
      <c r="N315">
        <v>2</v>
      </c>
      <c r="O315">
        <v>661.53</v>
      </c>
      <c r="P315">
        <v>330.76499999999999</v>
      </c>
      <c r="Q315">
        <v>0</v>
      </c>
    </row>
    <row r="316" spans="1:17">
      <c r="A316" t="str">
        <f t="shared" si="13"/>
        <v>10_Oct</v>
      </c>
      <c r="B316">
        <v>380</v>
      </c>
      <c r="C316" t="s">
        <v>130</v>
      </c>
      <c r="F316">
        <v>395570638</v>
      </c>
      <c r="G316" t="s">
        <v>522</v>
      </c>
      <c r="H316" t="s">
        <v>530</v>
      </c>
      <c r="I316" t="s">
        <v>531</v>
      </c>
      <c r="J316" t="s">
        <v>525</v>
      </c>
      <c r="K316">
        <v>201910</v>
      </c>
      <c r="L316" t="s">
        <v>130</v>
      </c>
      <c r="N316">
        <v>2</v>
      </c>
      <c r="O316">
        <v>971.83</v>
      </c>
      <c r="P316">
        <v>485.91500000000002</v>
      </c>
      <c r="Q316">
        <v>0</v>
      </c>
    </row>
    <row r="317" spans="1:17">
      <c r="A317" t="str">
        <f t="shared" si="13"/>
        <v>08_Aug</v>
      </c>
      <c r="B317">
        <v>380</v>
      </c>
      <c r="C317" t="s">
        <v>130</v>
      </c>
      <c r="F317">
        <v>452732085</v>
      </c>
      <c r="G317" t="s">
        <v>522</v>
      </c>
      <c r="H317" t="s">
        <v>530</v>
      </c>
      <c r="I317" t="s">
        <v>531</v>
      </c>
      <c r="J317" t="s">
        <v>526</v>
      </c>
      <c r="K317">
        <v>201908</v>
      </c>
      <c r="L317" t="s">
        <v>540</v>
      </c>
      <c r="N317">
        <v>191</v>
      </c>
      <c r="O317">
        <v>1678220.67</v>
      </c>
      <c r="P317">
        <v>8786.4956544502602</v>
      </c>
      <c r="Q317">
        <v>0</v>
      </c>
    </row>
    <row r="318" spans="1:17">
      <c r="A318" t="str">
        <f t="shared" si="13"/>
        <v>12_Dec</v>
      </c>
      <c r="B318">
        <v>380</v>
      </c>
      <c r="C318" t="s">
        <v>130</v>
      </c>
      <c r="F318">
        <v>405404720</v>
      </c>
      <c r="G318" t="s">
        <v>522</v>
      </c>
      <c r="H318" t="s">
        <v>530</v>
      </c>
      <c r="I318" t="s">
        <v>531</v>
      </c>
      <c r="J318" t="s">
        <v>525</v>
      </c>
      <c r="K318">
        <v>201912</v>
      </c>
      <c r="L318" t="s">
        <v>540</v>
      </c>
      <c r="N318">
        <v>2</v>
      </c>
      <c r="O318">
        <v>236217.06</v>
      </c>
      <c r="P318">
        <v>118108.53</v>
      </c>
      <c r="Q318">
        <v>0</v>
      </c>
    </row>
    <row r="319" spans="1:17">
      <c r="A319" t="str">
        <f t="shared" si="13"/>
        <v>08_Aug</v>
      </c>
      <c r="B319">
        <v>380</v>
      </c>
      <c r="C319" t="s">
        <v>130</v>
      </c>
      <c r="F319">
        <v>452732110</v>
      </c>
      <c r="G319" t="s">
        <v>522</v>
      </c>
      <c r="H319" t="s">
        <v>530</v>
      </c>
      <c r="I319" t="s">
        <v>531</v>
      </c>
      <c r="J319" t="s">
        <v>526</v>
      </c>
      <c r="K319">
        <v>201908</v>
      </c>
      <c r="L319" t="s">
        <v>540</v>
      </c>
      <c r="N319">
        <v>38</v>
      </c>
      <c r="O319">
        <v>470383.1</v>
      </c>
      <c r="P319">
        <v>12378.5026315789</v>
      </c>
      <c r="Q319">
        <v>0</v>
      </c>
    </row>
    <row r="320" spans="1:17">
      <c r="A320" t="str">
        <f t="shared" si="13"/>
        <v>07_Jul</v>
      </c>
      <c r="B320">
        <v>380</v>
      </c>
      <c r="C320" t="s">
        <v>130</v>
      </c>
      <c r="F320">
        <v>405404720</v>
      </c>
      <c r="G320" t="s">
        <v>522</v>
      </c>
      <c r="H320" t="s">
        <v>530</v>
      </c>
      <c r="I320" t="s">
        <v>531</v>
      </c>
      <c r="J320" t="s">
        <v>525</v>
      </c>
      <c r="K320">
        <v>201907</v>
      </c>
      <c r="L320" t="s">
        <v>540</v>
      </c>
      <c r="N320">
        <v>2</v>
      </c>
      <c r="O320">
        <v>284864.46000000002</v>
      </c>
      <c r="P320">
        <v>142432.23000000001</v>
      </c>
      <c r="Q320">
        <v>0</v>
      </c>
    </row>
    <row r="321" spans="1:17">
      <c r="A321" t="str">
        <f t="shared" si="13"/>
        <v>09_Sep</v>
      </c>
      <c r="B321">
        <v>380</v>
      </c>
      <c r="C321" t="s">
        <v>130</v>
      </c>
      <c r="F321">
        <v>405404720</v>
      </c>
      <c r="G321" t="s">
        <v>522</v>
      </c>
      <c r="H321" t="s">
        <v>530</v>
      </c>
      <c r="I321" t="s">
        <v>531</v>
      </c>
      <c r="J321" t="s">
        <v>525</v>
      </c>
      <c r="K321">
        <v>201909</v>
      </c>
      <c r="L321" t="s">
        <v>540</v>
      </c>
      <c r="N321">
        <v>2</v>
      </c>
      <c r="O321">
        <v>306430.38</v>
      </c>
      <c r="P321">
        <v>153215.19</v>
      </c>
      <c r="Q321">
        <v>0</v>
      </c>
    </row>
    <row r="322" spans="1:17">
      <c r="A322" t="str">
        <f t="shared" si="13"/>
        <v>11_Nov</v>
      </c>
      <c r="B322">
        <v>380</v>
      </c>
      <c r="C322" t="s">
        <v>130</v>
      </c>
      <c r="F322">
        <v>405404720</v>
      </c>
      <c r="G322" t="s">
        <v>522</v>
      </c>
      <c r="H322" t="s">
        <v>530</v>
      </c>
      <c r="I322" t="s">
        <v>531</v>
      </c>
      <c r="J322" t="s">
        <v>525</v>
      </c>
      <c r="K322">
        <v>201911</v>
      </c>
      <c r="L322" t="s">
        <v>540</v>
      </c>
      <c r="N322">
        <v>2</v>
      </c>
      <c r="O322">
        <v>165140.07</v>
      </c>
      <c r="P322">
        <v>82570.035000000003</v>
      </c>
      <c r="Q322">
        <v>0</v>
      </c>
    </row>
    <row r="323" spans="1:17">
      <c r="A323" t="str">
        <f t="shared" si="13"/>
        <v>05_May</v>
      </c>
      <c r="B323">
        <v>380</v>
      </c>
      <c r="C323" t="s">
        <v>130</v>
      </c>
      <c r="F323">
        <v>405404720</v>
      </c>
      <c r="G323" t="s">
        <v>522</v>
      </c>
      <c r="H323" t="s">
        <v>530</v>
      </c>
      <c r="I323" t="s">
        <v>531</v>
      </c>
      <c r="J323" t="s">
        <v>525</v>
      </c>
      <c r="K323">
        <v>201905</v>
      </c>
      <c r="L323" t="s">
        <v>540</v>
      </c>
      <c r="N323">
        <v>2</v>
      </c>
      <c r="O323">
        <v>333182.82</v>
      </c>
      <c r="P323">
        <v>166591.41</v>
      </c>
      <c r="Q323">
        <v>0</v>
      </c>
    </row>
    <row r="324" spans="1:17">
      <c r="A324" t="str">
        <f t="shared" si="13"/>
        <v>08_Aug</v>
      </c>
      <c r="B324">
        <v>380</v>
      </c>
      <c r="C324" t="s">
        <v>130</v>
      </c>
      <c r="F324">
        <v>405404720</v>
      </c>
      <c r="G324" t="s">
        <v>522</v>
      </c>
      <c r="H324" t="s">
        <v>530</v>
      </c>
      <c r="I324" t="s">
        <v>531</v>
      </c>
      <c r="J324" t="s">
        <v>525</v>
      </c>
      <c r="K324">
        <v>201908</v>
      </c>
      <c r="L324" t="s">
        <v>540</v>
      </c>
      <c r="N324">
        <v>-10</v>
      </c>
      <c r="O324">
        <v>-2026569.41</v>
      </c>
      <c r="P324">
        <v>202656.94099999999</v>
      </c>
      <c r="Q324">
        <v>0</v>
      </c>
    </row>
    <row r="325" spans="1:17">
      <c r="A325" t="str">
        <f t="shared" si="13"/>
        <v>02_Feb</v>
      </c>
      <c r="B325">
        <v>380</v>
      </c>
      <c r="C325" t="s">
        <v>130</v>
      </c>
      <c r="F325">
        <v>405404720</v>
      </c>
      <c r="G325" t="s">
        <v>522</v>
      </c>
      <c r="H325" t="s">
        <v>530</v>
      </c>
      <c r="I325" t="s">
        <v>531</v>
      </c>
      <c r="J325" t="s">
        <v>525</v>
      </c>
      <c r="K325">
        <v>201902</v>
      </c>
      <c r="L325" t="s">
        <v>540</v>
      </c>
      <c r="N325">
        <v>2</v>
      </c>
      <c r="O325">
        <v>199510.45</v>
      </c>
      <c r="P325">
        <v>99755.225000000006</v>
      </c>
      <c r="Q325">
        <v>0</v>
      </c>
    </row>
    <row r="326" spans="1:17">
      <c r="A326" t="str">
        <f t="shared" si="13"/>
        <v>08_Aug</v>
      </c>
      <c r="B326">
        <v>380</v>
      </c>
      <c r="C326" t="s">
        <v>130</v>
      </c>
      <c r="F326">
        <v>395570701</v>
      </c>
      <c r="G326" t="s">
        <v>522</v>
      </c>
      <c r="H326" t="s">
        <v>530</v>
      </c>
      <c r="I326" t="s">
        <v>531</v>
      </c>
      <c r="J326" t="s">
        <v>525</v>
      </c>
      <c r="K326">
        <v>201908</v>
      </c>
      <c r="L326" t="s">
        <v>540</v>
      </c>
      <c r="N326">
        <v>-2</v>
      </c>
      <c r="O326">
        <v>-197410.8</v>
      </c>
      <c r="P326">
        <v>98705.4</v>
      </c>
      <c r="Q326">
        <v>0</v>
      </c>
    </row>
    <row r="327" spans="1:17">
      <c r="A327" t="str">
        <f t="shared" si="13"/>
        <v>04_Apr</v>
      </c>
      <c r="B327">
        <v>380</v>
      </c>
      <c r="C327" t="s">
        <v>130</v>
      </c>
      <c r="F327">
        <v>405404720</v>
      </c>
      <c r="G327" t="s">
        <v>522</v>
      </c>
      <c r="H327" t="s">
        <v>530</v>
      </c>
      <c r="I327" t="s">
        <v>531</v>
      </c>
      <c r="J327" t="s">
        <v>525</v>
      </c>
      <c r="K327">
        <v>201904</v>
      </c>
      <c r="L327" t="s">
        <v>540</v>
      </c>
      <c r="N327">
        <v>2</v>
      </c>
      <c r="O327">
        <v>528130.11</v>
      </c>
      <c r="P327">
        <v>264065.05499999999</v>
      </c>
      <c r="Q327">
        <v>0</v>
      </c>
    </row>
    <row r="328" spans="1:17">
      <c r="A328" t="str">
        <f t="shared" si="13"/>
        <v>06_Jun</v>
      </c>
      <c r="B328">
        <v>380</v>
      </c>
      <c r="C328" t="s">
        <v>130</v>
      </c>
      <c r="F328">
        <v>405404720</v>
      </c>
      <c r="G328" t="s">
        <v>522</v>
      </c>
      <c r="H328" t="s">
        <v>530</v>
      </c>
      <c r="I328" t="s">
        <v>531</v>
      </c>
      <c r="J328" t="s">
        <v>525</v>
      </c>
      <c r="K328">
        <v>201906</v>
      </c>
      <c r="L328" t="s">
        <v>540</v>
      </c>
      <c r="N328">
        <v>2</v>
      </c>
      <c r="O328">
        <v>302892.89</v>
      </c>
      <c r="P328">
        <v>151446.44500000001</v>
      </c>
      <c r="Q328">
        <v>0</v>
      </c>
    </row>
    <row r="329" spans="1:17">
      <c r="A329" t="str">
        <f t="shared" si="13"/>
        <v>01_Jan</v>
      </c>
      <c r="B329">
        <v>380</v>
      </c>
      <c r="C329" t="s">
        <v>130</v>
      </c>
      <c r="F329">
        <v>405404720</v>
      </c>
      <c r="G329" t="s">
        <v>522</v>
      </c>
      <c r="H329" t="s">
        <v>530</v>
      </c>
      <c r="I329" t="s">
        <v>531</v>
      </c>
      <c r="J329" t="s">
        <v>525</v>
      </c>
      <c r="K329">
        <v>201901</v>
      </c>
      <c r="L329" t="s">
        <v>540</v>
      </c>
      <c r="N329">
        <v>2</v>
      </c>
      <c r="O329">
        <v>516934.82</v>
      </c>
      <c r="P329">
        <v>258467.41</v>
      </c>
      <c r="Q329">
        <v>0</v>
      </c>
    </row>
    <row r="330" spans="1:17">
      <c r="A330" t="str">
        <f t="shared" si="13"/>
        <v>10_Oct</v>
      </c>
      <c r="B330">
        <v>380</v>
      </c>
      <c r="C330" t="s">
        <v>130</v>
      </c>
      <c r="F330">
        <v>405404720</v>
      </c>
      <c r="G330" t="s">
        <v>522</v>
      </c>
      <c r="H330" t="s">
        <v>530</v>
      </c>
      <c r="I330" t="s">
        <v>531</v>
      </c>
      <c r="J330" t="s">
        <v>525</v>
      </c>
      <c r="K330">
        <v>201910</v>
      </c>
      <c r="L330" t="s">
        <v>540</v>
      </c>
      <c r="N330">
        <v>2</v>
      </c>
      <c r="O330">
        <v>196959.74</v>
      </c>
      <c r="P330">
        <v>98479.87</v>
      </c>
      <c r="Q330">
        <v>0</v>
      </c>
    </row>
    <row r="331" spans="1:17">
      <c r="A331" t="str">
        <f t="shared" si="13"/>
        <v>08_Aug</v>
      </c>
      <c r="B331">
        <v>380</v>
      </c>
      <c r="C331" t="s">
        <v>130</v>
      </c>
      <c r="F331">
        <v>452732128</v>
      </c>
      <c r="G331" t="s">
        <v>522</v>
      </c>
      <c r="H331" t="s">
        <v>530</v>
      </c>
      <c r="I331" t="s">
        <v>531</v>
      </c>
      <c r="J331" t="s">
        <v>526</v>
      </c>
      <c r="K331">
        <v>201908</v>
      </c>
      <c r="L331" t="s">
        <v>540</v>
      </c>
      <c r="N331">
        <v>12</v>
      </c>
      <c r="O331">
        <v>180148.04</v>
      </c>
      <c r="P331">
        <v>15012.336666666701</v>
      </c>
      <c r="Q331">
        <v>0</v>
      </c>
    </row>
    <row r="332" spans="1:17">
      <c r="A332" t="str">
        <f t="shared" si="13"/>
        <v>08_Aug</v>
      </c>
      <c r="B332">
        <v>380</v>
      </c>
      <c r="C332" t="s">
        <v>130</v>
      </c>
      <c r="F332">
        <v>452732119</v>
      </c>
      <c r="G332" t="s">
        <v>522</v>
      </c>
      <c r="H332" t="s">
        <v>530</v>
      </c>
      <c r="I332" t="s">
        <v>531</v>
      </c>
      <c r="J332" t="s">
        <v>526</v>
      </c>
      <c r="K332">
        <v>201908</v>
      </c>
      <c r="L332" t="s">
        <v>540</v>
      </c>
      <c r="N332">
        <v>6</v>
      </c>
      <c r="O332">
        <v>126807.52</v>
      </c>
      <c r="P332">
        <v>21134.586666666699</v>
      </c>
      <c r="Q332">
        <v>0</v>
      </c>
    </row>
    <row r="333" spans="1:17">
      <c r="A333" t="str">
        <f t="shared" si="13"/>
        <v>03_Mar</v>
      </c>
      <c r="B333">
        <v>380</v>
      </c>
      <c r="C333" t="s">
        <v>132</v>
      </c>
      <c r="F333">
        <v>395430719</v>
      </c>
      <c r="G333" t="s">
        <v>522</v>
      </c>
      <c r="H333" t="s">
        <v>530</v>
      </c>
      <c r="I333" t="s">
        <v>531</v>
      </c>
      <c r="J333" t="s">
        <v>526</v>
      </c>
      <c r="K333">
        <v>201903</v>
      </c>
      <c r="L333" t="s">
        <v>132</v>
      </c>
      <c r="N333">
        <v>0</v>
      </c>
      <c r="O333">
        <v>0</v>
      </c>
      <c r="P333">
        <v>0</v>
      </c>
    </row>
    <row r="334" spans="1:17">
      <c r="A334" t="str">
        <f t="shared" si="13"/>
        <v>03_Mar</v>
      </c>
      <c r="B334">
        <v>380</v>
      </c>
      <c r="C334" t="s">
        <v>132</v>
      </c>
      <c r="F334">
        <v>395430710</v>
      </c>
      <c r="G334" t="s">
        <v>522</v>
      </c>
      <c r="H334" t="s">
        <v>530</v>
      </c>
      <c r="I334" t="s">
        <v>531</v>
      </c>
      <c r="J334" t="s">
        <v>526</v>
      </c>
      <c r="K334">
        <v>201903</v>
      </c>
      <c r="L334" t="s">
        <v>132</v>
      </c>
      <c r="N334">
        <v>0</v>
      </c>
      <c r="O334">
        <v>0</v>
      </c>
      <c r="P334">
        <v>0</v>
      </c>
    </row>
    <row r="335" spans="1:17">
      <c r="A335" t="str">
        <f t="shared" si="13"/>
        <v>03_Mar</v>
      </c>
      <c r="B335">
        <v>380</v>
      </c>
      <c r="C335" t="s">
        <v>132</v>
      </c>
      <c r="F335">
        <v>395430693</v>
      </c>
      <c r="G335" t="s">
        <v>522</v>
      </c>
      <c r="H335" t="s">
        <v>530</v>
      </c>
      <c r="I335" t="s">
        <v>531</v>
      </c>
      <c r="J335" t="s">
        <v>526</v>
      </c>
      <c r="K335">
        <v>201903</v>
      </c>
      <c r="L335" t="s">
        <v>132</v>
      </c>
      <c r="N335">
        <v>0</v>
      </c>
      <c r="O335">
        <v>0</v>
      </c>
      <c r="P335">
        <v>0</v>
      </c>
    </row>
    <row r="336" spans="1:17">
      <c r="A336" t="str">
        <f t="shared" si="13"/>
        <v>05_May</v>
      </c>
      <c r="B336">
        <v>380</v>
      </c>
      <c r="C336" t="s">
        <v>132</v>
      </c>
      <c r="F336">
        <v>405404738</v>
      </c>
      <c r="G336" t="s">
        <v>522</v>
      </c>
      <c r="H336" t="s">
        <v>530</v>
      </c>
      <c r="I336" t="s">
        <v>531</v>
      </c>
      <c r="J336" t="s">
        <v>525</v>
      </c>
      <c r="K336">
        <v>201905</v>
      </c>
      <c r="L336" t="s">
        <v>541</v>
      </c>
      <c r="N336">
        <v>2</v>
      </c>
      <c r="O336">
        <v>930.88</v>
      </c>
      <c r="P336">
        <v>465.44</v>
      </c>
      <c r="Q336">
        <v>0</v>
      </c>
    </row>
    <row r="337" spans="1:17">
      <c r="A337" t="str">
        <f t="shared" si="13"/>
        <v>11_Nov</v>
      </c>
      <c r="B337">
        <v>380</v>
      </c>
      <c r="C337" t="s">
        <v>132</v>
      </c>
      <c r="F337">
        <v>405404738</v>
      </c>
      <c r="G337" t="s">
        <v>522</v>
      </c>
      <c r="H337" t="s">
        <v>530</v>
      </c>
      <c r="I337" t="s">
        <v>531</v>
      </c>
      <c r="J337" t="s">
        <v>525</v>
      </c>
      <c r="K337">
        <v>201911</v>
      </c>
      <c r="L337" t="s">
        <v>541</v>
      </c>
      <c r="N337">
        <v>1</v>
      </c>
      <c r="O337">
        <v>1579.31</v>
      </c>
      <c r="P337">
        <v>1579.31</v>
      </c>
      <c r="Q337">
        <v>0</v>
      </c>
    </row>
    <row r="338" spans="1:17">
      <c r="A338" t="str">
        <f t="shared" si="13"/>
        <v>12_Dec</v>
      </c>
      <c r="B338">
        <v>380</v>
      </c>
      <c r="C338" t="s">
        <v>132</v>
      </c>
      <c r="F338">
        <v>405404738</v>
      </c>
      <c r="G338" t="s">
        <v>522</v>
      </c>
      <c r="H338" t="s">
        <v>530</v>
      </c>
      <c r="I338" t="s">
        <v>531</v>
      </c>
      <c r="J338" t="s">
        <v>525</v>
      </c>
      <c r="K338">
        <v>201912</v>
      </c>
      <c r="L338" t="s">
        <v>541</v>
      </c>
      <c r="N338">
        <v>1</v>
      </c>
      <c r="O338">
        <v>503.52</v>
      </c>
      <c r="P338">
        <v>503.52</v>
      </c>
      <c r="Q338">
        <v>0</v>
      </c>
    </row>
    <row r="339" spans="1:17">
      <c r="A339" t="str">
        <f t="shared" si="13"/>
        <v>01_Jan</v>
      </c>
      <c r="B339">
        <v>380</v>
      </c>
      <c r="C339" t="s">
        <v>132</v>
      </c>
      <c r="F339">
        <v>405404738</v>
      </c>
      <c r="G339" t="s">
        <v>522</v>
      </c>
      <c r="H339" t="s">
        <v>530</v>
      </c>
      <c r="I339" t="s">
        <v>531</v>
      </c>
      <c r="J339" t="s">
        <v>525</v>
      </c>
      <c r="K339">
        <v>201901</v>
      </c>
      <c r="L339" t="s">
        <v>541</v>
      </c>
      <c r="N339">
        <v>1</v>
      </c>
      <c r="O339">
        <v>265.04000000000002</v>
      </c>
      <c r="P339">
        <v>265.04000000000002</v>
      </c>
      <c r="Q339">
        <v>0</v>
      </c>
    </row>
  </sheetData>
  <autoFilter ref="F54:L55" xr:uid="{EFB05FA6-18AA-4A90-A28D-DB0A292B3D4E}"/>
  <pageMargins left="0.7" right="0.7" top="0.75" bottom="0.75" header="0.3" footer="0.3"/>
  <pageSetup scale="57" orientation="landscape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J1048576"/>
  <sheetViews>
    <sheetView workbookViewId="0"/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19.21875" style="72" customWidth="1"/>
    <col min="18" max="18" width="13.77734375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15">
        <v>2017</v>
      </c>
      <c r="E6" s="95">
        <v>2018</v>
      </c>
      <c r="F6" s="95">
        <f>$E$6</f>
        <v>2018</v>
      </c>
      <c r="G6" s="95">
        <f>$E$6</f>
        <v>2018</v>
      </c>
      <c r="H6" s="95">
        <f>$E$6</f>
        <v>2018</v>
      </c>
      <c r="I6" s="95">
        <f>$E$6</f>
        <v>2018</v>
      </c>
      <c r="J6" s="95">
        <f>$E$6</f>
        <v>2018</v>
      </c>
      <c r="K6" s="95">
        <f t="shared" ref="K6:Q6" si="0">$E$6</f>
        <v>2018</v>
      </c>
      <c r="L6" s="95">
        <f t="shared" si="0"/>
        <v>2018</v>
      </c>
      <c r="M6" s="95">
        <f t="shared" si="0"/>
        <v>2018</v>
      </c>
      <c r="N6" s="95">
        <f t="shared" si="0"/>
        <v>2018</v>
      </c>
      <c r="O6" s="95">
        <f t="shared" si="0"/>
        <v>2018</v>
      </c>
      <c r="P6" s="95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455</v>
      </c>
      <c r="D11" s="371">
        <f>'Rev Req 2017-Distr'!P11</f>
        <v>17681979.870000001</v>
      </c>
      <c r="E11" s="372">
        <f>SUM('201801 Bk Depr'!R13,'201801 Bk Depr'!R14:R16,'201801 Bk Depr'!R20,'201801 Bk Depr'!R21:R22)</f>
        <v>18657393.580000002</v>
      </c>
      <c r="F11" s="372">
        <f>SUM('201802 Bk Depr'!R13,'201802 Bk Depr'!R14:R16,'201802 Bk Depr'!R20,'201802 Bk Depr'!R21:R22)</f>
        <v>19532187.210000001</v>
      </c>
      <c r="G11" s="372">
        <f>SUM('201803 Bk Depr'!R13,'201803 Bk Depr'!R14:R16,'201803 Bk Depr'!R20,'201803 Bk Depr'!R21:R22)</f>
        <v>20918278.960000001</v>
      </c>
      <c r="H11" s="372">
        <f>SUM('201804 Bk Depr'!R13,'201804 Bk Depr'!R14:R16,'201804 Bk Depr'!R20,'201804 Bk Depr'!R21:R22)</f>
        <v>22144715.750000004</v>
      </c>
      <c r="I11" s="372">
        <f>SUM('201805 Bk Depr'!R13,'201805 Bk Depr'!R14:R16,'201805 Bk Depr'!R20,'201805 Bk Depr'!R21:R22)</f>
        <v>23345252.420000002</v>
      </c>
      <c r="J11" s="372">
        <f>SUM('201806 Bk Depr'!R13,'201806 Bk Depr'!R14:R16,'201806 Bk Depr'!R20,'201806 Bk Depr'!R21:R22)</f>
        <v>24503751.040000003</v>
      </c>
      <c r="K11" s="372">
        <f>SUM('201807 Bk Depr'!R13,'201807 Bk Depr'!R14:R16,'201807 Bk Depr'!R20,'201807 Bk Depr'!R21:R22)</f>
        <v>26110670.130000003</v>
      </c>
      <c r="L11" s="372">
        <f>SUM('201808 Bk Depr'!R13,'201808 Bk Depr'!R14:R16,'201808 Bk Depr'!R20,'201808 Bk Depr'!R21:R22)</f>
        <v>27556767.710000001</v>
      </c>
      <c r="M11" s="372">
        <f>SUM('201809 Bk Depr'!R13,'201809 Bk Depr'!R14:R16,'201809 Bk Depr'!R20,'201809 Bk Depr'!R21:R22)</f>
        <v>29493675.960000001</v>
      </c>
      <c r="N11" s="372">
        <f>SUM('201810 Bk Depr'!R13,'201810 Bk Depr'!R14:R16,'201810 Bk Depr'!R20,'201810 Bk Depr'!R21:R22)</f>
        <v>30669507.590000007</v>
      </c>
      <c r="O11" s="372">
        <f>SUM('201811 Bk Depr'!R13,'201811 Bk Depr'!R14:R16,'201811 Bk Depr'!R20,'201811 Bk Depr'!R21:R22)</f>
        <v>33799338.99000001</v>
      </c>
      <c r="P11" s="372">
        <f>SUM('201812 Bk Depr'!R13,'201812 Bk Depr'!R14:R16,'201812 Bk Depr'!R20,'201812 Bk Depr'!R21:R22)</f>
        <v>35115997.550000004</v>
      </c>
      <c r="Q11" s="373">
        <f>AVERAGE(D11:P11)</f>
        <v>25348424.366153851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f>'201712 Bk Depr'!R31</f>
        <v>1643717.13</v>
      </c>
      <c r="E12" s="372">
        <f>SUM('201801 Bk Depr'!R28,'201801 Bk Depr'!R29:R30)</f>
        <v>1789207.19</v>
      </c>
      <c r="F12" s="372">
        <f>SUM('201802 Bk Depr'!R28,'201802 Bk Depr'!R29:R30)</f>
        <v>1970935.42</v>
      </c>
      <c r="G12" s="372">
        <f>SUM('201803 Bk Depr'!R28,'201803 Bk Depr'!R29:R30)</f>
        <v>2096194.0699999998</v>
      </c>
      <c r="H12" s="372">
        <f>SUM('201804 Bk Depr'!R28,'201804 Bk Depr'!R29:R30)</f>
        <v>2246271.6</v>
      </c>
      <c r="I12" s="372">
        <f>SUM('201805 Bk Depr'!R28,'201805 Bk Depr'!R29:R30)</f>
        <v>2398285.67</v>
      </c>
      <c r="J12" s="372">
        <f>SUM('201806 Bk Depr'!R28,'201806 Bk Depr'!R29:R30)</f>
        <v>2559902.92</v>
      </c>
      <c r="K12" s="372">
        <f>SUM('201807 Bk Depr'!R28,'201807 Bk Depr'!R29:R30)</f>
        <v>2671672.8400000003</v>
      </c>
      <c r="L12" s="372">
        <f>SUM('201808 Bk Depr'!R28,'201808 Bk Depr'!R29:R30)</f>
        <v>2802081.39</v>
      </c>
      <c r="M12" s="372">
        <f>SUM('201809 Bk Depr'!R28,'201809 Bk Depr'!R29:R30)</f>
        <v>2944074.83</v>
      </c>
      <c r="N12" s="372">
        <f>SUM('201810 Bk Depr'!R28,'201810 Bk Depr'!R29:R30)</f>
        <v>3132941.75</v>
      </c>
      <c r="O12" s="372">
        <f>SUM('201811 Bk Depr'!R28,'201811 Bk Depr'!R29:R30)</f>
        <v>3299122.11</v>
      </c>
      <c r="P12" s="372">
        <f>SUM('201812 Bk Depr'!R28,'201812 Bk Depr'!R29:R30)</f>
        <v>3466154.7800000003</v>
      </c>
      <c r="Q12" s="373">
        <f>AVERAGE(D12:P12)</f>
        <v>2540043.2076923079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9">
        <f>'Rev Req 2017-Distr'!P13</f>
        <v>-158385.19315550002</v>
      </c>
      <c r="E13" s="380">
        <f>-'Cap&amp;OpEx 2018'!C23-SUM('201801 Bk Depr'!P13,'201801 Bk Depr'!P14:P16)+D13</f>
        <v>-200411.63327525003</v>
      </c>
      <c r="F13" s="380">
        <f>-'Cap&amp;OpEx 2018'!C23-SUM('201802 Bk Depr'!P13,'201802 Bk Depr'!P14:P16)+E13</f>
        <v>-244781.05668800004</v>
      </c>
      <c r="G13" s="380">
        <f>-'Cap&amp;OpEx 2018'!C23-SUM('201803 Bk Depr'!P13,'201803 Bk Depr'!P14:P16)+F13</f>
        <v>-291894.05460425006</v>
      </c>
      <c r="H13" s="380">
        <f>-'Cap&amp;OpEx 2018'!C23-SUM('201804 Bk Depr'!P13,'201804 Bk Depr'!P14:P16)+G13</f>
        <v>-342074.76960425009</v>
      </c>
      <c r="I13" s="380">
        <f>-'Cap&amp;OpEx 2018'!C23-SUM('201805 Bk Depr'!P13,'201805 Bk Depr'!P14:P16)+H13</f>
        <v>-395196.01682450011</v>
      </c>
      <c r="J13" s="380">
        <f>-'Cap&amp;OpEx 2018'!C23-SUM('201806 Bk Depr'!P13,'201806 Bk Depr'!P14:P16)+I13</f>
        <v>-451154.29995950015</v>
      </c>
      <c r="K13" s="380">
        <f>-'Cap&amp;OpEx 2018'!C23-SUM('201807 Bk Depr'!P13,'201807 Bk Depr'!P14:P16)+J13</f>
        <v>-510355.08035825018</v>
      </c>
      <c r="L13" s="380">
        <f>-'Cap&amp;OpEx 2018'!C23-SUM('201808 Bk Depr'!P13,'201808 Bk Depr'!P14:P16)+K13</f>
        <v>-573213.4441542502</v>
      </c>
      <c r="M13" s="380">
        <f>-'Cap&amp;OpEx 2018'!C23-SUM('201809 Bk Depr'!P13,'201809 Bk Depr'!P14:P16)+L13</f>
        <v>-639977.64482525026</v>
      </c>
      <c r="N13" s="380">
        <f>-'Cap&amp;OpEx 2018'!C23-SUM('201810 Bk Depr'!P13,'201810 Bk Depr'!P14:P16)+M13</f>
        <v>-710854.95472925028</v>
      </c>
      <c r="O13" s="380">
        <f>-'Cap&amp;OpEx 2018'!C23-SUM('201811 Bk Depr'!P13,'201811 Bk Depr'!P14:P16)+N13</f>
        <v>-792210.87817575037</v>
      </c>
      <c r="P13" s="380">
        <f>-'Cap&amp;OpEx 2018'!C23-SUM('201812 Bk Depr'!P13,'201812 Bk Depr'!P14:P16)+O13</f>
        <v>-875631.05568375043</v>
      </c>
      <c r="Q13" s="378">
        <f>AVERAGE(D13:P13)</f>
        <v>-475856.92938751943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411">
        <f t="shared" ref="D14:J14" si="1">SUM(D11:D13)</f>
        <v>19167311.806844499</v>
      </c>
      <c r="E14" s="372">
        <f t="shared" si="1"/>
        <v>20246189.136724751</v>
      </c>
      <c r="F14" s="372">
        <f t="shared" si="1"/>
        <v>21258341.573312003</v>
      </c>
      <c r="G14" s="372">
        <f t="shared" si="1"/>
        <v>22722578.97539575</v>
      </c>
      <c r="H14" s="372">
        <f t="shared" si="1"/>
        <v>24048912.580395754</v>
      </c>
      <c r="I14" s="372">
        <f t="shared" si="1"/>
        <v>25348342.073175505</v>
      </c>
      <c r="J14" s="372">
        <f t="shared" si="1"/>
        <v>26612499.660040502</v>
      </c>
      <c r="K14" s="372">
        <f t="shared" ref="K14:Q14" si="2">SUM(K11:K13)</f>
        <v>28271987.889641751</v>
      </c>
      <c r="L14" s="372">
        <f t="shared" si="2"/>
        <v>29785635.65584575</v>
      </c>
      <c r="M14" s="372">
        <f t="shared" si="2"/>
        <v>31797773.145174749</v>
      </c>
      <c r="N14" s="372">
        <f t="shared" si="2"/>
        <v>33091594.385270752</v>
      </c>
      <c r="O14" s="372">
        <f t="shared" si="2"/>
        <v>36306250.221824259</v>
      </c>
      <c r="P14" s="372">
        <f t="shared" si="2"/>
        <v>37706521.274316259</v>
      </c>
      <c r="Q14" s="373">
        <f t="shared" si="2"/>
        <v>27412610.644458637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9">
        <f>-'Tax Depr 2017'!X28</f>
        <v>-1730125.3504440216</v>
      </c>
      <c r="E16" s="380">
        <f>-'Tax Depr 2018'!T17</f>
        <v>-4187795.8813404986</v>
      </c>
      <c r="F16" s="380">
        <f>-'Tax Depr 2018'!T18</f>
        <v>-4318679.2085171733</v>
      </c>
      <c r="G16" s="380">
        <f>-'Tax Depr 2018'!T19</f>
        <v>-4429992.0198464021</v>
      </c>
      <c r="H16" s="380">
        <f>-'Tax Depr 2018'!T20</f>
        <v>-4536072.1196001871</v>
      </c>
      <c r="I16" s="380">
        <f>-'Tax Depr 2018'!T21</f>
        <v>-4638394.2539272346</v>
      </c>
      <c r="J16" s="380">
        <f>-'Tax Depr 2018'!T22</f>
        <v>-4710621.8238596031</v>
      </c>
      <c r="K16" s="380">
        <f>-'Tax Depr 2018'!T23</f>
        <v>-4779408.0919756154</v>
      </c>
      <c r="L16" s="380">
        <f>-'Tax Depr 2018'!T24</f>
        <v>-4831870.7380889822</v>
      </c>
      <c r="M16" s="380">
        <f>-'Tax Depr 2018'!T25</f>
        <v>-4877307.4384308076</v>
      </c>
      <c r="N16" s="380">
        <f>-'Tax Depr 2018'!T26</f>
        <v>-4903295.8579403404</v>
      </c>
      <c r="O16" s="380">
        <f>-'Tax Depr 2018'!T27</f>
        <v>-4917486.4447847717</v>
      </c>
      <c r="P16" s="380">
        <f>-'Tax Depr 2018'!T28</f>
        <v>-4917626.0404467797</v>
      </c>
      <c r="Q16" s="378">
        <f>P16</f>
        <v>-4917626.0404467797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71">
        <f t="shared" ref="D18:J18" si="3">SUM(D14:D16)</f>
        <v>17437186.456400476</v>
      </c>
      <c r="E18" s="372">
        <f t="shared" si="3"/>
        <v>16058393.255384253</v>
      </c>
      <c r="F18" s="372">
        <f t="shared" si="3"/>
        <v>16939662.364794828</v>
      </c>
      <c r="G18" s="372">
        <f t="shared" si="3"/>
        <v>18292586.955549348</v>
      </c>
      <c r="H18" s="372">
        <f t="shared" si="3"/>
        <v>19512840.460795566</v>
      </c>
      <c r="I18" s="372">
        <f t="shared" si="3"/>
        <v>20709947.81924827</v>
      </c>
      <c r="J18" s="372">
        <f t="shared" si="3"/>
        <v>21901877.836180899</v>
      </c>
      <c r="K18" s="372">
        <f t="shared" ref="K18:P18" si="4">SUM(K14:K16)</f>
        <v>23492579.797666136</v>
      </c>
      <c r="L18" s="372">
        <f t="shared" si="4"/>
        <v>24953764.917756766</v>
      </c>
      <c r="M18" s="372">
        <f t="shared" si="4"/>
        <v>26920465.706743941</v>
      </c>
      <c r="N18" s="372">
        <f t="shared" si="4"/>
        <v>28188298.527330413</v>
      </c>
      <c r="O18" s="372">
        <f t="shared" si="4"/>
        <v>31388763.777039487</v>
      </c>
      <c r="P18" s="372">
        <f t="shared" si="4"/>
        <v>32788895.233869478</v>
      </c>
      <c r="Q18" s="373">
        <f>SUM(Q14:Q16)</f>
        <v>22494984.604011856</v>
      </c>
      <c r="R18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402">
        <f t="shared" ref="D22:J22" si="5">D18*D20</f>
        <v>148968.5522358501</v>
      </c>
      <c r="E22" s="403">
        <f t="shared" si="5"/>
        <v>116155.71121394611</v>
      </c>
      <c r="F22" s="403">
        <f t="shared" si="5"/>
        <v>122530.22443868259</v>
      </c>
      <c r="G22" s="403">
        <f t="shared" si="5"/>
        <v>132316.37897847363</v>
      </c>
      <c r="H22" s="403">
        <f t="shared" si="5"/>
        <v>141142.87933308794</v>
      </c>
      <c r="I22" s="403">
        <f t="shared" si="5"/>
        <v>149801.95589256249</v>
      </c>
      <c r="J22" s="403">
        <f t="shared" si="5"/>
        <v>158423.58301504186</v>
      </c>
      <c r="K22" s="403">
        <f t="shared" ref="K22:Q22" si="6">K18*K20</f>
        <v>169929.66053645173</v>
      </c>
      <c r="L22" s="403">
        <f t="shared" si="6"/>
        <v>180498.89957177395</v>
      </c>
      <c r="M22" s="403">
        <f t="shared" si="6"/>
        <v>194724.70194544786</v>
      </c>
      <c r="N22" s="403">
        <f t="shared" si="6"/>
        <v>203895.35934769001</v>
      </c>
      <c r="O22" s="403">
        <f t="shared" si="6"/>
        <v>227045.39132058562</v>
      </c>
      <c r="P22" s="403">
        <f t="shared" si="6"/>
        <v>237173.00885832257</v>
      </c>
      <c r="Q22" s="404">
        <f t="shared" si="6"/>
        <v>1952564.6636282289</v>
      </c>
      <c r="R2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71">
        <f>'Rev Req 2017-Distr'!P25</f>
        <v>38707.618675500009</v>
      </c>
      <c r="E25" s="372">
        <f>'201801 Bk Depr'!P25</f>
        <v>42026.440119750012</v>
      </c>
      <c r="F25" s="372">
        <f>'201802 Bk Depr'!P25</f>
        <v>44369.423412750009</v>
      </c>
      <c r="G25" s="372">
        <f>'201803 Bk Depr'!P25</f>
        <v>47112.997916250017</v>
      </c>
      <c r="H25" s="372">
        <f>'201804 Bk Depr'!P25</f>
        <v>50180.715000000011</v>
      </c>
      <c r="I25" s="372">
        <f>'201805 Bk Depr'!P25</f>
        <v>53121.247220250021</v>
      </c>
      <c r="J25" s="372">
        <f>'201806 Bk Depr'!P25</f>
        <v>55958.28313500002</v>
      </c>
      <c r="K25" s="372">
        <f>'201807 Bk Depr'!P25</f>
        <v>59200.780398750023</v>
      </c>
      <c r="L25" s="372">
        <f>'201808 Bk Depr'!P25</f>
        <v>62858.36379600002</v>
      </c>
      <c r="M25" s="372">
        <f>'201809 Bk Depr'!P25</f>
        <v>66764.200671000028</v>
      </c>
      <c r="N25" s="372">
        <f>'201810 Bk Depr'!P25</f>
        <v>70877.309904000023</v>
      </c>
      <c r="O25" s="372">
        <f>'201811 Bk Depr'!P25</f>
        <v>81355.923446500034</v>
      </c>
      <c r="P25" s="372">
        <f>'201812 Bk Depr'!P25</f>
        <v>83420.177508000022</v>
      </c>
      <c r="Q25" s="373">
        <f>SUM(E25:P25)</f>
        <v>717245.86252825032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71">
        <f>'Rev Req 2017-Distr'!P26</f>
        <v>88839.3</v>
      </c>
      <c r="E26" s="372">
        <f>'Cap&amp;OpEx 2018'!C31</f>
        <v>116637.37</v>
      </c>
      <c r="F26" s="372">
        <f>'Cap&amp;OpEx 2018'!D31</f>
        <v>-32468.410000000011</v>
      </c>
      <c r="G26" s="372">
        <f>'Cap&amp;OpEx 2018'!E31</f>
        <v>-13517.44999999999</v>
      </c>
      <c r="H26" s="372">
        <f>'Cap&amp;OpEx 2018'!F31</f>
        <v>-106295.09</v>
      </c>
      <c r="I26" s="372">
        <f>'Cap&amp;OpEx 2018'!G31</f>
        <v>74792.559999999983</v>
      </c>
      <c r="J26" s="372">
        <f>'Cap&amp;OpEx 2018'!H31</f>
        <v>59565.02</v>
      </c>
      <c r="K26" s="372">
        <f>'Cap&amp;OpEx 2018'!I31</f>
        <v>71171.619999999981</v>
      </c>
      <c r="L26" s="372">
        <f>'Cap&amp;OpEx 2018'!J31</f>
        <v>101207.37999999998</v>
      </c>
      <c r="M26" s="372">
        <f>'Cap&amp;OpEx 2018'!K31</f>
        <v>63358.099999999991</v>
      </c>
      <c r="N26" s="372">
        <f>'Cap&amp;OpEx 2018'!L31</f>
        <v>120155.35</v>
      </c>
      <c r="O26" s="372">
        <f>'Cap&amp;OpEx 2018'!M31</f>
        <v>48892.760000000009</v>
      </c>
      <c r="P26" s="372">
        <f>'Cap&amp;OpEx 2018'!N31</f>
        <v>177111.56000000003</v>
      </c>
      <c r="Q26" s="373">
        <f>SUM(E26:P26)</f>
        <v>680610.77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71">
        <f>'Rev Req 2017-Distr'!P27</f>
        <v>0</v>
      </c>
      <c r="E27" s="372">
        <f>'Cap&amp;OpEx 2018'!C32</f>
        <v>20784</v>
      </c>
      <c r="F27" s="372">
        <f>'Cap&amp;OpEx 2018'!D32</f>
        <v>20784</v>
      </c>
      <c r="G27" s="372">
        <f>'Cap&amp;OpEx 2018'!E32</f>
        <v>20784</v>
      </c>
      <c r="H27" s="372">
        <f>'Cap&amp;OpEx 2018'!F32</f>
        <v>20784</v>
      </c>
      <c r="I27" s="372">
        <f>'Cap&amp;OpEx 2018'!G32</f>
        <v>20784</v>
      </c>
      <c r="J27" s="372">
        <f>'Cap&amp;OpEx 2018'!H32</f>
        <v>20784</v>
      </c>
      <c r="K27" s="372">
        <f>'Cap&amp;OpEx 2018'!I32</f>
        <v>20784</v>
      </c>
      <c r="L27" s="372">
        <f>'Cap&amp;OpEx 2018'!J32</f>
        <v>20784</v>
      </c>
      <c r="M27" s="372">
        <f>'Cap&amp;OpEx 2018'!K32</f>
        <v>20784</v>
      </c>
      <c r="N27" s="372">
        <f>'Cap&amp;OpEx 2018'!L32</f>
        <v>20784</v>
      </c>
      <c r="O27" s="372">
        <f>'Cap&amp;OpEx 2018'!M32</f>
        <v>20784</v>
      </c>
      <c r="P27" s="372">
        <f>'Cap&amp;OpEx 2018'!N32</f>
        <v>20784</v>
      </c>
      <c r="Q27" s="373">
        <f t="shared" ref="Q27" si="7">SUM(E27:P27)</f>
        <v>249408</v>
      </c>
      <c r="R27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71">
        <f t="shared" ref="D29:K29" si="8">SUM(D25:D28)</f>
        <v>127546.91867550001</v>
      </c>
      <c r="E29" s="372">
        <f t="shared" si="8"/>
        <v>179447.81011975001</v>
      </c>
      <c r="F29" s="372">
        <f t="shared" si="8"/>
        <v>32685.013412749999</v>
      </c>
      <c r="G29" s="372">
        <f t="shared" si="8"/>
        <v>54379.547916250027</v>
      </c>
      <c r="H29" s="372">
        <f t="shared" si="8"/>
        <v>-35330.374999999985</v>
      </c>
      <c r="I29" s="372">
        <f t="shared" si="8"/>
        <v>148697.80722025002</v>
      </c>
      <c r="J29" s="372">
        <f t="shared" si="8"/>
        <v>136307.30313500002</v>
      </c>
      <c r="K29" s="372">
        <f t="shared" si="8"/>
        <v>151156.40039875</v>
      </c>
      <c r="L29" s="372">
        <f t="shared" ref="L29:P29" si="9">SUM(L25:L28)</f>
        <v>184849.743796</v>
      </c>
      <c r="M29" s="372">
        <f t="shared" si="9"/>
        <v>150906.30067100003</v>
      </c>
      <c r="N29" s="372">
        <f t="shared" si="9"/>
        <v>211816.65990400003</v>
      </c>
      <c r="O29" s="372">
        <f t="shared" si="9"/>
        <v>151032.68344650004</v>
      </c>
      <c r="P29" s="372">
        <f t="shared" si="9"/>
        <v>281315.73750800005</v>
      </c>
      <c r="Q29" s="373">
        <f>SUM(Q25:Q28)</f>
        <v>1647264.6325282503</v>
      </c>
      <c r="R29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8">
        <f t="shared" ref="D31:J31" si="10">D22+D29</f>
        <v>276515.4709113501</v>
      </c>
      <c r="E31" s="409">
        <f>E22+E29</f>
        <v>295603.52133369609</v>
      </c>
      <c r="F31" s="409">
        <f t="shared" si="10"/>
        <v>155215.23785143258</v>
      </c>
      <c r="G31" s="409">
        <f t="shared" si="10"/>
        <v>186695.92689472367</v>
      </c>
      <c r="H31" s="409">
        <f t="shared" si="10"/>
        <v>105812.50433308796</v>
      </c>
      <c r="I31" s="409">
        <f t="shared" si="10"/>
        <v>298499.76311281254</v>
      </c>
      <c r="J31" s="409">
        <f t="shared" si="10"/>
        <v>294730.88615004189</v>
      </c>
      <c r="K31" s="409">
        <f t="shared" ref="K31:Q31" si="11">K22+K29</f>
        <v>321086.06093520171</v>
      </c>
      <c r="L31" s="409">
        <f t="shared" si="11"/>
        <v>365348.64336777397</v>
      </c>
      <c r="M31" s="409">
        <f t="shared" si="11"/>
        <v>345631.00261644786</v>
      </c>
      <c r="N31" s="409">
        <f t="shared" si="11"/>
        <v>415712.01925169001</v>
      </c>
      <c r="O31" s="409">
        <f t="shared" si="11"/>
        <v>378078.07476708567</v>
      </c>
      <c r="P31" s="409">
        <f t="shared" si="11"/>
        <v>518488.74636632262</v>
      </c>
      <c r="Q31" s="410">
        <f t="shared" si="11"/>
        <v>3599829.296156479</v>
      </c>
      <c r="R31"/>
    </row>
    <row r="32" spans="1:19" s="31" customFormat="1" ht="2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 ht="21">
      <c r="B35" s="30" t="s">
        <v>502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21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2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21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 ht="21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 ht="21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 ht="21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 ht="21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21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21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1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 ht="21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 ht="21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 ht="21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 ht="21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 ht="21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 ht="21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 ht="21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21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21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21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21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21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 ht="21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J1048492"/>
  <sheetViews>
    <sheetView workbookViewId="0"/>
  </sheetViews>
  <sheetFormatPr defaultColWidth="9.21875" defaultRowHeight="20.399999999999999"/>
  <cols>
    <col min="1" max="1" width="9" style="72" customWidth="1"/>
    <col min="2" max="2" width="9.21875" style="72"/>
    <col min="3" max="3" width="60.77734375" style="72" customWidth="1"/>
    <col min="4" max="17" width="19.21875" style="72" customWidth="1"/>
    <col min="18" max="18" width="20.77734375" bestFit="1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227"/>
      <c r="E5" s="228"/>
      <c r="F5" s="228"/>
      <c r="G5" s="228"/>
      <c r="H5" s="228"/>
      <c r="I5" s="228"/>
      <c r="J5" s="228"/>
      <c r="K5" s="228"/>
      <c r="L5" s="229"/>
      <c r="M5" s="229"/>
      <c r="N5" s="229"/>
      <c r="O5" s="229"/>
      <c r="P5" s="229"/>
      <c r="Q5" s="230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225" t="s">
        <v>4</v>
      </c>
      <c r="B6" s="32"/>
      <c r="D6" s="131">
        <v>2017</v>
      </c>
      <c r="E6" s="132">
        <v>2018</v>
      </c>
      <c r="F6" s="132">
        <f>$E$6</f>
        <v>2018</v>
      </c>
      <c r="G6" s="132">
        <f>$E$6</f>
        <v>2018</v>
      </c>
      <c r="H6" s="132">
        <f>$E$6</f>
        <v>2018</v>
      </c>
      <c r="I6" s="132">
        <f>$E$6</f>
        <v>2018</v>
      </c>
      <c r="J6" s="132">
        <f>$E$6</f>
        <v>2018</v>
      </c>
      <c r="K6" s="132">
        <f t="shared" ref="K6:Q6" si="0">$E$6</f>
        <v>2018</v>
      </c>
      <c r="L6" s="132">
        <f t="shared" si="0"/>
        <v>2018</v>
      </c>
      <c r="M6" s="132">
        <f t="shared" si="0"/>
        <v>2018</v>
      </c>
      <c r="N6" s="132">
        <f t="shared" si="0"/>
        <v>2018</v>
      </c>
      <c r="O6" s="132">
        <f t="shared" si="0"/>
        <v>2018</v>
      </c>
      <c r="P6" s="132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349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1">
      <c r="A8" s="225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8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462</v>
      </c>
      <c r="D11" s="371">
        <f>'Rev Req 2017-Trans'!P11</f>
        <v>3062641.21</v>
      </c>
      <c r="E11" s="372">
        <f>'Cap&amp;OpEx 2018'!C11+D11</f>
        <v>3370480.97</v>
      </c>
      <c r="F11" s="372">
        <f>'Cap&amp;OpEx 2018'!D11+E11</f>
        <v>4342215.1900000004</v>
      </c>
      <c r="G11" s="372">
        <f>'Cap&amp;OpEx 2018'!E11+F11</f>
        <v>5166106.24</v>
      </c>
      <c r="H11" s="372">
        <f>'Cap&amp;OpEx 2018'!F11+G11</f>
        <v>6250879.4800000004</v>
      </c>
      <c r="I11" s="372">
        <f>'Cap&amp;OpEx 2018'!G11+H11</f>
        <v>6515328.0999999996</v>
      </c>
      <c r="J11" s="372">
        <f>'Cap&amp;OpEx 2018'!H11+I11</f>
        <v>6722508.1899999995</v>
      </c>
      <c r="K11" s="372">
        <f>'Cap&amp;OpEx 2018'!I11+J11</f>
        <v>6758536.7399999993</v>
      </c>
      <c r="L11" s="372">
        <f>'Cap&amp;OpEx 2018'!J11+K11</f>
        <v>7338384.1799999997</v>
      </c>
      <c r="M11" s="372">
        <f>'Cap&amp;OpEx 2018'!K11+L11</f>
        <v>9347877.8699999992</v>
      </c>
      <c r="N11" s="372">
        <f>'Cap&amp;OpEx 2018'!L11+M11</f>
        <v>9803648.7100000009</v>
      </c>
      <c r="O11" s="372">
        <f>'Cap&amp;OpEx 2018'!M11+N11</f>
        <v>10436606.98</v>
      </c>
      <c r="P11" s="372">
        <f>'Cap&amp;OpEx 2018'!N11+O11</f>
        <v>11207438.539999999</v>
      </c>
      <c r="Q11" s="373">
        <f>AVERAGE(D11:P11)</f>
        <v>6947896.3384615388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71">
        <v>0</v>
      </c>
      <c r="E12" s="372">
        <f>'Cap&amp;OpEx 2018'!C26+D12</f>
        <v>0</v>
      </c>
      <c r="F12" s="372">
        <f>'Cap&amp;OpEx 2018'!D26+E12</f>
        <v>0</v>
      </c>
      <c r="G12" s="372">
        <f>'Cap&amp;OpEx 2018'!E26+F12</f>
        <v>0</v>
      </c>
      <c r="H12" s="372">
        <f>'Cap&amp;OpEx 2018'!F26+G12</f>
        <v>0</v>
      </c>
      <c r="I12" s="372">
        <f>'Cap&amp;OpEx 2018'!G26+H12</f>
        <v>0</v>
      </c>
      <c r="J12" s="372">
        <f>'Cap&amp;OpEx 2018'!H26+I12</f>
        <v>0</v>
      </c>
      <c r="K12" s="372">
        <f>'Cap&amp;OpEx 2018'!I26+J12</f>
        <v>0</v>
      </c>
      <c r="L12" s="372">
        <f>'Cap&amp;OpEx 2018'!J26+K12</f>
        <v>0</v>
      </c>
      <c r="M12" s="372">
        <f>'Cap&amp;OpEx 2018'!K26+L12</f>
        <v>0</v>
      </c>
      <c r="N12" s="372">
        <f>'Cap&amp;OpEx 2018'!L26+M12</f>
        <v>0</v>
      </c>
      <c r="O12" s="372">
        <f>'Cap&amp;OpEx 2018'!M26+N12</f>
        <v>0</v>
      </c>
      <c r="P12" s="372">
        <f>'Cap&amp;OpEx 2018'!N26+O12</f>
        <v>0</v>
      </c>
      <c r="Q12" s="373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76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8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371">
        <f>SUM(D11:D13)</f>
        <v>3062641.21</v>
      </c>
      <c r="E14" s="372">
        <f t="shared" ref="E14:J14" si="2">SUM(E11:E13)</f>
        <v>3370480.97</v>
      </c>
      <c r="F14" s="372">
        <f t="shared" si="2"/>
        <v>4342215.1900000004</v>
      </c>
      <c r="G14" s="372">
        <f t="shared" si="2"/>
        <v>5166106.24</v>
      </c>
      <c r="H14" s="372">
        <f t="shared" si="2"/>
        <v>6250879.4800000004</v>
      </c>
      <c r="I14" s="372">
        <f t="shared" si="2"/>
        <v>6515328.0999999996</v>
      </c>
      <c r="J14" s="372">
        <f t="shared" si="2"/>
        <v>6722508.1899999995</v>
      </c>
      <c r="K14" s="372">
        <f t="shared" ref="K14:Q14" si="3">SUM(K11:K13)</f>
        <v>6758536.7399999993</v>
      </c>
      <c r="L14" s="372">
        <f t="shared" si="3"/>
        <v>7338384.1799999997</v>
      </c>
      <c r="M14" s="372">
        <f t="shared" si="3"/>
        <v>9347877.8699999992</v>
      </c>
      <c r="N14" s="372">
        <f t="shared" si="3"/>
        <v>9803648.7100000009</v>
      </c>
      <c r="O14" s="372">
        <f t="shared" si="3"/>
        <v>10436606.98</v>
      </c>
      <c r="P14" s="372">
        <f t="shared" si="3"/>
        <v>11207438.539999999</v>
      </c>
      <c r="Q14" s="373">
        <f t="shared" si="3"/>
        <v>6947896.3384615388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76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8">
        <f t="shared" ref="Q16" si="4"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71">
        <f>SUM(D14:D16)</f>
        <v>3062641.21</v>
      </c>
      <c r="E18" s="372">
        <f t="shared" ref="E18:J18" si="5">SUM(E14:E16)</f>
        <v>3370480.97</v>
      </c>
      <c r="F18" s="372">
        <f t="shared" si="5"/>
        <v>4342215.1900000004</v>
      </c>
      <c r="G18" s="372">
        <f t="shared" si="5"/>
        <v>5166106.24</v>
      </c>
      <c r="H18" s="372">
        <f t="shared" si="5"/>
        <v>6250879.4800000004</v>
      </c>
      <c r="I18" s="372">
        <f t="shared" si="5"/>
        <v>6515328.0999999996</v>
      </c>
      <c r="J18" s="372">
        <f t="shared" si="5"/>
        <v>6722508.1899999995</v>
      </c>
      <c r="K18" s="372">
        <f t="shared" ref="K18:P18" si="6">SUM(K14:K16)</f>
        <v>6758536.7399999993</v>
      </c>
      <c r="L18" s="372">
        <f t="shared" si="6"/>
        <v>7338384.1799999997</v>
      </c>
      <c r="M18" s="372">
        <f t="shared" si="6"/>
        <v>9347877.8699999992</v>
      </c>
      <c r="N18" s="372">
        <f t="shared" si="6"/>
        <v>9803648.7100000009</v>
      </c>
      <c r="O18" s="372">
        <f t="shared" si="6"/>
        <v>10436606.98</v>
      </c>
      <c r="P18" s="372">
        <f t="shared" si="6"/>
        <v>11207438.539999999</v>
      </c>
      <c r="Q18" s="373">
        <f>SUM(Q14:Q16)</f>
        <v>6947896.3384615388</v>
      </c>
      <c r="R18"/>
      <c r="S18" s="80"/>
    </row>
    <row r="19" spans="1:19" s="31" customFormat="1" ht="2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 ht="21">
      <c r="A21" s="32"/>
      <c r="B21" s="32"/>
      <c r="D21" s="2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402">
        <f t="shared" ref="D22:J22" si="7">D18*D20</f>
        <v>26164.612520048278</v>
      </c>
      <c r="E22" s="403">
        <f>E18*E20</f>
        <v>24379.81234966667</v>
      </c>
      <c r="F22" s="403">
        <f t="shared" si="7"/>
        <v>31408.689874333337</v>
      </c>
      <c r="G22" s="403">
        <f t="shared" si="7"/>
        <v>37368.168469333337</v>
      </c>
      <c r="H22" s="403">
        <f t="shared" si="7"/>
        <v>45214.694905333337</v>
      </c>
      <c r="I22" s="403">
        <f t="shared" si="7"/>
        <v>47127.53992333333</v>
      </c>
      <c r="J22" s="403">
        <f t="shared" si="7"/>
        <v>48626.142574333331</v>
      </c>
      <c r="K22" s="403">
        <f t="shared" ref="K22:Q22" si="8">K18*K20</f>
        <v>48886.749085999996</v>
      </c>
      <c r="L22" s="403">
        <f t="shared" si="8"/>
        <v>53080.978902000003</v>
      </c>
      <c r="M22" s="403">
        <f t="shared" si="8"/>
        <v>67616.316592999996</v>
      </c>
      <c r="N22" s="403">
        <f t="shared" si="8"/>
        <v>70913.05900233335</v>
      </c>
      <c r="O22" s="403">
        <f t="shared" si="8"/>
        <v>75491.457155333337</v>
      </c>
      <c r="P22" s="403">
        <f t="shared" si="8"/>
        <v>81067.138772666673</v>
      </c>
      <c r="Q22" s="404">
        <f t="shared" si="8"/>
        <v>603077.40217846143</v>
      </c>
      <c r="R22"/>
    </row>
    <row r="23" spans="1:19" s="31" customFormat="1" ht="21">
      <c r="A23" s="32"/>
      <c r="B23" s="32"/>
      <c r="D23" s="2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74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5">
        <v>0</v>
      </c>
      <c r="M25" s="375">
        <v>0</v>
      </c>
      <c r="N25" s="375">
        <v>0</v>
      </c>
      <c r="O25" s="375">
        <v>0</v>
      </c>
      <c r="P25" s="375">
        <v>0</v>
      </c>
      <c r="Q25" s="373">
        <f>SUM(E25:P25)</f>
        <v>0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74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  <c r="J26" s="375">
        <v>0</v>
      </c>
      <c r="K26" s="375">
        <v>0</v>
      </c>
      <c r="L26" s="375">
        <v>0</v>
      </c>
      <c r="M26" s="375">
        <v>0</v>
      </c>
      <c r="N26" s="375">
        <v>0</v>
      </c>
      <c r="O26" s="375">
        <v>0</v>
      </c>
      <c r="P26" s="375">
        <v>0</v>
      </c>
      <c r="Q26" s="373">
        <f>SUM(E26:P26)</f>
        <v>0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74">
        <v>0</v>
      </c>
      <c r="E27" s="372">
        <f>'Cap&amp;OpEx 2018'!C33</f>
        <v>440.78</v>
      </c>
      <c r="F27" s="372">
        <f>'Cap&amp;OpEx 2018'!D33</f>
        <v>440.78</v>
      </c>
      <c r="G27" s="372">
        <f>'Cap&amp;OpEx 2018'!E33</f>
        <v>440.78</v>
      </c>
      <c r="H27" s="372">
        <f>'Cap&amp;OpEx 2018'!F33</f>
        <v>440.78</v>
      </c>
      <c r="I27" s="372">
        <f>'Cap&amp;OpEx 2018'!G33</f>
        <v>440.78</v>
      </c>
      <c r="J27" s="372">
        <f>'Cap&amp;OpEx 2018'!H33</f>
        <v>440.78</v>
      </c>
      <c r="K27" s="372">
        <f>'Cap&amp;OpEx 2018'!I33</f>
        <v>440.78</v>
      </c>
      <c r="L27" s="372">
        <f>'Cap&amp;OpEx 2018'!J33</f>
        <v>440.78</v>
      </c>
      <c r="M27" s="372">
        <f>'Cap&amp;OpEx 2018'!K33</f>
        <v>440.78</v>
      </c>
      <c r="N27" s="372">
        <f>'Cap&amp;OpEx 2018'!L33</f>
        <v>440.78</v>
      </c>
      <c r="O27" s="372">
        <f>'Cap&amp;OpEx 2018'!M33</f>
        <v>440.78</v>
      </c>
      <c r="P27" s="372">
        <f>'Cap&amp;OpEx 2018'!N33</f>
        <v>440.78</v>
      </c>
      <c r="Q27" s="373">
        <f>SUM(E27:P27)</f>
        <v>5289.3599999999979</v>
      </c>
      <c r="R27"/>
      <c r="S27" s="80"/>
    </row>
    <row r="28" spans="1:19" s="31" customFormat="1" ht="2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71">
        <f>SUM(D25:D28)</f>
        <v>0</v>
      </c>
      <c r="E29" s="372">
        <f t="shared" ref="E29:J29" si="9">SUM(E25:E28)</f>
        <v>440.78</v>
      </c>
      <c r="F29" s="372">
        <f t="shared" si="9"/>
        <v>440.78</v>
      </c>
      <c r="G29" s="372">
        <f t="shared" si="9"/>
        <v>440.78</v>
      </c>
      <c r="H29" s="372">
        <f t="shared" si="9"/>
        <v>440.78</v>
      </c>
      <c r="I29" s="372">
        <f t="shared" si="9"/>
        <v>440.78</v>
      </c>
      <c r="J29" s="372">
        <f t="shared" si="9"/>
        <v>440.78</v>
      </c>
      <c r="K29" s="372">
        <f t="shared" ref="K29:Q29" si="10">SUM(K25:K28)</f>
        <v>440.78</v>
      </c>
      <c r="L29" s="372">
        <f t="shared" si="10"/>
        <v>440.78</v>
      </c>
      <c r="M29" s="372">
        <f t="shared" si="10"/>
        <v>440.78</v>
      </c>
      <c r="N29" s="372">
        <f t="shared" si="10"/>
        <v>440.78</v>
      </c>
      <c r="O29" s="372">
        <f t="shared" si="10"/>
        <v>440.78</v>
      </c>
      <c r="P29" s="372">
        <f t="shared" si="10"/>
        <v>440.78</v>
      </c>
      <c r="Q29" s="373">
        <f t="shared" si="10"/>
        <v>5289.3599999999979</v>
      </c>
      <c r="R29"/>
    </row>
    <row r="30" spans="1:19" s="31" customFormat="1" ht="2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8">
        <f>D22+D29</f>
        <v>26164.612520048278</v>
      </c>
      <c r="E31" s="409">
        <f t="shared" ref="E31:J31" si="11">E22+E29</f>
        <v>24820.592349666669</v>
      </c>
      <c r="F31" s="409">
        <f t="shared" si="11"/>
        <v>31849.469874333336</v>
      </c>
      <c r="G31" s="409">
        <f t="shared" si="11"/>
        <v>37808.948469333336</v>
      </c>
      <c r="H31" s="409">
        <f t="shared" si="11"/>
        <v>45655.474905333336</v>
      </c>
      <c r="I31" s="409">
        <f t="shared" si="11"/>
        <v>47568.319923333329</v>
      </c>
      <c r="J31" s="409">
        <f t="shared" si="11"/>
        <v>49066.92257433333</v>
      </c>
      <c r="K31" s="409">
        <f t="shared" ref="K31:Q31" si="12">K22+K29</f>
        <v>49327.529085999995</v>
      </c>
      <c r="L31" s="409">
        <f t="shared" si="12"/>
        <v>53521.758902000001</v>
      </c>
      <c r="M31" s="409">
        <f t="shared" si="12"/>
        <v>68057.096592999995</v>
      </c>
      <c r="N31" s="409">
        <f t="shared" si="12"/>
        <v>71353.839002333349</v>
      </c>
      <c r="O31" s="409">
        <f t="shared" si="12"/>
        <v>75932.237155333336</v>
      </c>
      <c r="P31" s="409">
        <f t="shared" si="12"/>
        <v>81507.918772666671</v>
      </c>
      <c r="Q31" s="410">
        <f t="shared" si="12"/>
        <v>608366.76217846142</v>
      </c>
      <c r="R31"/>
    </row>
    <row r="32" spans="1:19" s="31" customFormat="1" ht="21">
      <c r="A32" s="32"/>
      <c r="B32" s="32"/>
      <c r="D32" s="80"/>
      <c r="P32" s="80"/>
      <c r="R32"/>
    </row>
    <row r="33" spans="1:18" customFormat="1" ht="21" customHeight="1"/>
    <row r="34" spans="1:18" s="31" customFormat="1" ht="2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 ht="21">
      <c r="A35" s="79"/>
      <c r="B35" s="30" t="s">
        <v>502</v>
      </c>
      <c r="Q35" s="80"/>
      <c r="R35"/>
    </row>
    <row r="1048492" spans="19:19" ht="21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D50"/>
  <sheetViews>
    <sheetView workbookViewId="0"/>
  </sheetViews>
  <sheetFormatPr defaultColWidth="9.21875" defaultRowHeight="15.6"/>
  <cols>
    <col min="1" max="1" width="9.21875" style="28"/>
    <col min="2" max="2" width="38.77734375" style="26" bestFit="1" customWidth="1"/>
    <col min="3" max="15" width="15.77734375" style="26" customWidth="1"/>
    <col min="16" max="16" width="12.21875" style="28" bestFit="1" customWidth="1"/>
    <col min="17" max="17" width="16.21875" style="28" bestFit="1" customWidth="1"/>
    <col min="18" max="30" width="14.77734375" style="28" customWidth="1"/>
    <col min="31" max="31" width="9.21875" style="28"/>
    <col min="32" max="32" width="10.5546875" style="28" bestFit="1" customWidth="1"/>
    <col min="33" max="16384" width="9.21875" style="28"/>
  </cols>
  <sheetData>
    <row r="1" spans="1:30" ht="17.399999999999999">
      <c r="A1" s="192" t="s">
        <v>67</v>
      </c>
      <c r="B1" s="198"/>
      <c r="C1" s="198"/>
      <c r="D1" s="198"/>
      <c r="E1" s="198"/>
      <c r="F1" s="198"/>
      <c r="G1" s="198"/>
      <c r="H1" s="198"/>
      <c r="I1" s="192"/>
      <c r="J1" s="192"/>
      <c r="K1" s="192"/>
      <c r="L1" s="192"/>
      <c r="M1" s="192"/>
      <c r="N1" s="192"/>
      <c r="O1" s="192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7.399999999999999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7.399999999999999">
      <c r="A3" s="192" t="s">
        <v>161</v>
      </c>
      <c r="B3" s="198"/>
      <c r="C3" s="198"/>
      <c r="D3" s="198"/>
      <c r="E3" s="198"/>
      <c r="F3" s="198"/>
      <c r="G3" s="198"/>
      <c r="H3" s="198"/>
      <c r="I3" s="192"/>
      <c r="J3" s="192"/>
      <c r="K3" s="192"/>
      <c r="L3" s="192"/>
      <c r="M3" s="192"/>
      <c r="N3" s="192"/>
      <c r="O3" s="192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28"/>
      <c r="R6" s="28"/>
      <c r="S6" s="28"/>
      <c r="T6" s="28"/>
      <c r="U6" s="28"/>
      <c r="V6" s="28"/>
      <c r="W6" s="28"/>
    </row>
    <row r="7" spans="1:30" ht="16.2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261</v>
      </c>
      <c r="F7" s="44" t="s">
        <v>262</v>
      </c>
      <c r="G7" s="44" t="s">
        <v>88</v>
      </c>
      <c r="H7" s="44" t="s">
        <v>263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2018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250</v>
      </c>
      <c r="C10" s="35">
        <f>'2018 Capital Budget'!F8+'2018 Capital Budget'!F22+'2018 Capital Budget'!F25+'2018 Capital Budget'!F27+'2018 Capital Budget'!F28+'2018 Capital Budget'!F38</f>
        <v>110475.37</v>
      </c>
      <c r="D10" s="35">
        <f>'2018 Capital Budget'!G8+'2018 Capital Budget'!G22+'2018 Capital Budget'!G25+'2018 Capital Budget'!G27+'2018 Capital Budget'!G28+'2018 Capital Budget'!G38</f>
        <v>118852.95</v>
      </c>
      <c r="E10" s="35">
        <f>'2018 Capital Budget'!H8+'2018 Capital Budget'!H22+'2018 Capital Budget'!H25+'2018 Capital Budget'!H27+'2018 Capital Budget'!H28+'2018 Capital Budget'!H38</f>
        <v>338362.99</v>
      </c>
      <c r="F10" s="35">
        <f>'2018 Capital Budget'!I8+'2018 Capital Budget'!I22+'2018 Capital Budget'!I25+'2018 Capital Budget'!I27+'2018 Capital Budget'!I28+'2018 Capital Budget'!I38</f>
        <v>341928.04</v>
      </c>
      <c r="G10" s="35">
        <f>'2018 Capital Budget'!J8+'2018 Capital Budget'!J22+'2018 Capital Budget'!J25+'2018 Capital Budget'!J27+'2018 Capital Budget'!J28+'2018 Capital Budget'!J38</f>
        <v>155674.85</v>
      </c>
      <c r="H10" s="35">
        <f>'2018 Capital Budget'!K8+'2018 Capital Budget'!K22+'2018 Capital Budget'!K25+'2018 Capital Budget'!K27+'2018 Capital Budget'!K28+'2018 Capital Budget'!K38</f>
        <v>359379.56</v>
      </c>
      <c r="I10" s="35">
        <f>'2018 Capital Budget'!L8+'2018 Capital Budget'!L22+'2018 Capital Budget'!L25+'2018 Capital Budget'!L27+'2018 Capital Budget'!L28+'2018 Capital Budget'!L38</f>
        <v>367756.20999999996</v>
      </c>
      <c r="J10" s="35">
        <f>'2018 Capital Budget'!M8+'2018 Capital Budget'!M22+'2018 Capital Budget'!M25+'2018 Capital Budget'!M27+'2018 Capital Budget'!M28+'2018 Capital Budget'!M38</f>
        <v>319635.06</v>
      </c>
      <c r="K10" s="35">
        <f>'2018 Capital Budget'!N8+'2018 Capital Budget'!N22+'2018 Capital Budget'!N25+'2018 Capital Budget'!N27+'2018 Capital Budget'!N28+'2018 Capital Budget'!N38</f>
        <v>659951.6</v>
      </c>
      <c r="L10" s="35">
        <f>'2018 Capital Budget'!O8+'2018 Capital Budget'!O22+'2018 Capital Budget'!O25+'2018 Capital Budget'!O27+'2018 Capital Budget'!O28+'2018 Capital Budget'!O38</f>
        <v>-527966.99999999942</v>
      </c>
      <c r="M10" s="35">
        <f>'2018 Capital Budget'!P8+'2018 Capital Budget'!P22+'2018 Capital Budget'!P25+'2018 Capital Budget'!P27+'2018 Capital Budget'!P28+'2018 Capital Budget'!P38</f>
        <v>-341364.04</v>
      </c>
      <c r="N10" s="35">
        <f>'2018 Capital Budget'!Q8+'2018 Capital Budget'!Q22+'2018 Capital Budget'!Q25+'2018 Capital Budget'!Q27+'2018 Capital Budget'!Q28+'2018 Capital Budget'!Q38</f>
        <v>132974.97999999992</v>
      </c>
      <c r="O10" s="35">
        <f>SUM(C10:N10)</f>
        <v>2035660.5700000008</v>
      </c>
      <c r="P10" s="46"/>
    </row>
    <row r="11" spans="1:30">
      <c r="A11" s="38">
        <f>A10+1</f>
        <v>2</v>
      </c>
      <c r="B11" s="26" t="s">
        <v>251</v>
      </c>
      <c r="C11" s="35">
        <f>'2018 Capital Budget'!F61</f>
        <v>307839.76000000024</v>
      </c>
      <c r="D11" s="35">
        <f>'2018 Capital Budget'!G61</f>
        <v>971734.2200000002</v>
      </c>
      <c r="E11" s="35">
        <f>'2018 Capital Budget'!H61</f>
        <v>823891.04999999981</v>
      </c>
      <c r="F11" s="35">
        <f>'2018 Capital Budget'!I61</f>
        <v>1084773.2400000002</v>
      </c>
      <c r="G11" s="35">
        <f>'2018 Capital Budget'!J61</f>
        <v>264448.61999999918</v>
      </c>
      <c r="H11" s="35">
        <f>'2018 Capital Budget'!K61</f>
        <v>207180.08999999985</v>
      </c>
      <c r="I11" s="35">
        <f>'2018 Capital Budget'!L61</f>
        <v>36028.549999999814</v>
      </c>
      <c r="J11" s="35">
        <f>'2018 Capital Budget'!M61</f>
        <v>579847.44000000041</v>
      </c>
      <c r="K11" s="35">
        <f>'2018 Capital Budget'!N61</f>
        <v>2009493.6899999995</v>
      </c>
      <c r="L11" s="35">
        <f>'2018 Capital Budget'!O61</f>
        <v>455770.84000000171</v>
      </c>
      <c r="M11" s="35">
        <f>'2018 Capital Budget'!P61</f>
        <v>632958.26999999955</v>
      </c>
      <c r="N11" s="35">
        <f>'2018 Capital Budget'!Q61</f>
        <v>770831.55999999866</v>
      </c>
      <c r="O11" s="35">
        <f t="shared" ref="O11:O14" si="0">SUM(C11:N11)</f>
        <v>8144797.3299999991</v>
      </c>
      <c r="P11" s="46"/>
    </row>
    <row r="12" spans="1:30">
      <c r="A12" s="38">
        <f>A11+1</f>
        <v>3</v>
      </c>
      <c r="B12" s="26" t="s">
        <v>80</v>
      </c>
      <c r="C12" s="35">
        <f>SUM('2018 Capital Budget'!F23,'2018 Capital Budget'!F29:F31,'2018 Capital Budget'!F37)</f>
        <v>214241.25999999998</v>
      </c>
      <c r="D12" s="35">
        <f>SUM('2018 Capital Budget'!G23,'2018 Capital Budget'!G29:G31,'2018 Capital Budget'!G37)</f>
        <v>118957.40999999999</v>
      </c>
      <c r="E12" s="35">
        <f>SUM('2018 Capital Budget'!H23,'2018 Capital Budget'!H29:H31,'2018 Capital Budget'!H37)</f>
        <v>145647.47999999998</v>
      </c>
      <c r="F12" s="35">
        <f>SUM('2018 Capital Budget'!I23,'2018 Capital Budget'!I29:I31,'2018 Capital Budget'!I37)</f>
        <v>182229.53</v>
      </c>
      <c r="G12" s="35">
        <f>SUM('2018 Capital Budget'!J23,'2018 Capital Budget'!J29:J31,'2018 Capital Budget'!J37)</f>
        <v>185738.66</v>
      </c>
      <c r="H12" s="35">
        <f>SUM('2018 Capital Budget'!K23,'2018 Capital Budget'!K29:K31,'2018 Capital Budget'!K37)</f>
        <v>155681.91</v>
      </c>
      <c r="I12" s="35">
        <f>SUM('2018 Capital Budget'!L23,'2018 Capital Budget'!L29:L31,'2018 Capital Budget'!L37)</f>
        <v>212446.9</v>
      </c>
      <c r="J12" s="35">
        <f>SUM('2018 Capital Budget'!M23,'2018 Capital Budget'!M29:M31,'2018 Capital Budget'!M37)</f>
        <v>190760.71999999997</v>
      </c>
      <c r="K12" s="35">
        <f>SUM('2018 Capital Budget'!N23,'2018 Capital Budget'!N29:N31,'2018 Capital Budget'!N37)</f>
        <v>219448.24</v>
      </c>
      <c r="L12" s="35">
        <f>SUM('2018 Capital Budget'!O23,'2018 Capital Budget'!O29:O31,'2018 Capital Budget'!O37)</f>
        <v>579899.66</v>
      </c>
      <c r="M12" s="35">
        <f>SUM('2018 Capital Budget'!P23,'2018 Capital Budget'!P29:P31,'2018 Capital Budget'!P37)</f>
        <v>886834.86000000022</v>
      </c>
      <c r="N12" s="35">
        <f>SUM('2018 Capital Budget'!Q23,'2018 Capital Budget'!Q29:Q31,'2018 Capital Budget'!Q37)</f>
        <v>316.39</v>
      </c>
      <c r="O12" s="35">
        <f t="shared" si="0"/>
        <v>3092203.0200000005</v>
      </c>
      <c r="P12" s="46"/>
    </row>
    <row r="13" spans="1:30">
      <c r="A13" s="38">
        <f>A12+1</f>
        <v>4</v>
      </c>
      <c r="B13" s="26" t="s">
        <v>81</v>
      </c>
      <c r="C13" s="35">
        <f>'2018 Capital Budget'!F24+'2018 Capital Budget'!F26+'2018 Capital Budget'!F32</f>
        <v>84429.82</v>
      </c>
      <c r="D13" s="35">
        <f>'2018 Capital Budget'!G24+'2018 Capital Budget'!G26+'2018 Capital Budget'!G32</f>
        <v>10382.83</v>
      </c>
      <c r="E13" s="35">
        <f>'2018 Capital Budget'!H24+'2018 Capital Budget'!H26+'2018 Capital Budget'!H32</f>
        <v>9001.0099999997765</v>
      </c>
      <c r="F13" s="35">
        <f>'2018 Capital Budget'!I24+'2018 Capital Budget'!I26+'2018 Capital Budget'!I32</f>
        <v>1263.3699999999999</v>
      </c>
      <c r="G13" s="35">
        <f>'2018 Capital Budget'!J24+'2018 Capital Budget'!J26+'2018 Capital Budget'!J32</f>
        <v>1265.82</v>
      </c>
      <c r="H13" s="35">
        <f>'2018 Capital Budget'!K24+'2018 Capital Budget'!K26+'2018 Capital Budget'!K32</f>
        <v>2.44</v>
      </c>
      <c r="I13" s="35">
        <f>'2018 Capital Budget'!L24+'2018 Capital Budget'!L26+'2018 Capital Budget'!L32</f>
        <v>0</v>
      </c>
      <c r="J13" s="35">
        <f>'2018 Capital Budget'!M24+'2018 Capital Budget'!M26+'2018 Capital Budget'!M32</f>
        <v>0</v>
      </c>
      <c r="K13" s="35">
        <f>'2018 Capital Budget'!N24+'2018 Capital Budget'!N26+'2018 Capital Budget'!N32</f>
        <v>0</v>
      </c>
      <c r="L13" s="35">
        <f>'2018 Capital Budget'!O24+'2018 Capital Budget'!O26+'2018 Capital Budget'!O32</f>
        <v>0</v>
      </c>
      <c r="M13" s="35">
        <f>'2018 Capital Budget'!P24+'2018 Capital Budget'!P26+'2018 Capital Budget'!P32</f>
        <v>7187.22</v>
      </c>
      <c r="N13" s="35">
        <f>'2018 Capital Budget'!Q24+'2018 Capital Budget'!Q26+'2018 Capital Budget'!Q32</f>
        <v>0</v>
      </c>
      <c r="O13" s="35">
        <f t="shared" si="0"/>
        <v>113532.50999999979</v>
      </c>
      <c r="P13" s="46"/>
    </row>
    <row r="14" spans="1:30">
      <c r="A14" s="38">
        <f>A13+1</f>
        <v>5</v>
      </c>
      <c r="B14" s="26" t="s">
        <v>162</v>
      </c>
      <c r="C14" s="34">
        <f>SUM('2018 Capital Budget'!F9:F21)</f>
        <v>566267.26000000013</v>
      </c>
      <c r="D14" s="34">
        <f>SUM('2018 Capital Budget'!G9:G21)</f>
        <v>626600.44000000006</v>
      </c>
      <c r="E14" s="34">
        <f>SUM('2018 Capital Budget'!H9:H21)</f>
        <v>893080.27000000025</v>
      </c>
      <c r="F14" s="34">
        <f>SUM('2018 Capital Budget'!I9:I21)</f>
        <v>701015.85000000009</v>
      </c>
      <c r="G14" s="34">
        <f>SUM('2018 Capital Budget'!J9:J21)</f>
        <v>857857.34</v>
      </c>
      <c r="H14" s="34">
        <f>SUM('2018 Capital Budget'!K9:K21)</f>
        <v>643434.71</v>
      </c>
      <c r="I14" s="34">
        <f>SUM('2018 Capital Budget'!L9:L21)</f>
        <v>1026715.98</v>
      </c>
      <c r="J14" s="34">
        <f>SUM('2018 Capital Budget'!M9:M21)</f>
        <v>935701.8</v>
      </c>
      <c r="K14" s="34">
        <f>SUM('2018 Capital Budget'!N9:N21)</f>
        <v>1057508.4100000001</v>
      </c>
      <c r="L14" s="34">
        <f>SUM('2018 Capital Budget'!O9:O21)</f>
        <v>1123898.9699999997</v>
      </c>
      <c r="M14" s="34">
        <f>SUM('2018 Capital Budget'!P9:P21)</f>
        <v>2577173.36</v>
      </c>
      <c r="N14" s="34">
        <f>SUM('2018 Capital Budget'!Q9:Q21)</f>
        <v>1183367.19</v>
      </c>
      <c r="O14" s="34">
        <f t="shared" si="0"/>
        <v>12192621.579999998</v>
      </c>
      <c r="P14" s="86"/>
    </row>
    <row r="15" spans="1:30">
      <c r="A15" s="38">
        <f>A14+1</f>
        <v>6</v>
      </c>
      <c r="B15" s="26" t="s">
        <v>82</v>
      </c>
      <c r="C15" s="33">
        <f t="shared" ref="C15:H15" si="1">SUM(C10:C14)</f>
        <v>1283253.4700000002</v>
      </c>
      <c r="D15" s="33">
        <f t="shared" si="1"/>
        <v>1846527.85</v>
      </c>
      <c r="E15" s="33">
        <f t="shared" si="1"/>
        <v>2209982.7999999998</v>
      </c>
      <c r="F15" s="33">
        <f t="shared" si="1"/>
        <v>2311210.0300000003</v>
      </c>
      <c r="G15" s="33">
        <f t="shared" si="1"/>
        <v>1464985.2899999991</v>
      </c>
      <c r="H15" s="33">
        <f t="shared" si="1"/>
        <v>1365678.71</v>
      </c>
      <c r="I15" s="33">
        <f t="shared" ref="I15:N15" si="2">SUM(I10:I14)</f>
        <v>1642947.6399999997</v>
      </c>
      <c r="J15" s="33">
        <f t="shared" si="2"/>
        <v>2025945.0200000005</v>
      </c>
      <c r="K15" s="33">
        <f t="shared" si="2"/>
        <v>3946401.9399999995</v>
      </c>
      <c r="L15" s="33">
        <f t="shared" si="2"/>
        <v>1631602.4700000021</v>
      </c>
      <c r="M15" s="33">
        <f t="shared" si="2"/>
        <v>3762789.67</v>
      </c>
      <c r="N15" s="33">
        <f t="shared" si="2"/>
        <v>2087490.1199999987</v>
      </c>
      <c r="O15" s="33">
        <f>SUM(O10:O14)</f>
        <v>25578815.009999998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252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69">
        <v>0</v>
      </c>
      <c r="M17" s="369">
        <v>0</v>
      </c>
      <c r="N17" s="369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331</v>
      </c>
      <c r="C18" s="369">
        <v>0</v>
      </c>
      <c r="D18" s="369">
        <v>0</v>
      </c>
      <c r="E18" s="369">
        <v>0</v>
      </c>
      <c r="F18" s="369">
        <v>0</v>
      </c>
      <c r="G18" s="369">
        <v>0</v>
      </c>
      <c r="H18" s="369">
        <v>0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72</v>
      </c>
      <c r="C19" s="369">
        <v>0</v>
      </c>
      <c r="D19" s="369">
        <v>0</v>
      </c>
      <c r="E19" s="369">
        <v>0</v>
      </c>
      <c r="F19" s="369">
        <v>0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  <c r="L19" s="369">
        <v>0</v>
      </c>
      <c r="M19" s="369">
        <v>0</v>
      </c>
      <c r="N19" s="369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73</v>
      </c>
      <c r="C20" s="360">
        <v>0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180</v>
      </c>
      <c r="C21" s="35">
        <f t="shared" ref="C21:H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ref="I21:O21" si="6">SUM(I17:I20)</f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6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179</v>
      </c>
      <c r="C23" s="370">
        <v>0</v>
      </c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0">
        <v>0</v>
      </c>
      <c r="M23" s="370">
        <v>0</v>
      </c>
      <c r="N23" s="370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253</v>
      </c>
      <c r="C25" s="33">
        <f>SUM('2018 Capital Budget'!F42,'2018 Capital Budget'!F44:F46,'2018 Capital Budget'!F52)</f>
        <v>134112.02000000002</v>
      </c>
      <c r="D25" s="33">
        <f>SUM('2018 Capital Budget'!G42,'2018 Capital Budget'!G44:G46,'2018 Capital Budget'!G52)</f>
        <v>150788.72</v>
      </c>
      <c r="E25" s="33">
        <f>SUM('2018 Capital Budget'!H42,'2018 Capital Budget'!H44:H46,'2018 Capital Budget'!H52)</f>
        <v>73614.989999999991</v>
      </c>
      <c r="F25" s="33">
        <f>SUM('2018 Capital Budget'!I42,'2018 Capital Budget'!I44:I46,'2018 Capital Budget'!I52)</f>
        <v>26727.34</v>
      </c>
      <c r="G25" s="33">
        <f>SUM('2018 Capital Budget'!J42,'2018 Capital Budget'!J44:J46,'2018 Capital Budget'!J52)</f>
        <v>80314.19</v>
      </c>
      <c r="H25" s="33">
        <f>SUM('2018 Capital Budget'!K42,'2018 Capital Budget'!K44:K46,'2018 Capital Budget'!K52)</f>
        <v>825.37</v>
      </c>
      <c r="I25" s="33">
        <f>SUM('2018 Capital Budget'!L42,'2018 Capital Budget'!L44:L46,'2018 Capital Budget'!L52)</f>
        <v>0</v>
      </c>
      <c r="J25" s="33">
        <f>SUM('2018 Capital Budget'!M42,'2018 Capital Budget'!M44:M46,'2018 Capital Budget'!M52)</f>
        <v>82.15</v>
      </c>
      <c r="K25" s="33">
        <f>SUM('2018 Capital Budget'!N42,'2018 Capital Budget'!N44:N46,'2018 Capital Budget'!N52)</f>
        <v>320.45</v>
      </c>
      <c r="L25" s="33">
        <f>SUM('2018 Capital Budget'!O42,'2018 Capital Budget'!O44:O46,'2018 Capital Budget'!O52)</f>
        <v>0</v>
      </c>
      <c r="M25" s="33">
        <f>SUM('2018 Capital Budget'!P42,'2018 Capital Budget'!P44:P46,'2018 Capital Budget'!P52)</f>
        <v>2387.9699999999998</v>
      </c>
      <c r="N25" s="33">
        <f>SUM('2018 Capital Budget'!Q42,'2018 Capital Budget'!Q44:Q46,'2018 Capital Budget'!Q52)</f>
        <v>178.61</v>
      </c>
      <c r="O25" s="35">
        <f>SUM(C25:N25)</f>
        <v>469351.81</v>
      </c>
      <c r="P25" s="46"/>
    </row>
    <row r="26" spans="1:16" ht="16.5" customHeight="1">
      <c r="A26" s="38">
        <f>A25+1</f>
        <v>14</v>
      </c>
      <c r="B26" s="26" t="s">
        <v>330</v>
      </c>
      <c r="C26" s="33">
        <f>SUM('2018 Capital Budget'!F49:F51)</f>
        <v>0</v>
      </c>
      <c r="D26" s="33">
        <f>SUM('2018 Capital Budget'!G49:G51)</f>
        <v>0</v>
      </c>
      <c r="E26" s="33">
        <f>SUM('2018 Capital Budget'!H49:H51)</f>
        <v>0</v>
      </c>
      <c r="F26" s="33">
        <f>SUM('2018 Capital Budget'!I49:I51)</f>
        <v>0</v>
      </c>
      <c r="G26" s="33">
        <f>SUM('2018 Capital Budget'!J49:J51)</f>
        <v>0</v>
      </c>
      <c r="H26" s="33">
        <f>SUM('2018 Capital Budget'!K49:K51)</f>
        <v>0</v>
      </c>
      <c r="I26" s="33">
        <f>SUM('2018 Capital Budget'!L49:L51)</f>
        <v>0</v>
      </c>
      <c r="J26" s="33">
        <f>SUM('2018 Capital Budget'!M49:M51)</f>
        <v>0</v>
      </c>
      <c r="K26" s="33">
        <f>SUM('2018 Capital Budget'!N49:N51)</f>
        <v>0</v>
      </c>
      <c r="L26" s="33">
        <f>SUM('2018 Capital Budget'!O49:O51)</f>
        <v>0</v>
      </c>
      <c r="M26" s="33">
        <f>SUM('2018 Capital Budget'!P49:P51)</f>
        <v>0</v>
      </c>
      <c r="N26" s="33">
        <f>SUM('2018 Capital Budget'!Q49:Q51)</f>
        <v>0</v>
      </c>
      <c r="O26" s="35">
        <f>SUM(C26:N26)</f>
        <v>0</v>
      </c>
      <c r="P26" s="46"/>
    </row>
    <row r="27" spans="1:16">
      <c r="A27" s="38">
        <f t="shared" ref="A27:A29" si="7">A26+1</f>
        <v>15</v>
      </c>
      <c r="B27" s="26" t="s">
        <v>83</v>
      </c>
      <c r="C27" s="33">
        <f>SUM('2018 Capital Budget'!F43,'2018 Capital Budget'!F47:F48)</f>
        <v>11378.04</v>
      </c>
      <c r="D27" s="33">
        <f>SUM('2018 Capital Budget'!G43,'2018 Capital Budget'!G47:G48)</f>
        <v>30939.510000000002</v>
      </c>
      <c r="E27" s="33">
        <f>SUM('2018 Capital Budget'!H43,'2018 Capital Budget'!H47:H48)</f>
        <v>51643.659999999996</v>
      </c>
      <c r="F27" s="33">
        <f>SUM('2018 Capital Budget'!I43,'2018 Capital Budget'!I47:I48)</f>
        <v>123350.19</v>
      </c>
      <c r="G27" s="33">
        <f>SUM('2018 Capital Budget'!J43,'2018 Capital Budget'!J47:J48)</f>
        <v>71699.88</v>
      </c>
      <c r="H27" s="33">
        <f>SUM('2018 Capital Budget'!K43,'2018 Capital Budget'!K47:K48)</f>
        <v>160791.88</v>
      </c>
      <c r="I27" s="33">
        <f>SUM('2018 Capital Budget'!L43,'2018 Capital Budget'!L47:L48)</f>
        <v>111769.92</v>
      </c>
      <c r="J27" s="33">
        <f>SUM('2018 Capital Budget'!M43,'2018 Capital Budget'!M47:M48)</f>
        <v>130326.40000000001</v>
      </c>
      <c r="K27" s="33">
        <f>SUM('2018 Capital Budget'!N43,'2018 Capital Budget'!N47:N48)</f>
        <v>141672.99</v>
      </c>
      <c r="L27" s="33">
        <f>SUM('2018 Capital Budget'!O43,'2018 Capital Budget'!O47:O48)</f>
        <v>188866.91999999998</v>
      </c>
      <c r="M27" s="33">
        <f>SUM('2018 Capital Budget'!P43,'2018 Capital Budget'!P47:P48)</f>
        <v>163792.39000000001</v>
      </c>
      <c r="N27" s="33">
        <f>SUM('2018 Capital Budget'!Q43,'2018 Capital Budget'!Q47:Q48)</f>
        <v>166854.06000000003</v>
      </c>
      <c r="O27" s="35">
        <f t="shared" ref="O27:O28" si="8">SUM(C27:N27)</f>
        <v>1353085.8400000003</v>
      </c>
      <c r="P27" s="46"/>
    </row>
    <row r="28" spans="1:16">
      <c r="A28" s="38">
        <f t="shared" si="7"/>
        <v>16</v>
      </c>
      <c r="B28" s="26" t="s">
        <v>84</v>
      </c>
      <c r="C28" s="360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v>0</v>
      </c>
      <c r="O28" s="34">
        <f t="shared" si="8"/>
        <v>0</v>
      </c>
      <c r="P28" s="86"/>
    </row>
    <row r="29" spans="1:16">
      <c r="A29" s="38">
        <f t="shared" si="7"/>
        <v>17</v>
      </c>
      <c r="B29" s="26" t="s">
        <v>85</v>
      </c>
      <c r="C29" s="33">
        <f t="shared" ref="C29:H29" si="9">SUM(C25:C28)</f>
        <v>145490.06000000003</v>
      </c>
      <c r="D29" s="33">
        <f t="shared" si="9"/>
        <v>181728.23</v>
      </c>
      <c r="E29" s="33">
        <f t="shared" si="9"/>
        <v>125258.65</v>
      </c>
      <c r="F29" s="33">
        <f t="shared" si="9"/>
        <v>150077.53</v>
      </c>
      <c r="G29" s="33">
        <f t="shared" si="9"/>
        <v>152014.07</v>
      </c>
      <c r="H29" s="33">
        <f t="shared" si="9"/>
        <v>161617.25</v>
      </c>
      <c r="I29" s="33">
        <f t="shared" ref="I29:O29" si="10">SUM(I25:I28)</f>
        <v>111769.92</v>
      </c>
      <c r="J29" s="33">
        <f t="shared" si="10"/>
        <v>130408.55</v>
      </c>
      <c r="K29" s="33">
        <f t="shared" si="10"/>
        <v>141993.44</v>
      </c>
      <c r="L29" s="33">
        <f t="shared" si="10"/>
        <v>188866.91999999998</v>
      </c>
      <c r="M29" s="33">
        <f t="shared" si="10"/>
        <v>166180.36000000002</v>
      </c>
      <c r="N29" s="33">
        <f t="shared" si="10"/>
        <v>167032.67000000001</v>
      </c>
      <c r="O29" s="33">
        <f t="shared" si="10"/>
        <v>1822437.6500000004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70">
        <v>116637.37</v>
      </c>
      <c r="D31" s="370">
        <v>-32468.410000000011</v>
      </c>
      <c r="E31" s="370">
        <v>-13517.44999999999</v>
      </c>
      <c r="F31" s="370">
        <v>-106295.09</v>
      </c>
      <c r="G31" s="370">
        <v>74792.559999999983</v>
      </c>
      <c r="H31" s="370">
        <v>59565.02</v>
      </c>
      <c r="I31" s="370">
        <v>71171.619999999981</v>
      </c>
      <c r="J31" s="370">
        <v>101207.37999999998</v>
      </c>
      <c r="K31" s="370">
        <v>63358.099999999991</v>
      </c>
      <c r="L31" s="370">
        <v>120155.35</v>
      </c>
      <c r="M31" s="370">
        <v>48892.760000000009</v>
      </c>
      <c r="N31" s="370">
        <v>177111.56000000003</v>
      </c>
      <c r="O31" s="33">
        <f>SUM(C31:N31)</f>
        <v>680610.77</v>
      </c>
      <c r="P31" s="46"/>
    </row>
    <row r="32" spans="1:16">
      <c r="A32" s="38">
        <f>A31+1</f>
        <v>19</v>
      </c>
      <c r="B32" s="26" t="s">
        <v>460</v>
      </c>
      <c r="C32" s="370">
        <v>20784</v>
      </c>
      <c r="D32" s="370">
        <v>20784</v>
      </c>
      <c r="E32" s="370">
        <v>20784</v>
      </c>
      <c r="F32" s="370">
        <v>20784</v>
      </c>
      <c r="G32" s="370">
        <v>20784</v>
      </c>
      <c r="H32" s="370">
        <v>20784</v>
      </c>
      <c r="I32" s="370">
        <v>20784</v>
      </c>
      <c r="J32" s="370">
        <v>20784</v>
      </c>
      <c r="K32" s="370">
        <v>20784</v>
      </c>
      <c r="L32" s="370">
        <v>20784</v>
      </c>
      <c r="M32" s="370">
        <v>20784</v>
      </c>
      <c r="N32" s="370">
        <v>20784</v>
      </c>
      <c r="O32" s="33">
        <f>SUM(C32:N32)</f>
        <v>249408</v>
      </c>
      <c r="P32" s="46"/>
    </row>
    <row r="33" spans="1:30">
      <c r="A33" s="38">
        <v>20</v>
      </c>
      <c r="B33" s="26" t="s">
        <v>461</v>
      </c>
      <c r="C33" s="370">
        <v>440.78</v>
      </c>
      <c r="D33" s="370">
        <v>440.78</v>
      </c>
      <c r="E33" s="370">
        <v>440.78</v>
      </c>
      <c r="F33" s="370">
        <v>440.78</v>
      </c>
      <c r="G33" s="370">
        <v>440.78</v>
      </c>
      <c r="H33" s="370">
        <v>440.78</v>
      </c>
      <c r="I33" s="370">
        <v>440.78</v>
      </c>
      <c r="J33" s="370">
        <v>440.78</v>
      </c>
      <c r="K33" s="370">
        <v>440.78</v>
      </c>
      <c r="L33" s="370">
        <v>440.78</v>
      </c>
      <c r="M33" s="370">
        <v>440.78</v>
      </c>
      <c r="N33" s="370">
        <v>440.78</v>
      </c>
      <c r="O33" s="33">
        <f>SUM(C33:N33)</f>
        <v>5289.3599999999979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'201712 Bk Depr'!R13</f>
        <v>5153439.38</v>
      </c>
      <c r="H13" s="1">
        <f>1.62%/12</f>
        <v>1.3500000000000003E-3</v>
      </c>
      <c r="J13" s="365">
        <f>F13*H13</f>
        <v>6957.1431630000016</v>
      </c>
      <c r="L13" s="366">
        <f>'Cap&amp;OpEx 2018'!C10</f>
        <v>110475.37</v>
      </c>
      <c r="N13" s="365">
        <f>H13*L13*0.5</f>
        <v>74.570874750000016</v>
      </c>
      <c r="P13" s="365">
        <f>J13+N13</f>
        <v>7031.7140377500018</v>
      </c>
      <c r="R13" s="365">
        <f>L13+F13</f>
        <v>5263914.75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'201712 Bk Depr'!R14</f>
        <v>1617149.82</v>
      </c>
      <c r="H14" s="1">
        <f>3.24%/12</f>
        <v>2.7000000000000006E-3</v>
      </c>
      <c r="J14" s="365">
        <f>F14*H14</f>
        <v>4366.3045140000013</v>
      </c>
      <c r="L14" s="366">
        <f>'Cap&amp;OpEx 2018'!C12</f>
        <v>214241.25999999998</v>
      </c>
      <c r="N14" s="365">
        <f>H14*L14*0.5</f>
        <v>289.22570100000002</v>
      </c>
      <c r="P14" s="365">
        <f>J14+N14</f>
        <v>4655.5302150000016</v>
      </c>
      <c r="R14" s="365">
        <f>L14+F14</f>
        <v>1831391.08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61">
        <f>'201712 Bk Depr'!R15</f>
        <v>7103847.7300000004</v>
      </c>
      <c r="H15" s="1">
        <f t="shared" ref="H15:H16" si="1">3.24%/12</f>
        <v>2.7000000000000006E-3</v>
      </c>
      <c r="J15" s="365">
        <f>F15*H15</f>
        <v>19180.388871000006</v>
      </c>
      <c r="L15" s="366">
        <f>'Cap&amp;OpEx 2018'!C13</f>
        <v>84429.82</v>
      </c>
      <c r="N15" s="365">
        <f>H15*L15*0.5</f>
        <v>113.98025700000004</v>
      </c>
      <c r="P15" s="365">
        <f>J15+N15</f>
        <v>19294.369128000006</v>
      </c>
      <c r="R15" s="365">
        <f>L15+F15</f>
        <v>7188277.5500000007</v>
      </c>
    </row>
    <row r="16" spans="1:18">
      <c r="A16" s="6">
        <f>A15+1</f>
        <v>4</v>
      </c>
      <c r="B16" s="4"/>
      <c r="C16" s="4" t="s">
        <v>163</v>
      </c>
      <c r="D16" s="6">
        <v>380</v>
      </c>
      <c r="F16" s="362">
        <f>'201712 Bk Depr'!R16</f>
        <v>3807542.94</v>
      </c>
      <c r="H16" s="1">
        <f t="shared" si="1"/>
        <v>2.7000000000000006E-3</v>
      </c>
      <c r="J16" s="365">
        <f>F16*H16</f>
        <v>10280.365938000003</v>
      </c>
      <c r="L16" s="367">
        <f>'Cap&amp;OpEx 2018'!C14</f>
        <v>566267.26000000013</v>
      </c>
      <c r="N16" s="365">
        <f>H16*L16*0.5</f>
        <v>764.46080100000029</v>
      </c>
      <c r="P16" s="365">
        <f>J16+N16</f>
        <v>11044.826739000004</v>
      </c>
      <c r="R16" s="365">
        <f>L16+F16</f>
        <v>4373810.2</v>
      </c>
    </row>
    <row r="17" spans="1:18">
      <c r="A17" s="6">
        <f>A16+1</f>
        <v>5</v>
      </c>
      <c r="B17" s="4"/>
      <c r="C17" s="4" t="s">
        <v>21</v>
      </c>
      <c r="F17" s="363">
        <f>SUM(F13:F16)</f>
        <v>17681979.870000001</v>
      </c>
      <c r="J17" s="363">
        <f>SUM(J13:J16)</f>
        <v>40784.202486000009</v>
      </c>
      <c r="L17" s="363">
        <f>SUM(L13:L16)</f>
        <v>975413.7100000002</v>
      </c>
      <c r="N17" s="363">
        <f>SUM(N13:N16)</f>
        <v>1242.2376337500004</v>
      </c>
      <c r="P17" s="363">
        <f>SUM(P13:P16)</f>
        <v>42026.440119750012</v>
      </c>
      <c r="R17" s="363">
        <f>SUM(R13:R16)</f>
        <v>18657393.580000002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'201712 Bk Depr'!R20</f>
        <v>0</v>
      </c>
      <c r="H20" s="1">
        <f>1.62%/12</f>
        <v>1.3500000000000003E-3</v>
      </c>
      <c r="J20" s="365">
        <f>F20*H20</f>
        <v>0</v>
      </c>
      <c r="L20" s="366">
        <f>'Cap&amp;OpEx 2018'!C17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'201712 Bk Depr'!R21</f>
        <v>0</v>
      </c>
      <c r="H21" s="1">
        <f>3.24%/12</f>
        <v>2.7000000000000006E-3</v>
      </c>
      <c r="J21" s="365">
        <f t="shared" ref="J21:J22" si="2">F21*H21</f>
        <v>0</v>
      </c>
      <c r="L21" s="366">
        <f>'Cap&amp;OpEx 2018'!C19</f>
        <v>0</v>
      </c>
      <c r="N21" s="365">
        <f t="shared" ref="N21:N22" si="3">H21*L21*0.5</f>
        <v>0</v>
      </c>
      <c r="P21" s="365">
        <f t="shared" ref="P21:P22" si="4">J21+N21</f>
        <v>0</v>
      </c>
      <c r="R21" s="365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2">
        <f>'201712 Bk Depr'!R22</f>
        <v>0</v>
      </c>
      <c r="H22" s="1">
        <f>3.24%/12</f>
        <v>2.7000000000000006E-3</v>
      </c>
      <c r="J22" s="365">
        <f t="shared" si="2"/>
        <v>0</v>
      </c>
      <c r="L22" s="367">
        <f>'Cap&amp;OpEx 2018'!C20</f>
        <v>0</v>
      </c>
      <c r="N22" s="365">
        <f t="shared" si="3"/>
        <v>0</v>
      </c>
      <c r="P22" s="365">
        <f t="shared" si="4"/>
        <v>0</v>
      </c>
      <c r="R22" s="365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17681979.870000001</v>
      </c>
      <c r="J25" s="364">
        <f>J17+J23</f>
        <v>40784.202486000009</v>
      </c>
      <c r="L25" s="364">
        <f>L17+L23</f>
        <v>975413.7100000002</v>
      </c>
      <c r="N25" s="364">
        <f>N17+N23</f>
        <v>1242.2376337500004</v>
      </c>
      <c r="P25" s="364">
        <f>P17+P23</f>
        <v>42026.440119750012</v>
      </c>
      <c r="R25" s="364">
        <f>R17+R23</f>
        <v>18657393.580000002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'201712 Bk Depr'!R28</f>
        <v>1456620.7</v>
      </c>
      <c r="J28" s="365"/>
      <c r="L28" s="366">
        <f>'Cap&amp;OpEx 2018'!C25</f>
        <v>134112.02000000002</v>
      </c>
      <c r="N28" s="365"/>
      <c r="P28" s="365"/>
      <c r="R28" s="365">
        <f>L28+F28</f>
        <v>1590732.72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'201712 Bk Depr'!R29</f>
        <v>187096.43000000002</v>
      </c>
      <c r="J29" s="365"/>
      <c r="L29" s="366">
        <f>'Cap&amp;OpEx 2018'!C27</f>
        <v>11378.04</v>
      </c>
      <c r="N29" s="365"/>
      <c r="P29" s="365"/>
      <c r="R29" s="365">
        <f>L29+F29</f>
        <v>198474.47000000003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2">
        <f>'201712 Bk Depr'!R30</f>
        <v>0</v>
      </c>
      <c r="J30" s="365"/>
      <c r="L30" s="367">
        <f>'Cap&amp;OpEx 2018'!C28</f>
        <v>0</v>
      </c>
      <c r="N30" s="365"/>
      <c r="P30" s="365"/>
      <c r="R30" s="365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63">
        <f>SUM(F28:F30)</f>
        <v>1643717.13</v>
      </c>
      <c r="J31" s="363">
        <f>SUM(J28:J30)</f>
        <v>0</v>
      </c>
      <c r="L31" s="363">
        <f>SUM(L28:L30)</f>
        <v>145490.06000000003</v>
      </c>
      <c r="N31" s="363">
        <f>SUM(N28:N30)</f>
        <v>0</v>
      </c>
      <c r="P31" s="363">
        <f>SUM(P28:P30)</f>
        <v>0</v>
      </c>
      <c r="R31" s="363">
        <f>SUM(R28:R30)</f>
        <v>1789207.19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'201801 Bk Depr'!R13</f>
        <v>5263914.75</v>
      </c>
      <c r="H13" s="1">
        <f>1.62%/12</f>
        <v>1.3500000000000003E-3</v>
      </c>
      <c r="J13" s="365">
        <f>F13*H13</f>
        <v>7106.2849125000012</v>
      </c>
      <c r="L13" s="366">
        <f>'Cap&amp;OpEx 2018'!D10</f>
        <v>118852.95</v>
      </c>
      <c r="N13" s="365">
        <f>H13*L13*0.5</f>
        <v>80.225741250000013</v>
      </c>
      <c r="P13" s="365">
        <f>J13+N13</f>
        <v>7186.5106537500014</v>
      </c>
      <c r="R13" s="365">
        <f>L13+F13</f>
        <v>5382767.7000000002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'201801 Bk Depr'!R14</f>
        <v>1831391.08</v>
      </c>
      <c r="H14" s="1">
        <f>3.24%/12</f>
        <v>2.7000000000000006E-3</v>
      </c>
      <c r="J14" s="365">
        <f>F14*H14</f>
        <v>4944.755916000001</v>
      </c>
      <c r="L14" s="366">
        <f>'Cap&amp;OpEx 2018'!D12</f>
        <v>118957.40999999999</v>
      </c>
      <c r="N14" s="365">
        <f>H14*L14*0.5</f>
        <v>160.59250350000002</v>
      </c>
      <c r="P14" s="365">
        <f>J14+N14</f>
        <v>5105.348419500001</v>
      </c>
      <c r="R14" s="365">
        <f>L14+F14</f>
        <v>1950348.49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'201801 Bk Depr'!R15</f>
        <v>7188277.5500000007</v>
      </c>
      <c r="H15" s="1">
        <f t="shared" ref="H15:H16" si="1">3.24%/12</f>
        <v>2.7000000000000006E-3</v>
      </c>
      <c r="J15" s="365">
        <f>F15*H15</f>
        <v>19408.349385000005</v>
      </c>
      <c r="L15" s="366">
        <f>'Cap&amp;OpEx 2018'!D13</f>
        <v>10382.83</v>
      </c>
      <c r="N15" s="365">
        <f>H15*L15*0.5</f>
        <v>14.016820500000003</v>
      </c>
      <c r="P15" s="365">
        <f>J15+N15</f>
        <v>19422.366205500006</v>
      </c>
      <c r="R15" s="365">
        <f>L15+F15</f>
        <v>7198660.3800000008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'201801 Bk Depr'!R16</f>
        <v>4373810.2</v>
      </c>
      <c r="H16" s="1">
        <f t="shared" si="1"/>
        <v>2.7000000000000006E-3</v>
      </c>
      <c r="J16" s="365">
        <f>F16*H16</f>
        <v>11809.287540000003</v>
      </c>
      <c r="L16" s="367">
        <f>'Cap&amp;OpEx 2018'!D14</f>
        <v>626600.44000000006</v>
      </c>
      <c r="N16" s="365">
        <f>H16*L16*0.5</f>
        <v>845.91059400000029</v>
      </c>
      <c r="P16" s="365">
        <f>J16+N16</f>
        <v>12655.198134000004</v>
      </c>
      <c r="R16" s="365">
        <f>L16+F16</f>
        <v>5000410.6400000006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18657393.580000002</v>
      </c>
      <c r="J17" s="363">
        <f>SUM(J13:J16)</f>
        <v>43268.677753500007</v>
      </c>
      <c r="L17" s="363">
        <f>SUM(L13:L16)</f>
        <v>874793.63</v>
      </c>
      <c r="N17" s="363">
        <f>SUM(N13:N16)</f>
        <v>1100.7456592500002</v>
      </c>
      <c r="P17" s="363">
        <f>SUM(P13:P16)</f>
        <v>44369.423412750009</v>
      </c>
      <c r="R17" s="363">
        <f>SUM(R13:R16)</f>
        <v>19532187.210000001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'201801 Bk Depr'!R20</f>
        <v>0</v>
      </c>
      <c r="H20" s="1">
        <f>1.62%/12</f>
        <v>1.3500000000000003E-3</v>
      </c>
      <c r="J20" s="365">
        <f>F20*H20</f>
        <v>0</v>
      </c>
      <c r="L20" s="366">
        <f>'Cap&amp;OpEx 2018'!D17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'201801 Bk Depr'!R21</f>
        <v>0</v>
      </c>
      <c r="H21" s="1">
        <f>3.24%/12</f>
        <v>2.7000000000000006E-3</v>
      </c>
      <c r="J21" s="365">
        <f>F21*H21</f>
        <v>0</v>
      </c>
      <c r="L21" s="366">
        <f>'Cap&amp;OpEx 2018'!D19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'201801 Bk Depr'!R22</f>
        <v>0</v>
      </c>
      <c r="H22" s="1">
        <f>3.24%/12</f>
        <v>2.7000000000000006E-3</v>
      </c>
      <c r="J22" s="365">
        <f>F22*H22</f>
        <v>0</v>
      </c>
      <c r="L22" s="367">
        <f>'Cap&amp;OpEx 2018'!D20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18657393.580000002</v>
      </c>
      <c r="J25" s="364">
        <f>J17+J23</f>
        <v>43268.677753500007</v>
      </c>
      <c r="L25" s="364">
        <f>L17+L23</f>
        <v>874793.63</v>
      </c>
      <c r="N25" s="364">
        <f>N17+N23</f>
        <v>1100.7456592500002</v>
      </c>
      <c r="P25" s="364">
        <f>P17+P23</f>
        <v>44369.423412750009</v>
      </c>
      <c r="R25" s="364">
        <f>R17+R23</f>
        <v>19532187.210000001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'201801 Bk Depr'!R28</f>
        <v>1590732.72</v>
      </c>
      <c r="J28" s="365"/>
      <c r="L28" s="366">
        <f>'Cap&amp;OpEx 2018'!D25</f>
        <v>150788.72</v>
      </c>
      <c r="N28" s="365"/>
      <c r="P28" s="365"/>
      <c r="R28" s="365">
        <f>L28+F28</f>
        <v>1741521.44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'201801 Bk Depr'!R29</f>
        <v>198474.47000000003</v>
      </c>
      <c r="J29" s="365"/>
      <c r="L29" s="366">
        <f>'Cap&amp;OpEx 2018'!D27</f>
        <v>30939.510000000002</v>
      </c>
      <c r="N29" s="365"/>
      <c r="P29" s="365"/>
      <c r="R29" s="365">
        <f>L29+F29</f>
        <v>229413.98000000004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'201801 Bk Depr'!R30</f>
        <v>0</v>
      </c>
      <c r="J30" s="365"/>
      <c r="L30" s="367">
        <f>'Cap&amp;OpEx 2018'!D28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1789207.19</v>
      </c>
      <c r="J31" s="363">
        <f>SUM(J28:J30)</f>
        <v>0</v>
      </c>
      <c r="L31" s="363">
        <f>SUM(L28:L30)</f>
        <v>181728.23</v>
      </c>
      <c r="N31" s="363">
        <f>SUM(N28:N30)</f>
        <v>0</v>
      </c>
      <c r="P31" s="363">
        <f>SUM(P28:P30)</f>
        <v>0</v>
      </c>
      <c r="R31" s="363">
        <f>SUM(R28:R30)</f>
        <v>1970935.42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'201802 Bk Depr'!R13</f>
        <v>5382767.7000000002</v>
      </c>
      <c r="H13" s="1">
        <f>1.62%/12</f>
        <v>1.3500000000000003E-3</v>
      </c>
      <c r="J13" s="365">
        <f>F13*H13</f>
        <v>7266.7363950000017</v>
      </c>
      <c r="L13" s="366">
        <f>'Cap&amp;OpEx 2018'!E10</f>
        <v>338362.99</v>
      </c>
      <c r="N13" s="365">
        <f>H13*L13*0.5</f>
        <v>228.39501825000005</v>
      </c>
      <c r="P13" s="365">
        <f>J13+N13</f>
        <v>7495.131413250002</v>
      </c>
      <c r="R13" s="365">
        <f>L13+F13</f>
        <v>5721130.6900000004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'201802 Bk Depr'!R14</f>
        <v>1950348.49</v>
      </c>
      <c r="H14" s="1">
        <f>3.24%/12</f>
        <v>2.7000000000000006E-3</v>
      </c>
      <c r="J14" s="365">
        <f>F14*H14</f>
        <v>5265.940923000001</v>
      </c>
      <c r="L14" s="366">
        <f>'Cap&amp;OpEx 2018'!E12</f>
        <v>145647.47999999998</v>
      </c>
      <c r="N14" s="365">
        <f>H14*L14*0.5</f>
        <v>196.624098</v>
      </c>
      <c r="P14" s="365">
        <f>J14+N14</f>
        <v>5462.5650210000013</v>
      </c>
      <c r="R14" s="365">
        <f>L14+F14</f>
        <v>2095995.97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'201802 Bk Depr'!R15</f>
        <v>7198660.3800000008</v>
      </c>
      <c r="H15" s="1">
        <f t="shared" ref="H15:H16" si="1">3.24%/12</f>
        <v>2.7000000000000006E-3</v>
      </c>
      <c r="J15" s="365">
        <f>F15*H15</f>
        <v>19436.383026000007</v>
      </c>
      <c r="L15" s="366">
        <f>'Cap&amp;OpEx 2018'!E13</f>
        <v>9001.0099999997765</v>
      </c>
      <c r="N15" s="365">
        <f>H15*L15*0.5</f>
        <v>12.1513634999997</v>
      </c>
      <c r="P15" s="365">
        <f>J15+N15</f>
        <v>19448.534389500008</v>
      </c>
      <c r="R15" s="365">
        <f>L15+F15</f>
        <v>7207661.3900000006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'201802 Bk Depr'!R16</f>
        <v>5000410.6400000006</v>
      </c>
      <c r="H16" s="1">
        <f t="shared" si="1"/>
        <v>2.7000000000000006E-3</v>
      </c>
      <c r="J16" s="365">
        <f>F16*H16</f>
        <v>13501.108728000005</v>
      </c>
      <c r="L16" s="367">
        <f>'Cap&amp;OpEx 2018'!E14</f>
        <v>893080.27000000025</v>
      </c>
      <c r="N16" s="365">
        <f>H16*L16*0.5</f>
        <v>1205.6583645000005</v>
      </c>
      <c r="P16" s="365">
        <f>J16+N16</f>
        <v>14706.767092500006</v>
      </c>
      <c r="R16" s="365">
        <f>L16+F16</f>
        <v>5893490.9100000011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19532187.210000001</v>
      </c>
      <c r="J17" s="363">
        <f>SUM(J13:J16)</f>
        <v>45470.169072000012</v>
      </c>
      <c r="L17" s="363">
        <f>SUM(L13:L16)</f>
        <v>1386091.75</v>
      </c>
      <c r="N17" s="363">
        <f>SUM(N13:N16)</f>
        <v>1642.8288442500002</v>
      </c>
      <c r="P17" s="363">
        <f>SUM(P13:P16)</f>
        <v>47112.997916250017</v>
      </c>
      <c r="R17" s="363">
        <f>SUM(R13:R16)</f>
        <v>20918278.960000001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'201802 Bk Depr'!R20</f>
        <v>0</v>
      </c>
      <c r="H20" s="1">
        <f>1.62%/12</f>
        <v>1.3500000000000003E-3</v>
      </c>
      <c r="J20" s="365">
        <f>F20*H20</f>
        <v>0</v>
      </c>
      <c r="L20" s="366">
        <f>'Cap&amp;OpEx 2018'!E17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'201802 Bk Depr'!R21</f>
        <v>0</v>
      </c>
      <c r="H21" s="1">
        <f>3.24%/12</f>
        <v>2.7000000000000006E-3</v>
      </c>
      <c r="J21" s="365">
        <f>F21*H21</f>
        <v>0</v>
      </c>
      <c r="L21" s="366">
        <f>'Cap&amp;OpEx 2018'!E19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'201802 Bk Depr'!R22</f>
        <v>0</v>
      </c>
      <c r="H22" s="1">
        <f>3.24%/12</f>
        <v>2.7000000000000006E-3</v>
      </c>
      <c r="J22" s="365">
        <f>F22*H22</f>
        <v>0</v>
      </c>
      <c r="L22" s="367">
        <f>'Cap&amp;OpEx 2018'!E20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19532187.210000001</v>
      </c>
      <c r="J25" s="364">
        <f>J17+J23</f>
        <v>45470.169072000012</v>
      </c>
      <c r="L25" s="364">
        <f>L17+L23</f>
        <v>1386091.75</v>
      </c>
      <c r="N25" s="364">
        <f>N17+N23</f>
        <v>1642.8288442500002</v>
      </c>
      <c r="P25" s="364">
        <f>P17+P23</f>
        <v>47112.997916250017</v>
      </c>
      <c r="R25" s="364">
        <f>R17+R23</f>
        <v>20918278.960000001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'201802 Bk Depr'!R28</f>
        <v>1741521.44</v>
      </c>
      <c r="J28" s="365"/>
      <c r="L28" s="366">
        <f>'Cap&amp;OpEx 2018'!E25</f>
        <v>73614.989999999991</v>
      </c>
      <c r="N28" s="365"/>
      <c r="P28" s="365"/>
      <c r="R28" s="365">
        <f>L28+F28</f>
        <v>1815136.43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'201802 Bk Depr'!R29</f>
        <v>229413.98000000004</v>
      </c>
      <c r="J29" s="365"/>
      <c r="L29" s="366">
        <f>'Cap&amp;OpEx 2018'!E27</f>
        <v>51643.659999999996</v>
      </c>
      <c r="N29" s="365"/>
      <c r="P29" s="365"/>
      <c r="R29" s="365">
        <f>L29+F29</f>
        <v>281057.64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'201802 Bk Depr'!R30</f>
        <v>0</v>
      </c>
      <c r="J30" s="365"/>
      <c r="L30" s="367">
        <f>'Cap&amp;OpEx 2018'!E28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1970935.42</v>
      </c>
      <c r="J31" s="363">
        <f>SUM(J28:J30)</f>
        <v>0</v>
      </c>
      <c r="L31" s="363">
        <f>SUM(L28:L30)</f>
        <v>125258.65</v>
      </c>
      <c r="N31" s="363">
        <f>SUM(N28:N30)</f>
        <v>0</v>
      </c>
      <c r="P31" s="363">
        <f>SUM(P28:P30)</f>
        <v>0</v>
      </c>
      <c r="R31" s="363">
        <f>SUM(R28:R30)</f>
        <v>2096194.0699999998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'201803 Bk Depr'!R13</f>
        <v>5721130.6900000004</v>
      </c>
      <c r="H13" s="1">
        <f>1.62%/12</f>
        <v>1.3500000000000003E-3</v>
      </c>
      <c r="J13" s="365">
        <f>F13*H13</f>
        <v>7723.5264315000022</v>
      </c>
      <c r="L13" s="366">
        <f>'Cap&amp;OpEx 2018'!F10</f>
        <v>341928.04</v>
      </c>
      <c r="N13" s="365">
        <f>H13*L13*0.5</f>
        <v>230.80142700000005</v>
      </c>
      <c r="P13" s="365">
        <f>J13+N13</f>
        <v>7954.3278585000025</v>
      </c>
      <c r="R13" s="365">
        <f>L13+F13</f>
        <v>6063058.7300000004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'201803 Bk Depr'!R14</f>
        <v>2095995.97</v>
      </c>
      <c r="H14" s="1">
        <f>3.24%/12</f>
        <v>2.7000000000000006E-3</v>
      </c>
      <c r="J14" s="365">
        <f>F14*H14</f>
        <v>5659.1891190000015</v>
      </c>
      <c r="L14" s="366">
        <f>'Cap&amp;OpEx 2018'!F12</f>
        <v>182229.53</v>
      </c>
      <c r="N14" s="365">
        <f>H14*L14*0.5</f>
        <v>246.00986550000005</v>
      </c>
      <c r="P14" s="365">
        <f>J14+N14</f>
        <v>5905.1989845000016</v>
      </c>
      <c r="R14" s="365">
        <f>L14+F14</f>
        <v>2278225.5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'201803 Bk Depr'!R15</f>
        <v>7207661.3900000006</v>
      </c>
      <c r="H15" s="1">
        <f t="shared" ref="H15:H16" si="1">3.24%/12</f>
        <v>2.7000000000000006E-3</v>
      </c>
      <c r="J15" s="365">
        <f>F15*H15</f>
        <v>19460.685753000005</v>
      </c>
      <c r="L15" s="366">
        <f>'Cap&amp;OpEx 2018'!F13</f>
        <v>1263.3699999999999</v>
      </c>
      <c r="N15" s="365">
        <f>H15*L15*0.5</f>
        <v>1.7055495000000003</v>
      </c>
      <c r="P15" s="365">
        <f>J15+N15</f>
        <v>19462.391302500004</v>
      </c>
      <c r="R15" s="365">
        <f>L15+F15</f>
        <v>7208924.7600000007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'201803 Bk Depr'!R16</f>
        <v>5893490.9100000011</v>
      </c>
      <c r="H16" s="1">
        <f t="shared" si="1"/>
        <v>2.7000000000000006E-3</v>
      </c>
      <c r="J16" s="365">
        <f>F16*H16</f>
        <v>15912.425457000007</v>
      </c>
      <c r="L16" s="367">
        <f>'Cap&amp;OpEx 2018'!F14</f>
        <v>701015.85000000009</v>
      </c>
      <c r="N16" s="365">
        <f>H16*L16*0.5</f>
        <v>946.37139750000028</v>
      </c>
      <c r="P16" s="365">
        <f>J16+N16</f>
        <v>16858.796854500008</v>
      </c>
      <c r="R16" s="365">
        <f>L16+F16</f>
        <v>6594506.7600000016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20918278.960000001</v>
      </c>
      <c r="J17" s="363">
        <f>SUM(J13:J16)</f>
        <v>48755.826760500015</v>
      </c>
      <c r="L17" s="363">
        <f>SUM(L13:L16)</f>
        <v>1226436.79</v>
      </c>
      <c r="N17" s="363">
        <f>SUM(N13:N16)</f>
        <v>1424.8882395000005</v>
      </c>
      <c r="P17" s="363">
        <f>SUM(P13:P16)</f>
        <v>50180.715000000011</v>
      </c>
      <c r="R17" s="363">
        <f>SUM(R13:R16)</f>
        <v>22144715.750000004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'201803 Bk Depr'!R20</f>
        <v>0</v>
      </c>
      <c r="H20" s="1">
        <f>1.62%/12</f>
        <v>1.3500000000000003E-3</v>
      </c>
      <c r="J20" s="365">
        <f>F20*H20</f>
        <v>0</v>
      </c>
      <c r="L20" s="366">
        <f>'Cap&amp;OpEx 2018'!F17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'201803 Bk Depr'!R21</f>
        <v>0</v>
      </c>
      <c r="H21" s="1">
        <f>3.24%/12</f>
        <v>2.7000000000000006E-3</v>
      </c>
      <c r="J21" s="365">
        <f>F21*H21</f>
        <v>0</v>
      </c>
      <c r="L21" s="366">
        <f>'Cap&amp;OpEx 2018'!F19</f>
        <v>0</v>
      </c>
      <c r="N21" s="365">
        <f>H21*L21*0.5</f>
        <v>0</v>
      </c>
      <c r="P21" s="365">
        <f>J21+N21</f>
        <v>0</v>
      </c>
      <c r="R21" s="365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62">
        <f>'201803 Bk Depr'!R22</f>
        <v>0</v>
      </c>
      <c r="H22" s="1">
        <f>3.24%/12</f>
        <v>2.7000000000000006E-3</v>
      </c>
      <c r="J22" s="365">
        <f>F22*H22</f>
        <v>0</v>
      </c>
      <c r="L22" s="367">
        <f>'Cap&amp;OpEx 2018'!F20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20918278.960000001</v>
      </c>
      <c r="J25" s="364">
        <f>J17+J23</f>
        <v>48755.826760500015</v>
      </c>
      <c r="L25" s="364">
        <f>L17+L23</f>
        <v>1226436.79</v>
      </c>
      <c r="N25" s="364">
        <f>N17+N23</f>
        <v>1424.8882395000005</v>
      </c>
      <c r="P25" s="364">
        <f>P17+P23</f>
        <v>50180.715000000011</v>
      </c>
      <c r="R25" s="364">
        <f>R17+R23</f>
        <v>22144715.750000004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'201803 Bk Depr'!R28</f>
        <v>1815136.43</v>
      </c>
      <c r="J28" s="365"/>
      <c r="L28" s="366">
        <f>'Cap&amp;OpEx 2018'!F25</f>
        <v>26727.34</v>
      </c>
      <c r="N28" s="365"/>
      <c r="P28" s="365"/>
      <c r="R28" s="365">
        <f>L28+F28</f>
        <v>1841863.77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'201803 Bk Depr'!R29</f>
        <v>281057.64</v>
      </c>
      <c r="J29" s="365"/>
      <c r="L29" s="366">
        <f>'Cap&amp;OpEx 2018'!F27</f>
        <v>123350.19</v>
      </c>
      <c r="N29" s="365"/>
      <c r="P29" s="365"/>
      <c r="R29" s="365">
        <f>L29+F29</f>
        <v>404407.83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62">
        <f>'201803 Bk Depr'!R30</f>
        <v>0</v>
      </c>
      <c r="J30" s="365"/>
      <c r="L30" s="367">
        <f>'Cap&amp;OpEx 2018'!F28</f>
        <v>0</v>
      </c>
      <c r="N30" s="365"/>
      <c r="P30" s="365"/>
      <c r="R30" s="365">
        <f>L30+F30</f>
        <v>0</v>
      </c>
    </row>
    <row r="31" spans="1:18">
      <c r="A31" s="6">
        <f t="shared" si="4"/>
        <v>14</v>
      </c>
      <c r="B31" s="4"/>
      <c r="C31" s="4" t="s">
        <v>23</v>
      </c>
      <c r="F31" s="363">
        <f>SUM(F28:F30)</f>
        <v>2096194.0699999998</v>
      </c>
      <c r="J31" s="363">
        <f>SUM(J28:J30)</f>
        <v>0</v>
      </c>
      <c r="L31" s="363">
        <f>SUM(L28:L30)</f>
        <v>150077.53</v>
      </c>
      <c r="N31" s="363">
        <f>SUM(N28:N30)</f>
        <v>0</v>
      </c>
      <c r="P31" s="363">
        <f>SUM(P28:P30)</f>
        <v>0</v>
      </c>
      <c r="R31" s="363">
        <f>SUM(R28:R30)</f>
        <v>2246271.6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5"/>
  <sheetViews>
    <sheetView workbookViewId="0"/>
  </sheetViews>
  <sheetFormatPr defaultColWidth="9.21875" defaultRowHeight="13.2"/>
  <cols>
    <col min="1" max="1" width="20.77734375" style="308" customWidth="1"/>
    <col min="2" max="2" width="14.21875" style="308" customWidth="1"/>
    <col min="3" max="3" width="13.77734375" style="308" customWidth="1"/>
    <col min="4" max="6" width="14.77734375" style="308" customWidth="1"/>
    <col min="7" max="7" width="15.77734375" style="273" customWidth="1"/>
    <col min="8" max="8" width="9.21875" style="273" customWidth="1"/>
    <col min="9" max="11" width="9.21875" style="273"/>
    <col min="12" max="13" width="9.21875" style="273" customWidth="1"/>
    <col min="14" max="16384" width="9.21875" style="273"/>
  </cols>
  <sheetData>
    <row r="1" spans="1:8" ht="15.6">
      <c r="A1" s="414" t="s">
        <v>67</v>
      </c>
      <c r="B1" s="305"/>
      <c r="C1" s="305"/>
      <c r="D1" s="305"/>
      <c r="E1" s="305"/>
      <c r="F1" s="305"/>
      <c r="G1" s="306"/>
    </row>
    <row r="2" spans="1:8" ht="15.75" customHeight="1">
      <c r="A2" s="304" t="s">
        <v>374</v>
      </c>
      <c r="B2" s="304"/>
      <c r="C2" s="304"/>
      <c r="D2" s="305"/>
      <c r="E2" s="305"/>
      <c r="F2" s="305"/>
      <c r="G2" s="306"/>
    </row>
    <row r="3" spans="1:8" ht="15.75" customHeight="1">
      <c r="A3" s="307" t="s">
        <v>561</v>
      </c>
      <c r="B3" s="305"/>
      <c r="C3" s="307"/>
      <c r="D3" s="307"/>
      <c r="E3" s="305"/>
      <c r="F3" s="305"/>
      <c r="G3" s="306"/>
    </row>
    <row r="4" spans="1:8" ht="15.75" customHeight="1"/>
    <row r="5" spans="1:8" ht="15.75" customHeight="1"/>
    <row r="6" spans="1:8" ht="15.75" customHeight="1">
      <c r="A6" s="309" t="s">
        <v>375</v>
      </c>
      <c r="B6" s="310" t="s">
        <v>376</v>
      </c>
      <c r="C6" s="310" t="s">
        <v>377</v>
      </c>
      <c r="D6" s="310" t="s">
        <v>378</v>
      </c>
      <c r="E6" s="310" t="s">
        <v>379</v>
      </c>
      <c r="F6" s="310" t="s">
        <v>380</v>
      </c>
      <c r="G6" s="310" t="s">
        <v>381</v>
      </c>
    </row>
    <row r="7" spans="1:8" s="308" customFormat="1" ht="16.05" customHeight="1">
      <c r="A7" s="537" t="s">
        <v>382</v>
      </c>
      <c r="B7" s="536" t="s">
        <v>160</v>
      </c>
      <c r="C7" s="536" t="s">
        <v>383</v>
      </c>
      <c r="D7" s="536" t="s">
        <v>384</v>
      </c>
      <c r="E7" s="536" t="s">
        <v>385</v>
      </c>
      <c r="F7" s="536" t="s">
        <v>386</v>
      </c>
      <c r="G7" s="536" t="s">
        <v>387</v>
      </c>
    </row>
    <row r="8" spans="1:8" s="308" customFormat="1" ht="16.05" customHeight="1">
      <c r="A8" s="537"/>
      <c r="B8" s="537"/>
      <c r="C8" s="537"/>
      <c r="D8" s="537"/>
      <c r="E8" s="537"/>
      <c r="F8" s="539"/>
      <c r="G8" s="537"/>
    </row>
    <row r="9" spans="1:8" s="308" customFormat="1" ht="16.05" customHeight="1">
      <c r="A9" s="538"/>
      <c r="B9" s="538"/>
      <c r="C9" s="538"/>
      <c r="D9" s="538"/>
      <c r="E9" s="538"/>
      <c r="F9" s="538"/>
      <c r="G9" s="538"/>
    </row>
    <row r="10" spans="1:8" s="313" customFormat="1" ht="15.75" customHeight="1">
      <c r="A10" s="311"/>
      <c r="B10" s="312"/>
      <c r="C10" s="312"/>
      <c r="D10" s="312" t="s">
        <v>388</v>
      </c>
      <c r="E10" s="312"/>
      <c r="F10" s="312"/>
      <c r="G10" s="311" t="s">
        <v>389</v>
      </c>
    </row>
    <row r="11" spans="1:8" ht="16.05" customHeight="1">
      <c r="A11" s="336">
        <v>43466</v>
      </c>
      <c r="B11" s="314">
        <v>443780.49</v>
      </c>
      <c r="C11" s="314">
        <v>-179692.59</v>
      </c>
      <c r="D11" s="314">
        <f t="shared" ref="D11:D22" si="0">B11+C11</f>
        <v>264087.90000000002</v>
      </c>
      <c r="E11" s="314">
        <v>268144.34999999998</v>
      </c>
      <c r="F11" s="314">
        <v>0</v>
      </c>
      <c r="G11" s="315">
        <f>D11-E11-F11</f>
        <v>-4056.4499999999534</v>
      </c>
      <c r="H11" s="308"/>
    </row>
    <row r="12" spans="1:8" ht="16.05" customHeight="1">
      <c r="A12" s="316">
        <f>DATE(YEAR(A11+45),MONTH(A11+45),1)</f>
        <v>43497</v>
      </c>
      <c r="B12" s="314">
        <v>431167.53</v>
      </c>
      <c r="C12" s="314">
        <v>-179692.59</v>
      </c>
      <c r="D12" s="314">
        <f t="shared" si="0"/>
        <v>251474.94000000003</v>
      </c>
      <c r="E12" s="314">
        <v>265307.01</v>
      </c>
      <c r="F12" s="314">
        <v>0</v>
      </c>
      <c r="G12" s="317">
        <f t="shared" ref="G12:G22" si="1">D12-E12-F12</f>
        <v>-13832.069999999978</v>
      </c>
      <c r="H12" s="308"/>
    </row>
    <row r="13" spans="1:8" ht="16.05" customHeight="1">
      <c r="A13" s="316">
        <f t="shared" ref="A13:A22" si="2">DATE(YEAR(A12+45),MONTH(A12+45),1)</f>
        <v>43525</v>
      </c>
      <c r="B13" s="314">
        <v>442385.71</v>
      </c>
      <c r="C13" s="314">
        <v>-179692.59</v>
      </c>
      <c r="D13" s="314">
        <f t="shared" si="0"/>
        <v>262693.12</v>
      </c>
      <c r="E13" s="314">
        <v>265982.09999999998</v>
      </c>
      <c r="F13" s="314">
        <v>0</v>
      </c>
      <c r="G13" s="317">
        <f t="shared" si="1"/>
        <v>-3288.9799999999814</v>
      </c>
      <c r="H13" s="308"/>
    </row>
    <row r="14" spans="1:8" ht="16.05" customHeight="1">
      <c r="A14" s="316">
        <f t="shared" si="2"/>
        <v>43556</v>
      </c>
      <c r="B14" s="314">
        <v>465872.69</v>
      </c>
      <c r="C14" s="314">
        <v>-179692.59</v>
      </c>
      <c r="D14" s="314">
        <f t="shared" si="0"/>
        <v>286180.09999999998</v>
      </c>
      <c r="E14" s="314">
        <v>266500.84999999998</v>
      </c>
      <c r="F14" s="314">
        <v>0</v>
      </c>
      <c r="G14" s="317">
        <f t="shared" si="1"/>
        <v>19679.25</v>
      </c>
      <c r="H14" s="308"/>
    </row>
    <row r="15" spans="1:8" ht="16.05" customHeight="1">
      <c r="A15" s="316">
        <f t="shared" si="2"/>
        <v>43586</v>
      </c>
      <c r="B15" s="314">
        <v>613197.30000000005</v>
      </c>
      <c r="C15" s="314">
        <v>-125451.19</v>
      </c>
      <c r="D15" s="314">
        <f t="shared" si="0"/>
        <v>487746.11000000004</v>
      </c>
      <c r="E15" s="314">
        <v>359428.69</v>
      </c>
      <c r="F15" s="314">
        <v>187</v>
      </c>
      <c r="G15" s="317">
        <f t="shared" si="1"/>
        <v>128130.42000000004</v>
      </c>
      <c r="H15" s="308"/>
    </row>
    <row r="16" spans="1:8" ht="16.05" customHeight="1">
      <c r="A16" s="316">
        <f t="shared" si="2"/>
        <v>43617</v>
      </c>
      <c r="B16" s="314">
        <v>602060.43999999994</v>
      </c>
      <c r="C16" s="314">
        <v>-71209.78</v>
      </c>
      <c r="D16" s="314">
        <f t="shared" si="0"/>
        <v>530850.65999999992</v>
      </c>
      <c r="E16" s="314">
        <v>449177.38</v>
      </c>
      <c r="F16" s="314">
        <v>0</v>
      </c>
      <c r="G16" s="317">
        <f t="shared" si="1"/>
        <v>81673.279999999912</v>
      </c>
      <c r="H16" s="308"/>
    </row>
    <row r="17" spans="1:8" ht="16.05" customHeight="1">
      <c r="A17" s="316">
        <f t="shared" si="2"/>
        <v>43647</v>
      </c>
      <c r="B17" s="314">
        <v>537909.03</v>
      </c>
      <c r="C17" s="314">
        <v>-71209.78</v>
      </c>
      <c r="D17" s="314">
        <f t="shared" si="0"/>
        <v>466699.25</v>
      </c>
      <c r="E17" s="314">
        <v>451996.74</v>
      </c>
      <c r="F17" s="314">
        <v>0</v>
      </c>
      <c r="G17" s="317">
        <f t="shared" si="1"/>
        <v>14702.510000000009</v>
      </c>
      <c r="H17" s="308"/>
    </row>
    <row r="18" spans="1:8" ht="16.05" customHeight="1">
      <c r="A18" s="316">
        <f t="shared" si="2"/>
        <v>43678</v>
      </c>
      <c r="B18" s="314">
        <v>547882.93999999994</v>
      </c>
      <c r="C18" s="314">
        <v>-71209.78</v>
      </c>
      <c r="D18" s="314">
        <f t="shared" si="0"/>
        <v>476673.15999999992</v>
      </c>
      <c r="E18" s="314">
        <v>449539.25</v>
      </c>
      <c r="F18" s="314">
        <v>0</v>
      </c>
      <c r="G18" s="317">
        <f t="shared" si="1"/>
        <v>27133.909999999916</v>
      </c>
      <c r="H18" s="308"/>
    </row>
    <row r="19" spans="1:8" ht="16.05" customHeight="1">
      <c r="A19" s="316">
        <f t="shared" si="2"/>
        <v>43709</v>
      </c>
      <c r="B19" s="314">
        <v>571386.18999999994</v>
      </c>
      <c r="C19" s="314">
        <v>-71209.78</v>
      </c>
      <c r="D19" s="314">
        <f t="shared" si="0"/>
        <v>500176.40999999992</v>
      </c>
      <c r="E19" s="314">
        <v>447401.16</v>
      </c>
      <c r="F19" s="314">
        <v>0</v>
      </c>
      <c r="G19" s="317">
        <f t="shared" si="1"/>
        <v>52775.249999999942</v>
      </c>
      <c r="H19" s="308"/>
    </row>
    <row r="20" spans="1:8" ht="16.05" customHeight="1">
      <c r="A20" s="316">
        <f t="shared" si="2"/>
        <v>43739</v>
      </c>
      <c r="B20" s="314">
        <v>550872.27</v>
      </c>
      <c r="C20" s="314">
        <v>-71209.78</v>
      </c>
      <c r="D20" s="314">
        <f t="shared" si="0"/>
        <v>479662.49</v>
      </c>
      <c r="E20" s="314">
        <v>448691.94</v>
      </c>
      <c r="F20" s="314">
        <v>0</v>
      </c>
      <c r="G20" s="317">
        <f t="shared" si="1"/>
        <v>30970.549999999988</v>
      </c>
      <c r="H20" s="308"/>
    </row>
    <row r="21" spans="1:8" ht="16.05" customHeight="1">
      <c r="A21" s="316">
        <f t="shared" si="2"/>
        <v>43770</v>
      </c>
      <c r="B21" s="314">
        <v>560237.74</v>
      </c>
      <c r="C21" s="314">
        <v>-71209.78</v>
      </c>
      <c r="D21" s="314">
        <f t="shared" si="0"/>
        <v>489027.95999999996</v>
      </c>
      <c r="E21" s="314">
        <v>449408.67</v>
      </c>
      <c r="F21" s="314">
        <v>129</v>
      </c>
      <c r="G21" s="317">
        <f t="shared" si="1"/>
        <v>39490.289999999979</v>
      </c>
      <c r="H21" s="308"/>
    </row>
    <row r="22" spans="1:8" ht="16.05" customHeight="1">
      <c r="A22" s="318">
        <f t="shared" si="2"/>
        <v>43800</v>
      </c>
      <c r="B22" s="319">
        <v>583109.76</v>
      </c>
      <c r="C22" s="319">
        <v>-71209.78</v>
      </c>
      <c r="D22" s="319">
        <f t="shared" si="0"/>
        <v>511899.98</v>
      </c>
      <c r="E22" s="319">
        <v>454866.51</v>
      </c>
      <c r="F22" s="319">
        <v>0</v>
      </c>
      <c r="G22" s="319">
        <f t="shared" si="1"/>
        <v>57033.469999999972</v>
      </c>
      <c r="H22" s="308"/>
    </row>
    <row r="23" spans="1:8" s="308" customFormat="1" ht="16.05" customHeight="1" thickBot="1">
      <c r="A23" s="313"/>
      <c r="B23" s="320"/>
      <c r="C23" s="320"/>
      <c r="D23" s="320"/>
      <c r="F23" s="321" t="str">
        <f>+"TOTAL for Year, "&amp;TEXT(A11,"mm/yy")&amp;" - "&amp;TEXT(A22,"mm/yy")</f>
        <v>TOTAL for Year, 01/19 - 12/19</v>
      </c>
      <c r="G23" s="322">
        <f>SUM(G11:G22)</f>
        <v>430411.42999999982</v>
      </c>
    </row>
    <row r="24" spans="1:8" s="308" customFormat="1" ht="15.75" customHeight="1" thickTop="1"/>
    <row r="25" spans="1:8" s="308" customFormat="1" ht="15.75" customHeight="1"/>
    <row r="26" spans="1:8" s="308" customFormat="1" ht="15.75" customHeight="1">
      <c r="A26" s="323"/>
      <c r="B26" s="324"/>
    </row>
    <row r="27" spans="1:8" s="308" customFormat="1" ht="15.6">
      <c r="A27" s="309" t="s">
        <v>390</v>
      </c>
      <c r="B27" s="310" t="s">
        <v>391</v>
      </c>
      <c r="C27" s="310" t="s">
        <v>392</v>
      </c>
      <c r="D27" s="310" t="s">
        <v>393</v>
      </c>
      <c r="E27" s="310" t="s">
        <v>394</v>
      </c>
      <c r="F27" s="310" t="s">
        <v>395</v>
      </c>
      <c r="G27" s="310" t="s">
        <v>396</v>
      </c>
    </row>
    <row r="28" spans="1:8" s="308" customFormat="1" ht="15.75" customHeight="1">
      <c r="A28" s="537" t="s">
        <v>382</v>
      </c>
      <c r="B28" s="536" t="s">
        <v>160</v>
      </c>
      <c r="C28" s="536" t="s">
        <v>383</v>
      </c>
      <c r="D28" s="536" t="s">
        <v>384</v>
      </c>
      <c r="E28" s="536" t="s">
        <v>385</v>
      </c>
      <c r="F28" s="536" t="s">
        <v>386</v>
      </c>
      <c r="G28" s="536" t="s">
        <v>387</v>
      </c>
    </row>
    <row r="29" spans="1:8" s="308" customFormat="1" ht="15.75" customHeight="1">
      <c r="A29" s="537"/>
      <c r="B29" s="537"/>
      <c r="C29" s="537"/>
      <c r="D29" s="537"/>
      <c r="E29" s="537"/>
      <c r="F29" s="539"/>
      <c r="G29" s="537"/>
    </row>
    <row r="30" spans="1:8" s="308" customFormat="1" ht="15.75" customHeight="1">
      <c r="A30" s="538"/>
      <c r="B30" s="538"/>
      <c r="C30" s="538"/>
      <c r="D30" s="538"/>
      <c r="E30" s="538"/>
      <c r="F30" s="538"/>
      <c r="G30" s="538"/>
    </row>
    <row r="31" spans="1:8" s="308" customFormat="1" ht="15.6">
      <c r="A31" s="311"/>
      <c r="B31" s="312"/>
      <c r="C31" s="312"/>
      <c r="D31" s="312" t="s">
        <v>397</v>
      </c>
      <c r="E31" s="312"/>
      <c r="F31" s="312"/>
      <c r="G31" s="311" t="s">
        <v>398</v>
      </c>
    </row>
    <row r="32" spans="1:8" s="308" customFormat="1" ht="15.6">
      <c r="A32" s="325">
        <f>A11</f>
        <v>43466</v>
      </c>
      <c r="B32" s="314">
        <v>180877.03999999998</v>
      </c>
      <c r="C32" s="314">
        <v>-2168.41</v>
      </c>
      <c r="D32" s="314">
        <f t="shared" ref="D32:D43" si="3">B32+C32</f>
        <v>178708.62999999998</v>
      </c>
      <c r="E32" s="314">
        <v>267589.3</v>
      </c>
      <c r="F32" s="314">
        <v>60350</v>
      </c>
      <c r="G32" s="315">
        <f>D32-E32-F32</f>
        <v>-149230.67000000001</v>
      </c>
    </row>
    <row r="33" spans="1:7" ht="15.6">
      <c r="A33" s="316">
        <f t="shared" ref="A33:A43" si="4">A12</f>
        <v>43497</v>
      </c>
      <c r="B33" s="314">
        <v>180877.03999999998</v>
      </c>
      <c r="C33" s="314">
        <v>-2168.41</v>
      </c>
      <c r="D33" s="314">
        <f t="shared" si="3"/>
        <v>178708.62999999998</v>
      </c>
      <c r="E33" s="314">
        <v>300883.21000000002</v>
      </c>
      <c r="F33" s="314">
        <v>-71983</v>
      </c>
      <c r="G33" s="317">
        <f t="shared" ref="G33:G43" si="5">D33-E33-F33</f>
        <v>-50191.580000000045</v>
      </c>
    </row>
    <row r="34" spans="1:7" ht="15.6">
      <c r="A34" s="316">
        <f t="shared" si="4"/>
        <v>43525</v>
      </c>
      <c r="B34" s="314">
        <v>180877.03999999998</v>
      </c>
      <c r="C34" s="314">
        <v>-2168.41</v>
      </c>
      <c r="D34" s="314">
        <f t="shared" si="3"/>
        <v>178708.62999999998</v>
      </c>
      <c r="E34" s="314">
        <v>249416.33</v>
      </c>
      <c r="F34" s="314">
        <v>-19698</v>
      </c>
      <c r="G34" s="317">
        <f t="shared" si="5"/>
        <v>-51009.700000000012</v>
      </c>
    </row>
    <row r="35" spans="1:7" ht="15.6">
      <c r="A35" s="316">
        <f t="shared" si="4"/>
        <v>43556</v>
      </c>
      <c r="B35" s="314">
        <v>180877.03999999998</v>
      </c>
      <c r="C35" s="314">
        <v>-2168.41</v>
      </c>
      <c r="D35" s="314">
        <f t="shared" si="3"/>
        <v>178708.62999999998</v>
      </c>
      <c r="E35" s="314">
        <v>141425.26999999999</v>
      </c>
      <c r="F35" s="314">
        <v>-60509</v>
      </c>
      <c r="G35" s="317">
        <f t="shared" si="5"/>
        <v>97792.359999999986</v>
      </c>
    </row>
    <row r="36" spans="1:7" ht="15.6">
      <c r="A36" s="316">
        <f t="shared" si="4"/>
        <v>43586</v>
      </c>
      <c r="B36" s="314">
        <v>185680.69</v>
      </c>
      <c r="C36" s="314">
        <v>-12425.76</v>
      </c>
      <c r="D36" s="314">
        <f t="shared" si="3"/>
        <v>173254.93</v>
      </c>
      <c r="E36" s="314">
        <v>82521.47</v>
      </c>
      <c r="F36" s="314">
        <v>-7132</v>
      </c>
      <c r="G36" s="317">
        <f t="shared" si="5"/>
        <v>97865.459999999992</v>
      </c>
    </row>
    <row r="37" spans="1:7" ht="15.6">
      <c r="A37" s="316">
        <f t="shared" si="4"/>
        <v>43617</v>
      </c>
      <c r="B37" s="314">
        <v>185680.69</v>
      </c>
      <c r="C37" s="314">
        <v>-22683.14</v>
      </c>
      <c r="D37" s="314">
        <f t="shared" si="3"/>
        <v>162997.54999999999</v>
      </c>
      <c r="E37" s="314">
        <v>66586.100000000006</v>
      </c>
      <c r="F37" s="314">
        <v>-5541</v>
      </c>
      <c r="G37" s="317">
        <f t="shared" si="5"/>
        <v>101952.44999999998</v>
      </c>
    </row>
    <row r="38" spans="1:7" ht="15.6">
      <c r="A38" s="316">
        <f t="shared" si="4"/>
        <v>43647</v>
      </c>
      <c r="B38" s="314">
        <v>185680.69</v>
      </c>
      <c r="C38" s="314">
        <v>-22683.14</v>
      </c>
      <c r="D38" s="314">
        <f t="shared" si="3"/>
        <v>162997.54999999999</v>
      </c>
      <c r="E38" s="314">
        <v>56690.05</v>
      </c>
      <c r="F38" s="314">
        <v>-3521</v>
      </c>
      <c r="G38" s="317">
        <f t="shared" si="5"/>
        <v>109828.49999999999</v>
      </c>
    </row>
    <row r="39" spans="1:7" ht="15.6">
      <c r="A39" s="316">
        <f t="shared" si="4"/>
        <v>43678</v>
      </c>
      <c r="B39" s="314">
        <v>185680.69</v>
      </c>
      <c r="C39" s="314">
        <v>-22683.14</v>
      </c>
      <c r="D39" s="314">
        <f t="shared" si="3"/>
        <v>162997.54999999999</v>
      </c>
      <c r="E39" s="314">
        <v>51313.49</v>
      </c>
      <c r="F39" s="314">
        <v>3532</v>
      </c>
      <c r="G39" s="317">
        <f t="shared" si="5"/>
        <v>108152.06</v>
      </c>
    </row>
    <row r="40" spans="1:7" ht="15.6">
      <c r="A40" s="316">
        <f t="shared" si="4"/>
        <v>43709</v>
      </c>
      <c r="B40" s="314">
        <v>185680.69</v>
      </c>
      <c r="C40" s="314">
        <v>-22683.14</v>
      </c>
      <c r="D40" s="314">
        <f t="shared" si="3"/>
        <v>162997.54999999999</v>
      </c>
      <c r="E40" s="314">
        <v>53163.53</v>
      </c>
      <c r="F40" s="314">
        <v>2955</v>
      </c>
      <c r="G40" s="317">
        <f t="shared" si="5"/>
        <v>106879.01999999999</v>
      </c>
    </row>
    <row r="41" spans="1:7" ht="15.6">
      <c r="A41" s="316">
        <f t="shared" si="4"/>
        <v>43739</v>
      </c>
      <c r="B41" s="314">
        <v>185680.69</v>
      </c>
      <c r="C41" s="314">
        <v>-22683.14</v>
      </c>
      <c r="D41" s="314">
        <f t="shared" si="3"/>
        <v>162997.54999999999</v>
      </c>
      <c r="E41" s="314">
        <v>66507.240000000005</v>
      </c>
      <c r="F41" s="314">
        <v>44389</v>
      </c>
      <c r="G41" s="317">
        <f t="shared" si="5"/>
        <v>52101.309999999983</v>
      </c>
    </row>
    <row r="42" spans="1:7" ht="15.6">
      <c r="A42" s="316">
        <f t="shared" si="4"/>
        <v>43770</v>
      </c>
      <c r="B42" s="314">
        <v>185680.69</v>
      </c>
      <c r="C42" s="314">
        <v>-22683.14</v>
      </c>
      <c r="D42" s="314">
        <f t="shared" si="3"/>
        <v>162997.54999999999</v>
      </c>
      <c r="E42" s="314">
        <v>198430.59</v>
      </c>
      <c r="F42" s="314">
        <v>128637</v>
      </c>
      <c r="G42" s="317">
        <f t="shared" si="5"/>
        <v>-164070.04</v>
      </c>
    </row>
    <row r="43" spans="1:7" ht="15.6">
      <c r="A43" s="318">
        <f t="shared" si="4"/>
        <v>43800</v>
      </c>
      <c r="B43" s="319">
        <v>185680.69</v>
      </c>
      <c r="C43" s="319">
        <v>-22683.14</v>
      </c>
      <c r="D43" s="319">
        <f t="shared" si="3"/>
        <v>162997.54999999999</v>
      </c>
      <c r="E43" s="319">
        <v>387771.52</v>
      </c>
      <c r="F43" s="319">
        <v>-14287</v>
      </c>
      <c r="G43" s="319">
        <f t="shared" si="5"/>
        <v>-210486.97000000003</v>
      </c>
    </row>
    <row r="44" spans="1:7" ht="16.2" thickBot="1">
      <c r="A44" s="313"/>
      <c r="B44" s="320"/>
      <c r="C44" s="320"/>
      <c r="D44" s="320"/>
      <c r="F44" s="321" t="str">
        <f>+"TOTAL for Year, "&amp;TEXT(A32,"mm/yy")&amp;" - "&amp;TEXT(A43,"mm/yy")</f>
        <v>TOTAL for Year, 01/19 - 12/19</v>
      </c>
      <c r="G44" s="322">
        <f>SUM(G32:G43)</f>
        <v>49582.199999999866</v>
      </c>
    </row>
    <row r="45" spans="1:7" ht="13.8" thickTop="1"/>
  </sheetData>
  <mergeCells count="14">
    <mergeCell ref="G7:G9"/>
    <mergeCell ref="A28:A30"/>
    <mergeCell ref="B28:B30"/>
    <mergeCell ref="C28:C30"/>
    <mergeCell ref="D28:D30"/>
    <mergeCell ref="E28:E30"/>
    <mergeCell ref="F28:F30"/>
    <mergeCell ref="G28:G30"/>
    <mergeCell ref="A7:A9"/>
    <mergeCell ref="B7:B9"/>
    <mergeCell ref="C7:C9"/>
    <mergeCell ref="D7:D9"/>
    <mergeCell ref="E7:E9"/>
    <mergeCell ref="F7:F9"/>
  </mergeCells>
  <pageMargins left="1" right="0.5" top="1.8" bottom="0.5" header="0.28000000000000003" footer="0"/>
  <pageSetup scale="77" orientation="portrait" r:id="rId1"/>
  <headerFooter scaleWithDoc="0" alignWithMargins="0">
    <oddHeader>&amp;R&amp;"Times New Roman,Bold"Exhibit 3
Page 1 of 4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'201804 Bk Depr'!R13</f>
        <v>6063058.7300000004</v>
      </c>
      <c r="H13" s="1">
        <f>1.62%/12</f>
        <v>1.3500000000000003E-3</v>
      </c>
      <c r="J13" s="365">
        <f>F13*H13</f>
        <v>8185.129285500002</v>
      </c>
      <c r="L13" s="366">
        <f>'Cap&amp;OpEx 2018'!G10</f>
        <v>155674.85</v>
      </c>
      <c r="N13" s="365">
        <f>H13*L13*0.5</f>
        <v>105.08052375000003</v>
      </c>
      <c r="P13" s="365">
        <f>J13+N13</f>
        <v>8290.2098092500019</v>
      </c>
      <c r="R13" s="365">
        <f>L13+F13</f>
        <v>6218733.5800000001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'201804 Bk Depr'!R14</f>
        <v>2278225.5</v>
      </c>
      <c r="H14" s="1">
        <f>3.24%/12</f>
        <v>2.7000000000000006E-3</v>
      </c>
      <c r="J14" s="365">
        <f>F14*H14</f>
        <v>6151.2088500000009</v>
      </c>
      <c r="L14" s="366">
        <f>'Cap&amp;OpEx 2018'!G12</f>
        <v>185738.66</v>
      </c>
      <c r="N14" s="365">
        <f>H14*L14*0.5</f>
        <v>250.74719100000007</v>
      </c>
      <c r="P14" s="365">
        <f>J14+N14</f>
        <v>6401.9560410000013</v>
      </c>
      <c r="R14" s="365">
        <f>L14+F14</f>
        <v>2463964.1600000001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'201804 Bk Depr'!R15</f>
        <v>7208924.7600000007</v>
      </c>
      <c r="H15" s="1">
        <f t="shared" ref="H15:H16" si="1">3.24%/12</f>
        <v>2.7000000000000006E-3</v>
      </c>
      <c r="J15" s="365">
        <f>F15*H15</f>
        <v>19464.096852000006</v>
      </c>
      <c r="L15" s="366">
        <f>'Cap&amp;OpEx 2018'!G13</f>
        <v>1265.82</v>
      </c>
      <c r="N15" s="365">
        <f>H15*L15*0.5</f>
        <v>1.7088570000000003</v>
      </c>
      <c r="P15" s="365">
        <f>J15+N15</f>
        <v>19465.805709000007</v>
      </c>
      <c r="R15" s="365">
        <f>L15+F15</f>
        <v>7210190.580000001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'201804 Bk Depr'!R16</f>
        <v>6594506.7600000016</v>
      </c>
      <c r="H16" s="1">
        <f t="shared" si="1"/>
        <v>2.7000000000000006E-3</v>
      </c>
      <c r="J16" s="365">
        <f>F16*H16</f>
        <v>17805.168252000007</v>
      </c>
      <c r="L16" s="367">
        <f>'Cap&amp;OpEx 2018'!G14</f>
        <v>857857.34</v>
      </c>
      <c r="N16" s="365">
        <f>H16*L16*0.5</f>
        <v>1158.1074090000002</v>
      </c>
      <c r="P16" s="365">
        <f>J16+N16</f>
        <v>18963.275661000007</v>
      </c>
      <c r="R16" s="365">
        <f>L16+F16</f>
        <v>7452364.1000000015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22144715.750000004</v>
      </c>
      <c r="J17" s="363">
        <f>SUM(J13:J16)</f>
        <v>51605.603239500007</v>
      </c>
      <c r="L17" s="363">
        <f>SUM(L13:L16)</f>
        <v>1200536.67</v>
      </c>
      <c r="N17" s="363">
        <f>SUM(N13:N16)</f>
        <v>1515.6439807500003</v>
      </c>
      <c r="P17" s="363">
        <f>SUM(P13:P16)</f>
        <v>53121.247220250021</v>
      </c>
      <c r="R17" s="363">
        <f>SUM(R13:R16)</f>
        <v>23345252.420000002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'201804 Bk Depr'!R20</f>
        <v>0</v>
      </c>
      <c r="H20" s="1">
        <f>1.62%/12</f>
        <v>1.3500000000000003E-3</v>
      </c>
      <c r="J20" s="365">
        <f>F20*H20</f>
        <v>0</v>
      </c>
      <c r="L20" s="366">
        <f>'Cap&amp;OpEx 2018'!G17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'201804 Bk Depr'!R21</f>
        <v>0</v>
      </c>
      <c r="H21" s="1">
        <f>3.24%/12</f>
        <v>2.7000000000000006E-3</v>
      </c>
      <c r="J21" s="365">
        <f>F21*H21</f>
        <v>0</v>
      </c>
      <c r="L21" s="366">
        <f>'Cap&amp;OpEx 2018'!G19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'201804 Bk Depr'!R22</f>
        <v>0</v>
      </c>
      <c r="H22" s="1">
        <f>3.24%/12</f>
        <v>2.7000000000000006E-3</v>
      </c>
      <c r="J22" s="365">
        <f>F22*H22</f>
        <v>0</v>
      </c>
      <c r="L22" s="367">
        <f>'Cap&amp;OpEx 2018'!G20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22144715.750000004</v>
      </c>
      <c r="J25" s="364">
        <f>J17+J23</f>
        <v>51605.603239500007</v>
      </c>
      <c r="L25" s="364">
        <f>L17+L23</f>
        <v>1200536.67</v>
      </c>
      <c r="N25" s="364">
        <f>N17+N23</f>
        <v>1515.6439807500003</v>
      </c>
      <c r="P25" s="364">
        <f>P17+P23</f>
        <v>53121.247220250021</v>
      </c>
      <c r="R25" s="364">
        <f>R17+R23</f>
        <v>23345252.420000002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'201804 Bk Depr'!R28</f>
        <v>1841863.77</v>
      </c>
      <c r="J28" s="365"/>
      <c r="L28" s="366">
        <f>'Cap&amp;OpEx 2018'!G25</f>
        <v>80314.19</v>
      </c>
      <c r="N28" s="365"/>
      <c r="P28" s="365"/>
      <c r="R28" s="365">
        <f>L28+F28</f>
        <v>1922177.96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'201804 Bk Depr'!R29</f>
        <v>404407.83</v>
      </c>
      <c r="J29" s="365"/>
      <c r="L29" s="366">
        <f>'Cap&amp;OpEx 2018'!G27</f>
        <v>71699.88</v>
      </c>
      <c r="N29" s="365"/>
      <c r="P29" s="365"/>
      <c r="R29" s="365">
        <f>L29+F29</f>
        <v>476107.71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'201804 Bk Depr'!R30</f>
        <v>0</v>
      </c>
      <c r="J30" s="365"/>
      <c r="L30" s="367">
        <f>'Cap&amp;OpEx 2018'!G28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2246271.6</v>
      </c>
      <c r="J31" s="363">
        <f>SUM(J28:J30)</f>
        <v>0</v>
      </c>
      <c r="L31" s="363">
        <f>SUM(L28:L30)</f>
        <v>152014.07</v>
      </c>
      <c r="N31" s="363">
        <f>SUM(N28:N30)</f>
        <v>0</v>
      </c>
      <c r="P31" s="363">
        <f>SUM(P28:P30)</f>
        <v>0</v>
      </c>
      <c r="R31" s="363">
        <f>SUM(R28:R30)</f>
        <v>2398285.67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'201805 Bk Depr'!R13</f>
        <v>6218733.5800000001</v>
      </c>
      <c r="H13" s="1">
        <f>1.62%/12</f>
        <v>1.3500000000000003E-3</v>
      </c>
      <c r="J13" s="365">
        <f>F13*H13</f>
        <v>8395.2903330000026</v>
      </c>
      <c r="L13" s="366">
        <f>'Cap&amp;OpEx 2018'!H10</f>
        <v>359379.56</v>
      </c>
      <c r="N13" s="365">
        <f>H13*L13*0.5</f>
        <v>242.58120300000004</v>
      </c>
      <c r="P13" s="365">
        <f>J13+N13</f>
        <v>8637.8715360000024</v>
      </c>
      <c r="R13" s="365">
        <f>L13+F13</f>
        <v>6578113.1399999997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'201805 Bk Depr'!R14</f>
        <v>2463964.1600000001</v>
      </c>
      <c r="H14" s="1">
        <f>3.24%/12</f>
        <v>2.7000000000000006E-3</v>
      </c>
      <c r="J14" s="365">
        <f>F14*H14</f>
        <v>6652.7032320000017</v>
      </c>
      <c r="L14" s="366">
        <f>'Cap&amp;OpEx 2018'!H12</f>
        <v>155681.91</v>
      </c>
      <c r="N14" s="365">
        <f>H14*L14*0.5</f>
        <v>210.17057850000006</v>
      </c>
      <c r="P14" s="365">
        <f>J14+N14</f>
        <v>6862.873810500002</v>
      </c>
      <c r="R14" s="365">
        <f>L14+F14</f>
        <v>2619646.0700000003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'201805 Bk Depr'!R15</f>
        <v>7210190.580000001</v>
      </c>
      <c r="H15" s="1">
        <f t="shared" ref="H15:H16" si="1">3.24%/12</f>
        <v>2.7000000000000006E-3</v>
      </c>
      <c r="J15" s="365">
        <f>F15*H15</f>
        <v>19467.514566000005</v>
      </c>
      <c r="L15" s="366">
        <f>'Cap&amp;OpEx 2018'!H13</f>
        <v>2.44</v>
      </c>
      <c r="N15" s="365">
        <f>H15*L15*0.5</f>
        <v>3.2940000000000005E-3</v>
      </c>
      <c r="P15" s="365">
        <f>J15+N15</f>
        <v>19467.517860000004</v>
      </c>
      <c r="R15" s="365">
        <f>L15+F15</f>
        <v>7210193.0200000014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'201805 Bk Depr'!R16</f>
        <v>7452364.1000000015</v>
      </c>
      <c r="H16" s="1">
        <f t="shared" si="1"/>
        <v>2.7000000000000006E-3</v>
      </c>
      <c r="J16" s="365">
        <f>F16*H16</f>
        <v>20121.383070000007</v>
      </c>
      <c r="L16" s="367">
        <f>'Cap&amp;OpEx 2018'!H14</f>
        <v>643434.71</v>
      </c>
      <c r="N16" s="365">
        <f>H16*L16*0.5</f>
        <v>868.63685850000013</v>
      </c>
      <c r="P16" s="365">
        <f>J16+N16</f>
        <v>20990.019928500009</v>
      </c>
      <c r="R16" s="365">
        <f>L16+F16</f>
        <v>8095798.8100000015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23345252.420000002</v>
      </c>
      <c r="J17" s="363">
        <f>SUM(J13:J16)</f>
        <v>54636.89120100002</v>
      </c>
      <c r="L17" s="363">
        <f>SUM(L13:L16)</f>
        <v>1158498.6199999999</v>
      </c>
      <c r="N17" s="363">
        <f>SUM(N13:N16)</f>
        <v>1321.3919340000002</v>
      </c>
      <c r="P17" s="363">
        <f>SUM(P13:P16)</f>
        <v>55958.28313500002</v>
      </c>
      <c r="R17" s="363">
        <f>SUM(R13:R16)</f>
        <v>24503751.040000003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'201805 Bk Depr'!R20</f>
        <v>0</v>
      </c>
      <c r="H20" s="1">
        <f>1.62%/12</f>
        <v>1.3500000000000003E-3</v>
      </c>
      <c r="J20" s="365">
        <f>F20*H20</f>
        <v>0</v>
      </c>
      <c r="L20" s="366">
        <f>'Cap&amp;OpEx 2018'!H17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'201805 Bk Depr'!R21</f>
        <v>0</v>
      </c>
      <c r="H21" s="1">
        <f>3.24%/12</f>
        <v>2.7000000000000006E-3</v>
      </c>
      <c r="J21" s="365">
        <f>F21*H21</f>
        <v>0</v>
      </c>
      <c r="L21" s="366">
        <f>'Cap&amp;OpEx 2018'!H19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'201805 Bk Depr'!R22</f>
        <v>0</v>
      </c>
      <c r="H22" s="1">
        <f>3.24%/12</f>
        <v>2.7000000000000006E-3</v>
      </c>
      <c r="J22" s="365">
        <f>F22*H22</f>
        <v>0</v>
      </c>
      <c r="L22" s="367">
        <f>'Cap&amp;OpEx 2018'!H20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23345252.420000002</v>
      </c>
      <c r="J25" s="364">
        <f>J17+J23</f>
        <v>54636.89120100002</v>
      </c>
      <c r="L25" s="364">
        <f>L17+L23</f>
        <v>1158498.6199999999</v>
      </c>
      <c r="N25" s="364">
        <f>N17+N23</f>
        <v>1321.3919340000002</v>
      </c>
      <c r="P25" s="364">
        <f>P17+P23</f>
        <v>55958.28313500002</v>
      </c>
      <c r="R25" s="364">
        <f>R17+R23</f>
        <v>24503751.040000003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'201805 Bk Depr'!R28</f>
        <v>1922177.96</v>
      </c>
      <c r="J28" s="365"/>
      <c r="L28" s="366">
        <f>'Cap&amp;OpEx 2018'!H25</f>
        <v>825.37</v>
      </c>
      <c r="N28" s="365"/>
      <c r="P28" s="365"/>
      <c r="R28" s="365">
        <f>L28+F28</f>
        <v>1923003.33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'201805 Bk Depr'!R29</f>
        <v>476107.71</v>
      </c>
      <c r="J29" s="365"/>
      <c r="L29" s="366">
        <f>'Cap&amp;OpEx 2018'!H27</f>
        <v>160791.88</v>
      </c>
      <c r="N29" s="365"/>
      <c r="P29" s="365"/>
      <c r="R29" s="365">
        <f>L29+F29</f>
        <v>636899.59000000008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'201805 Bk Depr'!R30</f>
        <v>0</v>
      </c>
      <c r="J30" s="365"/>
      <c r="L30" s="367">
        <f>'Cap&amp;OpEx 2018'!H28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2398285.67</v>
      </c>
      <c r="J31" s="363">
        <f>SUM(J28:J30)</f>
        <v>0</v>
      </c>
      <c r="L31" s="363">
        <f>SUM(L28:L30)</f>
        <v>161617.25</v>
      </c>
      <c r="N31" s="363">
        <f>SUM(N28:N30)</f>
        <v>0</v>
      </c>
      <c r="P31" s="363">
        <f>SUM(P28:P30)</f>
        <v>0</v>
      </c>
      <c r="R31" s="363">
        <f>SUM(R28:R30)</f>
        <v>2559902.92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269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'201806 Bk Depr'!R13</f>
        <v>6578113.1399999997</v>
      </c>
      <c r="H13" s="1">
        <f>1.62%/12</f>
        <v>1.3500000000000003E-3</v>
      </c>
      <c r="J13" s="365">
        <f>F13*H13</f>
        <v>8880.4527390000021</v>
      </c>
      <c r="L13" s="366">
        <f>'Cap&amp;OpEx 2018'!I10</f>
        <v>367756.20999999996</v>
      </c>
      <c r="N13" s="365">
        <f>H13*L13*0.5</f>
        <v>248.23544175000004</v>
      </c>
      <c r="P13" s="365">
        <f>J13+N13</f>
        <v>9128.6881807500013</v>
      </c>
      <c r="R13" s="365">
        <f>L13+F13</f>
        <v>6945869.3499999996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'201806 Bk Depr'!R14</f>
        <v>2619646.0700000003</v>
      </c>
      <c r="H14" s="1">
        <f>3.24%/12</f>
        <v>2.7000000000000006E-3</v>
      </c>
      <c r="J14" s="365">
        <f>F14*H14</f>
        <v>7073.0443890000024</v>
      </c>
      <c r="L14" s="366">
        <f>'Cap&amp;OpEx 2018'!I12</f>
        <v>212446.9</v>
      </c>
      <c r="N14" s="365">
        <f>H14*L14*0.5</f>
        <v>286.80331500000005</v>
      </c>
      <c r="P14" s="365">
        <f>J14+N14</f>
        <v>7359.8477040000025</v>
      </c>
      <c r="R14" s="365">
        <f>L14+F14</f>
        <v>2832092.97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'201806 Bk Depr'!R15</f>
        <v>7210193.0200000014</v>
      </c>
      <c r="H15" s="1">
        <f t="shared" ref="H15:H16" si="1">3.24%/12</f>
        <v>2.7000000000000006E-3</v>
      </c>
      <c r="J15" s="365">
        <f>F15*H15</f>
        <v>19467.521154000009</v>
      </c>
      <c r="L15" s="366">
        <f>'Cap&amp;OpEx 2018'!I13</f>
        <v>0</v>
      </c>
      <c r="N15" s="365">
        <f>H15*L15*0.5</f>
        <v>0</v>
      </c>
      <c r="P15" s="365">
        <f>J15+N15</f>
        <v>19467.521154000009</v>
      </c>
      <c r="R15" s="365">
        <f>L15+F15</f>
        <v>7210193.0200000014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'201806 Bk Depr'!R16</f>
        <v>8095798.8100000015</v>
      </c>
      <c r="H16" s="1">
        <f t="shared" si="1"/>
        <v>2.7000000000000006E-3</v>
      </c>
      <c r="J16" s="365">
        <f>F16*H16</f>
        <v>21858.656787000007</v>
      </c>
      <c r="L16" s="367">
        <f>'Cap&amp;OpEx 2018'!I14</f>
        <v>1026715.98</v>
      </c>
      <c r="N16" s="365">
        <f>H16*L16*0.5</f>
        <v>1386.0665730000003</v>
      </c>
      <c r="P16" s="365">
        <f>J16+N16</f>
        <v>23244.723360000007</v>
      </c>
      <c r="R16" s="365">
        <f>L16+F16</f>
        <v>9122514.790000001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24503751.040000003</v>
      </c>
      <c r="J17" s="363">
        <f>SUM(J13:J16)</f>
        <v>57279.675069000019</v>
      </c>
      <c r="L17" s="363">
        <f>SUM(L13:L16)</f>
        <v>1606919.0899999999</v>
      </c>
      <c r="N17" s="363">
        <f>SUM(N13:N16)</f>
        <v>1921.1053297500002</v>
      </c>
      <c r="P17" s="363">
        <f>SUM(P13:P16)</f>
        <v>59200.780398750023</v>
      </c>
      <c r="R17" s="363">
        <f>SUM(R13:R16)</f>
        <v>26110670.130000003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'201806 Bk Depr'!R20</f>
        <v>0</v>
      </c>
      <c r="H20" s="1">
        <f>1.62%/12</f>
        <v>1.3500000000000003E-3</v>
      </c>
      <c r="J20" s="365">
        <f>F20*H20</f>
        <v>0</v>
      </c>
      <c r="L20" s="366">
        <f>'Cap&amp;OpEx 2018'!I17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'201806 Bk Depr'!R21</f>
        <v>0</v>
      </c>
      <c r="H21" s="1">
        <f>3.24%/12</f>
        <v>2.7000000000000006E-3</v>
      </c>
      <c r="J21" s="365">
        <f>F21*H21</f>
        <v>0</v>
      </c>
      <c r="L21" s="366">
        <f>'Cap&amp;OpEx 2018'!I19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'201806 Bk Depr'!R22</f>
        <v>0</v>
      </c>
      <c r="H22" s="1">
        <f>3.24%/12</f>
        <v>2.7000000000000006E-3</v>
      </c>
      <c r="J22" s="365">
        <f>F22*H22</f>
        <v>0</v>
      </c>
      <c r="L22" s="367">
        <f>'Cap&amp;OpEx 2018'!I20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24503751.040000003</v>
      </c>
      <c r="J25" s="364">
        <f>J17+J23</f>
        <v>57279.675069000019</v>
      </c>
      <c r="L25" s="364">
        <f>L17+L23</f>
        <v>1606919.0899999999</v>
      </c>
      <c r="N25" s="364">
        <f>N17+N23</f>
        <v>1921.1053297500002</v>
      </c>
      <c r="P25" s="364">
        <f>P17+P23</f>
        <v>59200.780398750023</v>
      </c>
      <c r="R25" s="364">
        <f>R17+R23</f>
        <v>26110670.130000003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'201806 Bk Depr'!R28</f>
        <v>1923003.33</v>
      </c>
      <c r="J28" s="365"/>
      <c r="L28" s="366">
        <f>'Cap&amp;OpEx 2018'!I25</f>
        <v>0</v>
      </c>
      <c r="N28" s="365"/>
      <c r="P28" s="365"/>
      <c r="R28" s="365">
        <f>L28+F28</f>
        <v>1923003.33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'201806 Bk Depr'!R29</f>
        <v>636899.59000000008</v>
      </c>
      <c r="J29" s="365"/>
      <c r="L29" s="366">
        <f>'Cap&amp;OpEx 2018'!I27</f>
        <v>111769.92</v>
      </c>
      <c r="N29" s="365"/>
      <c r="P29" s="365"/>
      <c r="R29" s="365">
        <f>L29+F29</f>
        <v>748669.51000000013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'201806 Bk Depr'!R30</f>
        <v>0</v>
      </c>
      <c r="J30" s="365"/>
      <c r="L30" s="367">
        <f>'Cap&amp;OpEx 2018'!I28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2559902.92</v>
      </c>
      <c r="J31" s="363">
        <f>SUM(J28:J30)</f>
        <v>0</v>
      </c>
      <c r="L31" s="363">
        <f>SUM(L28:L30)</f>
        <v>111769.92</v>
      </c>
      <c r="N31" s="363">
        <f>SUM(N28:N30)</f>
        <v>0</v>
      </c>
      <c r="P31" s="363">
        <f>SUM(P28:P30)</f>
        <v>0</v>
      </c>
      <c r="R31" s="363">
        <f>SUM(R28:R30)</f>
        <v>2671672.8400000003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270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'201807 Bk Depr'!R13</f>
        <v>6945869.3499999996</v>
      </c>
      <c r="H13" s="1">
        <f>1.62%/12</f>
        <v>1.3500000000000003E-3</v>
      </c>
      <c r="J13" s="365">
        <f>F13*H13</f>
        <v>9376.9236225000022</v>
      </c>
      <c r="L13" s="366">
        <f>'Cap&amp;OpEx 2018'!J10</f>
        <v>319635.06</v>
      </c>
      <c r="N13" s="365">
        <f>H13*L13*0.5</f>
        <v>215.75366550000004</v>
      </c>
      <c r="P13" s="365">
        <f>J13+N13</f>
        <v>9592.6772880000026</v>
      </c>
      <c r="R13" s="365">
        <f>L13+F13</f>
        <v>7265504.4099999992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'201807 Bk Depr'!R14</f>
        <v>2832092.97</v>
      </c>
      <c r="H14" s="1">
        <f>3.24%/12</f>
        <v>2.7000000000000006E-3</v>
      </c>
      <c r="J14" s="365">
        <f>F14*H14</f>
        <v>7646.6510190000026</v>
      </c>
      <c r="L14" s="366">
        <f>'Cap&amp;OpEx 2018'!J12</f>
        <v>190760.71999999997</v>
      </c>
      <c r="N14" s="365">
        <f>H14*L14*0.5</f>
        <v>257.526972</v>
      </c>
      <c r="P14" s="365">
        <f>J14+N14</f>
        <v>7904.1779910000023</v>
      </c>
      <c r="R14" s="365">
        <f>L14+F14</f>
        <v>3022853.6900000004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'201807 Bk Depr'!R15</f>
        <v>7210193.0200000014</v>
      </c>
      <c r="H15" s="1">
        <f t="shared" ref="H15:H16" si="1">3.24%/12</f>
        <v>2.7000000000000006E-3</v>
      </c>
      <c r="J15" s="365">
        <f>F15*H15</f>
        <v>19467.521154000009</v>
      </c>
      <c r="L15" s="366">
        <f>'Cap&amp;OpEx 2018'!J13</f>
        <v>0</v>
      </c>
      <c r="N15" s="365">
        <f>H15*L15*0.5</f>
        <v>0</v>
      </c>
      <c r="P15" s="365">
        <f>J15+N15</f>
        <v>19467.521154000009</v>
      </c>
      <c r="R15" s="365">
        <f>L15+F15</f>
        <v>7210193.0200000014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'201807 Bk Depr'!R16</f>
        <v>9122514.790000001</v>
      </c>
      <c r="H16" s="1">
        <f t="shared" si="1"/>
        <v>2.7000000000000006E-3</v>
      </c>
      <c r="J16" s="365">
        <f>F16*H16</f>
        <v>24630.789933000007</v>
      </c>
      <c r="L16" s="367">
        <f>'Cap&amp;OpEx 2018'!J14</f>
        <v>935701.8</v>
      </c>
      <c r="N16" s="365">
        <f>H16*L16*0.5</f>
        <v>1263.1974300000004</v>
      </c>
      <c r="P16" s="365">
        <f>J16+N16</f>
        <v>25893.987363000007</v>
      </c>
      <c r="R16" s="365">
        <f>L16+F16</f>
        <v>10058216.590000002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26110670.130000003</v>
      </c>
      <c r="J17" s="363">
        <f>SUM(J13:J16)</f>
        <v>61121.885728500019</v>
      </c>
      <c r="L17" s="363">
        <f>SUM(L13:L16)</f>
        <v>1446097.58</v>
      </c>
      <c r="N17" s="363">
        <f>SUM(N13:N16)</f>
        <v>1736.4780675000004</v>
      </c>
      <c r="P17" s="363">
        <f>SUM(P13:P16)</f>
        <v>62858.36379600002</v>
      </c>
      <c r="R17" s="363">
        <f>SUM(R13:R16)</f>
        <v>27556767.710000001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'201807 Bk Depr'!R20</f>
        <v>0</v>
      </c>
      <c r="H20" s="1">
        <f>1.62%/12</f>
        <v>1.3500000000000003E-3</v>
      </c>
      <c r="J20" s="365">
        <f>F20*H20</f>
        <v>0</v>
      </c>
      <c r="L20" s="366">
        <f>'Cap&amp;OpEx 2018'!J17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'201807 Bk Depr'!R21</f>
        <v>0</v>
      </c>
      <c r="H21" s="1">
        <f>3.24%/12</f>
        <v>2.7000000000000006E-3</v>
      </c>
      <c r="J21" s="365">
        <f>F21*H21</f>
        <v>0</v>
      </c>
      <c r="L21" s="366">
        <f>'Cap&amp;OpEx 2018'!J19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'201807 Bk Depr'!R22</f>
        <v>0</v>
      </c>
      <c r="H22" s="1">
        <f>3.24%/12</f>
        <v>2.7000000000000006E-3</v>
      </c>
      <c r="J22" s="365">
        <f>F22*H22</f>
        <v>0</v>
      </c>
      <c r="L22" s="367">
        <f>'Cap&amp;OpEx 2018'!J20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26110670.130000003</v>
      </c>
      <c r="J25" s="364">
        <f>J17+J23</f>
        <v>61121.885728500019</v>
      </c>
      <c r="L25" s="364">
        <f>L17+L23</f>
        <v>1446097.58</v>
      </c>
      <c r="N25" s="364">
        <f>N17+N23</f>
        <v>1736.4780675000004</v>
      </c>
      <c r="P25" s="364">
        <f>P17+P23</f>
        <v>62858.36379600002</v>
      </c>
      <c r="R25" s="364">
        <f>R17+R23</f>
        <v>27556767.710000001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'201807 Bk Depr'!R28</f>
        <v>1923003.33</v>
      </c>
      <c r="J28" s="365"/>
      <c r="L28" s="366">
        <f>'Cap&amp;OpEx 2018'!J25</f>
        <v>82.15</v>
      </c>
      <c r="N28" s="365"/>
      <c r="P28" s="365"/>
      <c r="R28" s="365">
        <f>L28+F28</f>
        <v>1923085.48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'201807 Bk Depr'!R29</f>
        <v>748669.51000000013</v>
      </c>
      <c r="J29" s="365"/>
      <c r="L29" s="366">
        <f>'Cap&amp;OpEx 2018'!J27</f>
        <v>130326.40000000001</v>
      </c>
      <c r="N29" s="365"/>
      <c r="P29" s="365"/>
      <c r="R29" s="365">
        <f>L29+F29</f>
        <v>878995.91000000015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'201807 Bk Depr'!R30</f>
        <v>0</v>
      </c>
      <c r="J30" s="365"/>
      <c r="L30" s="367">
        <f>'Cap&amp;OpEx 2018'!J28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2671672.8400000003</v>
      </c>
      <c r="J31" s="363">
        <f>SUM(J28:J30)</f>
        <v>0</v>
      </c>
      <c r="L31" s="363">
        <f>SUM(L28:L30)</f>
        <v>130408.55</v>
      </c>
      <c r="N31" s="363">
        <f>SUM(N28:N30)</f>
        <v>0</v>
      </c>
      <c r="P31" s="363">
        <f>SUM(P28:P30)</f>
        <v>0</v>
      </c>
      <c r="R31" s="363">
        <f>SUM(R28:R30)</f>
        <v>2802081.39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271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'201808 Bk Depr'!R13</f>
        <v>7265504.4099999992</v>
      </c>
      <c r="H13" s="1">
        <f>1.62%/12</f>
        <v>1.3500000000000003E-3</v>
      </c>
      <c r="J13" s="365">
        <f>F13*H13</f>
        <v>9808.4309535000011</v>
      </c>
      <c r="L13" s="366">
        <f>'Cap&amp;OpEx 2018'!K10</f>
        <v>659951.6</v>
      </c>
      <c r="N13" s="365">
        <f>H13*L13*0.5</f>
        <v>445.46733000000006</v>
      </c>
      <c r="P13" s="365">
        <f>J13+N13</f>
        <v>10253.898283500001</v>
      </c>
      <c r="R13" s="365">
        <f>L13+F13</f>
        <v>7925456.0099999988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'201808 Bk Depr'!R14</f>
        <v>3022853.6900000004</v>
      </c>
      <c r="H14" s="1">
        <f>3.24%/12</f>
        <v>2.7000000000000006E-3</v>
      </c>
      <c r="J14" s="365">
        <f>F14*H14</f>
        <v>8161.7049630000029</v>
      </c>
      <c r="L14" s="366">
        <f>'Cap&amp;OpEx 2018'!K12</f>
        <v>219448.24</v>
      </c>
      <c r="N14" s="365">
        <f>H14*L14*0.5</f>
        <v>296.25512400000002</v>
      </c>
      <c r="P14" s="365">
        <f>J14+N14</f>
        <v>8457.9600870000031</v>
      </c>
      <c r="R14" s="365">
        <f>L14+F14</f>
        <v>3242301.9300000006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'201808 Bk Depr'!R15</f>
        <v>7210193.0200000014</v>
      </c>
      <c r="H15" s="1">
        <f t="shared" ref="H15:H16" si="1">3.24%/12</f>
        <v>2.7000000000000006E-3</v>
      </c>
      <c r="J15" s="365">
        <f>F15*H15</f>
        <v>19467.521154000009</v>
      </c>
      <c r="L15" s="366">
        <f>'Cap&amp;OpEx 2018'!K13</f>
        <v>0</v>
      </c>
      <c r="N15" s="365">
        <f>H15*L15*0.5</f>
        <v>0</v>
      </c>
      <c r="P15" s="365">
        <f>J15+N15</f>
        <v>19467.521154000009</v>
      </c>
      <c r="R15" s="365">
        <f>L15+F15</f>
        <v>7210193.0200000014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'201808 Bk Depr'!R16</f>
        <v>10058216.590000002</v>
      </c>
      <c r="H16" s="1">
        <f t="shared" si="1"/>
        <v>2.7000000000000006E-3</v>
      </c>
      <c r="J16" s="365">
        <f>F16*H16</f>
        <v>27157.184793000011</v>
      </c>
      <c r="L16" s="367">
        <f>'Cap&amp;OpEx 2018'!K14</f>
        <v>1057508.4100000001</v>
      </c>
      <c r="N16" s="365">
        <f>H16*L16*0.5</f>
        <v>1427.6363535000005</v>
      </c>
      <c r="P16" s="365">
        <f>J16+N16</f>
        <v>28584.821146500013</v>
      </c>
      <c r="R16" s="365">
        <f>L16+F16</f>
        <v>11115725.000000002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27556767.710000001</v>
      </c>
      <c r="J17" s="363">
        <f>SUM(J13:J16)</f>
        <v>64594.841863500027</v>
      </c>
      <c r="L17" s="363">
        <f>SUM(L13:L16)</f>
        <v>1936908.25</v>
      </c>
      <c r="N17" s="363">
        <f>SUM(N13:N16)</f>
        <v>2169.3588075000007</v>
      </c>
      <c r="P17" s="363">
        <f>SUM(P13:P16)</f>
        <v>66764.200671000028</v>
      </c>
      <c r="R17" s="363">
        <f>SUM(R13:R16)</f>
        <v>29493675.960000001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'201808 Bk Depr'!R20</f>
        <v>0</v>
      </c>
      <c r="H20" s="1">
        <f>1.62%/12</f>
        <v>1.3500000000000003E-3</v>
      </c>
      <c r="J20" s="365">
        <f>F20*H20</f>
        <v>0</v>
      </c>
      <c r="L20" s="366">
        <f>'Cap&amp;OpEx 2018'!K17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'201808 Bk Depr'!R21</f>
        <v>0</v>
      </c>
      <c r="H21" s="1">
        <f>3.24%/12</f>
        <v>2.7000000000000006E-3</v>
      </c>
      <c r="J21" s="365">
        <f>F21*H21</f>
        <v>0</v>
      </c>
      <c r="L21" s="366">
        <f>'Cap&amp;OpEx 2018'!K19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'201808 Bk Depr'!R22</f>
        <v>0</v>
      </c>
      <c r="H22" s="1">
        <f>3.24%/12</f>
        <v>2.7000000000000006E-3</v>
      </c>
      <c r="J22" s="365">
        <f>F22*H22</f>
        <v>0</v>
      </c>
      <c r="L22" s="367">
        <f>'Cap&amp;OpEx 2018'!K20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27556767.710000001</v>
      </c>
      <c r="J25" s="364">
        <f>J17+J23</f>
        <v>64594.841863500027</v>
      </c>
      <c r="L25" s="364">
        <f>L17+L23</f>
        <v>1936908.25</v>
      </c>
      <c r="N25" s="364">
        <f>N17+N23</f>
        <v>2169.3588075000007</v>
      </c>
      <c r="P25" s="364">
        <f>P17+P23</f>
        <v>66764.200671000028</v>
      </c>
      <c r="R25" s="364">
        <f>R17+R23</f>
        <v>29493675.960000001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'201808 Bk Depr'!R28</f>
        <v>1923085.48</v>
      </c>
      <c r="J28" s="365"/>
      <c r="L28" s="366">
        <f>'Cap&amp;OpEx 2018'!K25</f>
        <v>320.45</v>
      </c>
      <c r="N28" s="365"/>
      <c r="P28" s="365"/>
      <c r="R28" s="365">
        <f>L28+F28</f>
        <v>1923405.93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'201808 Bk Depr'!R29</f>
        <v>878995.91000000015</v>
      </c>
      <c r="J29" s="365"/>
      <c r="L29" s="366">
        <f>'Cap&amp;OpEx 2018'!K27</f>
        <v>141672.99</v>
      </c>
      <c r="N29" s="365"/>
      <c r="P29" s="365"/>
      <c r="R29" s="365">
        <f>L29+F29</f>
        <v>1020668.9000000001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'201808 Bk Depr'!R30</f>
        <v>0</v>
      </c>
      <c r="J30" s="365"/>
      <c r="L30" s="367">
        <f>'Cap&amp;OpEx 2018'!K28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2802081.39</v>
      </c>
      <c r="J31" s="363">
        <f>SUM(J28:J30)</f>
        <v>0</v>
      </c>
      <c r="L31" s="363">
        <f>SUM(L28:L30)</f>
        <v>141993.44</v>
      </c>
      <c r="N31" s="363">
        <f>SUM(N28:N30)</f>
        <v>0</v>
      </c>
      <c r="P31" s="363">
        <f>SUM(P28:P30)</f>
        <v>0</v>
      </c>
      <c r="R31" s="363">
        <f>SUM(R28:R30)</f>
        <v>2944074.83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'201809 Bk Depr'!R13</f>
        <v>7925456.0099999988</v>
      </c>
      <c r="H13" s="1">
        <f>1.62%/12</f>
        <v>1.3500000000000003E-3</v>
      </c>
      <c r="J13" s="365">
        <f>F13*H13</f>
        <v>10699.3656135</v>
      </c>
      <c r="L13" s="366">
        <f>'Cap&amp;OpEx 2018'!L10</f>
        <v>-527966.99999999942</v>
      </c>
      <c r="N13" s="365">
        <f>H13*L13*0.5</f>
        <v>-356.37772499999966</v>
      </c>
      <c r="P13" s="365">
        <f>J13+N13</f>
        <v>10342.9878885</v>
      </c>
      <c r="R13" s="365">
        <f>L13+F13</f>
        <v>7397489.0099999998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'201809 Bk Depr'!R14</f>
        <v>3242301.9300000006</v>
      </c>
      <c r="H14" s="1">
        <f>3.24%/12</f>
        <v>2.7000000000000006E-3</v>
      </c>
      <c r="J14" s="365">
        <f>F14*H14</f>
        <v>8754.2152110000043</v>
      </c>
      <c r="L14" s="366">
        <f>'Cap&amp;OpEx 2018'!L12</f>
        <v>579899.66</v>
      </c>
      <c r="N14" s="365">
        <f>H14*L14*0.5</f>
        <v>782.86454100000026</v>
      </c>
      <c r="P14" s="365">
        <f>J14+N14</f>
        <v>9537.0797520000051</v>
      </c>
      <c r="R14" s="365">
        <f>L14+F14</f>
        <v>3822201.5900000008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'201809 Bk Depr'!R15</f>
        <v>7210193.0200000014</v>
      </c>
      <c r="H15" s="1">
        <f t="shared" ref="H15:H16" si="1">3.24%/12</f>
        <v>2.7000000000000006E-3</v>
      </c>
      <c r="J15" s="365">
        <f>F15*H15</f>
        <v>19467.521154000009</v>
      </c>
      <c r="L15" s="366">
        <f>'Cap&amp;OpEx 2018'!L13</f>
        <v>0</v>
      </c>
      <c r="N15" s="365">
        <f>H15*L15*0.5</f>
        <v>0</v>
      </c>
      <c r="P15" s="365">
        <f>J15+N15</f>
        <v>19467.521154000009</v>
      </c>
      <c r="R15" s="365">
        <f>L15+F15</f>
        <v>7210193.0200000014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'201809 Bk Depr'!R16</f>
        <v>11115725.000000002</v>
      </c>
      <c r="H16" s="1">
        <f t="shared" si="1"/>
        <v>2.7000000000000006E-3</v>
      </c>
      <c r="J16" s="365">
        <f>F16*H16</f>
        <v>30012.457500000011</v>
      </c>
      <c r="L16" s="367">
        <f>'Cap&amp;OpEx 2018'!L14</f>
        <v>1123898.9699999997</v>
      </c>
      <c r="N16" s="365">
        <f>H16*L16*0.5</f>
        <v>1517.2636095</v>
      </c>
      <c r="P16" s="365">
        <f>J16+N16</f>
        <v>31529.721109500013</v>
      </c>
      <c r="R16" s="365">
        <f>L16+F16</f>
        <v>12239623.970000003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29493675.960000001</v>
      </c>
      <c r="J17" s="363">
        <f>SUM(J13:J16)</f>
        <v>68933.559478500014</v>
      </c>
      <c r="L17" s="363">
        <f>SUM(L13:L16)</f>
        <v>1175831.6300000004</v>
      </c>
      <c r="N17" s="363">
        <f>SUM(N13:N16)</f>
        <v>1943.7504255000006</v>
      </c>
      <c r="P17" s="363">
        <f>SUM(P13:P16)</f>
        <v>70877.309904000023</v>
      </c>
      <c r="R17" s="363">
        <f>SUM(R13:R16)</f>
        <v>30669507.590000007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'201809 Bk Depr'!R20</f>
        <v>0</v>
      </c>
      <c r="H20" s="1">
        <f>1.62%/12</f>
        <v>1.3500000000000003E-3</v>
      </c>
      <c r="J20" s="365">
        <f>F20*H20</f>
        <v>0</v>
      </c>
      <c r="L20" s="366">
        <f>'Cap&amp;OpEx 2018'!L17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'201809 Bk Depr'!R21</f>
        <v>0</v>
      </c>
      <c r="H21" s="1">
        <f>3.24%/12</f>
        <v>2.7000000000000006E-3</v>
      </c>
      <c r="J21" s="365">
        <f>F21*H21</f>
        <v>0</v>
      </c>
      <c r="L21" s="366">
        <f>'Cap&amp;OpEx 2018'!L19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'201809 Bk Depr'!R22</f>
        <v>0</v>
      </c>
      <c r="H22" s="1">
        <f>3.24%/12</f>
        <v>2.7000000000000006E-3</v>
      </c>
      <c r="J22" s="365">
        <f>F22*H22</f>
        <v>0</v>
      </c>
      <c r="L22" s="367">
        <f>'Cap&amp;OpEx 2018'!L20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29493675.960000001</v>
      </c>
      <c r="J25" s="364">
        <f>J17+J23</f>
        <v>68933.559478500014</v>
      </c>
      <c r="L25" s="364">
        <f>L17+L23</f>
        <v>1175831.6300000004</v>
      </c>
      <c r="N25" s="364">
        <f>N17+N23</f>
        <v>1943.7504255000006</v>
      </c>
      <c r="P25" s="364">
        <f>P17+P23</f>
        <v>70877.309904000023</v>
      </c>
      <c r="R25" s="364">
        <f>R17+R23</f>
        <v>30669507.590000007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'201809 Bk Depr'!R28</f>
        <v>1923405.93</v>
      </c>
      <c r="J28" s="365"/>
      <c r="L28" s="366">
        <f>'Cap&amp;OpEx 2018'!L25</f>
        <v>0</v>
      </c>
      <c r="N28" s="365"/>
      <c r="P28" s="365"/>
      <c r="R28" s="365">
        <f>L28+F28</f>
        <v>1923405.93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'201809 Bk Depr'!R29</f>
        <v>1020668.9000000001</v>
      </c>
      <c r="J29" s="365"/>
      <c r="L29" s="366">
        <f>'Cap&amp;OpEx 2018'!L27</f>
        <v>188866.91999999998</v>
      </c>
      <c r="N29" s="365"/>
      <c r="P29" s="365"/>
      <c r="R29" s="365">
        <f>L29+F29</f>
        <v>1209535.82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'201809 Bk Depr'!R30</f>
        <v>0</v>
      </c>
      <c r="J30" s="365"/>
      <c r="L30" s="367">
        <f>'Cap&amp;OpEx 2018'!L28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2944074.83</v>
      </c>
      <c r="J31" s="363">
        <f>SUM(J28:J30)</f>
        <v>0</v>
      </c>
      <c r="L31" s="363">
        <f>SUM(L28:L30)</f>
        <v>188866.91999999998</v>
      </c>
      <c r="N31" s="363">
        <f>SUM(N28:N30)</f>
        <v>0</v>
      </c>
      <c r="P31" s="363">
        <f>SUM(P28:P30)</f>
        <v>0</v>
      </c>
      <c r="R31" s="363">
        <f>SUM(R28:R30)</f>
        <v>3132941.75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'201810 Bk Depr'!R13</f>
        <v>7397489.0099999998</v>
      </c>
      <c r="H13" s="1">
        <f>1.62%/12</f>
        <v>1.3500000000000003E-3</v>
      </c>
      <c r="J13" s="365">
        <f>F13*H13</f>
        <v>9986.6101635000014</v>
      </c>
      <c r="L13" s="366">
        <f>'Cap&amp;OpEx 2018'!M10</f>
        <v>-341364.04</v>
      </c>
      <c r="N13" s="413">
        <f>H13*L13*0.5+1886.44</f>
        <v>1656.0192730000001</v>
      </c>
      <c r="P13" s="365">
        <f>J13+N13</f>
        <v>11642.629436500001</v>
      </c>
      <c r="R13" s="365">
        <f>L13+F13</f>
        <v>7056124.9699999997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'201810 Bk Depr'!R14</f>
        <v>3822201.5900000008</v>
      </c>
      <c r="H14" s="1">
        <f>3.24%/12</f>
        <v>2.7000000000000006E-3</v>
      </c>
      <c r="J14" s="365">
        <f>F14*H14</f>
        <v>10319.944293000004</v>
      </c>
      <c r="L14" s="366">
        <f>'Cap&amp;OpEx 2018'!M12</f>
        <v>886834.86000000022</v>
      </c>
      <c r="N14" s="413">
        <f>H14*L14*0.5+2192.73</f>
        <v>3389.9570610000005</v>
      </c>
      <c r="P14" s="365">
        <f>J14+N14</f>
        <v>13709.901354000005</v>
      </c>
      <c r="R14" s="365">
        <f>L14+F14</f>
        <v>4709036.4500000011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'201810 Bk Depr'!R15</f>
        <v>7210193.0200000014</v>
      </c>
      <c r="H15" s="1">
        <f t="shared" ref="H15:H16" si="1">3.24%/12</f>
        <v>2.7000000000000006E-3</v>
      </c>
      <c r="J15" s="365">
        <f>F15*H15</f>
        <v>19467.521154000009</v>
      </c>
      <c r="L15" s="366">
        <f>'Cap&amp;OpEx 2018'!M13</f>
        <v>7187.22</v>
      </c>
      <c r="N15" s="365">
        <f>H15*L15*0.5</f>
        <v>9.7027470000000022</v>
      </c>
      <c r="P15" s="365">
        <f>J15+N15</f>
        <v>19477.223901000008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'201810 Bk Depr'!R16</f>
        <v>12239623.970000003</v>
      </c>
      <c r="H16" s="1">
        <f t="shared" si="1"/>
        <v>2.7000000000000006E-3</v>
      </c>
      <c r="J16" s="365">
        <f>F16*H16</f>
        <v>33046.984719000015</v>
      </c>
      <c r="L16" s="367">
        <f>'Cap&amp;OpEx 2018'!M14</f>
        <v>2577173.36</v>
      </c>
      <c r="N16" s="365">
        <f>H16*L16*0.5</f>
        <v>3479.1840360000006</v>
      </c>
      <c r="P16" s="365">
        <f>J16+N16</f>
        <v>36526.168755000013</v>
      </c>
      <c r="R16" s="365">
        <f>L16+F16</f>
        <v>14816797.330000002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30669507.590000007</v>
      </c>
      <c r="J17" s="363">
        <f>SUM(J13:J16)</f>
        <v>72821.060329500033</v>
      </c>
      <c r="L17" s="363">
        <f>SUM(L13:L16)</f>
        <v>3129831.4000000004</v>
      </c>
      <c r="N17" s="363">
        <f>SUM(N13:N16)</f>
        <v>8534.8631170000008</v>
      </c>
      <c r="P17" s="363">
        <f>SUM(P13:P16)</f>
        <v>81355.923446500034</v>
      </c>
      <c r="R17" s="363">
        <f>SUM(R13:R16)</f>
        <v>33799338.99000001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'201810 Bk Depr'!R20</f>
        <v>0</v>
      </c>
      <c r="H20" s="1">
        <f>1.62%/12</f>
        <v>1.3500000000000003E-3</v>
      </c>
      <c r="J20" s="365">
        <f>F20*H20</f>
        <v>0</v>
      </c>
      <c r="L20" s="366">
        <f>'Cap&amp;OpEx 2018'!M17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'201810 Bk Depr'!R21</f>
        <v>0</v>
      </c>
      <c r="H21" s="1">
        <f>3.24%/12</f>
        <v>2.7000000000000006E-3</v>
      </c>
      <c r="J21" s="365">
        <f>F21*H21</f>
        <v>0</v>
      </c>
      <c r="L21" s="366">
        <f>'Cap&amp;OpEx 2018'!M19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'201810 Bk Depr'!R22</f>
        <v>0</v>
      </c>
      <c r="H22" s="1">
        <f>3.24%/12</f>
        <v>2.7000000000000006E-3</v>
      </c>
      <c r="J22" s="365">
        <f>F22*H22</f>
        <v>0</v>
      </c>
      <c r="L22" s="367">
        <f>'Cap&amp;OpEx 2018'!M20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30669507.590000007</v>
      </c>
      <c r="J25" s="364">
        <f>J17+J23</f>
        <v>72821.060329500033</v>
      </c>
      <c r="L25" s="364">
        <f>L17+L23</f>
        <v>3129831.4000000004</v>
      </c>
      <c r="N25" s="364">
        <f>N17+N23</f>
        <v>8534.8631170000008</v>
      </c>
      <c r="P25" s="364">
        <f>P17+P23</f>
        <v>81355.923446500034</v>
      </c>
      <c r="R25" s="364">
        <f>R17+R23</f>
        <v>33799338.99000001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'201810 Bk Depr'!R28</f>
        <v>1923405.93</v>
      </c>
      <c r="J28" s="365"/>
      <c r="L28" s="366">
        <f>'Cap&amp;OpEx 2018'!M25</f>
        <v>2387.9699999999998</v>
      </c>
      <c r="N28" s="365"/>
      <c r="P28" s="365"/>
      <c r="R28" s="365">
        <f>L28+F28</f>
        <v>1925793.9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'201810 Bk Depr'!R29</f>
        <v>1209535.82</v>
      </c>
      <c r="J29" s="365"/>
      <c r="L29" s="366">
        <f>'Cap&amp;OpEx 2018'!M27</f>
        <v>163792.39000000001</v>
      </c>
      <c r="N29" s="365"/>
      <c r="P29" s="365"/>
      <c r="R29" s="365">
        <f>L29+F29</f>
        <v>1373328.21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'201810 Bk Depr'!R30</f>
        <v>0</v>
      </c>
      <c r="J30" s="365"/>
      <c r="L30" s="367">
        <f>'Cap&amp;OpEx 2018'!M28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3132941.75</v>
      </c>
      <c r="J31" s="363">
        <f>SUM(J28:J30)</f>
        <v>0</v>
      </c>
      <c r="L31" s="363">
        <f>SUM(L28:L30)</f>
        <v>166180.36000000002</v>
      </c>
      <c r="N31" s="363">
        <f>SUM(N28:N30)</f>
        <v>0</v>
      </c>
      <c r="P31" s="363">
        <f>SUM(P28:P30)</f>
        <v>0</v>
      </c>
      <c r="R31" s="363">
        <f>SUM(R28:R30)</f>
        <v>3299122.11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274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1">
        <f>'201811 Bk Depr'!R13</f>
        <v>7056124.9699999997</v>
      </c>
      <c r="H13" s="1">
        <f>1.62%/12</f>
        <v>1.3500000000000003E-3</v>
      </c>
      <c r="J13" s="365">
        <f>F13*H13</f>
        <v>9525.7687095000019</v>
      </c>
      <c r="L13" s="366">
        <f>'Cap&amp;OpEx 2018'!N10</f>
        <v>132974.97999999992</v>
      </c>
      <c r="N13" s="365">
        <f>H13*L13*0.5</f>
        <v>89.75811149999997</v>
      </c>
      <c r="P13" s="365">
        <f>J13+N13</f>
        <v>9615.5268210000013</v>
      </c>
      <c r="R13" s="365">
        <f>L13+F13</f>
        <v>7189099.9499999993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1">
        <f>'201811 Bk Depr'!R14</f>
        <v>4709036.4500000011</v>
      </c>
      <c r="H14" s="1">
        <f>3.24%/12</f>
        <v>2.7000000000000006E-3</v>
      </c>
      <c r="J14" s="365">
        <f>F14*H14</f>
        <v>12714.398415000005</v>
      </c>
      <c r="L14" s="366">
        <f>'Cap&amp;OpEx 2018'!N12</f>
        <v>316.39</v>
      </c>
      <c r="N14" s="365">
        <f>H14*L14*0.5</f>
        <v>0.42712650000000008</v>
      </c>
      <c r="P14" s="365">
        <f>J14+N14</f>
        <v>12714.825541500006</v>
      </c>
      <c r="R14" s="365">
        <f>L14+F14</f>
        <v>4709352.8400000008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1">
        <f>'201811 Bk Depr'!R15</f>
        <v>7217380.2400000012</v>
      </c>
      <c r="H15" s="1">
        <f t="shared" ref="H15:H16" si="1">3.24%/12</f>
        <v>2.7000000000000006E-3</v>
      </c>
      <c r="J15" s="365">
        <f>F15*H15</f>
        <v>19486.926648000008</v>
      </c>
      <c r="L15" s="366">
        <f>'Cap&amp;OpEx 2018'!N13</f>
        <v>0</v>
      </c>
      <c r="N15" s="365">
        <f>H15*L15*0.5</f>
        <v>0</v>
      </c>
      <c r="P15" s="365">
        <f>J15+N15</f>
        <v>19486.926648000008</v>
      </c>
      <c r="R15" s="365">
        <f>L15+F15</f>
        <v>7217380.2400000012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2">
        <f>'201811 Bk Depr'!R16</f>
        <v>14816797.330000002</v>
      </c>
      <c r="H16" s="1">
        <f t="shared" si="1"/>
        <v>2.7000000000000006E-3</v>
      </c>
      <c r="J16" s="365">
        <f>F16*H16</f>
        <v>40005.352791000012</v>
      </c>
      <c r="L16" s="367">
        <f>'Cap&amp;OpEx 2018'!N14</f>
        <v>1183367.19</v>
      </c>
      <c r="N16" s="365">
        <f>H16*L16*0.5</f>
        <v>1597.5457065000003</v>
      </c>
      <c r="P16" s="365">
        <f>J16+N16</f>
        <v>41602.898497500013</v>
      </c>
      <c r="R16" s="365">
        <f>L16+F16</f>
        <v>16000164.520000001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33799338.99000001</v>
      </c>
      <c r="J17" s="363">
        <f>SUM(J13:J16)</f>
        <v>81732.446563500023</v>
      </c>
      <c r="L17" s="363">
        <f>SUM(L13:L16)</f>
        <v>1316658.5599999998</v>
      </c>
      <c r="N17" s="363">
        <f>SUM(N13:N16)</f>
        <v>1687.7309445000003</v>
      </c>
      <c r="P17" s="363">
        <f>SUM(P13:P16)</f>
        <v>83420.177508000022</v>
      </c>
      <c r="R17" s="363">
        <f>SUM(R13:R16)</f>
        <v>35115997.550000004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1">
        <f>'201811 Bk Depr'!R20</f>
        <v>0</v>
      </c>
      <c r="H20" s="1">
        <f>1.62%/12</f>
        <v>1.3500000000000003E-3</v>
      </c>
      <c r="J20" s="365">
        <f>F20*H20</f>
        <v>0</v>
      </c>
      <c r="L20" s="366">
        <f>'Cap&amp;OpEx 2018'!N17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1">
        <f>'201811 Bk Depr'!R21</f>
        <v>0</v>
      </c>
      <c r="H21" s="1">
        <f>3.24%/12</f>
        <v>2.7000000000000006E-3</v>
      </c>
      <c r="J21" s="365">
        <f>F21*H21</f>
        <v>0</v>
      </c>
      <c r="L21" s="366">
        <f>'Cap&amp;OpEx 2018'!N19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2">
        <f>'201811 Bk Depr'!R22</f>
        <v>0</v>
      </c>
      <c r="H22" s="1">
        <f>3.24%/12</f>
        <v>2.7000000000000006E-3</v>
      </c>
      <c r="J22" s="365">
        <f>F22*H22</f>
        <v>0</v>
      </c>
      <c r="L22" s="367">
        <f>'Cap&amp;OpEx 2018'!N20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33799338.99000001</v>
      </c>
      <c r="J25" s="364">
        <f>J17+J23</f>
        <v>81732.446563500023</v>
      </c>
      <c r="L25" s="364">
        <f>L17+L23</f>
        <v>1316658.5599999998</v>
      </c>
      <c r="N25" s="364">
        <f>N17+N23</f>
        <v>1687.7309445000003</v>
      </c>
      <c r="P25" s="364">
        <f>P17+P23</f>
        <v>83420.177508000022</v>
      </c>
      <c r="R25" s="364">
        <f>R17+R23</f>
        <v>35115997.550000004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1">
        <f>'201811 Bk Depr'!R28</f>
        <v>1925793.9</v>
      </c>
      <c r="J28" s="365"/>
      <c r="L28" s="366">
        <f>'Cap&amp;OpEx 2018'!N25</f>
        <v>178.61</v>
      </c>
      <c r="N28" s="365"/>
      <c r="P28" s="365"/>
      <c r="R28" s="365">
        <f>L28+F28</f>
        <v>1925972.51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1">
        <f>'201811 Bk Depr'!R29</f>
        <v>1373328.21</v>
      </c>
      <c r="J29" s="365"/>
      <c r="L29" s="366">
        <f>'Cap&amp;OpEx 2018'!N27</f>
        <v>166854.06000000003</v>
      </c>
      <c r="N29" s="365"/>
      <c r="P29" s="365"/>
      <c r="R29" s="365">
        <f>L29+F29</f>
        <v>1540182.27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2">
        <f>'201811 Bk Depr'!R30</f>
        <v>0</v>
      </c>
      <c r="J30" s="365"/>
      <c r="L30" s="367">
        <f>'Cap&amp;OpEx 2018'!N28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3299122.11</v>
      </c>
      <c r="J31" s="363">
        <f>SUM(J28:J30)</f>
        <v>0</v>
      </c>
      <c r="L31" s="363">
        <f>SUM(L28:L30)</f>
        <v>167032.67000000001</v>
      </c>
      <c r="N31" s="363">
        <f>SUM(N28:N30)</f>
        <v>0</v>
      </c>
      <c r="P31" s="363">
        <f>SUM(P28:P30)</f>
        <v>0</v>
      </c>
      <c r="R31" s="363">
        <f>SUM(R28:R30)</f>
        <v>3466154.7800000003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Y91"/>
  <sheetViews>
    <sheetView workbookViewId="0"/>
  </sheetViews>
  <sheetFormatPr defaultColWidth="9.21875" defaultRowHeight="13.2"/>
  <cols>
    <col min="1" max="1" width="5.21875" style="52" customWidth="1"/>
    <col min="2" max="2" width="3.21875" style="52" customWidth="1"/>
    <col min="3" max="3" width="11.77734375" style="52" customWidth="1"/>
    <col min="4" max="4" width="11.77734375" style="52" hidden="1" customWidth="1"/>
    <col min="5" max="5" width="1.21875" style="52" customWidth="1"/>
    <col min="6" max="6" width="6.21875" style="52" bestFit="1" customWidth="1"/>
    <col min="7" max="7" width="14.21875" style="52" bestFit="1" customWidth="1"/>
    <col min="8" max="8" width="14.21875" style="52" customWidth="1"/>
    <col min="9" max="9" width="15" style="52" bestFit="1" customWidth="1"/>
    <col min="10" max="10" width="13.77734375" style="52" bestFit="1" customWidth="1"/>
    <col min="11" max="11" width="14.44140625" style="52" bestFit="1" customWidth="1"/>
    <col min="12" max="12" width="13.77734375" style="52" bestFit="1" customWidth="1"/>
    <col min="13" max="13" width="11.5546875" style="52" bestFit="1" customWidth="1"/>
    <col min="14" max="14" width="10.77734375" style="52" customWidth="1"/>
    <col min="15" max="15" width="11.44140625" style="52" customWidth="1"/>
    <col min="16" max="16" width="11.21875" style="52" customWidth="1"/>
    <col min="17" max="17" width="14.77734375" style="52" customWidth="1"/>
    <col min="18" max="18" width="12" style="52" customWidth="1"/>
    <col min="19" max="19" width="9.21875" style="52"/>
    <col min="20" max="20" width="13.77734375" style="52" customWidth="1"/>
    <col min="21" max="21" width="9.5546875" style="52" bestFit="1" customWidth="1"/>
    <col min="22" max="22" width="12.21875" style="52" bestFit="1" customWidth="1"/>
    <col min="23" max="23" width="9.21875" style="52"/>
    <col min="24" max="24" width="11.77734375" style="52" customWidth="1"/>
    <col min="25" max="16384" width="9.21875" style="52"/>
  </cols>
  <sheetData>
    <row r="1" spans="1:25" ht="17.399999999999999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5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5" ht="17.399999999999999">
      <c r="A3" s="192" t="s">
        <v>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5">
      <c r="A4" s="53"/>
    </row>
    <row r="6" spans="1:25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5" ht="26.4">
      <c r="A7" s="54"/>
      <c r="B7" s="54"/>
      <c r="C7" s="55" t="s">
        <v>191</v>
      </c>
      <c r="D7" s="54" t="s">
        <v>25</v>
      </c>
      <c r="E7" s="54"/>
      <c r="F7" s="54"/>
      <c r="G7" s="54">
        <v>2017</v>
      </c>
      <c r="H7" s="54">
        <v>2018</v>
      </c>
      <c r="I7" s="54"/>
      <c r="J7" s="54" t="s">
        <v>35</v>
      </c>
      <c r="K7" s="54"/>
      <c r="L7" s="54"/>
      <c r="M7" s="55" t="s">
        <v>181</v>
      </c>
      <c r="N7" s="55" t="s">
        <v>182</v>
      </c>
      <c r="O7" s="55" t="s">
        <v>187</v>
      </c>
      <c r="P7" s="55" t="s">
        <v>189</v>
      </c>
      <c r="Q7" s="54" t="s">
        <v>41</v>
      </c>
      <c r="R7" s="55" t="s">
        <v>164</v>
      </c>
      <c r="S7" s="55"/>
      <c r="T7" s="55" t="s">
        <v>236</v>
      </c>
    </row>
    <row r="8" spans="1:25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188</v>
      </c>
      <c r="P8" s="54" t="s">
        <v>190</v>
      </c>
      <c r="Q8" s="54" t="s">
        <v>40</v>
      </c>
      <c r="R8" s="54" t="s">
        <v>237</v>
      </c>
      <c r="S8" s="54" t="s">
        <v>164</v>
      </c>
      <c r="T8" s="54" t="s">
        <v>40</v>
      </c>
    </row>
    <row r="9" spans="1:25">
      <c r="A9" s="185" t="s">
        <v>5</v>
      </c>
      <c r="B9" s="185"/>
      <c r="C9" s="185" t="s">
        <v>2</v>
      </c>
      <c r="D9" s="185" t="s">
        <v>2</v>
      </c>
      <c r="E9" s="185"/>
      <c r="F9" s="185" t="s">
        <v>108</v>
      </c>
      <c r="G9" s="185" t="s">
        <v>20</v>
      </c>
      <c r="H9" s="226" t="s">
        <v>20</v>
      </c>
      <c r="I9" s="185" t="s">
        <v>0</v>
      </c>
      <c r="J9" s="185" t="s">
        <v>37</v>
      </c>
      <c r="K9" s="185" t="s">
        <v>0</v>
      </c>
      <c r="L9" s="185" t="s">
        <v>39</v>
      </c>
      <c r="M9" s="56" t="s">
        <v>348</v>
      </c>
      <c r="N9" s="56" t="s">
        <v>186</v>
      </c>
      <c r="O9" s="56" t="s">
        <v>348</v>
      </c>
      <c r="P9" s="56" t="s">
        <v>12</v>
      </c>
      <c r="Q9" s="185" t="s">
        <v>42</v>
      </c>
      <c r="R9" s="56" t="s">
        <v>238</v>
      </c>
      <c r="S9" s="56" t="s">
        <v>239</v>
      </c>
      <c r="T9" s="185" t="s">
        <v>42</v>
      </c>
    </row>
    <row r="10" spans="1:25">
      <c r="C10" s="57"/>
      <c r="D10" s="57" t="s">
        <v>71</v>
      </c>
      <c r="E10" s="58"/>
      <c r="F10" s="58"/>
      <c r="G10" s="58"/>
      <c r="H10" s="58"/>
    </row>
    <row r="11" spans="1:25">
      <c r="A11" s="52">
        <v>1</v>
      </c>
      <c r="C11" s="57" t="s">
        <v>70</v>
      </c>
      <c r="D11" s="59"/>
      <c r="G11" s="232">
        <f>'Tax Depr 2017'!L11</f>
        <v>8664070.7300000023</v>
      </c>
      <c r="H11" s="27">
        <f>'2018 Capital Budget'!R39-H12</f>
        <v>12433934.719999999</v>
      </c>
    </row>
    <row r="12" spans="1:25">
      <c r="A12" s="52">
        <v>2</v>
      </c>
      <c r="C12" s="57" t="s">
        <v>74</v>
      </c>
      <c r="D12" s="59"/>
      <c r="G12" s="232">
        <f>'Tax Depr 2017'!L12</f>
        <v>4210527.95</v>
      </c>
      <c r="H12" s="232">
        <f>SUM('2018 Capital Budget'!R8:R11,,'2018 Capital Budget'!R27:R31,'2018 Capital Budget'!R37:R38)</f>
        <v>5000082.9600000009</v>
      </c>
    </row>
    <row r="13" spans="1:25">
      <c r="A13" s="52">
        <v>3</v>
      </c>
      <c r="C13" s="57" t="s">
        <v>185</v>
      </c>
      <c r="D13" s="59"/>
      <c r="G13" s="232">
        <f>'Tax Depr 2017'!L13</f>
        <v>4807381.1899999995</v>
      </c>
      <c r="H13" s="232">
        <v>0</v>
      </c>
    </row>
    <row r="14" spans="1:25">
      <c r="C14" s="59"/>
      <c r="V14" s="50"/>
      <c r="W14" s="50"/>
      <c r="X14" s="50"/>
      <c r="Y14" s="50"/>
    </row>
    <row r="15" spans="1:25">
      <c r="G15" s="196"/>
      <c r="H15" s="196"/>
      <c r="I15" s="196"/>
      <c r="J15" s="196"/>
      <c r="K15" s="245"/>
      <c r="V15" s="50"/>
      <c r="W15" s="50"/>
      <c r="X15" s="50"/>
      <c r="Y15" s="50"/>
    </row>
    <row r="16" spans="1:25">
      <c r="P16" s="27">
        <v>0</v>
      </c>
      <c r="Q16" s="27">
        <f>P16+'Tax Depr 2017'!U28</f>
        <v>4031690.8392467606</v>
      </c>
      <c r="T16" s="232">
        <f>Q16</f>
        <v>4031690.8392467606</v>
      </c>
      <c r="V16" s="50"/>
      <c r="W16" s="50"/>
      <c r="X16" s="50"/>
      <c r="Y16" s="50"/>
    </row>
    <row r="17" spans="1:25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2">
        <f>$G$11*$C$18/12</f>
        <v>52121.605499891681</v>
      </c>
      <c r="H17" s="27">
        <f>(('201801 Bk Depr'!$L$17-SUM('2018 Capital Budget'!F8:F11,'2018 Capital Budget'!F27:F31,'2018 Capital Budget'!F37:F38)-(1/12*$H$13))*$C$17)+SUM('2018 Capital Budget'!F8:F11,'2018 Capital Budget'!F27:F31,'2018 Capital Budget'!F37:F38)+(1/12*$H$13)</f>
        <v>521537.9896250001</v>
      </c>
      <c r="I17" s="232">
        <f>SUM(G17:H17)</f>
        <v>573659.59512489173</v>
      </c>
      <c r="J17" s="232">
        <f>'201801 Bk Depr'!$L$31</f>
        <v>145490.06000000003</v>
      </c>
      <c r="K17" s="232">
        <f>'201801 Bk Depr'!$P$17</f>
        <v>42026.440119750012</v>
      </c>
      <c r="L17" s="232">
        <f>I17+J17-K17</f>
        <v>677123.2150051418</v>
      </c>
      <c r="M17" s="232">
        <f>L17*0.21</f>
        <v>142195.87515107976</v>
      </c>
      <c r="N17" s="232">
        <f t="shared" ref="N17:N22" si="0">M60</f>
        <v>35302.180950699178</v>
      </c>
      <c r="O17" s="232">
        <f>-N17*0.21</f>
        <v>-7413.4579996468274</v>
      </c>
      <c r="P17" s="27"/>
      <c r="Q17" s="232">
        <f t="shared" ref="Q17:Q22" si="1">Q16+M17+N17+O17+P17</f>
        <v>4201775.4373488929</v>
      </c>
      <c r="R17" s="232">
        <f>Q17-Q16</f>
        <v>170084.59810213232</v>
      </c>
      <c r="S17" s="248" t="s">
        <v>365</v>
      </c>
      <c r="T17" s="232">
        <f>T16+R17*335/365</f>
        <v>4187795.8813404986</v>
      </c>
      <c r="U17" s="27"/>
      <c r="V17" s="27"/>
      <c r="W17" s="50"/>
      <c r="X17" s="51"/>
      <c r="Y17" s="50"/>
    </row>
    <row r="18" spans="1:25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2">
        <f>$G$11*$C$18/12</f>
        <v>52121.605499891681</v>
      </c>
      <c r="H18" s="27">
        <f>(('201802 Bk Depr'!$L$17-SUM('2018 Capital Budget'!G8:G11,'2018 Capital Budget'!G27:G31,'2018 Capital Budget'!G37:G38)-(1/12*$H$13))*$C$17)+SUM('2018 Capital Budget'!G8:G11,'2018 Capital Budget'!G27:G31,'2018 Capital Budget'!G37:G38)+(1/12*$H$13)</f>
        <v>429630.26712500001</v>
      </c>
      <c r="I18" s="232">
        <f t="shared" ref="I18:I22" si="2">SUM(G18:H18)</f>
        <v>481751.87262489169</v>
      </c>
      <c r="J18" s="232">
        <f>'201802 Bk Depr'!$L$31</f>
        <v>181728.23</v>
      </c>
      <c r="K18" s="232">
        <f>'201802 Bk Depr'!$P$17</f>
        <v>44369.423412750009</v>
      </c>
      <c r="L18" s="232">
        <f t="shared" ref="L18:L22" si="3">I18+J18-K18</f>
        <v>619110.67921214167</v>
      </c>
      <c r="M18" s="232">
        <f t="shared" ref="M18:M22" si="4">L18*0.21</f>
        <v>130013.24263454975</v>
      </c>
      <c r="N18" s="232">
        <f t="shared" si="0"/>
        <v>32401.554161049171</v>
      </c>
      <c r="O18" s="232">
        <f t="shared" ref="O18:O22" si="5">-N18*0.21</f>
        <v>-6804.3263738203259</v>
      </c>
      <c r="P18" s="27"/>
      <c r="Q18" s="232">
        <f t="shared" si="1"/>
        <v>4357385.9077706719</v>
      </c>
      <c r="R18" s="232">
        <f t="shared" ref="R18:R28" si="6">Q18-Q17</f>
        <v>155610.47042177897</v>
      </c>
      <c r="S18" s="248" t="s">
        <v>366</v>
      </c>
      <c r="T18" s="232">
        <f>T17+R18*307/365</f>
        <v>4318679.2085171733</v>
      </c>
      <c r="U18" s="62"/>
      <c r="V18" s="27"/>
      <c r="W18" s="50"/>
      <c r="X18" s="51"/>
      <c r="Y18" s="50"/>
    </row>
    <row r="19" spans="1:25">
      <c r="A19" s="52">
        <f t="shared" ref="A19:A44" si="7">A18+1</f>
        <v>6</v>
      </c>
      <c r="C19" s="61">
        <v>6.6769999999999996E-2</v>
      </c>
      <c r="D19" s="61">
        <v>8.5500000000000007E-2</v>
      </c>
      <c r="F19" s="52">
        <v>3</v>
      </c>
      <c r="G19" s="232">
        <f t="shared" ref="G19:G28" si="8">$G$11*$C$18/12</f>
        <v>52121.605499891681</v>
      </c>
      <c r="H19" s="27">
        <f>(('201803 Bk Depr'!$L$17-SUM('2018 Capital Budget'!H8:H11,'2018 Capital Budget'!H27:H31,'2018 Capital Budget'!H37:H38)-(1/12*$H$13))*$C$17)+SUM('2018 Capital Budget'!H8:H11,'2018 Capital Budget'!H27:H31,'2018 Capital Budget'!H37:H38)+(1/12*$H$13)</f>
        <v>455162.81837499997</v>
      </c>
      <c r="I19" s="232">
        <f t="shared" si="2"/>
        <v>507284.42387489165</v>
      </c>
      <c r="J19" s="232">
        <f>'201803 Bk Depr'!$L$31</f>
        <v>125258.65</v>
      </c>
      <c r="K19" s="232">
        <f>'201803 Bk Depr'!$P$17</f>
        <v>47112.997916250017</v>
      </c>
      <c r="L19" s="232">
        <f t="shared" si="3"/>
        <v>585430.0759586416</v>
      </c>
      <c r="M19" s="232">
        <f t="shared" si="4"/>
        <v>122940.31595131473</v>
      </c>
      <c r="N19" s="232">
        <f t="shared" si="0"/>
        <v>30717.523998374167</v>
      </c>
      <c r="O19" s="232">
        <f t="shared" si="5"/>
        <v>-6450.680039658575</v>
      </c>
      <c r="P19" s="27"/>
      <c r="Q19" s="232">
        <f t="shared" si="1"/>
        <v>4504593.0676807025</v>
      </c>
      <c r="R19" s="232">
        <f t="shared" si="6"/>
        <v>147207.15991003066</v>
      </c>
      <c r="S19" s="248" t="s">
        <v>367</v>
      </c>
      <c r="T19" s="232">
        <f>T18+R19*276/365</f>
        <v>4429992.0198464021</v>
      </c>
      <c r="V19" s="27"/>
      <c r="W19" s="50"/>
      <c r="X19" s="51"/>
      <c r="Y19" s="50"/>
    </row>
    <row r="20" spans="1:25">
      <c r="A20" s="52">
        <f t="shared" si="7"/>
        <v>7</v>
      </c>
      <c r="C20" s="61">
        <v>6.1769999999999999E-2</v>
      </c>
      <c r="D20" s="61">
        <v>7.6999999999999999E-2</v>
      </c>
      <c r="F20" s="52">
        <v>4</v>
      </c>
      <c r="G20" s="232">
        <f t="shared" si="8"/>
        <v>52121.605499891681</v>
      </c>
      <c r="H20" s="27">
        <f>(('201804 Bk Depr'!$L$17-SUM('2018 Capital Budget'!I8:I11,'2018 Capital Budget'!I27:I31,'2018 Capital Budget'!I37:I38)-(1/12*$H$13))*$C$17)+SUM('2018 Capital Budget'!I8:I11,'2018 Capital Budget'!I27:I31,'2018 Capital Budget'!I37:I38)+(1/12*$H$13)</f>
        <v>474245.76387500006</v>
      </c>
      <c r="I20" s="232">
        <f t="shared" si="2"/>
        <v>526367.36937489174</v>
      </c>
      <c r="J20" s="232">
        <f>'201804 Bk Depr'!$L$31</f>
        <v>150077.53</v>
      </c>
      <c r="K20" s="232">
        <f>'201804 Bk Depr'!$P$17</f>
        <v>50180.715000000011</v>
      </c>
      <c r="L20" s="232">
        <f t="shared" si="3"/>
        <v>626264.1843748918</v>
      </c>
      <c r="M20" s="232">
        <f t="shared" si="4"/>
        <v>131515.47871872727</v>
      </c>
      <c r="N20" s="232">
        <f t="shared" si="0"/>
        <v>32759.229419186671</v>
      </c>
      <c r="O20" s="232">
        <f t="shared" si="5"/>
        <v>-6879.4381780292006</v>
      </c>
      <c r="P20" s="27"/>
      <c r="Q20" s="232">
        <f t="shared" si="1"/>
        <v>4661988.3376405872</v>
      </c>
      <c r="R20" s="232">
        <f t="shared" si="6"/>
        <v>157395.2699598847</v>
      </c>
      <c r="S20" s="248" t="s">
        <v>368</v>
      </c>
      <c r="T20" s="232">
        <f>T19+R20*246/365</f>
        <v>4536072.1196001871</v>
      </c>
      <c r="V20" s="27"/>
      <c r="W20" s="153"/>
      <c r="X20" s="51"/>
      <c r="Y20" s="50"/>
    </row>
    <row r="21" spans="1:25">
      <c r="A21" s="52">
        <f t="shared" si="7"/>
        <v>8</v>
      </c>
      <c r="C21" s="61">
        <v>5.713E-2</v>
      </c>
      <c r="D21" s="61">
        <v>6.93E-2</v>
      </c>
      <c r="F21" s="52">
        <v>5</v>
      </c>
      <c r="G21" s="232">
        <f t="shared" si="8"/>
        <v>52121.605499891681</v>
      </c>
      <c r="H21" s="27">
        <f>(('201805 Bk Depr'!$L$17-SUM('2018 Capital Budget'!J8:J11,'2018 Capital Budget'!J27:J31,'2018 Capital Budget'!J37:J38)-(1/12*$H$13))*$C$17)+SUM('2018 Capital Budget'!J8:J11,'2018 Capital Budget'!J27:J31,'2018 Capital Budget'!J37:J38)+(1/12*$H$13)</f>
        <v>540638.13262499997</v>
      </c>
      <c r="I21" s="232">
        <f t="shared" si="2"/>
        <v>592759.73812489165</v>
      </c>
      <c r="J21" s="232">
        <f>'201805 Bk Depr'!$L$31</f>
        <v>152014.07</v>
      </c>
      <c r="K21" s="232">
        <f>'201805 Bk Depr'!$P$17</f>
        <v>53121.247220250021</v>
      </c>
      <c r="L21" s="232">
        <f t="shared" si="3"/>
        <v>691652.56090464164</v>
      </c>
      <c r="M21" s="232">
        <f t="shared" si="4"/>
        <v>145247.03778997474</v>
      </c>
      <c r="N21" s="232">
        <f t="shared" si="0"/>
        <v>36028.648245674165</v>
      </c>
      <c r="O21" s="232">
        <f t="shared" si="5"/>
        <v>-7566.0161315915748</v>
      </c>
      <c r="P21" s="27"/>
      <c r="Q21" s="232">
        <f t="shared" si="1"/>
        <v>4835698.0075446442</v>
      </c>
      <c r="R21" s="232">
        <f t="shared" si="6"/>
        <v>173709.66990405694</v>
      </c>
      <c r="S21" s="248" t="s">
        <v>369</v>
      </c>
      <c r="T21" s="232">
        <f>T20+R21*215/365</f>
        <v>4638394.2539272346</v>
      </c>
      <c r="V21" s="27"/>
      <c r="W21" s="50"/>
      <c r="X21" s="51"/>
      <c r="Y21" s="50"/>
    </row>
    <row r="22" spans="1:25">
      <c r="A22" s="52">
        <f t="shared" si="7"/>
        <v>9</v>
      </c>
      <c r="C22" s="61">
        <v>5.2850000000000001E-2</v>
      </c>
      <c r="D22" s="61">
        <v>6.2300000000000001E-2</v>
      </c>
      <c r="F22" s="52">
        <v>6</v>
      </c>
      <c r="G22" s="232">
        <f t="shared" si="8"/>
        <v>52121.605499891681</v>
      </c>
      <c r="H22" s="27">
        <f>(('201806 Bk Depr'!$L$17-SUM('2018 Capital Budget'!K8:K11,'2018 Capital Budget'!K27:K31,'2018 Capital Budget'!K37:K38)-(1/12*$H$13))*$C$17)+SUM('2018 Capital Budget'!K8:K11,'2018 Capital Budget'!K27:K31,'2018 Capital Budget'!K37:K38)+(1/12*$H$13)</f>
        <v>408795.32912499999</v>
      </c>
      <c r="I22" s="232">
        <f t="shared" si="2"/>
        <v>460916.93462489167</v>
      </c>
      <c r="J22" s="232">
        <f>'201806 Bk Depr'!$L$31</f>
        <v>161617.25</v>
      </c>
      <c r="K22" s="232">
        <f>'201806 Bk Depr'!$P$17</f>
        <v>55958.28313500002</v>
      </c>
      <c r="L22" s="232">
        <f t="shared" si="3"/>
        <v>566575.90148989169</v>
      </c>
      <c r="M22" s="232">
        <f t="shared" si="4"/>
        <v>118980.93931287725</v>
      </c>
      <c r="N22" s="232">
        <f t="shared" si="0"/>
        <v>29774.815274936667</v>
      </c>
      <c r="O22" s="232">
        <f t="shared" si="5"/>
        <v>-6252.7112077367001</v>
      </c>
      <c r="P22" s="27"/>
      <c r="Q22" s="232">
        <f t="shared" si="1"/>
        <v>4978201.0509247221</v>
      </c>
      <c r="R22" s="232">
        <f t="shared" si="6"/>
        <v>142503.04338007793</v>
      </c>
      <c r="S22" s="248" t="s">
        <v>364</v>
      </c>
      <c r="T22" s="232">
        <f>T21+R22*185/365</f>
        <v>4710621.8238596031</v>
      </c>
      <c r="V22" s="27"/>
      <c r="W22" s="50"/>
      <c r="X22" s="50"/>
      <c r="Y22" s="50"/>
    </row>
    <row r="23" spans="1:25">
      <c r="A23" s="52">
        <f t="shared" si="7"/>
        <v>10</v>
      </c>
      <c r="C23" s="61">
        <v>4.888E-2</v>
      </c>
      <c r="D23" s="61">
        <v>5.8999999999999997E-2</v>
      </c>
      <c r="F23" s="52">
        <v>7</v>
      </c>
      <c r="G23" s="232">
        <f>$G$11*$C$18/12</f>
        <v>52121.605499891681</v>
      </c>
      <c r="H23" s="156">
        <f>(('201807 Bk Depr'!$L$17-SUM('2018 Capital Budget'!L8:L11,'2018 Capital Budget'!L27:L31,'2018 Capital Budget'!L37:L38)-(1/12*$H$13))*$C$17)+SUM('2018 Capital Budget'!L8:L11,'2018 Capital Budget'!L27:L31,'2018 Capital Budget'!L37:L38)+(1/12*$H$13)</f>
        <v>544167.10162499989</v>
      </c>
      <c r="I23" s="232">
        <f t="shared" ref="I23:I27" si="9">SUM(G23:H23)</f>
        <v>596288.70712489157</v>
      </c>
      <c r="J23" s="232">
        <f>'201807 Bk Depr'!$L$31</f>
        <v>111769.92</v>
      </c>
      <c r="K23" s="232">
        <f>'201807 Bk Depr'!$P$17</f>
        <v>59200.780398750023</v>
      </c>
      <c r="L23" s="232">
        <f t="shared" ref="L23:L28" si="10">I23+J23-K23</f>
        <v>648857.84672614164</v>
      </c>
      <c r="M23" s="232">
        <f>L23*0.21</f>
        <v>136260.14781248974</v>
      </c>
      <c r="N23" s="232">
        <f t="shared" ref="N23:N28" si="11">M66</f>
        <v>33888.912536749172</v>
      </c>
      <c r="O23" s="232">
        <f>-N23*0.21</f>
        <v>-7116.6716327173262</v>
      </c>
      <c r="P23" s="27"/>
      <c r="Q23" s="232">
        <f t="shared" ref="Q23:Q28" si="12">Q22+M23+N23+O23+P23</f>
        <v>5141233.4396412438</v>
      </c>
      <c r="R23" s="232">
        <f t="shared" si="6"/>
        <v>163032.38871652167</v>
      </c>
      <c r="S23" s="248" t="s">
        <v>360</v>
      </c>
      <c r="T23" s="232">
        <f>T22+R23*154/365</f>
        <v>4779408.0919756154</v>
      </c>
      <c r="V23" s="27"/>
      <c r="W23" s="50"/>
      <c r="X23" s="50"/>
      <c r="Y23" s="50"/>
    </row>
    <row r="24" spans="1:25">
      <c r="A24" s="52">
        <f t="shared" si="7"/>
        <v>11</v>
      </c>
      <c r="C24" s="61">
        <v>4.5220000000000003E-2</v>
      </c>
      <c r="D24" s="61">
        <v>5.8999999999999997E-2</v>
      </c>
      <c r="F24" s="52">
        <v>8</v>
      </c>
      <c r="G24" s="232">
        <f t="shared" si="8"/>
        <v>52121.605499891681</v>
      </c>
      <c r="H24" s="156">
        <f>(('201808 Bk Depr'!$L$17-SUM('2018 Capital Budget'!M8:M11,'2018 Capital Budget'!M27:M31,'2018 Capital Budget'!M37:M38)-(1/12*$H$13))*$C$17)+SUM('2018 Capital Budget'!M8:M11,,'2018 Capital Budget'!M27:M31,'2018 Capital Budget'!M37:M38)+(1/12*$H$13)</f>
        <v>499724.92199999996</v>
      </c>
      <c r="I24" s="232">
        <f t="shared" si="9"/>
        <v>551846.52749989158</v>
      </c>
      <c r="J24" s="232">
        <f>'201808 Bk Depr'!$L$31</f>
        <v>130408.55</v>
      </c>
      <c r="K24" s="232">
        <f>'201808 Bk Depr'!$P$17</f>
        <v>62858.36379600002</v>
      </c>
      <c r="L24" s="232">
        <f t="shared" si="10"/>
        <v>619396.71370389161</v>
      </c>
      <c r="M24" s="232">
        <f t="shared" ref="M24:M28" si="13">L24*0.21</f>
        <v>130073.30987781723</v>
      </c>
      <c r="N24" s="232">
        <f t="shared" si="11"/>
        <v>32415.855885636669</v>
      </c>
      <c r="O24" s="232">
        <f t="shared" ref="O24:O28" si="14">-N24*0.21</f>
        <v>-6807.3297359837006</v>
      </c>
      <c r="P24" s="27"/>
      <c r="Q24" s="232">
        <f t="shared" si="12"/>
        <v>5296915.2756687142</v>
      </c>
      <c r="R24" s="232">
        <f t="shared" si="6"/>
        <v>155681.83602747042</v>
      </c>
      <c r="S24" s="248" t="s">
        <v>361</v>
      </c>
      <c r="T24" s="232">
        <f>T23+R24*123/365</f>
        <v>4831870.7380889822</v>
      </c>
      <c r="V24" s="27"/>
      <c r="W24" s="50"/>
      <c r="X24" s="50"/>
      <c r="Y24" s="50"/>
    </row>
    <row r="25" spans="1:25">
      <c r="A25" s="52">
        <f t="shared" si="7"/>
        <v>12</v>
      </c>
      <c r="C25" s="61">
        <v>4.462E-2</v>
      </c>
      <c r="D25" s="61">
        <v>5.91E-2</v>
      </c>
      <c r="F25" s="52">
        <v>9</v>
      </c>
      <c r="G25" s="232">
        <f t="shared" si="8"/>
        <v>52121.605499891681</v>
      </c>
      <c r="H25" s="156">
        <f>(('201809 Bk Depr'!$L$17-SUM('2018 Capital Budget'!N8:N11,'2018 Capital Budget'!N27:N31,'2018 Capital Budget'!N37:N38)-(1/12*$H$13))*$C$17)+SUM('2018 Capital Budget'!N8:N11,'2018 Capital Budget'!N27:N31,'2018 Capital Budget'!N37:N38)+(1/12*$H$13)</f>
        <v>582807.38650000002</v>
      </c>
      <c r="I25" s="232">
        <f t="shared" si="9"/>
        <v>634928.9919998917</v>
      </c>
      <c r="J25" s="232">
        <f>'201809 Bk Depr'!$L$31</f>
        <v>141993.44</v>
      </c>
      <c r="K25" s="232">
        <f>'201809 Bk Depr'!$P$17</f>
        <v>66764.200671000028</v>
      </c>
      <c r="L25" s="232">
        <f t="shared" si="10"/>
        <v>710158.23132889171</v>
      </c>
      <c r="M25" s="232">
        <f t="shared" si="13"/>
        <v>149133.22857906725</v>
      </c>
      <c r="N25" s="232">
        <f t="shared" si="11"/>
        <v>36953.931766886664</v>
      </c>
      <c r="O25" s="232">
        <f t="shared" si="14"/>
        <v>-7760.3256710461992</v>
      </c>
      <c r="P25" s="27"/>
      <c r="Q25" s="232">
        <f t="shared" si="12"/>
        <v>5475242.110343622</v>
      </c>
      <c r="R25" s="232">
        <f t="shared" si="6"/>
        <v>178326.83467490785</v>
      </c>
      <c r="S25" s="248" t="s">
        <v>362</v>
      </c>
      <c r="T25" s="232">
        <f>T24+R25*93/365</f>
        <v>4877307.4384308076</v>
      </c>
      <c r="V25" s="27"/>
    </row>
    <row r="26" spans="1:25">
      <c r="A26" s="52">
        <f t="shared" si="7"/>
        <v>13</v>
      </c>
      <c r="C26" s="61">
        <v>4.4609999999999997E-2</v>
      </c>
      <c r="D26" s="61">
        <v>5.8999999999999997E-2</v>
      </c>
      <c r="F26" s="52">
        <v>10</v>
      </c>
      <c r="G26" s="232">
        <f t="shared" si="8"/>
        <v>52121.605499891681</v>
      </c>
      <c r="H26" s="156">
        <f>(('201810 Bk Depr'!$L$17-SUM('2018 Capital Budget'!O8:O11,'2018 Capital Budget'!O27:O31,'2018 Capital Budget'!O37:O38)-(1/12*$H$13))*$C$17)+SUM('2018 Capital Budget'!O8:O11,'2018 Capital Budget'!O27:O31,'2018 Capital Budget'!O37:O38)+(1/12*$H$13)</f>
        <v>438521.98962499993</v>
      </c>
      <c r="I26" s="232">
        <f t="shared" si="9"/>
        <v>490643.59512489161</v>
      </c>
      <c r="J26" s="232">
        <f>'201810 Bk Depr'!$L$31</f>
        <v>188866.91999999998</v>
      </c>
      <c r="K26" s="232">
        <f>'201810 Bk Depr'!$P$17</f>
        <v>70877.309904000023</v>
      </c>
      <c r="L26" s="232">
        <f t="shared" si="10"/>
        <v>608633.20522089163</v>
      </c>
      <c r="M26" s="232">
        <f t="shared" si="13"/>
        <v>127812.97309638724</v>
      </c>
      <c r="N26" s="232">
        <f t="shared" si="11"/>
        <v>31877.680461486663</v>
      </c>
      <c r="O26" s="232">
        <f t="shared" si="14"/>
        <v>-6694.312896912199</v>
      </c>
      <c r="P26" s="27"/>
      <c r="Q26" s="232">
        <f t="shared" si="12"/>
        <v>5628238.4510045843</v>
      </c>
      <c r="R26" s="232">
        <f t="shared" si="6"/>
        <v>152996.34066096228</v>
      </c>
      <c r="S26" s="248" t="s">
        <v>363</v>
      </c>
      <c r="T26" s="232">
        <f>T25+R26*62/365</f>
        <v>4903295.8579403404</v>
      </c>
      <c r="V26" s="27"/>
    </row>
    <row r="27" spans="1:25">
      <c r="A27" s="52">
        <f t="shared" si="7"/>
        <v>14</v>
      </c>
      <c r="C27" s="61">
        <v>4.462E-2</v>
      </c>
      <c r="D27" s="61">
        <v>5.91E-2</v>
      </c>
      <c r="F27" s="52">
        <v>11</v>
      </c>
      <c r="G27" s="232">
        <f t="shared" si="8"/>
        <v>52121.605499891681</v>
      </c>
      <c r="H27" s="156">
        <f>(('201811 Bk Depr'!$L$17-SUM('2018 Capital Budget'!P8:P11,'2018 Capital Budget'!P27:P31,'2018 Capital Budget'!P37:P38)-(1/12*$H$13))*$C$17)+SUM('2018 Capital Budget'!P8:P11,'2018 Capital Budget'!P27:P31,'2018 Capital Budget'!P37:P38)+(1/12*$H$13)</f>
        <v>507218.38775000029</v>
      </c>
      <c r="I27" s="232">
        <f t="shared" si="9"/>
        <v>559339.99324989202</v>
      </c>
      <c r="J27" s="232">
        <f>'201811 Bk Depr'!$L$31</f>
        <v>166180.36000000002</v>
      </c>
      <c r="K27" s="232">
        <f>'201811 Bk Depr'!$P$17</f>
        <v>81355.923446500034</v>
      </c>
      <c r="L27" s="232">
        <f t="shared" si="10"/>
        <v>644164.42980339192</v>
      </c>
      <c r="M27" s="232">
        <f t="shared" si="13"/>
        <v>135274.5302587123</v>
      </c>
      <c r="N27" s="232">
        <f t="shared" si="11"/>
        <v>33654.241690611678</v>
      </c>
      <c r="O27" s="232">
        <f t="shared" si="14"/>
        <v>-7067.3907550284521</v>
      </c>
      <c r="P27" s="27"/>
      <c r="Q27" s="232">
        <f t="shared" si="12"/>
        <v>5790099.8321988797</v>
      </c>
      <c r="R27" s="232">
        <f t="shared" si="6"/>
        <v>161861.38119429536</v>
      </c>
      <c r="S27" s="248" t="s">
        <v>359</v>
      </c>
      <c r="T27" s="232">
        <f>T26+R27*32/365</f>
        <v>4917486.4447847717</v>
      </c>
      <c r="V27" s="27"/>
    </row>
    <row r="28" spans="1:25">
      <c r="A28" s="52">
        <f t="shared" si="7"/>
        <v>15</v>
      </c>
      <c r="C28" s="61">
        <v>4.4609999999999997E-2</v>
      </c>
      <c r="D28" s="61">
        <v>5.8999999999999997E-2</v>
      </c>
      <c r="F28" s="52">
        <v>12</v>
      </c>
      <c r="G28" s="232">
        <f t="shared" si="8"/>
        <v>52121.605499891681</v>
      </c>
      <c r="H28" s="156">
        <f>(('201812 Bk Depr'!$L$17-SUM('2018 Capital Budget'!Q8:Q11,'2018 Capital Budget'!Q27:Q31,'2018 Capital Budget'!Q37:Q38)-(1/12*$H$13))*$C$17)+SUM('2018 Capital Budget'!Q8:Q11,'2018 Capital Budget'!Q27:Q31,'2018 Capital Budget'!Q37:Q38)+(1/12*$H$13)</f>
        <v>63905.423749999987</v>
      </c>
      <c r="I28" s="232">
        <f>SUM(G28:H28)</f>
        <v>116027.02924989167</v>
      </c>
      <c r="J28" s="232">
        <f>'201812 Bk Depr'!$L$31</f>
        <v>167032.67000000001</v>
      </c>
      <c r="K28" s="232">
        <f>'201812 Bk Depr'!$P$17</f>
        <v>83420.177508000022</v>
      </c>
      <c r="L28" s="232">
        <f t="shared" si="10"/>
        <v>199639.52174189166</v>
      </c>
      <c r="M28" s="232">
        <f t="shared" si="13"/>
        <v>41924.29956579725</v>
      </c>
      <c r="N28" s="232">
        <f t="shared" si="11"/>
        <v>11427.996287536667</v>
      </c>
      <c r="O28" s="232">
        <f t="shared" si="14"/>
        <v>-2399.8792203827002</v>
      </c>
      <c r="P28" s="27"/>
      <c r="Q28" s="232">
        <f t="shared" si="12"/>
        <v>5841052.2488318319</v>
      </c>
      <c r="R28" s="232">
        <f t="shared" si="6"/>
        <v>50952.416632952169</v>
      </c>
      <c r="S28" s="248" t="s">
        <v>358</v>
      </c>
      <c r="T28" s="232">
        <f>T27+R28*1/365</f>
        <v>4917626.0404467797</v>
      </c>
      <c r="U28" s="232"/>
      <c r="V28" s="27"/>
    </row>
    <row r="29" spans="1:25">
      <c r="A29" s="52">
        <f t="shared" si="7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5">IF(O29="","",O29*0.389)</f>
        <v/>
      </c>
      <c r="Q29" s="62"/>
      <c r="T29" s="27"/>
    </row>
    <row r="30" spans="1:25">
      <c r="A30" s="52">
        <f t="shared" si="7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 t="str">
        <f t="shared" si="15"/>
        <v/>
      </c>
      <c r="Q30" s="27" t="str">
        <f t="shared" ref="Q30:Q43" si="16">IF(M30="","",Q29+M30)</f>
        <v/>
      </c>
    </row>
    <row r="31" spans="1:25">
      <c r="A31" s="52">
        <f t="shared" si="7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 t="str">
        <f t="shared" si="15"/>
        <v/>
      </c>
      <c r="Q31" s="27" t="str">
        <f t="shared" si="16"/>
        <v/>
      </c>
      <c r="V31" s="27"/>
    </row>
    <row r="32" spans="1:25">
      <c r="A32" s="52">
        <f t="shared" si="7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 t="str">
        <f t="shared" si="15"/>
        <v/>
      </c>
      <c r="Q32" s="27" t="str">
        <f t="shared" si="16"/>
        <v/>
      </c>
    </row>
    <row r="33" spans="1:17">
      <c r="A33" s="52">
        <f t="shared" si="7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 t="str">
        <f t="shared" si="15"/>
        <v/>
      </c>
      <c r="Q33" s="27" t="str">
        <f t="shared" si="16"/>
        <v/>
      </c>
    </row>
    <row r="34" spans="1:17">
      <c r="A34" s="52">
        <f t="shared" si="7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 t="str">
        <f t="shared" si="15"/>
        <v/>
      </c>
      <c r="Q34" s="27" t="str">
        <f t="shared" si="16"/>
        <v/>
      </c>
    </row>
    <row r="35" spans="1:17">
      <c r="A35" s="52">
        <f t="shared" si="7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 t="str">
        <f t="shared" si="15"/>
        <v/>
      </c>
      <c r="Q35" s="27" t="str">
        <f t="shared" si="16"/>
        <v/>
      </c>
    </row>
    <row r="36" spans="1:17">
      <c r="A36" s="52">
        <f t="shared" si="7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 t="str">
        <f t="shared" si="15"/>
        <v/>
      </c>
      <c r="Q36" s="27" t="str">
        <f t="shared" si="16"/>
        <v/>
      </c>
    </row>
    <row r="37" spans="1:17">
      <c r="A37" s="52">
        <f t="shared" si="7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 t="str">
        <f t="shared" si="15"/>
        <v/>
      </c>
      <c r="Q37" s="27" t="str">
        <f t="shared" si="16"/>
        <v/>
      </c>
    </row>
    <row r="38" spans="1:17">
      <c r="A38" s="52">
        <f t="shared" si="7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 t="str">
        <f t="shared" si="15"/>
        <v/>
      </c>
      <c r="Q38" s="27" t="str">
        <f t="shared" si="16"/>
        <v/>
      </c>
    </row>
    <row r="39" spans="1:17">
      <c r="A39" s="52">
        <f t="shared" si="7"/>
        <v>26</v>
      </c>
      <c r="C39" s="61">
        <v>0</v>
      </c>
      <c r="G39" s="27"/>
      <c r="H39" s="27"/>
      <c r="I39" s="27"/>
      <c r="L39" s="27"/>
      <c r="M39" s="27"/>
      <c r="N39" s="27"/>
      <c r="O39" s="27"/>
      <c r="P39" s="27" t="str">
        <f t="shared" si="15"/>
        <v/>
      </c>
      <c r="Q39" s="27" t="str">
        <f t="shared" si="16"/>
        <v/>
      </c>
    </row>
    <row r="40" spans="1:17">
      <c r="A40" s="52">
        <f t="shared" si="7"/>
        <v>27</v>
      </c>
      <c r="C40" s="61">
        <v>0</v>
      </c>
      <c r="G40" s="27"/>
      <c r="H40" s="27"/>
      <c r="I40" s="27"/>
      <c r="L40" s="27"/>
      <c r="M40" s="27"/>
      <c r="N40" s="27"/>
      <c r="O40" s="27"/>
      <c r="P40" s="27" t="str">
        <f t="shared" si="15"/>
        <v/>
      </c>
      <c r="Q40" s="27" t="str">
        <f t="shared" si="16"/>
        <v/>
      </c>
    </row>
    <row r="41" spans="1:17">
      <c r="A41" s="52">
        <f t="shared" si="7"/>
        <v>28</v>
      </c>
      <c r="C41" s="61">
        <v>0</v>
      </c>
      <c r="G41" s="27"/>
      <c r="H41" s="27"/>
      <c r="I41" s="27"/>
      <c r="L41" s="27"/>
      <c r="M41" s="27"/>
      <c r="N41" s="27"/>
      <c r="O41" s="27"/>
      <c r="P41" s="27" t="str">
        <f t="shared" si="15"/>
        <v/>
      </c>
      <c r="Q41" s="27" t="str">
        <f t="shared" si="16"/>
        <v/>
      </c>
    </row>
    <row r="42" spans="1:17">
      <c r="A42" s="52">
        <f t="shared" si="7"/>
        <v>29</v>
      </c>
      <c r="C42" s="61">
        <v>0</v>
      </c>
      <c r="G42" s="27"/>
      <c r="H42" s="27"/>
      <c r="I42" s="27"/>
      <c r="L42" s="27"/>
      <c r="M42" s="27"/>
      <c r="N42" s="27"/>
      <c r="O42" s="27"/>
      <c r="P42" s="27" t="str">
        <f t="shared" si="15"/>
        <v/>
      </c>
      <c r="Q42" s="27" t="str">
        <f t="shared" si="16"/>
        <v/>
      </c>
    </row>
    <row r="43" spans="1:17">
      <c r="A43" s="52">
        <f t="shared" si="7"/>
        <v>30</v>
      </c>
      <c r="C43" s="61">
        <v>0</v>
      </c>
      <c r="I43" s="27"/>
      <c r="L43" s="27"/>
      <c r="M43" s="27"/>
      <c r="N43" s="27"/>
      <c r="O43" s="27"/>
      <c r="P43" s="27" t="str">
        <f t="shared" si="15"/>
        <v/>
      </c>
      <c r="Q43" s="27" t="str">
        <f t="shared" si="16"/>
        <v/>
      </c>
    </row>
    <row r="44" spans="1:17">
      <c r="A44" s="52">
        <f t="shared" si="7"/>
        <v>31</v>
      </c>
      <c r="G44" s="27">
        <f>SUM(G17:G43)</f>
        <v>625459.26599870017</v>
      </c>
      <c r="H44" s="27">
        <f t="shared" ref="H44:P44" si="17">SUM(H17:H43)</f>
        <v>5466355.512000001</v>
      </c>
      <c r="I44" s="27">
        <f t="shared" si="17"/>
        <v>6091814.7779987007</v>
      </c>
      <c r="J44" s="27">
        <f t="shared" si="17"/>
        <v>1822437.65</v>
      </c>
      <c r="K44" s="27">
        <f t="shared" si="17"/>
        <v>717245.86252825032</v>
      </c>
      <c r="L44" s="27">
        <f t="shared" si="17"/>
        <v>7197006.5654704496</v>
      </c>
      <c r="M44" s="27">
        <f t="shared" si="17"/>
        <v>1511371.3787487943</v>
      </c>
      <c r="N44" s="27">
        <f t="shared" si="17"/>
        <v>377202.57067882764</v>
      </c>
      <c r="O44" s="27">
        <f t="shared" si="17"/>
        <v>-79212.539842553786</v>
      </c>
      <c r="P44" s="27">
        <f t="shared" si="17"/>
        <v>0</v>
      </c>
      <c r="Q44" s="27">
        <f>AVERAGE(Q16:Q28)</f>
        <v>4980316.4619881427</v>
      </c>
    </row>
    <row r="45" spans="1:17">
      <c r="G45" s="27"/>
      <c r="H45" s="27"/>
      <c r="I45" s="27"/>
      <c r="J45" s="27"/>
      <c r="K45" s="62"/>
      <c r="Q45" s="27"/>
    </row>
    <row r="46" spans="1:17">
      <c r="N46" s="27"/>
      <c r="O46" s="27"/>
      <c r="P46" s="27"/>
    </row>
    <row r="47" spans="1:17">
      <c r="B47" s="60" t="s">
        <v>166</v>
      </c>
      <c r="C47" s="52" t="s">
        <v>355</v>
      </c>
      <c r="N47" s="54"/>
      <c r="O47" s="54"/>
      <c r="P47" s="54"/>
    </row>
    <row r="48" spans="1:17">
      <c r="B48" s="60" t="s">
        <v>167</v>
      </c>
      <c r="C48" s="52" t="s">
        <v>354</v>
      </c>
      <c r="D48" s="246"/>
      <c r="N48" s="48"/>
      <c r="O48" s="48"/>
      <c r="P48" s="48"/>
    </row>
    <row r="49" spans="1:17">
      <c r="A49" s="54"/>
      <c r="B49" s="54"/>
      <c r="C49" s="54"/>
      <c r="D49" s="54" t="s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49"/>
      <c r="O49" s="49"/>
      <c r="P49" s="49"/>
      <c r="Q49" s="54"/>
    </row>
    <row r="50" spans="1:17" ht="26.4">
      <c r="A50" s="54"/>
      <c r="B50" s="54"/>
      <c r="C50" s="55" t="s">
        <v>191</v>
      </c>
      <c r="D50" s="54" t="s">
        <v>25</v>
      </c>
      <c r="E50" s="54"/>
      <c r="F50" s="54"/>
      <c r="G50" s="54">
        <v>2017</v>
      </c>
      <c r="H50" s="54">
        <v>2018</v>
      </c>
      <c r="I50" s="54"/>
      <c r="J50" s="54" t="s">
        <v>35</v>
      </c>
      <c r="K50" s="54"/>
      <c r="L50" s="54"/>
      <c r="M50" s="55" t="s">
        <v>182</v>
      </c>
      <c r="Q50" s="49"/>
    </row>
    <row r="51" spans="1:17">
      <c r="A51" s="54" t="s">
        <v>4</v>
      </c>
      <c r="B51" s="54"/>
      <c r="C51" s="54" t="s">
        <v>26</v>
      </c>
      <c r="D51" s="54" t="s">
        <v>26</v>
      </c>
      <c r="E51" s="54"/>
      <c r="F51" s="54"/>
      <c r="G51" s="54" t="s">
        <v>28</v>
      </c>
      <c r="H51" s="54" t="s">
        <v>29</v>
      </c>
      <c r="I51" s="54" t="s">
        <v>34</v>
      </c>
      <c r="J51" s="54" t="s">
        <v>36</v>
      </c>
      <c r="K51" s="54" t="s">
        <v>38</v>
      </c>
      <c r="L51" s="54"/>
      <c r="M51" s="54" t="s">
        <v>34</v>
      </c>
      <c r="Q51" s="49"/>
    </row>
    <row r="52" spans="1:17">
      <c r="A52" s="185" t="s">
        <v>5</v>
      </c>
      <c r="B52" s="185"/>
      <c r="C52" s="185" t="s">
        <v>2</v>
      </c>
      <c r="D52" s="185" t="s">
        <v>2</v>
      </c>
      <c r="E52" s="185"/>
      <c r="F52" s="185" t="s">
        <v>108</v>
      </c>
      <c r="G52" s="185" t="s">
        <v>20</v>
      </c>
      <c r="H52" s="233" t="s">
        <v>20</v>
      </c>
      <c r="I52" s="185" t="s">
        <v>0</v>
      </c>
      <c r="J52" s="185" t="s">
        <v>37</v>
      </c>
      <c r="K52" s="185" t="s">
        <v>0</v>
      </c>
      <c r="L52" s="185" t="s">
        <v>39</v>
      </c>
      <c r="M52" s="56" t="s">
        <v>497</v>
      </c>
      <c r="Q52" s="49"/>
    </row>
    <row r="53" spans="1:17">
      <c r="C53" s="57"/>
      <c r="D53" s="57" t="s">
        <v>71</v>
      </c>
      <c r="E53" s="58"/>
      <c r="F53" s="58"/>
      <c r="G53" s="58"/>
      <c r="H53" s="58"/>
      <c r="Q53" s="50"/>
    </row>
    <row r="54" spans="1:17">
      <c r="A54" s="52">
        <v>1</v>
      </c>
      <c r="C54" s="57" t="s">
        <v>70</v>
      </c>
      <c r="D54" s="59"/>
      <c r="G54" s="27">
        <f>G11+G13</f>
        <v>13471451.920000002</v>
      </c>
      <c r="H54" s="27">
        <f>H11</f>
        <v>12433934.719999999</v>
      </c>
      <c r="I54" s="62"/>
      <c r="Q54" s="50"/>
    </row>
    <row r="55" spans="1:17">
      <c r="A55" s="52">
        <v>2</v>
      </c>
      <c r="C55" s="57" t="s">
        <v>74</v>
      </c>
      <c r="D55" s="59"/>
      <c r="G55" s="27"/>
      <c r="H55" s="27">
        <f>H12</f>
        <v>5000082.9600000009</v>
      </c>
      <c r="Q55" s="50"/>
    </row>
    <row r="56" spans="1:17">
      <c r="A56" s="52">
        <v>3</v>
      </c>
      <c r="C56" s="57" t="s">
        <v>185</v>
      </c>
      <c r="D56" s="59"/>
      <c r="G56" s="27"/>
      <c r="H56" s="27">
        <f>H13</f>
        <v>0</v>
      </c>
      <c r="Q56" s="50"/>
    </row>
    <row r="57" spans="1:17">
      <c r="C57" s="59"/>
      <c r="Q57" s="50"/>
    </row>
    <row r="58" spans="1:17">
      <c r="G58" s="196"/>
      <c r="H58" s="196"/>
      <c r="I58" s="196"/>
      <c r="J58" s="196"/>
      <c r="K58" s="245"/>
      <c r="Q58" s="50"/>
    </row>
    <row r="59" spans="1:17">
      <c r="Q59" s="51"/>
    </row>
    <row r="60" spans="1:17">
      <c r="A60" s="52">
        <f>A56+1</f>
        <v>4</v>
      </c>
      <c r="C60" s="61">
        <v>3.7499999999999999E-2</v>
      </c>
      <c r="D60" s="61">
        <v>0.05</v>
      </c>
      <c r="F60" s="52">
        <v>1</v>
      </c>
      <c r="G60" s="27">
        <f>$G$54*$C$61/12</f>
        <v>81042.009508733347</v>
      </c>
      <c r="H60" s="27">
        <f>H17</f>
        <v>521537.9896250001</v>
      </c>
      <c r="I60" s="27">
        <f>SUM(G60:H60)</f>
        <v>602579.99913373345</v>
      </c>
      <c r="J60" s="232">
        <f>'201801 Bk Depr'!$L$31</f>
        <v>145490.06000000003</v>
      </c>
      <c r="K60" s="232">
        <f>'201801 Bk Depr'!$P$17</f>
        <v>42026.440119750012</v>
      </c>
      <c r="L60" s="27">
        <f t="shared" ref="L60:L65" si="18">I60+J60-K60</f>
        <v>706043.61901398352</v>
      </c>
      <c r="M60" s="27">
        <f t="shared" ref="M60:M65" si="19">L60*0.05</f>
        <v>35302.180950699178</v>
      </c>
      <c r="Q60" s="51"/>
    </row>
    <row r="61" spans="1:17">
      <c r="A61" s="52">
        <f>A60+1</f>
        <v>5</v>
      </c>
      <c r="C61" s="61">
        <v>7.2190000000000004E-2</v>
      </c>
      <c r="D61" s="61">
        <v>9.5000000000000001E-2</v>
      </c>
      <c r="F61" s="52">
        <v>2</v>
      </c>
      <c r="G61" s="27">
        <f t="shared" ref="G61:G71" si="20">$G$54*$C$61/12</f>
        <v>81042.009508733347</v>
      </c>
      <c r="H61" s="27">
        <f t="shared" ref="H61:H71" si="21">H18</f>
        <v>429630.26712500001</v>
      </c>
      <c r="I61" s="27">
        <f t="shared" ref="I61:I71" si="22">SUM(G61:H61)</f>
        <v>510672.27663373336</v>
      </c>
      <c r="J61" s="232">
        <f>'201802 Bk Depr'!$L$31</f>
        <v>181728.23</v>
      </c>
      <c r="K61" s="232">
        <f>'201802 Bk Depr'!$P$17</f>
        <v>44369.423412750009</v>
      </c>
      <c r="L61" s="27">
        <f t="shared" si="18"/>
        <v>648031.08322098339</v>
      </c>
      <c r="M61" s="27">
        <f t="shared" si="19"/>
        <v>32401.554161049171</v>
      </c>
      <c r="Q61" s="51"/>
    </row>
    <row r="62" spans="1:17">
      <c r="A62" s="52">
        <f t="shared" ref="A62:A87" si="23">A61+1</f>
        <v>6</v>
      </c>
      <c r="C62" s="61">
        <v>6.6769999999999996E-2</v>
      </c>
      <c r="D62" s="61">
        <v>8.5500000000000007E-2</v>
      </c>
      <c r="F62" s="52">
        <v>3</v>
      </c>
      <c r="G62" s="27">
        <f t="shared" si="20"/>
        <v>81042.009508733347</v>
      </c>
      <c r="H62" s="27">
        <f t="shared" si="21"/>
        <v>455162.81837499997</v>
      </c>
      <c r="I62" s="27">
        <f t="shared" si="22"/>
        <v>536204.82788373332</v>
      </c>
      <c r="J62" s="232">
        <f>'201803 Bk Depr'!$L$31</f>
        <v>125258.65</v>
      </c>
      <c r="K62" s="232">
        <f>'201803 Bk Depr'!$P$17</f>
        <v>47112.997916250017</v>
      </c>
      <c r="L62" s="27">
        <f t="shared" si="18"/>
        <v>614350.47996748332</v>
      </c>
      <c r="M62" s="27">
        <f t="shared" si="19"/>
        <v>30717.523998374167</v>
      </c>
      <c r="Q62" s="51"/>
    </row>
    <row r="63" spans="1:17">
      <c r="A63" s="52">
        <f t="shared" si="23"/>
        <v>7</v>
      </c>
      <c r="C63" s="61">
        <v>6.1769999999999999E-2</v>
      </c>
      <c r="D63" s="61">
        <v>7.6999999999999999E-2</v>
      </c>
      <c r="F63" s="52">
        <v>4</v>
      </c>
      <c r="G63" s="27">
        <f t="shared" si="20"/>
        <v>81042.009508733347</v>
      </c>
      <c r="H63" s="27">
        <f t="shared" si="21"/>
        <v>474245.76387500006</v>
      </c>
      <c r="I63" s="27">
        <f t="shared" si="22"/>
        <v>555287.77338373335</v>
      </c>
      <c r="J63" s="232">
        <f>'201804 Bk Depr'!$L$31</f>
        <v>150077.53</v>
      </c>
      <c r="K63" s="232">
        <f>'201804 Bk Depr'!$P$17</f>
        <v>50180.715000000011</v>
      </c>
      <c r="L63" s="27">
        <f t="shared" si="18"/>
        <v>655184.58838373341</v>
      </c>
      <c r="M63" s="27">
        <f t="shared" si="19"/>
        <v>32759.229419186671</v>
      </c>
      <c r="Q63" s="51"/>
    </row>
    <row r="64" spans="1:17">
      <c r="A64" s="52">
        <f t="shared" si="23"/>
        <v>8</v>
      </c>
      <c r="C64" s="61">
        <v>5.713E-2</v>
      </c>
      <c r="D64" s="61">
        <v>6.93E-2</v>
      </c>
      <c r="F64" s="52">
        <v>5</v>
      </c>
      <c r="G64" s="27">
        <f t="shared" si="20"/>
        <v>81042.009508733347</v>
      </c>
      <c r="H64" s="27">
        <f t="shared" si="21"/>
        <v>540638.13262499997</v>
      </c>
      <c r="I64" s="27">
        <f t="shared" si="22"/>
        <v>621680.14213373326</v>
      </c>
      <c r="J64" s="232">
        <f>'201805 Bk Depr'!$L$31</f>
        <v>152014.07</v>
      </c>
      <c r="K64" s="232">
        <f>'201805 Bk Depr'!$P$17</f>
        <v>53121.247220250021</v>
      </c>
      <c r="L64" s="27">
        <f t="shared" si="18"/>
        <v>720572.96491348324</v>
      </c>
      <c r="M64" s="27">
        <f t="shared" si="19"/>
        <v>36028.648245674165</v>
      </c>
      <c r="Q64" s="51"/>
    </row>
    <row r="65" spans="1:17">
      <c r="A65" s="52">
        <f t="shared" si="23"/>
        <v>9</v>
      </c>
      <c r="C65" s="61">
        <v>5.2850000000000001E-2</v>
      </c>
      <c r="D65" s="61">
        <v>6.2300000000000001E-2</v>
      </c>
      <c r="F65" s="52">
        <v>6</v>
      </c>
      <c r="G65" s="27">
        <f t="shared" si="20"/>
        <v>81042.009508733347</v>
      </c>
      <c r="H65" s="27">
        <f t="shared" si="21"/>
        <v>408795.32912499999</v>
      </c>
      <c r="I65" s="27">
        <f t="shared" si="22"/>
        <v>489837.33863373334</v>
      </c>
      <c r="J65" s="232">
        <f>'201806 Bk Depr'!$L$31</f>
        <v>161617.25</v>
      </c>
      <c r="K65" s="232">
        <f>'201806 Bk Depr'!$P$17</f>
        <v>55958.28313500002</v>
      </c>
      <c r="L65" s="27">
        <f t="shared" si="18"/>
        <v>595496.3054987333</v>
      </c>
      <c r="M65" s="27">
        <f t="shared" si="19"/>
        <v>29774.815274936667</v>
      </c>
      <c r="Q65" s="51"/>
    </row>
    <row r="66" spans="1:17">
      <c r="A66" s="52">
        <f t="shared" si="23"/>
        <v>10</v>
      </c>
      <c r="C66" s="61">
        <v>4.888E-2</v>
      </c>
      <c r="D66" s="61">
        <v>5.8999999999999997E-2</v>
      </c>
      <c r="F66" s="52">
        <v>7</v>
      </c>
      <c r="G66" s="27">
        <f t="shared" si="20"/>
        <v>81042.009508733347</v>
      </c>
      <c r="H66" s="27">
        <f t="shared" si="21"/>
        <v>544167.10162499989</v>
      </c>
      <c r="I66" s="27">
        <f t="shared" si="22"/>
        <v>625209.1111337333</v>
      </c>
      <c r="J66" s="232">
        <f>'201807 Bk Depr'!$L$31</f>
        <v>111769.92</v>
      </c>
      <c r="K66" s="232">
        <f>'201807 Bk Depr'!$P$17</f>
        <v>59200.780398750023</v>
      </c>
      <c r="L66" s="27">
        <f t="shared" ref="L66:L71" si="24">I66+J66-K66</f>
        <v>677778.25073498336</v>
      </c>
      <c r="M66" s="27">
        <f t="shared" ref="M66:M71" si="25">L66*0.05</f>
        <v>33888.912536749172</v>
      </c>
      <c r="Q66" s="51"/>
    </row>
    <row r="67" spans="1:17">
      <c r="A67" s="52">
        <f t="shared" si="23"/>
        <v>11</v>
      </c>
      <c r="C67" s="61">
        <v>4.5220000000000003E-2</v>
      </c>
      <c r="D67" s="61">
        <v>5.8999999999999997E-2</v>
      </c>
      <c r="F67" s="52">
        <v>8</v>
      </c>
      <c r="G67" s="27">
        <f t="shared" si="20"/>
        <v>81042.009508733347</v>
      </c>
      <c r="H67" s="27">
        <f t="shared" si="21"/>
        <v>499724.92199999996</v>
      </c>
      <c r="I67" s="27">
        <f t="shared" si="22"/>
        <v>580766.93150873331</v>
      </c>
      <c r="J67" s="232">
        <f>'201808 Bk Depr'!$L$31</f>
        <v>130408.55</v>
      </c>
      <c r="K67" s="232">
        <f>'201808 Bk Depr'!$P$17</f>
        <v>62858.36379600002</v>
      </c>
      <c r="L67" s="27">
        <f t="shared" si="24"/>
        <v>648317.11771273334</v>
      </c>
      <c r="M67" s="27">
        <f t="shared" si="25"/>
        <v>32415.855885636669</v>
      </c>
      <c r="Q67" s="51"/>
    </row>
    <row r="68" spans="1:17">
      <c r="A68" s="52">
        <f t="shared" si="23"/>
        <v>12</v>
      </c>
      <c r="C68" s="61">
        <v>4.462E-2</v>
      </c>
      <c r="D68" s="61">
        <v>5.91E-2</v>
      </c>
      <c r="F68" s="52">
        <v>9</v>
      </c>
      <c r="G68" s="27">
        <f t="shared" si="20"/>
        <v>81042.009508733347</v>
      </c>
      <c r="H68" s="27">
        <f t="shared" si="21"/>
        <v>582807.38650000002</v>
      </c>
      <c r="I68" s="27">
        <f t="shared" si="22"/>
        <v>663849.39600873343</v>
      </c>
      <c r="J68" s="232">
        <f>'201809 Bk Depr'!$L$31</f>
        <v>141993.44</v>
      </c>
      <c r="K68" s="232">
        <f>'201809 Bk Depr'!$P$17</f>
        <v>66764.200671000028</v>
      </c>
      <c r="L68" s="27">
        <f t="shared" si="24"/>
        <v>739078.63533773331</v>
      </c>
      <c r="M68" s="27">
        <f t="shared" si="25"/>
        <v>36953.931766886664</v>
      </c>
      <c r="Q68" s="51"/>
    </row>
    <row r="69" spans="1:17">
      <c r="A69" s="52">
        <f t="shared" si="23"/>
        <v>13</v>
      </c>
      <c r="C69" s="61">
        <v>4.4609999999999997E-2</v>
      </c>
      <c r="D69" s="61">
        <v>5.8999999999999997E-2</v>
      </c>
      <c r="F69" s="52">
        <v>10</v>
      </c>
      <c r="G69" s="27">
        <f t="shared" si="20"/>
        <v>81042.009508733347</v>
      </c>
      <c r="H69" s="27">
        <f t="shared" si="21"/>
        <v>438521.98962499993</v>
      </c>
      <c r="I69" s="27">
        <f t="shared" si="22"/>
        <v>519563.99913373328</v>
      </c>
      <c r="J69" s="232">
        <f>'201810 Bk Depr'!$L$31</f>
        <v>188866.91999999998</v>
      </c>
      <c r="K69" s="232">
        <f>'201810 Bk Depr'!$P$17</f>
        <v>70877.309904000023</v>
      </c>
      <c r="L69" s="27">
        <f t="shared" si="24"/>
        <v>637553.60922973324</v>
      </c>
      <c r="M69" s="27">
        <f t="shared" si="25"/>
        <v>31877.680461486663</v>
      </c>
      <c r="Q69" s="51"/>
    </row>
    <row r="70" spans="1:17">
      <c r="A70" s="52">
        <f t="shared" si="23"/>
        <v>14</v>
      </c>
      <c r="C70" s="61">
        <v>4.462E-2</v>
      </c>
      <c r="D70" s="61">
        <v>5.91E-2</v>
      </c>
      <c r="F70" s="52">
        <v>11</v>
      </c>
      <c r="G70" s="27">
        <f t="shared" si="20"/>
        <v>81042.009508733347</v>
      </c>
      <c r="H70" s="27">
        <f t="shared" si="21"/>
        <v>507218.38775000029</v>
      </c>
      <c r="I70" s="27">
        <f t="shared" si="22"/>
        <v>588260.39725873363</v>
      </c>
      <c r="J70" s="232">
        <f>'201811 Bk Depr'!$L$31</f>
        <v>166180.36000000002</v>
      </c>
      <c r="K70" s="232">
        <f>'201811 Bk Depr'!$P$17</f>
        <v>81355.923446500034</v>
      </c>
      <c r="L70" s="27">
        <f t="shared" si="24"/>
        <v>673084.83381223353</v>
      </c>
      <c r="M70" s="27">
        <f t="shared" si="25"/>
        <v>33654.241690611678</v>
      </c>
      <c r="Q70" s="51"/>
    </row>
    <row r="71" spans="1:17">
      <c r="A71" s="52">
        <f t="shared" si="23"/>
        <v>15</v>
      </c>
      <c r="C71" s="61">
        <v>4.4609999999999997E-2</v>
      </c>
      <c r="D71" s="61">
        <v>5.8999999999999997E-2</v>
      </c>
      <c r="F71" s="52">
        <v>12</v>
      </c>
      <c r="G71" s="27">
        <f t="shared" si="20"/>
        <v>81042.009508733347</v>
      </c>
      <c r="H71" s="27">
        <f t="shared" si="21"/>
        <v>63905.423749999987</v>
      </c>
      <c r="I71" s="27">
        <f t="shared" si="22"/>
        <v>144947.43325873333</v>
      </c>
      <c r="J71" s="232">
        <f>'201812 Bk Depr'!$L$31</f>
        <v>167032.67000000001</v>
      </c>
      <c r="K71" s="232">
        <f>'201812 Bk Depr'!$P$17</f>
        <v>83420.177508000022</v>
      </c>
      <c r="L71" s="27">
        <f t="shared" si="24"/>
        <v>228559.92575073332</v>
      </c>
      <c r="M71" s="27">
        <f t="shared" si="25"/>
        <v>11427.996287536667</v>
      </c>
      <c r="Q71" s="51"/>
    </row>
    <row r="72" spans="1:17">
      <c r="A72" s="52">
        <f t="shared" si="23"/>
        <v>16</v>
      </c>
      <c r="C72" s="61">
        <v>4.462E-2</v>
      </c>
      <c r="D72" s="61">
        <v>5.91E-2</v>
      </c>
      <c r="G72" s="27"/>
      <c r="H72" s="27"/>
      <c r="I72" s="27"/>
      <c r="J72" s="27"/>
      <c r="K72" s="27"/>
      <c r="L72" s="27" t="str">
        <f t="shared" ref="L72:L86" si="26">IF(K72=0,"",I72+J72-K72)</f>
        <v/>
      </c>
      <c r="M72" s="27" t="str">
        <f t="shared" ref="M72:M86" si="27">IF(L72="","",L72*0.389)</f>
        <v/>
      </c>
      <c r="N72" s="51"/>
      <c r="O72" s="51"/>
      <c r="P72" s="51"/>
      <c r="Q72" s="27" t="str">
        <f t="shared" ref="Q72:Q86" si="28">IF(M72="","",Q71+M72)</f>
        <v/>
      </c>
    </row>
    <row r="73" spans="1:17">
      <c r="A73" s="52">
        <f t="shared" si="23"/>
        <v>17</v>
      </c>
      <c r="C73" s="61">
        <v>4.4609999999999997E-2</v>
      </c>
      <c r="D73" s="61">
        <v>5.8999999999999997E-2</v>
      </c>
      <c r="G73" s="27"/>
      <c r="H73" s="27"/>
      <c r="I73" s="27"/>
      <c r="J73" s="27"/>
      <c r="K73" s="27"/>
      <c r="L73" s="27" t="str">
        <f t="shared" si="26"/>
        <v/>
      </c>
      <c r="M73" s="27" t="str">
        <f t="shared" si="27"/>
        <v/>
      </c>
      <c r="N73" s="51"/>
      <c r="O73" s="51"/>
      <c r="P73" s="51"/>
      <c r="Q73" s="27" t="str">
        <f t="shared" si="28"/>
        <v/>
      </c>
    </row>
    <row r="74" spans="1:17">
      <c r="A74" s="52">
        <f t="shared" si="23"/>
        <v>18</v>
      </c>
      <c r="C74" s="61">
        <v>4.462E-2</v>
      </c>
      <c r="D74" s="61">
        <v>5.91E-2</v>
      </c>
      <c r="G74" s="27"/>
      <c r="H74" s="27"/>
      <c r="I74" s="27"/>
      <c r="J74" s="27"/>
      <c r="K74" s="27"/>
      <c r="L74" s="27" t="str">
        <f t="shared" si="26"/>
        <v/>
      </c>
      <c r="M74" s="27" t="str">
        <f t="shared" si="27"/>
        <v/>
      </c>
      <c r="N74" s="51"/>
      <c r="O74" s="51"/>
      <c r="P74" s="51"/>
      <c r="Q74" s="27" t="str">
        <f t="shared" si="28"/>
        <v/>
      </c>
    </row>
    <row r="75" spans="1:17">
      <c r="A75" s="52">
        <f t="shared" si="23"/>
        <v>19</v>
      </c>
      <c r="C75" s="61">
        <v>4.4609999999999997E-2</v>
      </c>
      <c r="D75" s="61">
        <v>2.9499999999999998E-2</v>
      </c>
      <c r="G75" s="27"/>
      <c r="H75" s="27"/>
      <c r="I75" s="27"/>
      <c r="J75" s="27"/>
      <c r="K75" s="27"/>
      <c r="L75" s="27" t="str">
        <f t="shared" si="26"/>
        <v/>
      </c>
      <c r="M75" s="27" t="str">
        <f t="shared" si="27"/>
        <v/>
      </c>
      <c r="N75" s="51"/>
      <c r="O75" s="51"/>
      <c r="P75" s="51"/>
      <c r="Q75" s="27" t="str">
        <f t="shared" si="28"/>
        <v/>
      </c>
    </row>
    <row r="76" spans="1:17">
      <c r="A76" s="52">
        <f t="shared" si="23"/>
        <v>20</v>
      </c>
      <c r="C76" s="61">
        <v>4.462E-2</v>
      </c>
      <c r="D76" s="61">
        <v>0</v>
      </c>
      <c r="G76" s="27"/>
      <c r="H76" s="27"/>
      <c r="I76" s="27"/>
      <c r="J76" s="27"/>
      <c r="K76" s="27"/>
      <c r="L76" s="27" t="str">
        <f t="shared" si="26"/>
        <v/>
      </c>
      <c r="M76" s="27" t="str">
        <f t="shared" si="27"/>
        <v/>
      </c>
      <c r="N76" s="51"/>
      <c r="O76" s="51"/>
      <c r="P76" s="51"/>
      <c r="Q76" s="27" t="str">
        <f t="shared" si="28"/>
        <v/>
      </c>
    </row>
    <row r="77" spans="1:17">
      <c r="A77" s="52">
        <f t="shared" si="23"/>
        <v>21</v>
      </c>
      <c r="C77" s="61">
        <v>4.4609999999999997E-2</v>
      </c>
      <c r="D77" s="61">
        <v>0</v>
      </c>
      <c r="G77" s="27"/>
      <c r="H77" s="27"/>
      <c r="I77" s="27"/>
      <c r="J77" s="27"/>
      <c r="K77" s="27"/>
      <c r="L77" s="27" t="str">
        <f t="shared" si="26"/>
        <v/>
      </c>
      <c r="M77" s="27" t="str">
        <f t="shared" si="27"/>
        <v/>
      </c>
      <c r="N77" s="51"/>
      <c r="O77" s="51"/>
      <c r="P77" s="51"/>
      <c r="Q77" s="27" t="str">
        <f t="shared" si="28"/>
        <v/>
      </c>
    </row>
    <row r="78" spans="1:17">
      <c r="A78" s="52">
        <f t="shared" si="23"/>
        <v>22</v>
      </c>
      <c r="C78" s="61">
        <v>4.462E-2</v>
      </c>
      <c r="D78" s="61">
        <v>0</v>
      </c>
      <c r="G78" s="27"/>
      <c r="H78" s="27"/>
      <c r="I78" s="27"/>
      <c r="J78" s="27"/>
      <c r="K78" s="27"/>
      <c r="L78" s="27" t="str">
        <f t="shared" si="26"/>
        <v/>
      </c>
      <c r="M78" s="27" t="str">
        <f t="shared" si="27"/>
        <v/>
      </c>
      <c r="N78" s="51"/>
      <c r="O78" s="51"/>
      <c r="P78" s="51"/>
      <c r="Q78" s="27" t="str">
        <f t="shared" si="28"/>
        <v/>
      </c>
    </row>
    <row r="79" spans="1:17">
      <c r="A79" s="52">
        <f t="shared" si="23"/>
        <v>23</v>
      </c>
      <c r="C79" s="61">
        <v>4.4609999999999997E-2</v>
      </c>
      <c r="D79" s="61">
        <v>0</v>
      </c>
      <c r="G79" s="27"/>
      <c r="H79" s="27"/>
      <c r="I79" s="27"/>
      <c r="J79" s="27"/>
      <c r="K79" s="27"/>
      <c r="L79" s="27" t="str">
        <f t="shared" si="26"/>
        <v/>
      </c>
      <c r="M79" s="27" t="str">
        <f t="shared" si="27"/>
        <v/>
      </c>
      <c r="N79" s="51"/>
      <c r="O79" s="51"/>
      <c r="P79" s="51"/>
      <c r="Q79" s="27" t="str">
        <f t="shared" si="28"/>
        <v/>
      </c>
    </row>
    <row r="80" spans="1:17">
      <c r="A80" s="52">
        <f t="shared" si="23"/>
        <v>24</v>
      </c>
      <c r="C80" s="61">
        <v>2.231E-2</v>
      </c>
      <c r="D80" s="61">
        <v>0</v>
      </c>
      <c r="G80" s="27"/>
      <c r="H80" s="27"/>
      <c r="I80" s="27"/>
      <c r="J80" s="27"/>
      <c r="K80" s="27"/>
      <c r="L80" s="27" t="str">
        <f t="shared" si="26"/>
        <v/>
      </c>
      <c r="M80" s="27" t="str">
        <f t="shared" si="27"/>
        <v/>
      </c>
      <c r="N80" s="51"/>
      <c r="O80" s="51"/>
      <c r="P80" s="51"/>
      <c r="Q80" s="27" t="str">
        <f t="shared" si="28"/>
        <v/>
      </c>
    </row>
    <row r="81" spans="1:17">
      <c r="A81" s="52">
        <f t="shared" si="23"/>
        <v>25</v>
      </c>
      <c r="C81" s="61">
        <v>0</v>
      </c>
      <c r="D81" s="61">
        <v>0</v>
      </c>
      <c r="G81" s="27"/>
      <c r="H81" s="27"/>
      <c r="I81" s="27"/>
      <c r="J81" s="27"/>
      <c r="K81" s="27"/>
      <c r="L81" s="27" t="str">
        <f t="shared" si="26"/>
        <v/>
      </c>
      <c r="M81" s="27" t="str">
        <f t="shared" si="27"/>
        <v/>
      </c>
      <c r="N81" s="51"/>
      <c r="O81" s="51"/>
      <c r="P81" s="51"/>
      <c r="Q81" s="27" t="str">
        <f t="shared" si="28"/>
        <v/>
      </c>
    </row>
    <row r="82" spans="1:17">
      <c r="A82" s="52">
        <f t="shared" si="23"/>
        <v>26</v>
      </c>
      <c r="C82" s="61">
        <v>0</v>
      </c>
      <c r="G82" s="27"/>
      <c r="H82" s="27"/>
      <c r="I82" s="27"/>
      <c r="L82" s="27" t="str">
        <f t="shared" si="26"/>
        <v/>
      </c>
      <c r="M82" s="27" t="str">
        <f t="shared" si="27"/>
        <v/>
      </c>
      <c r="N82" s="51"/>
      <c r="O82" s="51"/>
      <c r="P82" s="51"/>
      <c r="Q82" s="27" t="str">
        <f t="shared" si="28"/>
        <v/>
      </c>
    </row>
    <row r="83" spans="1:17">
      <c r="A83" s="52">
        <f t="shared" si="23"/>
        <v>27</v>
      </c>
      <c r="C83" s="61">
        <v>0</v>
      </c>
      <c r="G83" s="27"/>
      <c r="H83" s="27"/>
      <c r="I83" s="27"/>
      <c r="L83" s="27" t="str">
        <f t="shared" si="26"/>
        <v/>
      </c>
      <c r="M83" s="27" t="str">
        <f t="shared" si="27"/>
        <v/>
      </c>
      <c r="N83" s="51"/>
      <c r="O83" s="51"/>
      <c r="P83" s="51"/>
      <c r="Q83" s="27" t="str">
        <f t="shared" si="28"/>
        <v/>
      </c>
    </row>
    <row r="84" spans="1:17">
      <c r="A84" s="52">
        <f t="shared" si="23"/>
        <v>28</v>
      </c>
      <c r="C84" s="61">
        <v>0</v>
      </c>
      <c r="G84" s="27"/>
      <c r="H84" s="27"/>
      <c r="I84" s="27"/>
      <c r="L84" s="27" t="str">
        <f t="shared" si="26"/>
        <v/>
      </c>
      <c r="M84" s="27" t="str">
        <f t="shared" si="27"/>
        <v/>
      </c>
      <c r="N84" s="51"/>
      <c r="O84" s="51"/>
      <c r="P84" s="51"/>
      <c r="Q84" s="27" t="str">
        <f t="shared" si="28"/>
        <v/>
      </c>
    </row>
    <row r="85" spans="1:17">
      <c r="A85" s="52">
        <f t="shared" si="23"/>
        <v>29</v>
      </c>
      <c r="C85" s="61">
        <v>0</v>
      </c>
      <c r="G85" s="27"/>
      <c r="H85" s="27"/>
      <c r="I85" s="27"/>
      <c r="L85" s="27" t="str">
        <f t="shared" si="26"/>
        <v/>
      </c>
      <c r="M85" s="27" t="str">
        <f t="shared" si="27"/>
        <v/>
      </c>
      <c r="N85" s="51"/>
      <c r="O85" s="51"/>
      <c r="P85" s="51"/>
      <c r="Q85" s="27" t="str">
        <f t="shared" si="28"/>
        <v/>
      </c>
    </row>
    <row r="86" spans="1:17">
      <c r="A86" s="52">
        <f t="shared" si="23"/>
        <v>30</v>
      </c>
      <c r="C86" s="61">
        <v>0</v>
      </c>
      <c r="I86" s="27"/>
      <c r="L86" s="27" t="str">
        <f t="shared" si="26"/>
        <v/>
      </c>
      <c r="M86" s="27" t="str">
        <f t="shared" si="27"/>
        <v/>
      </c>
      <c r="Q86" s="27" t="str">
        <f t="shared" si="28"/>
        <v/>
      </c>
    </row>
    <row r="87" spans="1:17">
      <c r="A87" s="52">
        <f t="shared" si="23"/>
        <v>31</v>
      </c>
      <c r="G87" s="27">
        <f t="shared" ref="G87:M87" si="29">SUM(G60:G86)</f>
        <v>972504.11410480039</v>
      </c>
      <c r="H87" s="27">
        <f t="shared" si="29"/>
        <v>5466355.512000001</v>
      </c>
      <c r="I87" s="27">
        <f t="shared" si="29"/>
        <v>6438859.6261048</v>
      </c>
      <c r="J87" s="27">
        <f t="shared" si="29"/>
        <v>1822437.65</v>
      </c>
      <c r="K87" s="27">
        <f t="shared" si="29"/>
        <v>717245.86252825032</v>
      </c>
      <c r="L87" s="27">
        <f t="shared" si="29"/>
        <v>7544051.4135765499</v>
      </c>
      <c r="M87" s="27">
        <f t="shared" si="29"/>
        <v>377202.57067882764</v>
      </c>
      <c r="N87" s="27"/>
      <c r="O87" s="27"/>
      <c r="P87" s="27"/>
      <c r="Q87" s="27"/>
    </row>
    <row r="88" spans="1:17">
      <c r="G88" s="27"/>
      <c r="H88" s="27"/>
      <c r="I88" s="27"/>
      <c r="J88" s="27"/>
      <c r="K88" s="27"/>
      <c r="Q88" s="27"/>
    </row>
    <row r="90" spans="1:17">
      <c r="B90" s="60" t="s">
        <v>166</v>
      </c>
      <c r="C90" s="52" t="s">
        <v>357</v>
      </c>
    </row>
    <row r="91" spans="1:17">
      <c r="B91" s="60" t="s">
        <v>167</v>
      </c>
      <c r="C91" s="52" t="s">
        <v>356</v>
      </c>
      <c r="D91" s="246"/>
    </row>
  </sheetData>
  <pageMargins left="0.7" right="0.7" top="0.75" bottom="0.75" header="0.3" footer="0.3"/>
  <pageSetup scale="60" orientation="landscape" r:id="rId1"/>
  <headerFooter>
    <oddFooter>&amp;R&amp;"Times New Roman,Bold"&amp;17Exhibit 4
Page 17 of 17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S63"/>
  <sheetViews>
    <sheetView workbookViewId="0"/>
  </sheetViews>
  <sheetFormatPr defaultColWidth="9.21875" defaultRowHeight="13.2"/>
  <cols>
    <col min="1" max="1" width="6.44140625" style="200" customWidth="1"/>
    <col min="2" max="2" width="12" style="200" bestFit="1" customWidth="1"/>
    <col min="3" max="3" width="13.77734375" style="200" bestFit="1" customWidth="1"/>
    <col min="4" max="4" width="34.77734375" style="200" bestFit="1" customWidth="1"/>
    <col min="5" max="5" width="7" style="200" bestFit="1" customWidth="1"/>
    <col min="6" max="17" width="9.77734375" style="200" customWidth="1"/>
    <col min="18" max="18" width="11.5546875" style="200" customWidth="1"/>
    <col min="19" max="16384" width="9.21875" style="200"/>
  </cols>
  <sheetData>
    <row r="1" spans="1:19">
      <c r="A1" s="199" t="s">
        <v>275</v>
      </c>
    </row>
    <row r="2" spans="1:19">
      <c r="A2" s="199" t="s">
        <v>276</v>
      </c>
      <c r="F2" s="432" t="s">
        <v>495</v>
      </c>
      <c r="G2" s="431"/>
      <c r="H2" s="431"/>
    </row>
    <row r="3" spans="1:19">
      <c r="A3" s="199" t="s">
        <v>277</v>
      </c>
    </row>
    <row r="6" spans="1:19">
      <c r="A6" s="201" t="s">
        <v>278</v>
      </c>
      <c r="B6" s="201" t="s">
        <v>139</v>
      </c>
      <c r="C6" s="201" t="s">
        <v>141</v>
      </c>
      <c r="D6" s="201" t="s">
        <v>279</v>
      </c>
      <c r="E6" s="201" t="s">
        <v>143</v>
      </c>
      <c r="F6" s="201" t="s">
        <v>280</v>
      </c>
      <c r="G6" s="201" t="s">
        <v>281</v>
      </c>
      <c r="H6" s="201" t="s">
        <v>282</v>
      </c>
      <c r="I6" s="201" t="s">
        <v>283</v>
      </c>
      <c r="J6" s="201" t="s">
        <v>284</v>
      </c>
      <c r="K6" s="201" t="s">
        <v>285</v>
      </c>
      <c r="L6" s="201" t="s">
        <v>286</v>
      </c>
      <c r="M6" s="201" t="s">
        <v>287</v>
      </c>
      <c r="N6" s="201" t="s">
        <v>288</v>
      </c>
      <c r="O6" s="201" t="s">
        <v>289</v>
      </c>
      <c r="P6" s="201" t="s">
        <v>290</v>
      </c>
      <c r="Q6" s="201" t="s">
        <v>291</v>
      </c>
      <c r="R6" s="201" t="s">
        <v>292</v>
      </c>
    </row>
    <row r="7" spans="1:19">
      <c r="A7" s="202" t="s">
        <v>293</v>
      </c>
      <c r="B7" s="202"/>
      <c r="C7" s="202"/>
      <c r="D7" s="202"/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</row>
    <row r="8" spans="1:19">
      <c r="B8" s="204" t="s">
        <v>113</v>
      </c>
      <c r="C8" s="215" t="s">
        <v>294</v>
      </c>
      <c r="D8" s="216" t="s">
        <v>295</v>
      </c>
      <c r="E8" s="200">
        <v>2018</v>
      </c>
      <c r="F8" s="247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>
        <f t="shared" ref="R8:R38" si="0">SUM(F8:Q8)</f>
        <v>0</v>
      </c>
    </row>
    <row r="9" spans="1:19">
      <c r="B9" s="204"/>
      <c r="C9" s="219" t="s">
        <v>114</v>
      </c>
      <c r="D9" s="220" t="s">
        <v>115</v>
      </c>
      <c r="E9" s="200">
        <v>2018</v>
      </c>
      <c r="F9" s="247">
        <v>217390.26</v>
      </c>
      <c r="G9" s="205">
        <v>202240.54</v>
      </c>
      <c r="H9" s="205">
        <v>173100.85</v>
      </c>
      <c r="I9" s="205">
        <v>177538.88</v>
      </c>
      <c r="J9" s="205">
        <v>269120.84000000003</v>
      </c>
      <c r="K9" s="205">
        <v>182699.61</v>
      </c>
      <c r="L9" s="205">
        <v>234832.89</v>
      </c>
      <c r="M9" s="205">
        <v>217422.93</v>
      </c>
      <c r="N9" s="205">
        <v>246311.61</v>
      </c>
      <c r="O9" s="205">
        <v>178474.34999999986</v>
      </c>
      <c r="P9" s="205">
        <v>114089.67</v>
      </c>
      <c r="Q9" s="205">
        <v>0</v>
      </c>
      <c r="R9" s="205">
        <f t="shared" si="0"/>
        <v>2213222.4299999997</v>
      </c>
    </row>
    <row r="10" spans="1:19">
      <c r="B10" s="204"/>
      <c r="C10" s="219" t="s">
        <v>116</v>
      </c>
      <c r="D10" s="220" t="s">
        <v>117</v>
      </c>
      <c r="E10" s="200">
        <v>2018</v>
      </c>
      <c r="F10" s="247">
        <v>4555.67</v>
      </c>
      <c r="G10" s="206">
        <v>0</v>
      </c>
      <c r="H10" s="206">
        <v>6485.59</v>
      </c>
      <c r="I10" s="206">
        <v>709.28</v>
      </c>
      <c r="J10" s="206">
        <v>304.47000000000003</v>
      </c>
      <c r="K10" s="206">
        <v>1091.6400000000001</v>
      </c>
      <c r="L10" s="206">
        <v>568.69000000000005</v>
      </c>
      <c r="M10" s="206">
        <v>605.04999999999995</v>
      </c>
      <c r="N10" s="206">
        <v>10761.12</v>
      </c>
      <c r="O10" s="206">
        <v>281.58</v>
      </c>
      <c r="P10" s="206">
        <v>1.8189894035458565E-12</v>
      </c>
      <c r="Q10" s="206">
        <v>2414.0100000000002</v>
      </c>
      <c r="R10" s="205">
        <f t="shared" si="0"/>
        <v>27777.100000000006</v>
      </c>
      <c r="S10" s="205"/>
    </row>
    <row r="11" spans="1:19">
      <c r="B11" s="204"/>
      <c r="C11" s="219" t="s">
        <v>118</v>
      </c>
      <c r="D11" s="220" t="s">
        <v>119</v>
      </c>
      <c r="E11" s="200">
        <v>2018</v>
      </c>
      <c r="F11" s="247">
        <v>2251.94</v>
      </c>
      <c r="G11" s="206">
        <v>66767.149999999994</v>
      </c>
      <c r="H11" s="206">
        <v>43946.32</v>
      </c>
      <c r="I11" s="206">
        <v>35317.1</v>
      </c>
      <c r="J11" s="206">
        <v>13431.47</v>
      </c>
      <c r="K11" s="206">
        <v>1302.33</v>
      </c>
      <c r="L11" s="206">
        <v>2177.8000000000002</v>
      </c>
      <c r="M11" s="206">
        <v>5359.92</v>
      </c>
      <c r="N11" s="206">
        <v>-823.38</v>
      </c>
      <c r="O11" s="206">
        <v>659.10000000000582</v>
      </c>
      <c r="P11" s="206">
        <v>1356.67</v>
      </c>
      <c r="Q11" s="206">
        <v>12230.3</v>
      </c>
      <c r="R11" s="205">
        <f t="shared" si="0"/>
        <v>183976.72</v>
      </c>
    </row>
    <row r="12" spans="1:19">
      <c r="B12" s="204"/>
      <c r="C12" s="221" t="s">
        <v>120</v>
      </c>
      <c r="D12" s="220" t="s">
        <v>121</v>
      </c>
      <c r="E12" s="200">
        <v>2018</v>
      </c>
      <c r="F12" s="249">
        <v>337544.33</v>
      </c>
      <c r="G12" s="206">
        <v>356424.65</v>
      </c>
      <c r="H12" s="206">
        <v>301082.81000000029</v>
      </c>
      <c r="I12" s="206">
        <v>192702.77</v>
      </c>
      <c r="J12" s="206">
        <v>164688.87</v>
      </c>
      <c r="K12" s="206">
        <v>166689.12</v>
      </c>
      <c r="L12" s="206">
        <v>217527.12</v>
      </c>
      <c r="M12" s="206">
        <v>167700.97</v>
      </c>
      <c r="N12" s="206">
        <v>175800.9</v>
      </c>
      <c r="O12" s="206">
        <v>207949.38</v>
      </c>
      <c r="P12" s="206">
        <v>1849284.33</v>
      </c>
      <c r="Q12" s="206">
        <v>482005.01</v>
      </c>
      <c r="R12" s="205">
        <f t="shared" si="0"/>
        <v>4619400.2600000007</v>
      </c>
    </row>
    <row r="13" spans="1:19">
      <c r="B13" s="204"/>
      <c r="C13" s="219" t="s">
        <v>122</v>
      </c>
      <c r="D13" s="220" t="s">
        <v>219</v>
      </c>
      <c r="E13" s="200">
        <v>2018</v>
      </c>
      <c r="F13" s="249">
        <v>4525.0600000000004</v>
      </c>
      <c r="G13" s="206">
        <v>1168.0999999999999</v>
      </c>
      <c r="H13" s="206">
        <v>10436.489999999998</v>
      </c>
      <c r="I13" s="206">
        <v>893.99</v>
      </c>
      <c r="J13" s="206">
        <v>608.49</v>
      </c>
      <c r="K13" s="206">
        <v>270.51</v>
      </c>
      <c r="L13" s="206">
        <v>1473.28</v>
      </c>
      <c r="M13" s="206">
        <v>1991.2</v>
      </c>
      <c r="N13" s="206">
        <v>1313.62</v>
      </c>
      <c r="O13" s="206">
        <v>852.07</v>
      </c>
      <c r="P13" s="206">
        <v>10716.72</v>
      </c>
      <c r="Q13" s="206">
        <v>1096.79</v>
      </c>
      <c r="R13" s="205">
        <f t="shared" si="0"/>
        <v>35346.32</v>
      </c>
      <c r="S13" s="205"/>
    </row>
    <row r="14" spans="1:19">
      <c r="B14" s="204"/>
      <c r="C14" s="219" t="s">
        <v>296</v>
      </c>
      <c r="D14" s="220" t="s">
        <v>297</v>
      </c>
      <c r="E14" s="200">
        <v>2018</v>
      </c>
      <c r="F14" s="249">
        <v>0</v>
      </c>
      <c r="G14" s="206">
        <v>0</v>
      </c>
      <c r="H14" s="206">
        <v>35378.97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60697.9</v>
      </c>
      <c r="Q14" s="206">
        <v>4732.75</v>
      </c>
      <c r="R14" s="205">
        <f t="shared" si="0"/>
        <v>100809.62</v>
      </c>
    </row>
    <row r="15" spans="1:19">
      <c r="B15" s="204"/>
      <c r="C15" s="219" t="s">
        <v>298</v>
      </c>
      <c r="D15" s="220" t="s">
        <v>299</v>
      </c>
      <c r="E15" s="200">
        <v>2018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5">
        <f t="shared" si="0"/>
        <v>0</v>
      </c>
    </row>
    <row r="16" spans="1:19">
      <c r="B16" s="204"/>
      <c r="C16" s="219" t="s">
        <v>300</v>
      </c>
      <c r="D16" s="220" t="s">
        <v>301</v>
      </c>
      <c r="E16" s="200">
        <v>2018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5">
        <f t="shared" si="0"/>
        <v>0</v>
      </c>
    </row>
    <row r="17" spans="1:19">
      <c r="B17" s="204"/>
      <c r="C17" s="219" t="s">
        <v>302</v>
      </c>
      <c r="D17" s="220" t="s">
        <v>303</v>
      </c>
      <c r="E17" s="200">
        <v>2018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5">
        <f t="shared" si="0"/>
        <v>0</v>
      </c>
    </row>
    <row r="18" spans="1:19">
      <c r="B18" s="204"/>
      <c r="C18" s="219" t="s">
        <v>223</v>
      </c>
      <c r="D18" s="220" t="s">
        <v>224</v>
      </c>
      <c r="E18" s="200">
        <v>2018</v>
      </c>
      <c r="F18" s="206">
        <v>0</v>
      </c>
      <c r="G18" s="206">
        <v>0</v>
      </c>
      <c r="H18" s="206">
        <v>322649.24</v>
      </c>
      <c r="I18" s="206">
        <v>293853.83</v>
      </c>
      <c r="J18" s="206">
        <v>409703.2</v>
      </c>
      <c r="K18" s="206">
        <v>291381.5</v>
      </c>
      <c r="L18" s="206">
        <v>570136.19999999995</v>
      </c>
      <c r="M18" s="206">
        <v>542621.73</v>
      </c>
      <c r="N18" s="206">
        <v>624144.54</v>
      </c>
      <c r="O18" s="206">
        <v>735682.49</v>
      </c>
      <c r="P18" s="206">
        <v>541028.06999999995</v>
      </c>
      <c r="Q18" s="206">
        <v>680888.33</v>
      </c>
      <c r="R18" s="205">
        <f t="shared" si="0"/>
        <v>5012089.1300000008</v>
      </c>
    </row>
    <row r="19" spans="1:19">
      <c r="B19" s="204"/>
      <c r="C19" s="219" t="s">
        <v>304</v>
      </c>
      <c r="D19" s="220" t="s">
        <v>305</v>
      </c>
      <c r="E19" s="200">
        <v>2018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5">
        <f t="shared" si="0"/>
        <v>0</v>
      </c>
    </row>
    <row r="20" spans="1:19">
      <c r="B20" s="204"/>
      <c r="C20" s="219" t="s">
        <v>306</v>
      </c>
      <c r="D20" s="220" t="s">
        <v>307</v>
      </c>
      <c r="E20" s="200">
        <v>2018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5">
        <f t="shared" si="0"/>
        <v>0</v>
      </c>
    </row>
    <row r="21" spans="1:19">
      <c r="B21" s="204"/>
      <c r="C21" s="219" t="s">
        <v>308</v>
      </c>
      <c r="D21" s="220" t="s">
        <v>309</v>
      </c>
      <c r="E21" s="200">
        <v>2018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5">
        <f t="shared" si="0"/>
        <v>0</v>
      </c>
    </row>
    <row r="22" spans="1:19">
      <c r="A22" s="200">
        <v>376</v>
      </c>
      <c r="B22" s="204"/>
      <c r="C22" s="215" t="s">
        <v>123</v>
      </c>
      <c r="D22" s="216" t="s">
        <v>124</v>
      </c>
      <c r="E22" s="200">
        <v>2018</v>
      </c>
      <c r="F22" s="206">
        <v>42464.18</v>
      </c>
      <c r="G22" s="206">
        <v>44275.18</v>
      </c>
      <c r="H22" s="206">
        <v>40750.949999999997</v>
      </c>
      <c r="I22" s="206">
        <v>50856.52</v>
      </c>
      <c r="J22" s="206">
        <v>131457.69</v>
      </c>
      <c r="K22" s="206">
        <v>313602.87</v>
      </c>
      <c r="L22" s="206">
        <v>306703.24</v>
      </c>
      <c r="M22" s="206">
        <v>264804.42</v>
      </c>
      <c r="N22" s="206">
        <v>586532.19999999995</v>
      </c>
      <c r="O22" s="206">
        <v>-325151.6099999994</v>
      </c>
      <c r="P22" s="206">
        <v>254024.01</v>
      </c>
      <c r="Q22" s="206">
        <v>130130.53</v>
      </c>
      <c r="R22" s="205">
        <f t="shared" si="0"/>
        <v>1840450.1800000006</v>
      </c>
    </row>
    <row r="23" spans="1:19">
      <c r="A23" s="200">
        <v>380</v>
      </c>
      <c r="B23" s="204"/>
      <c r="C23" s="213" t="s">
        <v>123</v>
      </c>
      <c r="D23" s="214" t="s">
        <v>124</v>
      </c>
      <c r="E23" s="200">
        <v>2018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135205.72999999998</v>
      </c>
      <c r="P23" s="206">
        <v>0</v>
      </c>
      <c r="Q23" s="206">
        <v>0</v>
      </c>
      <c r="R23" s="205">
        <f t="shared" si="0"/>
        <v>135205.72999999998</v>
      </c>
    </row>
    <row r="24" spans="1:19">
      <c r="B24" s="204"/>
      <c r="C24" s="217" t="s">
        <v>310</v>
      </c>
      <c r="D24" s="218" t="s">
        <v>311</v>
      </c>
      <c r="E24" s="200">
        <v>2018</v>
      </c>
      <c r="F24" s="249">
        <v>84429.82</v>
      </c>
      <c r="G24" s="206">
        <v>10382.83</v>
      </c>
      <c r="H24" s="206">
        <v>9001.0099999997765</v>
      </c>
      <c r="I24" s="206">
        <v>1263.3699999999999</v>
      </c>
      <c r="J24" s="206">
        <v>1265.82</v>
      </c>
      <c r="K24" s="206">
        <v>2.44</v>
      </c>
      <c r="L24" s="206">
        <v>0</v>
      </c>
      <c r="M24" s="206">
        <v>0</v>
      </c>
      <c r="N24" s="206">
        <v>0</v>
      </c>
      <c r="O24" s="206">
        <v>0</v>
      </c>
      <c r="P24" s="206">
        <v>7187.22</v>
      </c>
      <c r="Q24" s="206">
        <v>0</v>
      </c>
      <c r="R24" s="205">
        <f t="shared" si="0"/>
        <v>113532.50999999979</v>
      </c>
    </row>
    <row r="25" spans="1:19">
      <c r="A25" s="200">
        <v>376</v>
      </c>
      <c r="B25" s="204"/>
      <c r="C25" s="215" t="s">
        <v>126</v>
      </c>
      <c r="D25" s="216" t="s">
        <v>127</v>
      </c>
      <c r="E25" s="200">
        <v>2018</v>
      </c>
      <c r="F25" s="206">
        <v>2595.8000000000002</v>
      </c>
      <c r="G25" s="206">
        <v>50256.63</v>
      </c>
      <c r="H25" s="206">
        <v>247899.42</v>
      </c>
      <c r="I25" s="206">
        <v>241926.69</v>
      </c>
      <c r="J25" s="206">
        <v>-22115.200000000001</v>
      </c>
      <c r="K25" s="206">
        <v>6966.07</v>
      </c>
      <c r="L25" s="206">
        <v>8318.07</v>
      </c>
      <c r="M25" s="206">
        <v>6126</v>
      </c>
      <c r="N25" s="206">
        <v>19066.78</v>
      </c>
      <c r="O25" s="206">
        <v>11497.93</v>
      </c>
      <c r="P25" s="206">
        <v>1854.49</v>
      </c>
      <c r="Q25" s="206">
        <v>2708.2899999999208</v>
      </c>
      <c r="R25" s="205">
        <f t="shared" si="0"/>
        <v>577100.97</v>
      </c>
    </row>
    <row r="26" spans="1:19">
      <c r="B26" s="204"/>
      <c r="C26" s="217" t="s">
        <v>312</v>
      </c>
      <c r="D26" s="218" t="s">
        <v>313</v>
      </c>
      <c r="E26" s="200">
        <v>2018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5">
        <f t="shared" si="0"/>
        <v>0</v>
      </c>
    </row>
    <row r="27" spans="1:19">
      <c r="A27" s="200">
        <v>376</v>
      </c>
      <c r="B27" s="204"/>
      <c r="C27" s="215" t="s">
        <v>128</v>
      </c>
      <c r="D27" s="216" t="s">
        <v>129</v>
      </c>
      <c r="E27" s="200">
        <v>2018</v>
      </c>
      <c r="F27" s="247">
        <v>5265.3</v>
      </c>
      <c r="G27" s="206">
        <v>-301.89</v>
      </c>
      <c r="H27" s="206">
        <v>-495.95</v>
      </c>
      <c r="I27" s="206">
        <v>0</v>
      </c>
      <c r="J27" s="206">
        <v>0</v>
      </c>
      <c r="K27" s="206">
        <v>0</v>
      </c>
      <c r="L27" s="206">
        <v>0</v>
      </c>
      <c r="M27" s="206">
        <v>1014.44</v>
      </c>
      <c r="N27" s="206">
        <v>-509.46</v>
      </c>
      <c r="O27" s="206">
        <v>34344.129999999983</v>
      </c>
      <c r="P27" s="206">
        <v>40217.909999999996</v>
      </c>
      <c r="Q27" s="206">
        <v>57.06</v>
      </c>
      <c r="R27" s="205">
        <f t="shared" si="0"/>
        <v>79591.539999999979</v>
      </c>
    </row>
    <row r="28" spans="1:19">
      <c r="A28" s="200">
        <v>376</v>
      </c>
      <c r="B28" s="204"/>
      <c r="C28" s="215" t="s">
        <v>130</v>
      </c>
      <c r="D28" s="216" t="s">
        <v>131</v>
      </c>
      <c r="E28" s="200">
        <v>2018</v>
      </c>
      <c r="F28" s="206">
        <v>51363.75</v>
      </c>
      <c r="G28" s="206">
        <v>31444.82</v>
      </c>
      <c r="H28" s="206">
        <v>31813</v>
      </c>
      <c r="I28" s="206">
        <v>44361.599999999999</v>
      </c>
      <c r="J28" s="206">
        <v>46468.79</v>
      </c>
      <c r="K28" s="206">
        <v>38957.120000000003</v>
      </c>
      <c r="L28" s="206">
        <v>53237.36</v>
      </c>
      <c r="M28" s="206">
        <v>47690.2</v>
      </c>
      <c r="N28" s="206">
        <v>54862.080000000002</v>
      </c>
      <c r="O28" s="206">
        <v>39207.31</v>
      </c>
      <c r="P28" s="206">
        <v>-637460.44999999995</v>
      </c>
      <c r="Q28" s="206">
        <v>79.099999999999994</v>
      </c>
      <c r="R28" s="205">
        <f t="shared" si="0"/>
        <v>-197975.31999999992</v>
      </c>
    </row>
    <row r="29" spans="1:19">
      <c r="A29" s="200">
        <v>380</v>
      </c>
      <c r="B29" s="204"/>
      <c r="C29" s="213" t="s">
        <v>130</v>
      </c>
      <c r="D29" s="214" t="s">
        <v>131</v>
      </c>
      <c r="E29" s="200">
        <v>2018</v>
      </c>
      <c r="F29" s="247">
        <v>205454.91999999998</v>
      </c>
      <c r="G29" s="206">
        <v>125779.21999999999</v>
      </c>
      <c r="H29" s="206">
        <v>127251.93</v>
      </c>
      <c r="I29" s="206">
        <v>177446.32</v>
      </c>
      <c r="J29" s="206">
        <v>185875.08000000002</v>
      </c>
      <c r="K29" s="206">
        <v>155828.41</v>
      </c>
      <c r="L29" s="206">
        <v>212949.36</v>
      </c>
      <c r="M29" s="206">
        <v>190760.71999999997</v>
      </c>
      <c r="N29" s="206">
        <v>219448.24</v>
      </c>
      <c r="O29" s="206">
        <v>156829.16999999998</v>
      </c>
      <c r="P29" s="206">
        <v>867473.23000000021</v>
      </c>
      <c r="Q29" s="206">
        <v>316.39</v>
      </c>
      <c r="R29" s="205">
        <f t="shared" si="0"/>
        <v>2625412.9900000002</v>
      </c>
    </row>
    <row r="30" spans="1:19">
      <c r="B30" s="204"/>
      <c r="C30" s="213" t="s">
        <v>132</v>
      </c>
      <c r="D30" s="214" t="s">
        <v>133</v>
      </c>
      <c r="E30" s="200">
        <v>2018</v>
      </c>
      <c r="F30" s="247">
        <v>0</v>
      </c>
      <c r="G30" s="206">
        <v>0</v>
      </c>
      <c r="H30" s="206">
        <v>0</v>
      </c>
      <c r="I30" s="206">
        <v>0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19361.63</v>
      </c>
      <c r="Q30" s="206">
        <v>0</v>
      </c>
      <c r="R30" s="205">
        <f t="shared" si="0"/>
        <v>19361.63</v>
      </c>
      <c r="S30" s="205"/>
    </row>
    <row r="31" spans="1:19">
      <c r="B31" s="204"/>
      <c r="C31" s="213" t="s">
        <v>314</v>
      </c>
      <c r="D31" s="214" t="s">
        <v>315</v>
      </c>
      <c r="E31" s="200">
        <v>2018</v>
      </c>
      <c r="F31" s="247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5">
        <f t="shared" si="0"/>
        <v>0</v>
      </c>
      <c r="S31" s="205"/>
    </row>
    <row r="32" spans="1:19">
      <c r="B32" s="204"/>
      <c r="C32" s="217" t="s">
        <v>316</v>
      </c>
      <c r="D32" s="218" t="s">
        <v>317</v>
      </c>
      <c r="E32" s="200">
        <v>2018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5">
        <f t="shared" si="0"/>
        <v>0</v>
      </c>
    </row>
    <row r="33" spans="1:18">
      <c r="B33" s="204"/>
      <c r="C33" s="222" t="s">
        <v>318</v>
      </c>
      <c r="D33" s="223" t="s">
        <v>319</v>
      </c>
      <c r="E33" s="200">
        <v>2018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5">
        <f t="shared" si="0"/>
        <v>0</v>
      </c>
    </row>
    <row r="34" spans="1:18">
      <c r="B34" s="204"/>
      <c r="C34" s="222" t="s">
        <v>320</v>
      </c>
      <c r="D34" s="223" t="s">
        <v>321</v>
      </c>
      <c r="E34" s="200">
        <v>2018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5">
        <f t="shared" si="0"/>
        <v>0</v>
      </c>
    </row>
    <row r="35" spans="1:18">
      <c r="B35" s="204"/>
      <c r="C35" s="222" t="s">
        <v>322</v>
      </c>
      <c r="D35" s="223" t="s">
        <v>323</v>
      </c>
      <c r="E35" s="200">
        <v>2018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5">
        <f t="shared" si="0"/>
        <v>0</v>
      </c>
    </row>
    <row r="36" spans="1:18">
      <c r="B36" s="204"/>
      <c r="C36" s="222" t="s">
        <v>324</v>
      </c>
      <c r="D36" s="223" t="s">
        <v>325</v>
      </c>
      <c r="E36" s="200">
        <v>2018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5">
        <f t="shared" si="0"/>
        <v>0</v>
      </c>
    </row>
    <row r="37" spans="1:18">
      <c r="A37" s="200">
        <v>380</v>
      </c>
      <c r="B37" s="204"/>
      <c r="C37" s="213" t="s">
        <v>192</v>
      </c>
      <c r="D37" s="214" t="s">
        <v>193</v>
      </c>
      <c r="E37" s="200">
        <v>2018</v>
      </c>
      <c r="F37" s="206">
        <v>8786.34</v>
      </c>
      <c r="G37" s="206">
        <v>-6821.81</v>
      </c>
      <c r="H37" s="206">
        <v>18395.55</v>
      </c>
      <c r="I37" s="206">
        <v>4783.21</v>
      </c>
      <c r="J37" s="206">
        <v>-136.41999999999999</v>
      </c>
      <c r="K37" s="206">
        <v>-146.5</v>
      </c>
      <c r="L37" s="206">
        <v>-502.46</v>
      </c>
      <c r="M37" s="206">
        <v>0</v>
      </c>
      <c r="N37" s="206">
        <v>0</v>
      </c>
      <c r="O37" s="206">
        <v>287864.76000000007</v>
      </c>
      <c r="P37" s="206">
        <v>0</v>
      </c>
      <c r="Q37" s="206">
        <v>0</v>
      </c>
      <c r="R37" s="205">
        <f t="shared" si="0"/>
        <v>312222.67000000004</v>
      </c>
    </row>
    <row r="38" spans="1:18">
      <c r="A38" s="200">
        <v>376</v>
      </c>
      <c r="B38" s="204"/>
      <c r="C38" s="215" t="s">
        <v>192</v>
      </c>
      <c r="D38" s="216" t="s">
        <v>193</v>
      </c>
      <c r="E38" s="200">
        <v>2018</v>
      </c>
      <c r="F38" s="247">
        <v>8786.34</v>
      </c>
      <c r="G38" s="205">
        <v>-6821.79</v>
      </c>
      <c r="H38" s="205">
        <v>18395.57</v>
      </c>
      <c r="I38" s="205">
        <v>4783.2299999999996</v>
      </c>
      <c r="J38" s="205">
        <v>-136.43</v>
      </c>
      <c r="K38" s="205">
        <v>-146.5</v>
      </c>
      <c r="L38" s="205">
        <v>-502.46</v>
      </c>
      <c r="M38" s="205">
        <v>0</v>
      </c>
      <c r="N38" s="205">
        <v>0</v>
      </c>
      <c r="O38" s="205">
        <v>-287864.76</v>
      </c>
      <c r="P38" s="205">
        <v>0</v>
      </c>
      <c r="Q38" s="205">
        <v>0</v>
      </c>
      <c r="R38" s="205">
        <f t="shared" si="0"/>
        <v>-263506.8</v>
      </c>
    </row>
    <row r="39" spans="1:18">
      <c r="A39" s="207" t="s">
        <v>326</v>
      </c>
      <c r="B39" s="207"/>
      <c r="C39" s="207"/>
      <c r="D39" s="207"/>
      <c r="E39" s="207"/>
      <c r="F39" s="208">
        <f>SUM(F8:F38)</f>
        <v>975413.7100000002</v>
      </c>
      <c r="G39" s="208">
        <f t="shared" ref="G39:R39" si="1">SUM(G8:G38)</f>
        <v>874793.62999999989</v>
      </c>
      <c r="H39" s="208">
        <f t="shared" si="1"/>
        <v>1386091.75</v>
      </c>
      <c r="I39" s="208">
        <f t="shared" si="1"/>
        <v>1226436.79</v>
      </c>
      <c r="J39" s="208">
        <f t="shared" si="1"/>
        <v>1200536.6700000002</v>
      </c>
      <c r="K39" s="208">
        <f t="shared" si="1"/>
        <v>1158498.6199999999</v>
      </c>
      <c r="L39" s="208">
        <f t="shared" si="1"/>
        <v>1606919.0900000003</v>
      </c>
      <c r="M39" s="208">
        <f t="shared" si="1"/>
        <v>1446097.5799999998</v>
      </c>
      <c r="N39" s="208">
        <f t="shared" si="1"/>
        <v>1936908.2500000002</v>
      </c>
      <c r="O39" s="208">
        <f t="shared" si="1"/>
        <v>1175831.6300000004</v>
      </c>
      <c r="P39" s="208">
        <f t="shared" si="1"/>
        <v>3129831.4000000013</v>
      </c>
      <c r="Q39" s="208">
        <f t="shared" si="1"/>
        <v>1316658.5599999998</v>
      </c>
      <c r="R39" s="208">
        <f t="shared" si="1"/>
        <v>17434017.68</v>
      </c>
    </row>
    <row r="40" spans="1:18"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</row>
    <row r="41" spans="1:18">
      <c r="A41" s="202" t="s">
        <v>327</v>
      </c>
      <c r="B41" s="202"/>
      <c r="C41" s="202"/>
      <c r="D41" s="202"/>
      <c r="E41" s="202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>
      <c r="B42" s="204" t="s">
        <v>135</v>
      </c>
      <c r="C42" s="215" t="s">
        <v>294</v>
      </c>
      <c r="D42" s="216" t="s">
        <v>295</v>
      </c>
      <c r="E42" s="200">
        <v>2018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>
        <f>SUM(F42:Q42)</f>
        <v>0</v>
      </c>
    </row>
    <row r="43" spans="1:18">
      <c r="B43" s="204"/>
      <c r="C43" s="219" t="s">
        <v>223</v>
      </c>
      <c r="D43" s="220" t="s">
        <v>224</v>
      </c>
      <c r="E43" s="200">
        <v>2018</v>
      </c>
      <c r="F43" s="205">
        <v>0</v>
      </c>
      <c r="G43" s="205">
        <v>0</v>
      </c>
      <c r="H43" s="205">
        <v>0</v>
      </c>
      <c r="I43" s="205">
        <v>75006.649999999994</v>
      </c>
      <c r="J43" s="205">
        <v>41467.480000000003</v>
      </c>
      <c r="K43" s="205">
        <v>127514.49</v>
      </c>
      <c r="L43" s="205">
        <v>88252.12</v>
      </c>
      <c r="M43" s="205">
        <v>97597.62</v>
      </c>
      <c r="N43" s="205">
        <v>75420.41</v>
      </c>
      <c r="O43" s="205">
        <v>172051</v>
      </c>
      <c r="P43" s="205">
        <v>126221.87</v>
      </c>
      <c r="Q43" s="205">
        <v>127553.22</v>
      </c>
      <c r="R43" s="205">
        <f>SUM(F43:Q43)</f>
        <v>931084.86</v>
      </c>
    </row>
    <row r="44" spans="1:18">
      <c r="B44" s="204"/>
      <c r="C44" s="215" t="s">
        <v>123</v>
      </c>
      <c r="D44" s="216" t="s">
        <v>124</v>
      </c>
      <c r="E44" s="200">
        <v>2018</v>
      </c>
      <c r="F44" s="205">
        <v>33792.19</v>
      </c>
      <c r="G44" s="205">
        <v>-3157.52</v>
      </c>
      <c r="H44" s="205">
        <v>1518.04</v>
      </c>
      <c r="I44" s="205">
        <v>-759.02</v>
      </c>
      <c r="J44" s="205">
        <v>4344.43</v>
      </c>
      <c r="K44" s="205">
        <v>211.63</v>
      </c>
      <c r="L44" s="205">
        <v>0</v>
      </c>
      <c r="M44" s="205">
        <v>0</v>
      </c>
      <c r="N44" s="205">
        <v>320.45</v>
      </c>
      <c r="O44" s="205">
        <v>0</v>
      </c>
      <c r="P44" s="205">
        <v>0</v>
      </c>
      <c r="Q44" s="205">
        <v>0</v>
      </c>
      <c r="R44" s="205">
        <f t="shared" ref="R44:R52" si="2">SUM(F44:Q44)</f>
        <v>36270.199999999997</v>
      </c>
    </row>
    <row r="45" spans="1:18">
      <c r="B45" s="204"/>
      <c r="C45" s="215" t="s">
        <v>126</v>
      </c>
      <c r="D45" s="216" t="s">
        <v>127</v>
      </c>
      <c r="E45" s="200">
        <v>2018</v>
      </c>
      <c r="F45" s="205">
        <v>100338.52</v>
      </c>
      <c r="G45" s="205">
        <v>152868.07999999999</v>
      </c>
      <c r="H45" s="205">
        <v>72636.03</v>
      </c>
      <c r="I45" s="205">
        <v>27486.36</v>
      </c>
      <c r="J45" s="205">
        <v>75969.759999999995</v>
      </c>
      <c r="K45" s="205">
        <v>613.74</v>
      </c>
      <c r="L45" s="205">
        <v>0</v>
      </c>
      <c r="M45" s="205">
        <v>82.15</v>
      </c>
      <c r="N45" s="205">
        <v>0</v>
      </c>
      <c r="O45" s="205">
        <v>0</v>
      </c>
      <c r="P45" s="205">
        <v>2387.9699999999998</v>
      </c>
      <c r="Q45" s="205">
        <v>178.61</v>
      </c>
      <c r="R45" s="205">
        <f t="shared" si="2"/>
        <v>432561.22</v>
      </c>
    </row>
    <row r="46" spans="1:18">
      <c r="B46" s="204"/>
      <c r="C46" s="215" t="s">
        <v>128</v>
      </c>
      <c r="D46" s="216" t="s">
        <v>129</v>
      </c>
      <c r="E46" s="200">
        <v>2018</v>
      </c>
      <c r="F46" s="205">
        <v>0</v>
      </c>
      <c r="G46" s="205">
        <v>1078.1600000000001</v>
      </c>
      <c r="H46" s="205">
        <v>-539.08000000000004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f t="shared" si="2"/>
        <v>539.08000000000004</v>
      </c>
    </row>
    <row r="47" spans="1:18">
      <c r="B47" s="204"/>
      <c r="C47" s="219" t="s">
        <v>130</v>
      </c>
      <c r="D47" s="220" t="s">
        <v>131</v>
      </c>
      <c r="E47" s="200">
        <v>2018</v>
      </c>
      <c r="F47" s="205">
        <v>2787.54</v>
      </c>
      <c r="G47" s="205">
        <v>19841.490000000002</v>
      </c>
      <c r="H47" s="205">
        <v>34812.839999999997</v>
      </c>
      <c r="I47" s="205">
        <v>34184.660000000003</v>
      </c>
      <c r="J47" s="205">
        <v>20003.12</v>
      </c>
      <c r="K47" s="205">
        <v>24477.54</v>
      </c>
      <c r="L47" s="205">
        <v>19806.77</v>
      </c>
      <c r="M47" s="205">
        <v>18843.04</v>
      </c>
      <c r="N47" s="205">
        <v>57754.62</v>
      </c>
      <c r="O47" s="205">
        <v>14594.11</v>
      </c>
      <c r="P47" s="205">
        <v>35168.199999999997</v>
      </c>
      <c r="Q47" s="205">
        <v>34852.67</v>
      </c>
      <c r="R47" s="205">
        <f t="shared" si="2"/>
        <v>317126.59999999998</v>
      </c>
    </row>
    <row r="48" spans="1:18">
      <c r="B48" s="204"/>
      <c r="C48" s="219" t="s">
        <v>132</v>
      </c>
      <c r="D48" s="220" t="s">
        <v>133</v>
      </c>
      <c r="E48" s="200">
        <v>2018</v>
      </c>
      <c r="F48" s="205">
        <v>8590.5</v>
      </c>
      <c r="G48" s="205">
        <v>11098.02</v>
      </c>
      <c r="H48" s="205">
        <v>16830.82</v>
      </c>
      <c r="I48" s="205">
        <v>14158.88</v>
      </c>
      <c r="J48" s="205">
        <v>10229.280000000001</v>
      </c>
      <c r="K48" s="205">
        <v>8799.85</v>
      </c>
      <c r="L48" s="205">
        <v>3711.03</v>
      </c>
      <c r="M48" s="205">
        <v>13885.74</v>
      </c>
      <c r="N48" s="205">
        <v>8497.9599999999991</v>
      </c>
      <c r="O48" s="205">
        <v>2221.81</v>
      </c>
      <c r="P48" s="205">
        <v>2402.3200000000002</v>
      </c>
      <c r="Q48" s="205">
        <v>4448.17</v>
      </c>
      <c r="R48" s="205">
        <f t="shared" si="2"/>
        <v>104874.37999999999</v>
      </c>
    </row>
    <row r="49" spans="1:18">
      <c r="B49" s="204"/>
      <c r="C49" s="222" t="s">
        <v>318</v>
      </c>
      <c r="D49" s="223" t="s">
        <v>319</v>
      </c>
      <c r="E49" s="200">
        <v>2018</v>
      </c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5">
        <f t="shared" si="2"/>
        <v>0</v>
      </c>
    </row>
    <row r="50" spans="1:18">
      <c r="B50" s="204"/>
      <c r="C50" s="222" t="s">
        <v>320</v>
      </c>
      <c r="D50" s="223" t="s">
        <v>321</v>
      </c>
      <c r="E50" s="200">
        <v>2018</v>
      </c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5">
        <f t="shared" si="2"/>
        <v>0</v>
      </c>
    </row>
    <row r="51" spans="1:18">
      <c r="B51" s="204"/>
      <c r="C51" s="222" t="s">
        <v>322</v>
      </c>
      <c r="D51" s="223" t="s">
        <v>323</v>
      </c>
      <c r="E51" s="200">
        <v>2018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5">
        <f t="shared" si="2"/>
        <v>0</v>
      </c>
    </row>
    <row r="52" spans="1:18">
      <c r="B52" s="204"/>
      <c r="C52" s="215" t="s">
        <v>192</v>
      </c>
      <c r="D52" s="216" t="s">
        <v>193</v>
      </c>
      <c r="E52" s="200">
        <v>2018</v>
      </c>
      <c r="F52" s="205">
        <v>-18.690000000000001</v>
      </c>
      <c r="G52" s="205">
        <v>0</v>
      </c>
      <c r="H52" s="205">
        <v>0</v>
      </c>
      <c r="I52" s="205"/>
      <c r="J52" s="205"/>
      <c r="K52" s="205"/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Q52" s="205">
        <v>0</v>
      </c>
      <c r="R52" s="205">
        <f t="shared" si="2"/>
        <v>-18.690000000000001</v>
      </c>
    </row>
    <row r="53" spans="1:18">
      <c r="A53" s="207" t="s">
        <v>328</v>
      </c>
      <c r="B53" s="207"/>
      <c r="C53" s="207"/>
      <c r="D53" s="207"/>
      <c r="E53" s="207"/>
      <c r="F53" s="208">
        <f>SUM(F42:F52)</f>
        <v>145490.06000000003</v>
      </c>
      <c r="G53" s="208">
        <f t="shared" ref="G53:R53" si="3">SUM(G42:G52)</f>
        <v>181728.22999999998</v>
      </c>
      <c r="H53" s="208">
        <f t="shared" si="3"/>
        <v>125258.65</v>
      </c>
      <c r="I53" s="208">
        <f t="shared" si="3"/>
        <v>150077.53</v>
      </c>
      <c r="J53" s="208">
        <f t="shared" si="3"/>
        <v>152014.07</v>
      </c>
      <c r="K53" s="208">
        <f t="shared" si="3"/>
        <v>161617.25000000003</v>
      </c>
      <c r="L53" s="208">
        <f t="shared" si="3"/>
        <v>111769.92</v>
      </c>
      <c r="M53" s="208">
        <f t="shared" si="3"/>
        <v>130408.55</v>
      </c>
      <c r="N53" s="208">
        <f t="shared" si="3"/>
        <v>141993.44</v>
      </c>
      <c r="O53" s="208">
        <f t="shared" si="3"/>
        <v>188866.91999999998</v>
      </c>
      <c r="P53" s="208">
        <f t="shared" si="3"/>
        <v>166180.35999999999</v>
      </c>
      <c r="Q53" s="208">
        <f t="shared" si="3"/>
        <v>167032.67000000001</v>
      </c>
      <c r="R53" s="208">
        <f t="shared" si="3"/>
        <v>1822437.65</v>
      </c>
    </row>
    <row r="54" spans="1:18"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</row>
    <row r="55" spans="1:18">
      <c r="A55" s="209" t="s">
        <v>329</v>
      </c>
      <c r="B55" s="209"/>
      <c r="C55" s="209"/>
      <c r="D55" s="209"/>
      <c r="E55" s="209"/>
      <c r="F55" s="210">
        <f>F39+F53</f>
        <v>1120903.7700000003</v>
      </c>
      <c r="G55" s="210">
        <f t="shared" ref="G55:R55" si="4">G39+G53</f>
        <v>1056521.8599999999</v>
      </c>
      <c r="H55" s="210">
        <f t="shared" si="4"/>
        <v>1511350.4</v>
      </c>
      <c r="I55" s="210">
        <f t="shared" si="4"/>
        <v>1376514.32</v>
      </c>
      <c r="J55" s="210">
        <f t="shared" si="4"/>
        <v>1352550.7400000002</v>
      </c>
      <c r="K55" s="210">
        <f t="shared" si="4"/>
        <v>1320115.8699999999</v>
      </c>
      <c r="L55" s="210">
        <f t="shared" si="4"/>
        <v>1718689.0100000002</v>
      </c>
      <c r="M55" s="210">
        <f t="shared" si="4"/>
        <v>1576506.13</v>
      </c>
      <c r="N55" s="210">
        <f t="shared" si="4"/>
        <v>2078901.6900000002</v>
      </c>
      <c r="O55" s="210">
        <f t="shared" si="4"/>
        <v>1364698.5500000003</v>
      </c>
      <c r="P55" s="210">
        <f t="shared" si="4"/>
        <v>3296011.7600000012</v>
      </c>
      <c r="Q55" s="210">
        <f t="shared" si="4"/>
        <v>1483691.2299999997</v>
      </c>
      <c r="R55" s="210">
        <f t="shared" si="4"/>
        <v>19256455.329999998</v>
      </c>
    </row>
    <row r="56" spans="1:18">
      <c r="Q56" s="211"/>
      <c r="R56" s="212"/>
    </row>
    <row r="57" spans="1:18">
      <c r="Q57" s="211"/>
      <c r="R57" s="212"/>
    </row>
    <row r="58" spans="1:18">
      <c r="Q58" s="211"/>
      <c r="R58" s="205"/>
    </row>
    <row r="60" spans="1:18">
      <c r="D60" s="200" t="s">
        <v>587</v>
      </c>
      <c r="F60" s="200">
        <v>3370480.97</v>
      </c>
      <c r="G60" s="200">
        <v>4342215.1900000004</v>
      </c>
      <c r="H60" s="200">
        <v>5166106.24</v>
      </c>
      <c r="I60" s="200">
        <v>6250879.4800000004</v>
      </c>
      <c r="J60" s="200">
        <v>6515328.0999999996</v>
      </c>
      <c r="K60" s="200">
        <v>6722508.1899999995</v>
      </c>
      <c r="L60" s="200">
        <v>6758536.7399999993</v>
      </c>
      <c r="M60" s="200">
        <v>7338384.1799999997</v>
      </c>
      <c r="N60" s="200">
        <v>9347877.8699999992</v>
      </c>
      <c r="O60" s="200">
        <v>9803648.7100000009</v>
      </c>
      <c r="P60" s="200">
        <v>10436606.98</v>
      </c>
      <c r="Q60" s="200">
        <v>11207438.539999999</v>
      </c>
      <c r="R60" s="205"/>
    </row>
    <row r="61" spans="1:18">
      <c r="F61" s="205">
        <f>F60-'Rev Req 2017-Trans'!P11</f>
        <v>307839.76000000024</v>
      </c>
      <c r="G61" s="205">
        <f>G60-F60</f>
        <v>971734.2200000002</v>
      </c>
      <c r="H61" s="205">
        <f t="shared" ref="H61:Q61" si="5">H60-G60</f>
        <v>823891.04999999981</v>
      </c>
      <c r="I61" s="205">
        <f t="shared" si="5"/>
        <v>1084773.2400000002</v>
      </c>
      <c r="J61" s="205">
        <f t="shared" si="5"/>
        <v>264448.61999999918</v>
      </c>
      <c r="K61" s="205">
        <f t="shared" si="5"/>
        <v>207180.08999999985</v>
      </c>
      <c r="L61" s="205">
        <f t="shared" si="5"/>
        <v>36028.549999999814</v>
      </c>
      <c r="M61" s="205">
        <f t="shared" si="5"/>
        <v>579847.44000000041</v>
      </c>
      <c r="N61" s="205">
        <f t="shared" si="5"/>
        <v>2009493.6899999995</v>
      </c>
      <c r="O61" s="205">
        <f t="shared" si="5"/>
        <v>455770.84000000171</v>
      </c>
      <c r="P61" s="205">
        <f t="shared" si="5"/>
        <v>632958.26999999955</v>
      </c>
      <c r="Q61" s="205">
        <f t="shared" si="5"/>
        <v>770831.55999999866</v>
      </c>
    </row>
    <row r="62" spans="1:18"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8"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/>
  </sheetViews>
  <sheetFormatPr defaultColWidth="9.21875" defaultRowHeight="15" customHeight="1"/>
  <cols>
    <col min="1" max="1" width="20.77734375" style="273" customWidth="1"/>
    <col min="2" max="4" width="17.77734375" style="308" customWidth="1"/>
    <col min="5" max="5" width="18.77734375" style="308" customWidth="1"/>
    <col min="6" max="6" width="10.77734375" style="308" customWidth="1"/>
    <col min="7" max="9" width="15.77734375" style="308" customWidth="1"/>
    <col min="10" max="10" width="15.77734375" style="273" customWidth="1"/>
    <col min="11" max="11" width="15.5546875" style="273" customWidth="1"/>
    <col min="12" max="16384" width="9.21875" style="273"/>
  </cols>
  <sheetData>
    <row r="1" spans="1:11" ht="15" customHeight="1">
      <c r="A1" s="414" t="s">
        <v>67</v>
      </c>
      <c r="B1" s="305"/>
      <c r="C1" s="305"/>
      <c r="D1" s="305"/>
      <c r="E1" s="305"/>
      <c r="F1" s="305"/>
      <c r="G1" s="305"/>
      <c r="H1" s="305"/>
      <c r="I1" s="305"/>
      <c r="J1" s="306"/>
      <c r="K1" s="306"/>
    </row>
    <row r="2" spans="1:11" ht="15.75" customHeight="1">
      <c r="A2" s="304" t="s">
        <v>399</v>
      </c>
      <c r="B2" s="305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5.75" customHeight="1">
      <c r="A3" s="307" t="str">
        <f>'OU Collection'!A3</f>
        <v>As of December 2019</v>
      </c>
      <c r="B3" s="305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5.75" customHeight="1">
      <c r="C4" s="471"/>
    </row>
    <row r="5" spans="1:11" s="326" customFormat="1" ht="15.75" customHeight="1">
      <c r="B5" s="327"/>
      <c r="C5" s="471"/>
      <c r="D5" s="327"/>
      <c r="E5" s="327"/>
      <c r="F5" s="327"/>
      <c r="G5" s="327"/>
      <c r="H5" s="327"/>
      <c r="I5" s="327"/>
      <c r="J5" s="328"/>
      <c r="K5" s="328"/>
    </row>
    <row r="6" spans="1:11" s="313" customFormat="1" ht="15.75" customHeight="1">
      <c r="A6" s="329" t="s">
        <v>375</v>
      </c>
      <c r="B6" s="330" t="s">
        <v>376</v>
      </c>
      <c r="C6" s="330" t="s">
        <v>377</v>
      </c>
      <c r="D6" s="330" t="s">
        <v>378</v>
      </c>
      <c r="E6" s="330" t="s">
        <v>379</v>
      </c>
      <c r="F6" s="330" t="s">
        <v>380</v>
      </c>
      <c r="G6" s="330" t="s">
        <v>381</v>
      </c>
      <c r="H6" s="330" t="s">
        <v>391</v>
      </c>
      <c r="I6" s="330" t="s">
        <v>392</v>
      </c>
      <c r="J6" s="330" t="s">
        <v>393</v>
      </c>
      <c r="K6" s="330" t="s">
        <v>394</v>
      </c>
    </row>
    <row r="7" spans="1:11" s="331" customFormat="1" ht="15.75" customHeight="1">
      <c r="A7" s="540" t="s">
        <v>382</v>
      </c>
      <c r="B7" s="537" t="s">
        <v>400</v>
      </c>
      <c r="C7" s="537" t="s">
        <v>401</v>
      </c>
      <c r="D7" s="537" t="s">
        <v>402</v>
      </c>
      <c r="E7" s="537" t="s">
        <v>403</v>
      </c>
      <c r="F7" s="537" t="s">
        <v>56</v>
      </c>
      <c r="G7" s="537" t="s">
        <v>404</v>
      </c>
      <c r="H7" s="537" t="s">
        <v>405</v>
      </c>
      <c r="I7" s="537" t="s">
        <v>160</v>
      </c>
      <c r="J7" s="537" t="s">
        <v>406</v>
      </c>
      <c r="K7" s="537" t="s">
        <v>384</v>
      </c>
    </row>
    <row r="8" spans="1:11" s="331" customFormat="1" ht="15.75" customHeight="1">
      <c r="A8" s="541"/>
      <c r="B8" s="537"/>
      <c r="C8" s="537"/>
      <c r="D8" s="537"/>
      <c r="E8" s="537"/>
      <c r="F8" s="537"/>
      <c r="G8" s="537"/>
      <c r="H8" s="537"/>
      <c r="I8" s="537"/>
      <c r="J8" s="537"/>
      <c r="K8" s="537"/>
    </row>
    <row r="9" spans="1:11" s="331" customFormat="1" ht="15.75" customHeight="1">
      <c r="A9" s="542"/>
      <c r="B9" s="538"/>
      <c r="C9" s="538"/>
      <c r="D9" s="538"/>
      <c r="E9" s="538"/>
      <c r="F9" s="538"/>
      <c r="G9" s="538"/>
      <c r="H9" s="538"/>
      <c r="I9" s="538"/>
      <c r="J9" s="538"/>
      <c r="K9" s="538"/>
    </row>
    <row r="10" spans="1:11" s="331" customFormat="1" ht="15.75" customHeight="1">
      <c r="A10" s="311"/>
      <c r="B10" s="332"/>
      <c r="C10" s="312"/>
      <c r="D10" s="312"/>
      <c r="E10" s="332" t="s">
        <v>407</v>
      </c>
      <c r="F10" s="312"/>
      <c r="G10" s="312" t="s">
        <v>408</v>
      </c>
      <c r="H10" s="312"/>
      <c r="I10" s="333" t="s">
        <v>409</v>
      </c>
      <c r="J10" s="333"/>
      <c r="K10" s="333" t="s">
        <v>410</v>
      </c>
    </row>
    <row r="11" spans="1:11" ht="15.75" customHeight="1">
      <c r="A11" s="334" t="s">
        <v>508</v>
      </c>
      <c r="J11" s="308"/>
      <c r="K11" s="308"/>
    </row>
    <row r="12" spans="1:11" s="331" customFormat="1" ht="15.75" customHeight="1">
      <c r="A12" s="336">
        <v>43435</v>
      </c>
      <c r="B12" s="314">
        <v>31865734.080000006</v>
      </c>
      <c r="C12" s="335" t="s">
        <v>411</v>
      </c>
      <c r="D12" s="335" t="s">
        <v>411</v>
      </c>
      <c r="E12" s="335" t="s">
        <v>411</v>
      </c>
      <c r="F12" s="335" t="s">
        <v>411</v>
      </c>
      <c r="G12" s="335" t="s">
        <v>411</v>
      </c>
      <c r="H12" s="335" t="s">
        <v>411</v>
      </c>
      <c r="I12" s="335" t="s">
        <v>411</v>
      </c>
      <c r="J12" s="335" t="s">
        <v>411</v>
      </c>
      <c r="K12" s="335" t="s">
        <v>411</v>
      </c>
    </row>
    <row r="13" spans="1:11" s="331" customFormat="1" ht="15.75" customHeight="1">
      <c r="A13" s="336"/>
      <c r="B13" s="320"/>
      <c r="C13" s="320"/>
      <c r="D13" s="314"/>
      <c r="E13" s="320"/>
      <c r="F13" s="337"/>
      <c r="G13" s="320"/>
      <c r="H13" s="320"/>
      <c r="I13" s="314"/>
      <c r="J13" s="320"/>
      <c r="K13" s="320"/>
    </row>
    <row r="14" spans="1:11" s="331" customFormat="1" ht="15.75" customHeight="1">
      <c r="A14" s="336">
        <f>DATE(YEAR(A12+45),MONTH(A12+45),1)</f>
        <v>43466</v>
      </c>
      <c r="B14" s="314">
        <v>32782502.640000001</v>
      </c>
      <c r="C14" s="314">
        <v>32324118.359999999</v>
      </c>
      <c r="D14" s="314">
        <v>42035151.549999997</v>
      </c>
      <c r="E14" s="314">
        <f t="shared" ref="E14:E25" si="0">D14/12</f>
        <v>3502929.2958333329</v>
      </c>
      <c r="F14" s="337">
        <v>8.6800000000000002E-2</v>
      </c>
      <c r="G14" s="314">
        <f t="shared" ref="G14:G25" si="1">E14*F14</f>
        <v>304054.26287833333</v>
      </c>
      <c r="H14" s="314">
        <v>139726.22999999998</v>
      </c>
      <c r="I14" s="314">
        <f t="shared" ref="I14:I25" si="2">G14+H14</f>
        <v>443780.49287833332</v>
      </c>
      <c r="J14" s="314">
        <v>-179692.59</v>
      </c>
      <c r="K14" s="314">
        <f>I14+J14</f>
        <v>264087.90287833335</v>
      </c>
    </row>
    <row r="15" spans="1:11" s="331" customFormat="1" ht="15.75" customHeight="1">
      <c r="A15" s="336">
        <f>DATE(YEAR(A14+45),MONTH(A14+45),1)</f>
        <v>43497</v>
      </c>
      <c r="B15" s="314">
        <v>34032430.091283031</v>
      </c>
      <c r="C15" s="314">
        <v>32893555.600000001</v>
      </c>
      <c r="D15" s="314">
        <v>42035151.549999997</v>
      </c>
      <c r="E15" s="314">
        <f t="shared" si="0"/>
        <v>3502929.2958333329</v>
      </c>
      <c r="F15" s="337">
        <v>8.6800000000000002E-2</v>
      </c>
      <c r="G15" s="314">
        <f t="shared" si="1"/>
        <v>304054.26287833333</v>
      </c>
      <c r="H15" s="314">
        <v>127113.27</v>
      </c>
      <c r="I15" s="314">
        <f t="shared" si="2"/>
        <v>431167.53287833335</v>
      </c>
      <c r="J15" s="314">
        <v>-179692.59</v>
      </c>
      <c r="K15" s="314">
        <f t="shared" ref="K15:K25" si="3">I15+J15</f>
        <v>251474.94287833336</v>
      </c>
    </row>
    <row r="16" spans="1:11" s="331" customFormat="1" ht="15.75" customHeight="1">
      <c r="A16" s="336">
        <f t="shared" ref="A16:A25" si="4">DATE(YEAR(A15+45),MONTH(A15+45),1)</f>
        <v>43525</v>
      </c>
      <c r="B16" s="314">
        <v>34823878.879751697</v>
      </c>
      <c r="C16" s="314">
        <v>33376136.420000002</v>
      </c>
      <c r="D16" s="314">
        <v>42035151.549999997</v>
      </c>
      <c r="E16" s="314">
        <f t="shared" si="0"/>
        <v>3502929.2958333329</v>
      </c>
      <c r="F16" s="337">
        <v>8.6800000000000002E-2</v>
      </c>
      <c r="G16" s="314">
        <f t="shared" si="1"/>
        <v>304054.26287833333</v>
      </c>
      <c r="H16" s="314">
        <v>138331.45000000001</v>
      </c>
      <c r="I16" s="314">
        <f t="shared" si="2"/>
        <v>442385.71287833335</v>
      </c>
      <c r="J16" s="314">
        <v>-179692.59</v>
      </c>
      <c r="K16" s="314">
        <f t="shared" si="3"/>
        <v>262693.12287833332</v>
      </c>
    </row>
    <row r="17" spans="1:11" s="331" customFormat="1" ht="15.75" customHeight="1">
      <c r="A17" s="336">
        <f t="shared" si="4"/>
        <v>43556</v>
      </c>
      <c r="B17" s="314">
        <v>38853630.920000002</v>
      </c>
      <c r="C17" s="314">
        <v>34471635.32</v>
      </c>
      <c r="D17" s="314">
        <v>42035151.549999997</v>
      </c>
      <c r="E17" s="314">
        <f t="shared" si="0"/>
        <v>3502929.2958333329</v>
      </c>
      <c r="F17" s="337">
        <v>8.6800000000000002E-2</v>
      </c>
      <c r="G17" s="314">
        <f t="shared" si="1"/>
        <v>304054.26287833333</v>
      </c>
      <c r="H17" s="314">
        <v>161818.43</v>
      </c>
      <c r="I17" s="314">
        <f t="shared" si="2"/>
        <v>465872.69287833333</v>
      </c>
      <c r="J17" s="314">
        <v>-179692.59</v>
      </c>
      <c r="K17" s="314">
        <f t="shared" si="3"/>
        <v>286180.1028783333</v>
      </c>
    </row>
    <row r="18" spans="1:11" s="331" customFormat="1" ht="15.75" customHeight="1">
      <c r="A18" s="336">
        <f t="shared" si="4"/>
        <v>43586</v>
      </c>
      <c r="B18" s="314">
        <v>40663405.579999998</v>
      </c>
      <c r="C18" s="314">
        <v>35503597.030000001</v>
      </c>
      <c r="D18" s="314">
        <v>42035151.549999997</v>
      </c>
      <c r="E18" s="314">
        <f t="shared" si="0"/>
        <v>3502929.2958333329</v>
      </c>
      <c r="F18" s="337">
        <v>8.9200000000000002E-2</v>
      </c>
      <c r="G18" s="314">
        <f t="shared" si="1"/>
        <v>312461.29318833328</v>
      </c>
      <c r="H18" s="314">
        <v>300736.01</v>
      </c>
      <c r="I18" s="314">
        <f t="shared" si="2"/>
        <v>613197.30318833329</v>
      </c>
      <c r="J18" s="314">
        <v>-125451.19</v>
      </c>
      <c r="K18" s="314">
        <f t="shared" si="3"/>
        <v>487746.11318833329</v>
      </c>
    </row>
    <row r="19" spans="1:11" s="331" customFormat="1" ht="15.75" customHeight="1">
      <c r="A19" s="336">
        <f t="shared" si="4"/>
        <v>43617</v>
      </c>
      <c r="B19" s="314">
        <v>42563760.358305059</v>
      </c>
      <c r="C19" s="314">
        <v>36512191.789999999</v>
      </c>
      <c r="D19" s="314">
        <v>42035151.549999997</v>
      </c>
      <c r="E19" s="314">
        <f t="shared" si="0"/>
        <v>3502929.2958333329</v>
      </c>
      <c r="F19" s="337">
        <v>8.9200000000000002E-2</v>
      </c>
      <c r="G19" s="314">
        <f t="shared" si="1"/>
        <v>312461.29318833328</v>
      </c>
      <c r="H19" s="314">
        <v>289599.15000000002</v>
      </c>
      <c r="I19" s="314">
        <f t="shared" si="2"/>
        <v>602060.4431883333</v>
      </c>
      <c r="J19" s="314">
        <v>-71209.78</v>
      </c>
      <c r="K19" s="314">
        <f t="shared" si="3"/>
        <v>530850.66318833327</v>
      </c>
    </row>
    <row r="20" spans="1:11" s="331" customFormat="1" ht="15.75" customHeight="1">
      <c r="A20" s="336">
        <f t="shared" si="4"/>
        <v>43647</v>
      </c>
      <c r="B20" s="314">
        <v>44201956.8900702</v>
      </c>
      <c r="C20" s="314">
        <v>37473412.43</v>
      </c>
      <c r="D20" s="314">
        <v>42035151.549999997</v>
      </c>
      <c r="E20" s="314">
        <f t="shared" si="0"/>
        <v>3502929.2958333329</v>
      </c>
      <c r="F20" s="337">
        <v>8.9200000000000002E-2</v>
      </c>
      <c r="G20" s="314">
        <f t="shared" si="1"/>
        <v>312461.29318833328</v>
      </c>
      <c r="H20" s="314">
        <v>225447.74</v>
      </c>
      <c r="I20" s="314">
        <f t="shared" si="2"/>
        <v>537909.03318833327</v>
      </c>
      <c r="J20" s="314">
        <v>-71209.78</v>
      </c>
      <c r="K20" s="314">
        <f t="shared" si="3"/>
        <v>466699.25318833324</v>
      </c>
    </row>
    <row r="21" spans="1:11" s="331" customFormat="1" ht="15.75" customHeight="1">
      <c r="A21" s="336">
        <f t="shared" si="4"/>
        <v>43678</v>
      </c>
      <c r="B21" s="314">
        <v>45823216.505173191</v>
      </c>
      <c r="C21" s="314">
        <v>38401168.439999998</v>
      </c>
      <c r="D21" s="314">
        <v>42035151.549999997</v>
      </c>
      <c r="E21" s="314">
        <f t="shared" si="0"/>
        <v>3502929.2958333329</v>
      </c>
      <c r="F21" s="337">
        <v>8.9200000000000002E-2</v>
      </c>
      <c r="G21" s="314">
        <f t="shared" si="1"/>
        <v>312461.29318833328</v>
      </c>
      <c r="H21" s="314">
        <v>235421.65</v>
      </c>
      <c r="I21" s="314">
        <f t="shared" si="2"/>
        <v>547882.9431883333</v>
      </c>
      <c r="J21" s="314">
        <v>-71209.78</v>
      </c>
      <c r="K21" s="314">
        <f t="shared" si="3"/>
        <v>476673.16318833327</v>
      </c>
    </row>
    <row r="22" spans="1:11" s="331" customFormat="1" ht="15.75" customHeight="1">
      <c r="A22" s="336">
        <f t="shared" si="4"/>
        <v>43709</v>
      </c>
      <c r="B22" s="314">
        <v>47594025.260000005</v>
      </c>
      <c r="C22" s="314">
        <v>39320454.119999997</v>
      </c>
      <c r="D22" s="314">
        <v>42035151.549999997</v>
      </c>
      <c r="E22" s="314">
        <f t="shared" si="0"/>
        <v>3502929.2958333329</v>
      </c>
      <c r="F22" s="337">
        <v>8.9200000000000002E-2</v>
      </c>
      <c r="G22" s="314">
        <f t="shared" si="1"/>
        <v>312461.29318833328</v>
      </c>
      <c r="H22" s="314">
        <v>258924.90000000002</v>
      </c>
      <c r="I22" s="314">
        <f t="shared" si="2"/>
        <v>571386.1931883333</v>
      </c>
      <c r="J22" s="314">
        <v>-71209.78</v>
      </c>
      <c r="K22" s="314">
        <f t="shared" si="3"/>
        <v>500176.41318833327</v>
      </c>
    </row>
    <row r="23" spans="1:11" s="331" customFormat="1" ht="15.75" customHeight="1">
      <c r="A23" s="336">
        <f t="shared" si="4"/>
        <v>43739</v>
      </c>
      <c r="B23" s="314">
        <v>49201537.43</v>
      </c>
      <c r="C23" s="314">
        <v>40218734.420000002</v>
      </c>
      <c r="D23" s="314">
        <v>42035151.549999997</v>
      </c>
      <c r="E23" s="314">
        <f t="shared" si="0"/>
        <v>3502929.2958333329</v>
      </c>
      <c r="F23" s="337">
        <v>8.9200000000000002E-2</v>
      </c>
      <c r="G23" s="314">
        <f t="shared" si="1"/>
        <v>312461.29318833328</v>
      </c>
      <c r="H23" s="314">
        <v>238410.97999999998</v>
      </c>
      <c r="I23" s="314">
        <f t="shared" si="2"/>
        <v>550872.27318833326</v>
      </c>
      <c r="J23" s="314">
        <v>-71209.78</v>
      </c>
      <c r="K23" s="314">
        <f t="shared" si="3"/>
        <v>479662.49318833323</v>
      </c>
    </row>
    <row r="24" spans="1:11" s="331" customFormat="1" ht="15.75" customHeight="1">
      <c r="A24" s="336">
        <f t="shared" si="4"/>
        <v>43770</v>
      </c>
      <c r="B24" s="314">
        <v>51164363.659999996</v>
      </c>
      <c r="C24" s="314">
        <v>41130870.189999998</v>
      </c>
      <c r="D24" s="314">
        <v>42035151.549999997</v>
      </c>
      <c r="E24" s="314">
        <f t="shared" si="0"/>
        <v>3502929.2958333329</v>
      </c>
      <c r="F24" s="337">
        <v>8.9200000000000002E-2</v>
      </c>
      <c r="G24" s="314">
        <f t="shared" si="1"/>
        <v>312461.29318833328</v>
      </c>
      <c r="H24" s="314">
        <v>247776.45</v>
      </c>
      <c r="I24" s="314">
        <f t="shared" si="2"/>
        <v>560237.74318833323</v>
      </c>
      <c r="J24" s="314">
        <v>-71209.78</v>
      </c>
      <c r="K24" s="314">
        <f t="shared" si="3"/>
        <v>489027.9631883332</v>
      </c>
    </row>
    <row r="25" spans="1:11" s="331" customFormat="1" ht="15.75" customHeight="1">
      <c r="A25" s="318">
        <f t="shared" si="4"/>
        <v>43800</v>
      </c>
      <c r="B25" s="319">
        <v>52886527.840000004</v>
      </c>
      <c r="C25" s="319">
        <v>42035151.549999997</v>
      </c>
      <c r="D25" s="319">
        <v>42035151.549999997</v>
      </c>
      <c r="E25" s="319">
        <f t="shared" si="0"/>
        <v>3502929.2958333329</v>
      </c>
      <c r="F25" s="472">
        <v>8.9200000000000002E-2</v>
      </c>
      <c r="G25" s="314">
        <f t="shared" si="1"/>
        <v>312461.29318833328</v>
      </c>
      <c r="H25" s="314">
        <v>270648.47000000003</v>
      </c>
      <c r="I25" s="314">
        <f t="shared" si="2"/>
        <v>583109.76318833325</v>
      </c>
      <c r="J25" s="314">
        <v>-71209.78</v>
      </c>
      <c r="K25" s="314">
        <f t="shared" si="3"/>
        <v>511899.98318833322</v>
      </c>
    </row>
    <row r="26" spans="1:11" s="331" customFormat="1" ht="15.75" customHeight="1" thickBot="1">
      <c r="A26" s="334" t="str">
        <f>+"TOTAL for Year, "&amp;TEXT(A14,"mm/yy")&amp;" - "&amp;TEXT(A25,"mm/yy")</f>
        <v>TOTAL for Year, 01/19 - 12/19</v>
      </c>
      <c r="B26" s="320"/>
      <c r="C26" s="320"/>
      <c r="D26" s="314"/>
      <c r="E26" s="320"/>
      <c r="F26" s="320"/>
      <c r="G26" s="322">
        <f>SUM(G14:G25)</f>
        <v>3715907.397020001</v>
      </c>
      <c r="H26" s="322">
        <f>SUM(H14:H25)</f>
        <v>2633954.7300000004</v>
      </c>
      <c r="I26" s="322">
        <f>SUM(I14:I25)</f>
        <v>6349862.1270200005</v>
      </c>
      <c r="J26" s="338">
        <f>SUM(J14:J25)</f>
        <v>-1342690.0100000002</v>
      </c>
      <c r="K26" s="322">
        <f>SUM(K14:K25)</f>
        <v>5007172.1170199988</v>
      </c>
    </row>
    <row r="27" spans="1:11" ht="15.75" customHeight="1" thickTop="1">
      <c r="A27" s="339"/>
      <c r="D27" s="340"/>
      <c r="F27" s="341"/>
      <c r="I27" s="342"/>
      <c r="J27" s="308"/>
      <c r="K27" s="308"/>
    </row>
    <row r="28" spans="1:11" s="474" customFormat="1" ht="15.75" customHeight="1">
      <c r="A28" s="473"/>
      <c r="B28" s="473"/>
      <c r="C28" s="473"/>
      <c r="D28" s="473"/>
      <c r="E28" s="473"/>
      <c r="F28" s="473"/>
      <c r="G28" s="473"/>
      <c r="H28" s="473"/>
      <c r="I28" s="473"/>
      <c r="J28" s="473"/>
      <c r="K28" s="473"/>
    </row>
    <row r="29" spans="1:11" s="474" customFormat="1" ht="15.75" customHeight="1">
      <c r="A29" s="475"/>
      <c r="B29" s="473"/>
      <c r="C29" s="473"/>
      <c r="D29" s="473"/>
      <c r="E29" s="473"/>
      <c r="F29" s="473"/>
      <c r="G29" s="473"/>
      <c r="H29" s="473"/>
      <c r="I29" s="473"/>
      <c r="J29" s="473"/>
      <c r="K29" s="473"/>
    </row>
    <row r="30" spans="1:11" s="474" customFormat="1" ht="15.75" customHeight="1">
      <c r="A30" s="329" t="s">
        <v>390</v>
      </c>
      <c r="B30" s="330" t="s">
        <v>395</v>
      </c>
      <c r="C30" s="330" t="s">
        <v>396</v>
      </c>
      <c r="D30" s="330" t="s">
        <v>412</v>
      </c>
      <c r="E30" s="330" t="s">
        <v>413</v>
      </c>
      <c r="F30" s="330" t="s">
        <v>414</v>
      </c>
      <c r="G30" s="330" t="s">
        <v>415</v>
      </c>
      <c r="H30" s="330" t="s">
        <v>416</v>
      </c>
      <c r="I30" s="330" t="s">
        <v>417</v>
      </c>
      <c r="J30" s="330" t="s">
        <v>418</v>
      </c>
      <c r="K30" s="330" t="s">
        <v>419</v>
      </c>
    </row>
    <row r="31" spans="1:11" s="474" customFormat="1" ht="15.75" customHeight="1">
      <c r="A31" s="540" t="s">
        <v>382</v>
      </c>
      <c r="B31" s="537" t="s">
        <v>400</v>
      </c>
      <c r="C31" s="537" t="s">
        <v>401</v>
      </c>
      <c r="D31" s="537" t="s">
        <v>402</v>
      </c>
      <c r="E31" s="537" t="s">
        <v>403</v>
      </c>
      <c r="F31" s="537" t="s">
        <v>56</v>
      </c>
      <c r="G31" s="537" t="s">
        <v>404</v>
      </c>
      <c r="H31" s="537" t="s">
        <v>405</v>
      </c>
      <c r="I31" s="537" t="s">
        <v>160</v>
      </c>
      <c r="J31" s="537" t="s">
        <v>406</v>
      </c>
      <c r="K31" s="537" t="s">
        <v>384</v>
      </c>
    </row>
    <row r="32" spans="1:11" s="474" customFormat="1" ht="15.75" customHeight="1">
      <c r="A32" s="541"/>
      <c r="B32" s="537"/>
      <c r="C32" s="537"/>
      <c r="D32" s="537"/>
      <c r="E32" s="537"/>
      <c r="F32" s="537"/>
      <c r="G32" s="537"/>
      <c r="H32" s="537"/>
      <c r="I32" s="537"/>
      <c r="J32" s="537"/>
      <c r="K32" s="537"/>
    </row>
    <row r="33" spans="1:11" s="474" customFormat="1" ht="15.75" customHeight="1">
      <c r="A33" s="542"/>
      <c r="B33" s="538"/>
      <c r="C33" s="538"/>
      <c r="D33" s="538"/>
      <c r="E33" s="538"/>
      <c r="F33" s="538"/>
      <c r="G33" s="538"/>
      <c r="H33" s="538"/>
      <c r="I33" s="538"/>
      <c r="J33" s="538"/>
      <c r="K33" s="538"/>
    </row>
    <row r="34" spans="1:11" s="474" customFormat="1" ht="15.75" customHeight="1">
      <c r="A34" s="311"/>
      <c r="B34" s="332"/>
      <c r="C34" s="312"/>
      <c r="D34" s="312"/>
      <c r="E34" s="332" t="s">
        <v>420</v>
      </c>
      <c r="F34" s="312"/>
      <c r="G34" s="312" t="s">
        <v>421</v>
      </c>
      <c r="H34" s="312"/>
      <c r="I34" s="333" t="s">
        <v>422</v>
      </c>
      <c r="J34" s="333"/>
      <c r="K34" s="333" t="s">
        <v>423</v>
      </c>
    </row>
    <row r="35" spans="1:11" s="474" customFormat="1" ht="15.75" customHeight="1">
      <c r="A35" s="334" t="str">
        <f>A11</f>
        <v>Start of Period Rate Base, 12/18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1" s="474" customFormat="1" ht="15.75" customHeight="1">
      <c r="A36" s="336">
        <f>A12</f>
        <v>43435</v>
      </c>
      <c r="B36" s="314">
        <v>11207438.539999999</v>
      </c>
      <c r="C36" s="335" t="s">
        <v>411</v>
      </c>
      <c r="D36" s="335" t="s">
        <v>411</v>
      </c>
      <c r="E36" s="335" t="s">
        <v>411</v>
      </c>
      <c r="F36" s="335" t="s">
        <v>411</v>
      </c>
      <c r="G36" s="335" t="s">
        <v>411</v>
      </c>
      <c r="H36" s="335" t="s">
        <v>411</v>
      </c>
      <c r="I36" s="335" t="s">
        <v>411</v>
      </c>
      <c r="J36" s="335" t="s">
        <v>411</v>
      </c>
      <c r="K36" s="335" t="s">
        <v>411</v>
      </c>
    </row>
    <row r="37" spans="1:11" ht="15.75" customHeight="1">
      <c r="A37" s="336"/>
      <c r="B37" s="320"/>
      <c r="C37" s="320"/>
      <c r="D37" s="314"/>
      <c r="E37" s="320"/>
      <c r="F37" s="337"/>
      <c r="G37" s="320"/>
      <c r="H37" s="320"/>
      <c r="I37" s="314"/>
      <c r="J37" s="320"/>
      <c r="K37" s="320"/>
    </row>
    <row r="38" spans="1:11" ht="15.75" customHeight="1">
      <c r="A38" s="316">
        <f>A14</f>
        <v>43466</v>
      </c>
      <c r="B38" s="314">
        <v>11864591.74</v>
      </c>
      <c r="C38" s="314">
        <v>11536015.140000001</v>
      </c>
      <c r="D38" s="314">
        <v>24018255.899999999</v>
      </c>
      <c r="E38" s="314">
        <f t="shared" ref="E38:E49" si="5">D38/12</f>
        <v>2001521.325</v>
      </c>
      <c r="F38" s="337">
        <v>8.6800000000000002E-2</v>
      </c>
      <c r="G38" s="314">
        <f t="shared" ref="G38:G49" si="6">E38*F38</f>
        <v>173732.05101</v>
      </c>
      <c r="H38" s="314">
        <v>7144.99</v>
      </c>
      <c r="I38" s="314">
        <f t="shared" ref="I38:I49" si="7">G38+H38</f>
        <v>180877.04100999999</v>
      </c>
      <c r="J38" s="314">
        <v>-2168.41</v>
      </c>
      <c r="K38" s="314">
        <f>I38+J38</f>
        <v>178708.63100999998</v>
      </c>
    </row>
    <row r="39" spans="1:11" ht="15.75" customHeight="1">
      <c r="A39" s="316">
        <f t="shared" ref="A39:A49" si="8">A15</f>
        <v>43497</v>
      </c>
      <c r="B39" s="314">
        <v>12426920.369999999</v>
      </c>
      <c r="C39" s="314">
        <v>11832983.550000001</v>
      </c>
      <c r="D39" s="314">
        <v>24018255.899999999</v>
      </c>
      <c r="E39" s="314">
        <f t="shared" si="5"/>
        <v>2001521.325</v>
      </c>
      <c r="F39" s="337">
        <v>8.6800000000000002E-2</v>
      </c>
      <c r="G39" s="314">
        <f t="shared" si="6"/>
        <v>173732.05101</v>
      </c>
      <c r="H39" s="314">
        <v>7144.99</v>
      </c>
      <c r="I39" s="314">
        <f t="shared" si="7"/>
        <v>180877.04100999999</v>
      </c>
      <c r="J39" s="314">
        <v>-2168.41</v>
      </c>
      <c r="K39" s="314">
        <f t="shared" ref="K39:K49" si="9">I39+J39</f>
        <v>178708.63100999998</v>
      </c>
    </row>
    <row r="40" spans="1:11" ht="15.75" customHeight="1">
      <c r="A40" s="316">
        <f t="shared" si="8"/>
        <v>43525</v>
      </c>
      <c r="B40" s="314">
        <v>15217857.67</v>
      </c>
      <c r="C40" s="314">
        <v>12679202.08</v>
      </c>
      <c r="D40" s="314">
        <v>24018255.899999999</v>
      </c>
      <c r="E40" s="314">
        <f t="shared" si="5"/>
        <v>2001521.325</v>
      </c>
      <c r="F40" s="337">
        <v>8.6800000000000002E-2</v>
      </c>
      <c r="G40" s="314">
        <f t="shared" si="6"/>
        <v>173732.05101</v>
      </c>
      <c r="H40" s="314">
        <v>7144.99</v>
      </c>
      <c r="I40" s="314">
        <f t="shared" si="7"/>
        <v>180877.04100999999</v>
      </c>
      <c r="J40" s="314">
        <v>-2168.41</v>
      </c>
      <c r="K40" s="314">
        <f t="shared" si="9"/>
        <v>178708.63100999998</v>
      </c>
    </row>
    <row r="41" spans="1:11" ht="15.75" customHeight="1">
      <c r="A41" s="316">
        <f t="shared" si="8"/>
        <v>43556</v>
      </c>
      <c r="B41" s="314">
        <v>16484315.449999999</v>
      </c>
      <c r="C41" s="314">
        <v>13440224.75</v>
      </c>
      <c r="D41" s="314">
        <v>24018255.899999999</v>
      </c>
      <c r="E41" s="314">
        <f t="shared" si="5"/>
        <v>2001521.325</v>
      </c>
      <c r="F41" s="337">
        <v>8.6800000000000002E-2</v>
      </c>
      <c r="G41" s="314">
        <f t="shared" si="6"/>
        <v>173732.05101</v>
      </c>
      <c r="H41" s="314">
        <v>7144.99</v>
      </c>
      <c r="I41" s="314">
        <f t="shared" si="7"/>
        <v>180877.04100999999</v>
      </c>
      <c r="J41" s="314">
        <v>-2168.41</v>
      </c>
      <c r="K41" s="314">
        <f t="shared" si="9"/>
        <v>178708.63100999998</v>
      </c>
    </row>
    <row r="42" spans="1:11" ht="15.75" customHeight="1">
      <c r="A42" s="316">
        <f t="shared" si="8"/>
        <v>43586</v>
      </c>
      <c r="B42" s="314">
        <v>19551518.379999999</v>
      </c>
      <c r="C42" s="314">
        <v>14458773.689999999</v>
      </c>
      <c r="D42" s="314">
        <v>24018255.899999999</v>
      </c>
      <c r="E42" s="314">
        <f t="shared" si="5"/>
        <v>2001521.325</v>
      </c>
      <c r="F42" s="337">
        <v>8.9200000000000002E-2</v>
      </c>
      <c r="G42" s="314">
        <f t="shared" si="6"/>
        <v>178535.70219000001</v>
      </c>
      <c r="H42" s="314">
        <v>7144.99</v>
      </c>
      <c r="I42" s="314">
        <f t="shared" si="7"/>
        <v>185680.69219</v>
      </c>
      <c r="J42" s="314">
        <v>-12425.76</v>
      </c>
      <c r="K42" s="314">
        <f t="shared" si="9"/>
        <v>173254.93218999999</v>
      </c>
    </row>
    <row r="43" spans="1:11" ht="15.75" customHeight="1">
      <c r="A43" s="316">
        <f t="shared" si="8"/>
        <v>43617</v>
      </c>
      <c r="B43" s="314">
        <v>20801914.799999997</v>
      </c>
      <c r="C43" s="314">
        <v>15364936.710000001</v>
      </c>
      <c r="D43" s="314">
        <v>24018255.899999999</v>
      </c>
      <c r="E43" s="314">
        <f t="shared" si="5"/>
        <v>2001521.325</v>
      </c>
      <c r="F43" s="337">
        <v>8.9200000000000002E-2</v>
      </c>
      <c r="G43" s="314">
        <f t="shared" si="6"/>
        <v>178535.70219000001</v>
      </c>
      <c r="H43" s="314">
        <v>7144.99</v>
      </c>
      <c r="I43" s="314">
        <f t="shared" si="7"/>
        <v>185680.69219</v>
      </c>
      <c r="J43" s="314">
        <v>-22683.14</v>
      </c>
      <c r="K43" s="314">
        <f t="shared" si="9"/>
        <v>162997.55219000002</v>
      </c>
    </row>
    <row r="44" spans="1:11" ht="15.75" customHeight="1">
      <c r="A44" s="316">
        <f t="shared" si="8"/>
        <v>43647</v>
      </c>
      <c r="B44" s="314">
        <v>23420482.129999999</v>
      </c>
      <c r="C44" s="314">
        <v>16371879.890000001</v>
      </c>
      <c r="D44" s="314">
        <v>24018255.899999999</v>
      </c>
      <c r="E44" s="314">
        <f t="shared" si="5"/>
        <v>2001521.325</v>
      </c>
      <c r="F44" s="337">
        <v>8.9200000000000002E-2</v>
      </c>
      <c r="G44" s="314">
        <f t="shared" si="6"/>
        <v>178535.70219000001</v>
      </c>
      <c r="H44" s="314">
        <v>7144.99</v>
      </c>
      <c r="I44" s="314">
        <f t="shared" si="7"/>
        <v>185680.69219</v>
      </c>
      <c r="J44" s="314">
        <v>-22683.14</v>
      </c>
      <c r="K44" s="314">
        <f t="shared" si="9"/>
        <v>162997.55219000002</v>
      </c>
    </row>
    <row r="45" spans="1:11" ht="15.75" customHeight="1">
      <c r="A45" s="316">
        <f t="shared" si="8"/>
        <v>43678</v>
      </c>
      <c r="B45" s="314">
        <v>26447799.649999999</v>
      </c>
      <c r="C45" s="314">
        <v>17491426.530000001</v>
      </c>
      <c r="D45" s="314">
        <v>24018255.899999999</v>
      </c>
      <c r="E45" s="314">
        <f t="shared" si="5"/>
        <v>2001521.325</v>
      </c>
      <c r="F45" s="337">
        <v>8.9200000000000002E-2</v>
      </c>
      <c r="G45" s="314">
        <f t="shared" si="6"/>
        <v>178535.70219000001</v>
      </c>
      <c r="H45" s="314">
        <v>7144.99</v>
      </c>
      <c r="I45" s="314">
        <f t="shared" si="7"/>
        <v>185680.69219</v>
      </c>
      <c r="J45" s="314">
        <v>-22683.14</v>
      </c>
      <c r="K45" s="314">
        <f t="shared" si="9"/>
        <v>162997.55219000002</v>
      </c>
    </row>
    <row r="46" spans="1:11" ht="15.75" customHeight="1">
      <c r="A46" s="316">
        <f t="shared" si="8"/>
        <v>43709</v>
      </c>
      <c r="B46" s="314">
        <v>31360379.030000001</v>
      </c>
      <c r="C46" s="314">
        <v>18878321.780000001</v>
      </c>
      <c r="D46" s="314">
        <v>24018255.899999999</v>
      </c>
      <c r="E46" s="314">
        <f t="shared" si="5"/>
        <v>2001521.325</v>
      </c>
      <c r="F46" s="337">
        <v>8.9200000000000002E-2</v>
      </c>
      <c r="G46" s="314">
        <f t="shared" si="6"/>
        <v>178535.70219000001</v>
      </c>
      <c r="H46" s="314">
        <v>7144.99</v>
      </c>
      <c r="I46" s="314">
        <f t="shared" si="7"/>
        <v>185680.69219</v>
      </c>
      <c r="J46" s="314">
        <v>-22683.14</v>
      </c>
      <c r="K46" s="314">
        <f t="shared" si="9"/>
        <v>162997.55219000002</v>
      </c>
    </row>
    <row r="47" spans="1:11" ht="15.75" customHeight="1">
      <c r="A47" s="316">
        <f t="shared" si="8"/>
        <v>43739</v>
      </c>
      <c r="B47" s="314">
        <v>37085782.100000001</v>
      </c>
      <c r="C47" s="314">
        <v>20533545.440000001</v>
      </c>
      <c r="D47" s="314">
        <v>24018255.899999999</v>
      </c>
      <c r="E47" s="314">
        <f t="shared" si="5"/>
        <v>2001521.325</v>
      </c>
      <c r="F47" s="337">
        <v>8.9200000000000002E-2</v>
      </c>
      <c r="G47" s="314">
        <f t="shared" si="6"/>
        <v>178535.70219000001</v>
      </c>
      <c r="H47" s="314">
        <v>7144.99</v>
      </c>
      <c r="I47" s="314">
        <f t="shared" si="7"/>
        <v>185680.69219</v>
      </c>
      <c r="J47" s="314">
        <v>-22683.14</v>
      </c>
      <c r="K47" s="314">
        <f t="shared" si="9"/>
        <v>162997.55219000002</v>
      </c>
    </row>
    <row r="48" spans="1:11" ht="15.75" customHeight="1">
      <c r="A48" s="316">
        <f t="shared" si="8"/>
        <v>43770</v>
      </c>
      <c r="B48" s="314">
        <v>42365586.899999999</v>
      </c>
      <c r="C48" s="314">
        <v>22352882.23</v>
      </c>
      <c r="D48" s="314">
        <v>24018255.899999999</v>
      </c>
      <c r="E48" s="314">
        <f t="shared" si="5"/>
        <v>2001521.325</v>
      </c>
      <c r="F48" s="337">
        <v>8.9200000000000002E-2</v>
      </c>
      <c r="G48" s="314">
        <f t="shared" si="6"/>
        <v>178535.70219000001</v>
      </c>
      <c r="H48" s="314">
        <v>7144.99</v>
      </c>
      <c r="I48" s="314">
        <f t="shared" si="7"/>
        <v>185680.69219</v>
      </c>
      <c r="J48" s="314">
        <v>-22683.14</v>
      </c>
      <c r="K48" s="314">
        <f t="shared" si="9"/>
        <v>162997.55219000002</v>
      </c>
    </row>
    <row r="49" spans="1:11" ht="15.75" customHeight="1">
      <c r="A49" s="318">
        <f t="shared" si="8"/>
        <v>43800</v>
      </c>
      <c r="B49" s="319">
        <v>44002739.890000001</v>
      </c>
      <c r="C49" s="319">
        <v>24018255.899999999</v>
      </c>
      <c r="D49" s="319">
        <v>24018255.899999999</v>
      </c>
      <c r="E49" s="319">
        <f t="shared" si="5"/>
        <v>2001521.325</v>
      </c>
      <c r="F49" s="472">
        <v>8.9200000000000002E-2</v>
      </c>
      <c r="G49" s="314">
        <f t="shared" si="6"/>
        <v>178535.70219000001</v>
      </c>
      <c r="H49" s="314">
        <v>7144.99</v>
      </c>
      <c r="I49" s="314">
        <f t="shared" si="7"/>
        <v>185680.69219</v>
      </c>
      <c r="J49" s="314">
        <v>-22683.14</v>
      </c>
      <c r="K49" s="314">
        <f t="shared" si="9"/>
        <v>162997.55219000002</v>
      </c>
    </row>
    <row r="50" spans="1:11" ht="15.75" customHeight="1" thickBot="1">
      <c r="A50" s="334" t="str">
        <f>A26</f>
        <v>TOTAL for Year, 01/19 - 12/19</v>
      </c>
      <c r="B50" s="320"/>
      <c r="C50" s="320"/>
      <c r="D50" s="314"/>
      <c r="E50" s="320"/>
      <c r="F50" s="320"/>
      <c r="G50" s="322">
        <f>SUM(G38:G49)</f>
        <v>2123213.8215600005</v>
      </c>
      <c r="H50" s="322">
        <f>SUM(H38:H49)</f>
        <v>85739.88</v>
      </c>
      <c r="I50" s="322">
        <f>SUM(I38:I49)</f>
        <v>2208953.7015600004</v>
      </c>
      <c r="J50" s="338">
        <f>SUM(J38:J49)</f>
        <v>-179881.38</v>
      </c>
      <c r="K50" s="322">
        <f>SUM(K38:K49)</f>
        <v>2029072.3215599996</v>
      </c>
    </row>
    <row r="51" spans="1:11" ht="15" customHeight="1" thickTop="1"/>
  </sheetData>
  <mergeCells count="22">
    <mergeCell ref="F7:F9"/>
    <mergeCell ref="A7:A9"/>
    <mergeCell ref="B7:B9"/>
    <mergeCell ref="C7:C9"/>
    <mergeCell ref="D7:D9"/>
    <mergeCell ref="E7:E9"/>
    <mergeCell ref="A31:A33"/>
    <mergeCell ref="B31:B33"/>
    <mergeCell ref="C31:C33"/>
    <mergeCell ref="D31:D33"/>
    <mergeCell ref="E31:E33"/>
    <mergeCell ref="K31:K33"/>
    <mergeCell ref="G7:G9"/>
    <mergeCell ref="H7:H9"/>
    <mergeCell ref="I7:I9"/>
    <mergeCell ref="J7:J9"/>
    <mergeCell ref="K7:K9"/>
    <mergeCell ref="F31:F33"/>
    <mergeCell ref="G31:G33"/>
    <mergeCell ref="H31:H33"/>
    <mergeCell ref="I31:I33"/>
    <mergeCell ref="J31:J33"/>
  </mergeCells>
  <pageMargins left="0.49" right="0.48" top="1.1000000000000001" bottom="1" header="0.5" footer="0.1"/>
  <pageSetup scale="60" orientation="landscape" r:id="rId1"/>
  <headerFooter scaleWithDoc="0" alignWithMargins="0">
    <oddFooter>&amp;R&amp;"Times New Roman,Bold"Exhibit 3
Page 2 of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J1048575"/>
  <sheetViews>
    <sheetView workbookViewId="0"/>
  </sheetViews>
  <sheetFormatPr defaultColWidth="9.21875" defaultRowHeight="20.399999999999999"/>
  <cols>
    <col min="1" max="1" width="9.5546875" style="72" customWidth="1"/>
    <col min="2" max="2" width="9.21875" style="72"/>
    <col min="3" max="3" width="54.77734375" style="72" customWidth="1"/>
    <col min="4" max="17" width="21.77734375" style="72" customWidth="1"/>
    <col min="18" max="18" width="13.77734375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544" t="s">
        <v>254</v>
      </c>
      <c r="E5" s="545"/>
      <c r="F5" s="545"/>
      <c r="G5" s="545"/>
      <c r="H5" s="545"/>
      <c r="I5" s="545"/>
      <c r="J5" s="546"/>
      <c r="K5" s="547"/>
      <c r="L5" s="548"/>
      <c r="M5" s="548"/>
      <c r="N5" s="548"/>
      <c r="O5" s="548"/>
      <c r="P5" s="548"/>
      <c r="Q5" s="549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88" t="s">
        <v>4</v>
      </c>
      <c r="B6" s="32"/>
      <c r="D6" s="100">
        <v>2016</v>
      </c>
      <c r="E6" s="96">
        <v>2017</v>
      </c>
      <c r="F6" s="96">
        <f t="shared" ref="F6:P6" si="0">$E$6</f>
        <v>2017</v>
      </c>
      <c r="G6" s="96">
        <f t="shared" si="0"/>
        <v>2017</v>
      </c>
      <c r="H6" s="96">
        <f t="shared" si="0"/>
        <v>2017</v>
      </c>
      <c r="I6" s="96">
        <f t="shared" si="0"/>
        <v>2017</v>
      </c>
      <c r="J6" s="101">
        <f t="shared" si="0"/>
        <v>2017</v>
      </c>
      <c r="K6" s="115">
        <f t="shared" si="0"/>
        <v>2017</v>
      </c>
      <c r="L6" s="95">
        <f t="shared" si="0"/>
        <v>2017</v>
      </c>
      <c r="M6" s="95">
        <f t="shared" si="0"/>
        <v>2017</v>
      </c>
      <c r="N6" s="95">
        <f t="shared" si="0"/>
        <v>2017</v>
      </c>
      <c r="O6" s="95">
        <f t="shared" si="0"/>
        <v>2017</v>
      </c>
      <c r="P6" s="95">
        <f t="shared" si="0"/>
        <v>2017</v>
      </c>
      <c r="Q6" s="116">
        <v>2017</v>
      </c>
      <c r="R6"/>
      <c r="U6" s="90"/>
      <c r="V6" s="16"/>
      <c r="W6" s="90"/>
      <c r="X6" s="90"/>
      <c r="Y6" s="90"/>
      <c r="Z6" s="90"/>
      <c r="AA6" s="90"/>
      <c r="AB6" s="90"/>
      <c r="AC6" s="90"/>
      <c r="AD6" s="90"/>
      <c r="AE6" s="90"/>
      <c r="AF6" s="16"/>
      <c r="AG6" s="90"/>
      <c r="AH6" s="90"/>
      <c r="AI6" s="90"/>
      <c r="AJ6" s="90"/>
    </row>
    <row r="7" spans="1:36" s="31" customFormat="1" ht="21">
      <c r="A7" s="74" t="s">
        <v>5</v>
      </c>
      <c r="B7" s="32"/>
      <c r="C7" s="74" t="s">
        <v>6</v>
      </c>
      <c r="D7" s="102" t="s">
        <v>107</v>
      </c>
      <c r="E7" s="97" t="s">
        <v>95</v>
      </c>
      <c r="F7" s="97" t="s">
        <v>98</v>
      </c>
      <c r="G7" s="97" t="s">
        <v>99</v>
      </c>
      <c r="H7" s="97" t="s">
        <v>100</v>
      </c>
      <c r="I7" s="97" t="s">
        <v>88</v>
      </c>
      <c r="J7" s="103" t="s">
        <v>101</v>
      </c>
      <c r="K7" s="117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243</v>
      </c>
      <c r="R7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16"/>
      <c r="AG7" s="90"/>
      <c r="AH7" s="90"/>
      <c r="AI7" s="90"/>
      <c r="AJ7" s="90"/>
    </row>
    <row r="8" spans="1:36" s="31" customFormat="1" ht="21">
      <c r="A8" s="88"/>
      <c r="B8" s="32"/>
      <c r="C8" s="76">
        <v>-1</v>
      </c>
      <c r="D8" s="104">
        <v>-2</v>
      </c>
      <c r="E8" s="105">
        <v>-3</v>
      </c>
      <c r="F8" s="105">
        <v>-4</v>
      </c>
      <c r="G8" s="105">
        <v>-5</v>
      </c>
      <c r="H8" s="105">
        <v>-6</v>
      </c>
      <c r="I8" s="105">
        <v>-7</v>
      </c>
      <c r="J8" s="106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07"/>
      <c r="E9" s="108"/>
      <c r="F9" s="108"/>
      <c r="G9" s="108"/>
      <c r="H9" s="108"/>
      <c r="I9" s="108"/>
      <c r="J9" s="109"/>
      <c r="K9" s="122"/>
      <c r="L9" s="13"/>
      <c r="M9" s="13"/>
      <c r="N9" s="13"/>
      <c r="O9" s="13"/>
      <c r="P9" s="13"/>
      <c r="Q9" s="123"/>
      <c r="R9"/>
      <c r="U9" s="90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07"/>
      <c r="E10" s="108"/>
      <c r="F10" s="108"/>
      <c r="G10" s="108"/>
      <c r="H10" s="108"/>
      <c r="I10" s="108"/>
      <c r="J10" s="109"/>
      <c r="K10" s="122"/>
      <c r="L10" s="13"/>
      <c r="M10" s="13"/>
      <c r="N10" s="13"/>
      <c r="O10" s="13"/>
      <c r="P10" s="13"/>
      <c r="Q10" s="123"/>
      <c r="R10"/>
      <c r="U10" s="90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455</v>
      </c>
      <c r="D11" s="393">
        <v>218673518.64999992</v>
      </c>
      <c r="E11" s="394">
        <v>221555022.26999992</v>
      </c>
      <c r="F11" s="394">
        <v>224484281.51999995</v>
      </c>
      <c r="G11" s="394">
        <v>228235660.75999993</v>
      </c>
      <c r="H11" s="394">
        <v>232266198.41999993</v>
      </c>
      <c r="I11" s="394">
        <v>236524388.05999991</v>
      </c>
      <c r="J11" s="395">
        <v>240904618.2599999</v>
      </c>
      <c r="K11" s="371">
        <f>'201707 Bk Depr'!$R25</f>
        <v>3037429.9600000004</v>
      </c>
      <c r="L11" s="372">
        <f>'201708 Bk Depr'!$R25</f>
        <v>6302967.0000000009</v>
      </c>
      <c r="M11" s="372">
        <f>'201709 Bk Depr'!$R25</f>
        <v>9459921.3600000013</v>
      </c>
      <c r="N11" s="372">
        <f>'201710 Bk Depr'!$R25</f>
        <v>13359775.57</v>
      </c>
      <c r="O11" s="372">
        <f>'201711 Bk Depr'!$R25</f>
        <v>16010268.989999998</v>
      </c>
      <c r="P11" s="372">
        <f>'201712 Bk Depr'!$R25</f>
        <v>17681979.870000001</v>
      </c>
      <c r="Q11" s="373">
        <f>SUM(K11:P11)/7</f>
        <v>9407477.5357142854</v>
      </c>
      <c r="R11"/>
      <c r="U11" s="90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93">
        <v>4540286.8899999997</v>
      </c>
      <c r="E12" s="394">
        <v>4642448.26</v>
      </c>
      <c r="F12" s="394">
        <v>4749273.92</v>
      </c>
      <c r="G12" s="394">
        <v>4859999.8599999994</v>
      </c>
      <c r="H12" s="394">
        <v>4969441.51</v>
      </c>
      <c r="I12" s="394">
        <v>5089001.5799999991</v>
      </c>
      <c r="J12" s="395">
        <v>5209606.8599999994</v>
      </c>
      <c r="K12" s="371">
        <f>'201707 Bk Depr'!$R31</f>
        <v>221050.71000000002</v>
      </c>
      <c r="L12" s="372">
        <f>'201708 Bk Depr'!$R31</f>
        <v>354600.65</v>
      </c>
      <c r="M12" s="372">
        <f>'201709 Bk Depr'!$R31</f>
        <v>502267.67000000004</v>
      </c>
      <c r="N12" s="372">
        <f>'201710 Bk Depr'!$R31</f>
        <v>903421.45</v>
      </c>
      <c r="O12" s="372">
        <f>'201711 Bk Depr'!$R31</f>
        <v>1192482.7000000002</v>
      </c>
      <c r="P12" s="372">
        <f>'201712 Bk Depr'!$R31</f>
        <v>1643717.13</v>
      </c>
      <c r="Q12" s="373">
        <f t="shared" ref="Q12:Q13" si="1">SUM(K12:P12)/7</f>
        <v>688220.04428571439</v>
      </c>
      <c r="R12"/>
      <c r="U12" s="90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96">
        <v>-11624581.388949178</v>
      </c>
      <c r="E13" s="397">
        <v>-12223718.714747511</v>
      </c>
      <c r="F13" s="397">
        <v>-12830571.515023053</v>
      </c>
      <c r="G13" s="397">
        <v>-13446162.154084053</v>
      </c>
      <c r="H13" s="397">
        <v>-14071952.10238922</v>
      </c>
      <c r="I13" s="397">
        <v>-14708754.916368136</v>
      </c>
      <c r="J13" s="398">
        <v>-15357043.41514772</v>
      </c>
      <c r="K13" s="379">
        <f>-'Cap&amp;OpEx 2017'!C$22-'201707 Bk Depr'!P17</f>
        <v>-3483.0979357500009</v>
      </c>
      <c r="L13" s="380">
        <f>-'Cap&amp;OpEx 2017'!D$22-'201708 Bk Depr'!P17+K13</f>
        <v>-41623.970000000008</v>
      </c>
      <c r="M13" s="380">
        <f>-'Cap&amp;OpEx 2017'!E$22-'201709 Bk Depr'!P17+L13</f>
        <v>-60027.202751000012</v>
      </c>
      <c r="N13" s="380">
        <f>-'Cap&amp;OpEx 2017'!F$22-'201710 Bk Depr'!P17+M13</f>
        <v>-86150.91145325001</v>
      </c>
      <c r="O13" s="380">
        <f>-'Cap&amp;OpEx 2017'!G$22-'201711 Bk Depr'!P17+N13</f>
        <v>-119677.57448000001</v>
      </c>
      <c r="P13" s="380">
        <f>-'Cap&amp;OpEx 2017'!H$22-'201712 Bk Depr'!P17+O13</f>
        <v>-158385.19315550002</v>
      </c>
      <c r="Q13" s="378">
        <f t="shared" si="1"/>
        <v>-67049.707110785734</v>
      </c>
      <c r="R13"/>
      <c r="U13" s="90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393">
        <v>211589224.15105072</v>
      </c>
      <c r="E14" s="394">
        <v>213973751.81525239</v>
      </c>
      <c r="F14" s="394">
        <v>216402983.92497689</v>
      </c>
      <c r="G14" s="394">
        <v>219649498.46591589</v>
      </c>
      <c r="H14" s="394">
        <v>223163687.8276107</v>
      </c>
      <c r="I14" s="394">
        <v>226904634.7236318</v>
      </c>
      <c r="J14" s="395">
        <v>230757181.70485216</v>
      </c>
      <c r="K14" s="371">
        <f t="shared" ref="K14:Q14" si="2">SUM(K11:K13)</f>
        <v>3254997.5720642502</v>
      </c>
      <c r="L14" s="372">
        <f t="shared" si="2"/>
        <v>6615943.6800000016</v>
      </c>
      <c r="M14" s="372">
        <f t="shared" si="2"/>
        <v>9902161.8272490017</v>
      </c>
      <c r="N14" s="372">
        <f t="shared" si="2"/>
        <v>14177046.108546749</v>
      </c>
      <c r="O14" s="372">
        <f t="shared" si="2"/>
        <v>17083074.115519997</v>
      </c>
      <c r="P14" s="372">
        <f t="shared" si="2"/>
        <v>19167311.806844499</v>
      </c>
      <c r="Q14" s="373">
        <f t="shared" si="2"/>
        <v>10028647.872889215</v>
      </c>
      <c r="R14"/>
      <c r="U14" s="90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10"/>
      <c r="E15" s="98"/>
      <c r="F15" s="98"/>
      <c r="G15" s="98"/>
      <c r="H15" s="98"/>
      <c r="I15" s="98"/>
      <c r="J15" s="111"/>
      <c r="K15" s="124"/>
      <c r="L15" s="47"/>
      <c r="M15" s="47"/>
      <c r="N15" s="47"/>
      <c r="O15" s="47"/>
      <c r="P15" s="47"/>
      <c r="Q15" s="125"/>
      <c r="R15"/>
      <c r="U15" s="90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96">
        <v>-29925580.547962356</v>
      </c>
      <c r="E16" s="397">
        <v>-36933741.090531789</v>
      </c>
      <c r="F16" s="397">
        <v>-37531662.582907513</v>
      </c>
      <c r="G16" s="397">
        <v>-38157645.852782331</v>
      </c>
      <c r="H16" s="397">
        <v>-38708863.869166292</v>
      </c>
      <c r="I16" s="397">
        <v>-39205882.884475417</v>
      </c>
      <c r="J16" s="398">
        <v>-39638805.084670633</v>
      </c>
      <c r="K16" s="379">
        <f>-'Tax Depr 2017'!$X23</f>
        <v>-571103.22913344356</v>
      </c>
      <c r="L16" s="380">
        <f>-'Tax Depr 2017'!$X24</f>
        <v>-1023944.0385581255</v>
      </c>
      <c r="M16" s="380">
        <f>-'Tax Depr 2017'!$X25</f>
        <v>-1403447.7266286644</v>
      </c>
      <c r="N16" s="380">
        <f>-'Tax Depr 2017'!$X26</f>
        <v>-1629510.1331059334</v>
      </c>
      <c r="O16" s="380">
        <f>-'Tax Depr 2017'!$X27</f>
        <v>-1726357.4124550656</v>
      </c>
      <c r="P16" s="380">
        <f>-'Tax Depr 2017'!$X28</f>
        <v>-1730125.3504440216</v>
      </c>
      <c r="Q16" s="378">
        <f>P16</f>
        <v>-1730125.3504440216</v>
      </c>
      <c r="R16"/>
      <c r="U16" s="9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>
      <c r="A17" s="32"/>
      <c r="B17" s="32"/>
      <c r="D17" s="110"/>
      <c r="E17" s="98"/>
      <c r="F17" s="98"/>
      <c r="G17" s="98"/>
      <c r="H17" s="98"/>
      <c r="I17" s="98"/>
      <c r="J17" s="111"/>
      <c r="K17" s="124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93">
        <v>181663643.60308835</v>
      </c>
      <c r="E18" s="394">
        <v>177040010.7247206</v>
      </c>
      <c r="F18" s="394">
        <v>178871321.34206939</v>
      </c>
      <c r="G18" s="394">
        <v>181491852.61313355</v>
      </c>
      <c r="H18" s="394">
        <v>184454823.95844442</v>
      </c>
      <c r="I18" s="394">
        <v>187698751.83915639</v>
      </c>
      <c r="J18" s="395">
        <v>191118376.62018153</v>
      </c>
      <c r="K18" s="371">
        <f t="shared" ref="K18:Q18" si="3">SUM(K14:K16)</f>
        <v>2683894.3429308068</v>
      </c>
      <c r="L18" s="372">
        <f t="shared" si="3"/>
        <v>5591999.6414418761</v>
      </c>
      <c r="M18" s="372">
        <f t="shared" si="3"/>
        <v>8498714.1006203368</v>
      </c>
      <c r="N18" s="372">
        <f t="shared" si="3"/>
        <v>12547535.975440815</v>
      </c>
      <c r="O18" s="372">
        <f t="shared" si="3"/>
        <v>15356716.703064932</v>
      </c>
      <c r="P18" s="372">
        <f t="shared" si="3"/>
        <v>17437186.456400476</v>
      </c>
      <c r="Q18" s="373">
        <f t="shared" si="3"/>
        <v>8298522.5224451935</v>
      </c>
      <c r="R18"/>
      <c r="S18" s="80"/>
    </row>
    <row r="19" spans="1:19" s="31" customFormat="1" ht="21">
      <c r="A19" s="32"/>
      <c r="B19" s="32"/>
      <c r="D19" s="107"/>
      <c r="E19" s="108"/>
      <c r="F19" s="108"/>
      <c r="G19" s="108"/>
      <c r="H19" s="108"/>
      <c r="I19" s="108"/>
      <c r="J19" s="109"/>
      <c r="K19" s="122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12">
        <v>8.7039841473943429E-3</v>
      </c>
      <c r="E20" s="99">
        <v>8.7039841473943429E-3</v>
      </c>
      <c r="F20" s="99">
        <v>8.7039841473943429E-3</v>
      </c>
      <c r="G20" s="99">
        <v>8.7039841473943429E-3</v>
      </c>
      <c r="H20" s="99">
        <v>8.7039841473943429E-3</v>
      </c>
      <c r="I20" s="99">
        <v>8.7039841473943429E-3</v>
      </c>
      <c r="J20" s="113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 ht="21">
      <c r="A21" s="32"/>
      <c r="B21" s="32"/>
      <c r="D21" s="114"/>
      <c r="E21" s="108"/>
      <c r="F21" s="108"/>
      <c r="G21" s="108"/>
      <c r="H21" s="108"/>
      <c r="I21" s="108"/>
      <c r="J21" s="109"/>
      <c r="K21" s="122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399">
        <v>1581197.4740791768</v>
      </c>
      <c r="E22" s="400">
        <v>1540953.4468024925</v>
      </c>
      <c r="F22" s="400">
        <v>1556893.1453848514</v>
      </c>
      <c r="G22" s="400">
        <v>1579702.2080259449</v>
      </c>
      <c r="H22" s="400">
        <v>1605491.8636447145</v>
      </c>
      <c r="I22" s="400">
        <v>1633726.960493722</v>
      </c>
      <c r="J22" s="401">
        <v>1663491.3203778018</v>
      </c>
      <c r="K22" s="402">
        <f t="shared" ref="K22:Q22" si="4">K18*K20</f>
        <v>22928.920076646569</v>
      </c>
      <c r="L22" s="403">
        <f t="shared" si="4"/>
        <v>47773.308656868627</v>
      </c>
      <c r="M22" s="403">
        <f t="shared" si="4"/>
        <v>72605.815083837952</v>
      </c>
      <c r="N22" s="403">
        <f t="shared" si="4"/>
        <v>107195.51993449959</v>
      </c>
      <c r="O22" s="403">
        <f t="shared" si="4"/>
        <v>131194.78076762613</v>
      </c>
      <c r="P22" s="403">
        <f t="shared" si="4"/>
        <v>148968.5522358501</v>
      </c>
      <c r="Q22" s="404">
        <f t="shared" si="4"/>
        <v>425373.28678210825</v>
      </c>
      <c r="R22"/>
    </row>
    <row r="23" spans="1:19" s="31" customFormat="1" ht="21">
      <c r="A23" s="32"/>
      <c r="B23" s="32"/>
      <c r="D23" s="114"/>
      <c r="E23" s="108"/>
      <c r="F23" s="108"/>
      <c r="G23" s="108"/>
      <c r="H23" s="108"/>
      <c r="I23" s="108"/>
      <c r="J23" s="109"/>
      <c r="K23" s="122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07"/>
      <c r="E24" s="108"/>
      <c r="F24" s="108"/>
      <c r="G24" s="108"/>
      <c r="H24" s="108"/>
      <c r="I24" s="108"/>
      <c r="J24" s="109"/>
      <c r="K24" s="122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93">
        <v>579467.52354124992</v>
      </c>
      <c r="E25" s="394">
        <v>588476.18058408331</v>
      </c>
      <c r="F25" s="394">
        <v>596191.65506129165</v>
      </c>
      <c r="G25" s="394">
        <v>604929.49384674989</v>
      </c>
      <c r="H25" s="394">
        <v>615128.8030909166</v>
      </c>
      <c r="I25" s="394">
        <v>626141.66876466665</v>
      </c>
      <c r="J25" s="395">
        <v>637627.35356533329</v>
      </c>
      <c r="K25" s="371">
        <f>'201707 Bk Depr'!$P25</f>
        <v>3483.0979357500009</v>
      </c>
      <c r="L25" s="372">
        <f>'201708 Bk Depr'!$P25</f>
        <v>38140.872064250005</v>
      </c>
      <c r="M25" s="372">
        <f>'201709 Bk Depr'!$P25</f>
        <v>18403.232751000003</v>
      </c>
      <c r="N25" s="372">
        <f>'201710 Bk Depr'!$P25</f>
        <v>26123.708702250005</v>
      </c>
      <c r="O25" s="372">
        <f>'201711 Bk Depr'!$P25</f>
        <v>33526.663026750008</v>
      </c>
      <c r="P25" s="372">
        <f>'201712 Bk Depr'!$P25</f>
        <v>38707.618675500009</v>
      </c>
      <c r="Q25" s="373">
        <f>SUM(K25:P25)</f>
        <v>158385.19315550002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93">
        <v>117915.46000000002</v>
      </c>
      <c r="E26" s="394">
        <v>139510.51999999999</v>
      </c>
      <c r="F26" s="394">
        <v>73320.98000000001</v>
      </c>
      <c r="G26" s="394">
        <v>111290.44000000003</v>
      </c>
      <c r="H26" s="394">
        <v>45198.47</v>
      </c>
      <c r="I26" s="394">
        <v>140279.72</v>
      </c>
      <c r="J26" s="395">
        <v>120955.86000000002</v>
      </c>
      <c r="K26" s="371">
        <f>'Cap&amp;OpEx 2017'!C29</f>
        <v>62063.899999999994</v>
      </c>
      <c r="L26" s="372">
        <f>'Cap&amp;OpEx 2017'!D29</f>
        <v>85274.15</v>
      </c>
      <c r="M26" s="372">
        <f>'Cap&amp;OpEx 2017'!E29</f>
        <v>64736.08</v>
      </c>
      <c r="N26" s="372">
        <f>'Cap&amp;OpEx 2017'!F29</f>
        <v>107597.89000000001</v>
      </c>
      <c r="O26" s="372">
        <f>'Cap&amp;OpEx 2017'!G29</f>
        <v>78694.020000000019</v>
      </c>
      <c r="P26" s="372">
        <f>'Cap&amp;OpEx 2017'!H29</f>
        <v>88839.3</v>
      </c>
      <c r="Q26" s="373">
        <f>SUM(K26:P26)</f>
        <v>487205.34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93">
        <v>178960</v>
      </c>
      <c r="E27" s="394">
        <v>237772.02999999994</v>
      </c>
      <c r="F27" s="394">
        <v>237772.02999999994</v>
      </c>
      <c r="G27" s="394">
        <v>237772.02999999994</v>
      </c>
      <c r="H27" s="394">
        <v>237772.02999999994</v>
      </c>
      <c r="I27" s="394">
        <v>237772.02999999994</v>
      </c>
      <c r="J27" s="395">
        <v>237772.02999999994</v>
      </c>
      <c r="K27" s="371">
        <f>'Cap&amp;OpEx 2017'!C30</f>
        <v>0</v>
      </c>
      <c r="L27" s="372">
        <f>'Cap&amp;OpEx 2017'!D30</f>
        <v>0</v>
      </c>
      <c r="M27" s="372">
        <f>'Cap&amp;OpEx 2017'!E30</f>
        <v>0</v>
      </c>
      <c r="N27" s="372">
        <f>'Cap&amp;OpEx 2017'!F30</f>
        <v>0</v>
      </c>
      <c r="O27" s="372">
        <f>'Cap&amp;OpEx 2017'!G30</f>
        <v>0</v>
      </c>
      <c r="P27" s="372">
        <f>'Cap&amp;OpEx 2017'!H30</f>
        <v>0</v>
      </c>
      <c r="Q27" s="373">
        <f>SUM(K27:P27)</f>
        <v>0</v>
      </c>
      <c r="R27"/>
      <c r="S27" s="80"/>
    </row>
    <row r="28" spans="1:19" s="31" customFormat="1" ht="21">
      <c r="A28" s="32"/>
      <c r="B28" s="32"/>
      <c r="D28" s="110"/>
      <c r="E28" s="98"/>
      <c r="F28" s="98"/>
      <c r="G28" s="98"/>
      <c r="H28" s="98"/>
      <c r="I28" s="98"/>
      <c r="J28" s="111"/>
      <c r="K28" s="124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93">
        <v>876342.98354125</v>
      </c>
      <c r="E29" s="394">
        <v>965758.73058408324</v>
      </c>
      <c r="F29" s="394">
        <v>907284.66506129154</v>
      </c>
      <c r="G29" s="394">
        <v>953991.96384674986</v>
      </c>
      <c r="H29" s="394">
        <v>898099.30309091648</v>
      </c>
      <c r="I29" s="394">
        <v>1004193.4187646665</v>
      </c>
      <c r="J29" s="395">
        <v>996355.24356533319</v>
      </c>
      <c r="K29" s="371">
        <f t="shared" ref="K29:Q29" si="5">SUM(K25:K28)</f>
        <v>65546.997935749998</v>
      </c>
      <c r="L29" s="372">
        <f t="shared" si="5"/>
        <v>123415.02206424999</v>
      </c>
      <c r="M29" s="372">
        <f t="shared" si="5"/>
        <v>83139.312751000005</v>
      </c>
      <c r="N29" s="372">
        <f t="shared" si="5"/>
        <v>133721.59870225002</v>
      </c>
      <c r="O29" s="372">
        <f t="shared" si="5"/>
        <v>112220.68302675002</v>
      </c>
      <c r="P29" s="372">
        <f t="shared" si="5"/>
        <v>127546.91867550001</v>
      </c>
      <c r="Q29" s="373">
        <f t="shared" si="5"/>
        <v>645590.53315550007</v>
      </c>
      <c r="R29"/>
    </row>
    <row r="30" spans="1:19" s="31" customFormat="1" ht="21">
      <c r="A30" s="32"/>
      <c r="B30" s="32"/>
      <c r="D30" s="107"/>
      <c r="E30" s="108"/>
      <c r="F30" s="108"/>
      <c r="G30" s="108"/>
      <c r="H30" s="108"/>
      <c r="I30" s="108"/>
      <c r="J30" s="109"/>
      <c r="K30" s="122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405">
        <v>2457540.457620427</v>
      </c>
      <c r="E31" s="406">
        <v>2506712.1773865758</v>
      </c>
      <c r="F31" s="406">
        <v>2464177.8104461432</v>
      </c>
      <c r="G31" s="406">
        <v>2533694.171872695</v>
      </c>
      <c r="H31" s="406">
        <v>2503591.1667356309</v>
      </c>
      <c r="I31" s="406">
        <v>2637920.3792583887</v>
      </c>
      <c r="J31" s="407">
        <v>2659846.5639431351</v>
      </c>
      <c r="K31" s="408">
        <f t="shared" ref="K31:Q31" si="6">K22+K29</f>
        <v>88475.918012396563</v>
      </c>
      <c r="L31" s="409">
        <f t="shared" si="6"/>
        <v>171188.3307211186</v>
      </c>
      <c r="M31" s="409">
        <f t="shared" si="6"/>
        <v>155745.12783483794</v>
      </c>
      <c r="N31" s="409">
        <f t="shared" si="6"/>
        <v>240917.11863674963</v>
      </c>
      <c r="O31" s="409">
        <f t="shared" si="6"/>
        <v>243415.46379437615</v>
      </c>
      <c r="P31" s="409">
        <f t="shared" si="6"/>
        <v>276515.4709113501</v>
      </c>
      <c r="Q31" s="410">
        <f t="shared" si="6"/>
        <v>1070963.8199376082</v>
      </c>
      <c r="R31"/>
    </row>
    <row r="32" spans="1:19" s="31" customFormat="1" ht="21">
      <c r="A32" s="32"/>
      <c r="B32" s="32"/>
      <c r="D32" s="80"/>
      <c r="P32" s="80"/>
      <c r="R32"/>
    </row>
    <row r="33" spans="1:28" s="31" customFormat="1" ht="2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1">
      <c r="A34" s="157"/>
      <c r="B34" s="15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21">
      <c r="A35" s="159"/>
      <c r="B35" s="16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>
      <c r="A36" s="159"/>
      <c r="B36" s="159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23"/>
      <c r="B40" s="23"/>
      <c r="C40" s="16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164"/>
      <c r="C41" s="16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23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21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21">
      <c r="A47" s="16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21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 ht="21">
      <c r="A49" s="2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 ht="21">
      <c r="A50" s="159"/>
      <c r="B50" s="15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19"/>
      <c r="V50" s="20"/>
      <c r="W50" s="20"/>
      <c r="X50" s="20"/>
      <c r="Y50" s="20"/>
      <c r="Z50" s="20"/>
      <c r="AA50" s="20"/>
      <c r="AB50" s="20"/>
      <c r="AC50" s="94"/>
      <c r="AD50" s="94"/>
      <c r="AE50" s="94"/>
      <c r="AF50" s="94"/>
      <c r="AG50" s="94"/>
      <c r="AH50" s="94"/>
      <c r="AI50" s="94"/>
      <c r="AJ50" s="94"/>
    </row>
    <row r="51" spans="1:36" ht="21">
      <c r="A51" s="21"/>
      <c r="B51" s="159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S51" s="23"/>
      <c r="T51" s="23"/>
      <c r="U51" s="21"/>
      <c r="V51" s="22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21">
      <c r="A52" s="84"/>
      <c r="B52" s="159"/>
      <c r="C52" s="84"/>
      <c r="D52" s="83"/>
      <c r="E52" s="84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S52" s="23"/>
      <c r="T52" s="23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21">
      <c r="A53" s="21"/>
      <c r="B53" s="159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S53" s="23"/>
      <c r="T53" s="23"/>
      <c r="U53" s="2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21">
      <c r="A54" s="159"/>
      <c r="B54" s="15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S54" s="23"/>
      <c r="T54" s="23"/>
      <c r="U54" s="21"/>
      <c r="V54" s="24"/>
      <c r="W54" s="24"/>
      <c r="X54" s="24"/>
      <c r="Y54" s="24"/>
      <c r="Z54" s="24"/>
      <c r="AA54" s="24"/>
      <c r="AB54" s="25"/>
      <c r="AC54" s="24"/>
      <c r="AD54" s="25"/>
      <c r="AE54" s="25"/>
      <c r="AF54" s="25"/>
      <c r="AG54" s="24"/>
      <c r="AH54" s="24"/>
      <c r="AI54" s="24"/>
      <c r="AJ54" s="24"/>
    </row>
    <row r="55" spans="1:36" ht="21">
      <c r="A55" s="159"/>
      <c r="B55" s="16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4"/>
      <c r="AE55" s="24"/>
      <c r="AF55" s="25"/>
      <c r="AG55" s="24"/>
      <c r="AH55" s="24"/>
      <c r="AI55" s="24"/>
      <c r="AJ55" s="24"/>
    </row>
    <row r="56" spans="1:36" ht="21">
      <c r="A56" s="159"/>
      <c r="B56" s="159"/>
      <c r="C56" s="161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 ht="21">
      <c r="A57" s="159"/>
      <c r="B57" s="159"/>
      <c r="C57" s="23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 ht="21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 ht="21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3"/>
      <c r="W59" s="23"/>
      <c r="X59" s="23"/>
      <c r="Y59" s="23"/>
      <c r="Z59" s="23"/>
      <c r="AA59" s="23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 ht="21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 ht="21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36">
      <c r="A63" s="159"/>
      <c r="B63" s="159"/>
      <c r="C63" s="161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21">
      <c r="A69" s="159"/>
      <c r="B69" s="16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59"/>
      <c r="C70" s="23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21">
      <c r="A75" s="159"/>
      <c r="B75" s="169"/>
      <c r="C75" s="2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5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21">
      <c r="A77" s="159"/>
      <c r="B77" s="169"/>
      <c r="C77" s="23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21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5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21">
      <c r="A80" s="159"/>
      <c r="B80" s="16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59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7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64"/>
      <c r="C86" s="16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59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10" spans="1:28">
      <c r="A110" s="128"/>
      <c r="B110" s="128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82"/>
    </row>
    <row r="118" spans="14:19">
      <c r="N118"/>
      <c r="O118"/>
      <c r="P118"/>
      <c r="Q118"/>
      <c r="S118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048575" spans="19:19" ht="21">
      <c r="S1048575" s="80">
        <f>SUM(D1048575:P1048576)</f>
        <v>0</v>
      </c>
    </row>
  </sheetData>
  <mergeCells count="3">
    <mergeCell ref="AC5:AJ5"/>
    <mergeCell ref="D5:J5"/>
    <mergeCell ref="K5:Q5"/>
  </mergeCells>
  <pageMargins left="0.7" right="0.7" top="0.75" bottom="0.75" header="0.3" footer="0.3"/>
  <pageSetup scale="29" fitToWidth="0" fitToHeight="0" orientation="landscape" r:id="rId1"/>
  <headerFooter scaleWithDoc="0">
    <oddFooter>&amp;R&amp;"Times New Roman,Bold"&amp;12Exhibit CMG-5
Page 2 of 12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AJ1048490"/>
  <sheetViews>
    <sheetView workbookViewId="0"/>
  </sheetViews>
  <sheetFormatPr defaultColWidth="9.21875" defaultRowHeight="20.399999999999999"/>
  <cols>
    <col min="1" max="1" width="9.5546875" style="72" customWidth="1"/>
    <col min="2" max="2" width="9.21875" style="72"/>
    <col min="3" max="3" width="68.77734375" style="72" customWidth="1"/>
    <col min="4" max="5" width="19.21875" style="72" customWidth="1"/>
    <col min="6" max="6" width="20.77734375" style="72" customWidth="1"/>
    <col min="7" max="7" width="19" style="72" customWidth="1"/>
    <col min="8" max="8" width="19.5546875" style="72" customWidth="1"/>
    <col min="9" max="9" width="19.21875" style="72" customWidth="1"/>
    <col min="10" max="10" width="19" style="72" customWidth="1"/>
    <col min="11" max="11" width="19.21875" style="72" customWidth="1"/>
    <col min="12" max="14" width="22.5546875" style="72" bestFit="1" customWidth="1"/>
    <col min="15" max="16" width="19.21875" style="72" bestFit="1" customWidth="1"/>
    <col min="17" max="17" width="20.77734375" style="72" bestFit="1" customWidth="1"/>
    <col min="18" max="18" width="20.77734375" bestFit="1" customWidth="1"/>
    <col min="19" max="19" width="18.77734375" style="72" customWidth="1"/>
    <col min="20" max="20" width="18" style="72" customWidth="1"/>
    <col min="21" max="21" width="17" style="72" customWidth="1"/>
    <col min="22" max="22" width="14.77734375" style="72" bestFit="1" customWidth="1"/>
    <col min="23" max="23" width="14.5546875" style="72" bestFit="1" customWidth="1"/>
    <col min="24" max="24" width="13.21875" style="72" bestFit="1" customWidth="1"/>
    <col min="25" max="25" width="14" style="72" customWidth="1"/>
    <col min="26" max="26" width="15.5546875" style="72" customWidth="1"/>
    <col min="27" max="27" width="14.44140625" style="72" bestFit="1" customWidth="1"/>
    <col min="28" max="28" width="14.77734375" style="72" customWidth="1"/>
    <col min="29" max="29" width="15.77734375" style="72" customWidth="1"/>
    <col min="30" max="30" width="13.44140625" style="72" customWidth="1"/>
    <col min="31" max="31" width="12.21875" style="72" bestFit="1" customWidth="1"/>
    <col min="32" max="32" width="16.5546875" style="72" customWidth="1"/>
    <col min="33" max="33" width="14.44140625" style="72" customWidth="1"/>
    <col min="34" max="34" width="15.21875" style="72" customWidth="1"/>
    <col min="35" max="35" width="9.44140625" style="72" bestFit="1" customWidth="1"/>
    <col min="36" max="36" width="12.77734375" style="72" customWidth="1"/>
    <col min="37" max="16384" width="9.21875" style="72"/>
  </cols>
  <sheetData>
    <row r="1" spans="1:36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4" t="s">
        <v>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36" s="31" customFormat="1" ht="2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1">
      <c r="D5" s="550"/>
      <c r="E5" s="551"/>
      <c r="F5" s="551"/>
      <c r="G5" s="551"/>
      <c r="H5" s="551"/>
      <c r="I5" s="551"/>
      <c r="J5" s="552"/>
      <c r="K5" s="547"/>
      <c r="L5" s="548"/>
      <c r="M5" s="548"/>
      <c r="N5" s="548"/>
      <c r="O5" s="548"/>
      <c r="P5" s="548"/>
      <c r="Q5" s="549"/>
      <c r="R5"/>
      <c r="U5" s="15"/>
      <c r="V5" s="14"/>
      <c r="W5" s="14"/>
      <c r="X5" s="14"/>
      <c r="Y5" s="14"/>
      <c r="Z5" s="14"/>
      <c r="AA5" s="14"/>
      <c r="AB5" s="14"/>
      <c r="AC5" s="543"/>
      <c r="AD5" s="543"/>
      <c r="AE5" s="543"/>
      <c r="AF5" s="543"/>
      <c r="AG5" s="543"/>
      <c r="AH5" s="543"/>
      <c r="AI5" s="543"/>
      <c r="AJ5" s="543"/>
    </row>
    <row r="6" spans="1:36" s="31" customFormat="1" ht="21">
      <c r="A6" s="92" t="s">
        <v>4</v>
      </c>
      <c r="B6" s="32"/>
      <c r="D6" s="134">
        <v>2016</v>
      </c>
      <c r="E6" s="135">
        <v>2017</v>
      </c>
      <c r="F6" s="135">
        <f t="shared" ref="F6:Q6" si="0">$E$6</f>
        <v>2017</v>
      </c>
      <c r="G6" s="135">
        <f t="shared" si="0"/>
        <v>2017</v>
      </c>
      <c r="H6" s="135">
        <f t="shared" si="0"/>
        <v>2017</v>
      </c>
      <c r="I6" s="135">
        <f t="shared" si="0"/>
        <v>2017</v>
      </c>
      <c r="J6" s="136">
        <f t="shared" si="0"/>
        <v>2017</v>
      </c>
      <c r="K6" s="131">
        <f t="shared" si="0"/>
        <v>2017</v>
      </c>
      <c r="L6" s="132">
        <f t="shared" si="0"/>
        <v>2017</v>
      </c>
      <c r="M6" s="132">
        <f t="shared" si="0"/>
        <v>2017</v>
      </c>
      <c r="N6" s="132">
        <f t="shared" si="0"/>
        <v>2017</v>
      </c>
      <c r="O6" s="132">
        <f t="shared" si="0"/>
        <v>2017</v>
      </c>
      <c r="P6" s="132">
        <f t="shared" si="0"/>
        <v>2017</v>
      </c>
      <c r="Q6" s="133">
        <f t="shared" si="0"/>
        <v>2017</v>
      </c>
      <c r="R6"/>
      <c r="U6" s="93"/>
      <c r="V6" s="16"/>
      <c r="W6" s="93"/>
      <c r="X6" s="93"/>
      <c r="Y6" s="93"/>
      <c r="Z6" s="93"/>
      <c r="AA6" s="93"/>
      <c r="AB6" s="93"/>
      <c r="AC6" s="93"/>
      <c r="AD6" s="93"/>
      <c r="AE6" s="93"/>
      <c r="AF6" s="16"/>
      <c r="AG6" s="93"/>
      <c r="AH6" s="93"/>
      <c r="AI6" s="93"/>
      <c r="AJ6" s="93"/>
    </row>
    <row r="7" spans="1:36" s="31" customFormat="1" ht="21">
      <c r="A7" s="74" t="s">
        <v>5</v>
      </c>
      <c r="B7" s="32"/>
      <c r="C7" s="74" t="s">
        <v>6</v>
      </c>
      <c r="D7" s="137" t="s">
        <v>107</v>
      </c>
      <c r="E7" s="138" t="s">
        <v>95</v>
      </c>
      <c r="F7" s="138" t="s">
        <v>98</v>
      </c>
      <c r="G7" s="138" t="s">
        <v>99</v>
      </c>
      <c r="H7" s="138" t="s">
        <v>100</v>
      </c>
      <c r="I7" s="138" t="s">
        <v>88</v>
      </c>
      <c r="J7" s="139" t="s">
        <v>101</v>
      </c>
      <c r="K7" s="117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243</v>
      </c>
      <c r="R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16"/>
      <c r="AG7" s="93"/>
      <c r="AH7" s="93"/>
      <c r="AI7" s="93"/>
      <c r="AJ7" s="93"/>
    </row>
    <row r="8" spans="1:36" s="31" customFormat="1" ht="21">
      <c r="A8" s="92"/>
      <c r="B8" s="32"/>
      <c r="C8" s="76">
        <v>-1</v>
      </c>
      <c r="D8" s="140">
        <v>-2</v>
      </c>
      <c r="E8" s="141">
        <v>-3</v>
      </c>
      <c r="F8" s="141">
        <v>-4</v>
      </c>
      <c r="G8" s="141">
        <v>-5</v>
      </c>
      <c r="H8" s="141">
        <v>-6</v>
      </c>
      <c r="I8" s="141">
        <v>-7</v>
      </c>
      <c r="J8" s="142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1">
      <c r="A9" s="32"/>
      <c r="B9" s="32"/>
      <c r="D9" s="143"/>
      <c r="E9" s="144"/>
      <c r="F9" s="144"/>
      <c r="G9" s="144"/>
      <c r="H9" s="144"/>
      <c r="I9" s="144"/>
      <c r="J9" s="145"/>
      <c r="K9" s="122"/>
      <c r="L9" s="13"/>
      <c r="M9" s="13"/>
      <c r="N9" s="13"/>
      <c r="O9" s="13"/>
      <c r="P9" s="13"/>
      <c r="Q9" s="123"/>
      <c r="R9"/>
      <c r="U9" s="93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1">
      <c r="A10" s="32"/>
      <c r="B10" s="77" t="s">
        <v>51</v>
      </c>
      <c r="D10" s="143"/>
      <c r="E10" s="144"/>
      <c r="F10" s="144"/>
      <c r="G10" s="144"/>
      <c r="H10" s="144"/>
      <c r="I10" s="144"/>
      <c r="J10" s="145"/>
      <c r="K10" s="122"/>
      <c r="L10" s="13"/>
      <c r="M10" s="13"/>
      <c r="N10" s="13"/>
      <c r="O10" s="13"/>
      <c r="P10" s="13"/>
      <c r="Q10" s="123"/>
      <c r="R10"/>
      <c r="U10" s="93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1">
      <c r="A11" s="32">
        <v>1</v>
      </c>
      <c r="B11" s="32"/>
      <c r="C11" s="78" t="s">
        <v>462</v>
      </c>
      <c r="D11" s="387">
        <v>0</v>
      </c>
      <c r="E11" s="388"/>
      <c r="F11" s="388"/>
      <c r="G11" s="388"/>
      <c r="H11" s="388"/>
      <c r="I11" s="388"/>
      <c r="J11" s="389"/>
      <c r="K11" s="371">
        <f>'Cap&amp;OpEx 2017'!C11</f>
        <v>239723.06</v>
      </c>
      <c r="L11" s="372">
        <f>'Cap&amp;OpEx 2017'!D11+K11</f>
        <v>310103.82</v>
      </c>
      <c r="M11" s="372">
        <f>'Cap&amp;OpEx 2017'!E11+L11</f>
        <v>616593.07000000007</v>
      </c>
      <c r="N11" s="372">
        <f>'Cap&amp;OpEx 2017'!F11+M11</f>
        <v>1046533.8500000001</v>
      </c>
      <c r="O11" s="372">
        <f>'Cap&amp;OpEx 2017'!G11+N11</f>
        <v>1439946.39</v>
      </c>
      <c r="P11" s="372">
        <f>'Cap&amp;OpEx 2017'!H11+O11</f>
        <v>3062641.21</v>
      </c>
      <c r="Q11" s="373">
        <f>SUM(K11:P11)/7</f>
        <v>959363.05714285723</v>
      </c>
      <c r="R11"/>
      <c r="U11" s="93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1">
      <c r="A12" s="32">
        <v>2</v>
      </c>
      <c r="B12" s="32"/>
      <c r="C12" s="31" t="s">
        <v>19</v>
      </c>
      <c r="D12" s="387">
        <v>0</v>
      </c>
      <c r="E12" s="388"/>
      <c r="F12" s="388"/>
      <c r="G12" s="388"/>
      <c r="H12" s="388"/>
      <c r="I12" s="388"/>
      <c r="J12" s="389"/>
      <c r="K12" s="374">
        <v>0</v>
      </c>
      <c r="L12" s="375">
        <v>0</v>
      </c>
      <c r="M12" s="375">
        <v>0</v>
      </c>
      <c r="N12" s="375">
        <v>0</v>
      </c>
      <c r="O12" s="375">
        <v>0</v>
      </c>
      <c r="P12" s="375">
        <v>0</v>
      </c>
      <c r="Q12" s="373">
        <f t="shared" ref="Q12:Q13" si="1">SUM(K12:P12)/7</f>
        <v>0</v>
      </c>
      <c r="R12"/>
      <c r="U12" s="93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1">
      <c r="A13" s="32">
        <v>3</v>
      </c>
      <c r="B13" s="32"/>
      <c r="C13" s="31" t="s">
        <v>52</v>
      </c>
      <c r="D13" s="390">
        <v>0</v>
      </c>
      <c r="E13" s="391"/>
      <c r="F13" s="391"/>
      <c r="G13" s="391"/>
      <c r="H13" s="391"/>
      <c r="I13" s="391"/>
      <c r="J13" s="392"/>
      <c r="K13" s="376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8">
        <f t="shared" si="1"/>
        <v>0</v>
      </c>
      <c r="R13"/>
      <c r="U13" s="93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1">
      <c r="A14" s="32">
        <v>4</v>
      </c>
      <c r="B14" s="32"/>
      <c r="C14" s="31" t="s">
        <v>53</v>
      </c>
      <c r="D14" s="387">
        <f t="shared" ref="D14:Q14" si="2">SUM(D11:D13)</f>
        <v>0</v>
      </c>
      <c r="E14" s="388">
        <f t="shared" si="2"/>
        <v>0</v>
      </c>
      <c r="F14" s="388">
        <f t="shared" si="2"/>
        <v>0</v>
      </c>
      <c r="G14" s="388">
        <f t="shared" si="2"/>
        <v>0</v>
      </c>
      <c r="H14" s="388">
        <f t="shared" si="2"/>
        <v>0</v>
      </c>
      <c r="I14" s="388">
        <f t="shared" si="2"/>
        <v>0</v>
      </c>
      <c r="J14" s="389">
        <f t="shared" si="2"/>
        <v>0</v>
      </c>
      <c r="K14" s="371">
        <f t="shared" si="2"/>
        <v>239723.06</v>
      </c>
      <c r="L14" s="372">
        <f t="shared" si="2"/>
        <v>310103.82</v>
      </c>
      <c r="M14" s="372">
        <f t="shared" si="2"/>
        <v>616593.07000000007</v>
      </c>
      <c r="N14" s="372">
        <f t="shared" si="2"/>
        <v>1046533.8500000001</v>
      </c>
      <c r="O14" s="372">
        <f t="shared" si="2"/>
        <v>1439946.39</v>
      </c>
      <c r="P14" s="372">
        <f t="shared" si="2"/>
        <v>3062641.21</v>
      </c>
      <c r="Q14" s="373">
        <f t="shared" si="2"/>
        <v>959363.05714285723</v>
      </c>
      <c r="R14"/>
      <c r="U14" s="93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1">
      <c r="A15" s="32"/>
      <c r="B15" s="32"/>
      <c r="D15" s="146"/>
      <c r="E15" s="147"/>
      <c r="F15" s="147"/>
      <c r="G15" s="147"/>
      <c r="H15" s="147"/>
      <c r="I15" s="147"/>
      <c r="J15" s="148"/>
      <c r="K15" s="124"/>
      <c r="L15" s="47"/>
      <c r="M15" s="47"/>
      <c r="N15" s="47"/>
      <c r="O15" s="47"/>
      <c r="P15" s="47"/>
      <c r="Q15" s="125"/>
      <c r="R15"/>
      <c r="U15" s="93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1">
      <c r="A16" s="32">
        <v>5</v>
      </c>
      <c r="B16" s="32"/>
      <c r="C16" s="31" t="s">
        <v>54</v>
      </c>
      <c r="D16" s="390">
        <v>0</v>
      </c>
      <c r="E16" s="391"/>
      <c r="F16" s="391"/>
      <c r="G16" s="391"/>
      <c r="H16" s="391"/>
      <c r="I16" s="391"/>
      <c r="J16" s="392"/>
      <c r="K16" s="376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8">
        <f>SUM(K16:P16)/7</f>
        <v>0</v>
      </c>
      <c r="R16"/>
      <c r="U16" s="9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46"/>
      <c r="E17" s="147"/>
      <c r="F17" s="147"/>
      <c r="G17" s="147"/>
      <c r="H17" s="147"/>
      <c r="I17" s="147"/>
      <c r="J17" s="148"/>
      <c r="K17" s="124"/>
      <c r="L17" s="47"/>
      <c r="M17" s="47"/>
      <c r="N17" s="47"/>
      <c r="O17" s="47"/>
      <c r="P17" s="47"/>
      <c r="Q17" s="125"/>
      <c r="R17"/>
    </row>
    <row r="18" spans="1:19" s="31" customFormat="1" ht="21">
      <c r="A18" s="32">
        <v>6</v>
      </c>
      <c r="B18" s="32"/>
      <c r="C18" s="78" t="s">
        <v>55</v>
      </c>
      <c r="D18" s="387">
        <f t="shared" ref="D18:Q18" si="3">SUM(D14:D16)</f>
        <v>0</v>
      </c>
      <c r="E18" s="388">
        <f t="shared" si="3"/>
        <v>0</v>
      </c>
      <c r="F18" s="388">
        <f t="shared" si="3"/>
        <v>0</v>
      </c>
      <c r="G18" s="388">
        <f t="shared" si="3"/>
        <v>0</v>
      </c>
      <c r="H18" s="388">
        <f t="shared" si="3"/>
        <v>0</v>
      </c>
      <c r="I18" s="388">
        <f t="shared" si="3"/>
        <v>0</v>
      </c>
      <c r="J18" s="389">
        <f t="shared" si="3"/>
        <v>0</v>
      </c>
      <c r="K18" s="371">
        <f t="shared" si="3"/>
        <v>239723.06</v>
      </c>
      <c r="L18" s="372">
        <f t="shared" si="3"/>
        <v>310103.82</v>
      </c>
      <c r="M18" s="372">
        <f t="shared" si="3"/>
        <v>616593.07000000007</v>
      </c>
      <c r="N18" s="372">
        <f t="shared" si="3"/>
        <v>1046533.8500000001</v>
      </c>
      <c r="O18" s="372">
        <f t="shared" si="3"/>
        <v>1439946.39</v>
      </c>
      <c r="P18" s="372">
        <f t="shared" si="3"/>
        <v>3062641.21</v>
      </c>
      <c r="Q18" s="373">
        <f t="shared" si="3"/>
        <v>959363.05714285723</v>
      </c>
      <c r="R18"/>
      <c r="S18" s="80"/>
    </row>
    <row r="19" spans="1:19" s="31" customFormat="1" ht="21">
      <c r="A19" s="32"/>
      <c r="B19" s="32"/>
      <c r="D19" s="143"/>
      <c r="E19" s="144"/>
      <c r="F19" s="144"/>
      <c r="G19" s="144"/>
      <c r="H19" s="144"/>
      <c r="I19" s="144"/>
      <c r="J19" s="145"/>
      <c r="K19" s="122"/>
      <c r="L19" s="13"/>
      <c r="M19" s="13"/>
      <c r="N19" s="13"/>
      <c r="O19" s="13"/>
      <c r="P19" s="13"/>
      <c r="Q19" s="123"/>
      <c r="R19"/>
    </row>
    <row r="20" spans="1:19" s="31" customFormat="1" ht="21">
      <c r="A20" s="32">
        <v>7</v>
      </c>
      <c r="B20" s="32"/>
      <c r="C20" s="31" t="s">
        <v>56</v>
      </c>
      <c r="D20" s="149"/>
      <c r="E20" s="150">
        <v>8.7039841473943429E-3</v>
      </c>
      <c r="F20" s="150">
        <v>8.7039841473943429E-3</v>
      </c>
      <c r="G20" s="150">
        <v>8.7039841473943429E-3</v>
      </c>
      <c r="H20" s="150">
        <v>8.7039841473943429E-3</v>
      </c>
      <c r="I20" s="150">
        <v>8.7039841473943429E-3</v>
      </c>
      <c r="J20" s="151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 ht="21">
      <c r="A21" s="32"/>
      <c r="B21" s="32"/>
      <c r="D21" s="152"/>
      <c r="E21" s="144"/>
      <c r="F21" s="144"/>
      <c r="G21" s="144"/>
      <c r="H21" s="144"/>
      <c r="I21" s="144"/>
      <c r="J21" s="145"/>
      <c r="K21" s="122"/>
      <c r="L21" s="13"/>
      <c r="M21" s="13"/>
      <c r="N21" s="13"/>
      <c r="O21" s="13"/>
      <c r="P21" s="13"/>
      <c r="Q21" s="123"/>
      <c r="R21"/>
    </row>
    <row r="22" spans="1:19" s="31" customFormat="1" ht="21">
      <c r="A22" s="32">
        <v>8</v>
      </c>
      <c r="B22" s="32"/>
      <c r="C22" s="31" t="s">
        <v>57</v>
      </c>
      <c r="D22" s="390">
        <f t="shared" ref="D22:Q22" si="4">D18*D20</f>
        <v>0</v>
      </c>
      <c r="E22" s="391">
        <f t="shared" si="4"/>
        <v>0</v>
      </c>
      <c r="F22" s="391">
        <f t="shared" si="4"/>
        <v>0</v>
      </c>
      <c r="G22" s="391">
        <f t="shared" si="4"/>
        <v>0</v>
      </c>
      <c r="H22" s="391">
        <f t="shared" si="4"/>
        <v>0</v>
      </c>
      <c r="I22" s="391">
        <f t="shared" si="4"/>
        <v>0</v>
      </c>
      <c r="J22" s="392">
        <f t="shared" si="4"/>
        <v>0</v>
      </c>
      <c r="K22" s="379">
        <f t="shared" si="4"/>
        <v>2047.9907853849734</v>
      </c>
      <c r="L22" s="380">
        <f t="shared" si="4"/>
        <v>2649.2643881347103</v>
      </c>
      <c r="M22" s="380">
        <f t="shared" si="4"/>
        <v>5267.6489516370766</v>
      </c>
      <c r="N22" s="380">
        <f t="shared" si="4"/>
        <v>8940.6988271944301</v>
      </c>
      <c r="O22" s="380">
        <f t="shared" si="4"/>
        <v>12301.682358669863</v>
      </c>
      <c r="P22" s="380">
        <f t="shared" si="4"/>
        <v>26164.612520048278</v>
      </c>
      <c r="Q22" s="378">
        <f t="shared" si="4"/>
        <v>49175.912426630865</v>
      </c>
      <c r="R22"/>
    </row>
    <row r="23" spans="1:19" s="31" customFormat="1" ht="21">
      <c r="A23" s="32"/>
      <c r="B23" s="32"/>
      <c r="D23" s="152"/>
      <c r="E23" s="144"/>
      <c r="F23" s="144"/>
      <c r="G23" s="144"/>
      <c r="H23" s="144"/>
      <c r="I23" s="144"/>
      <c r="J23" s="145"/>
      <c r="K23" s="122"/>
      <c r="L23" s="13"/>
      <c r="M23" s="13"/>
      <c r="N23" s="13"/>
      <c r="O23" s="13"/>
      <c r="P23" s="13"/>
      <c r="Q23" s="123"/>
      <c r="R23"/>
    </row>
    <row r="24" spans="1:19" s="31" customFormat="1" ht="21">
      <c r="A24" s="32"/>
      <c r="B24" s="77" t="s">
        <v>58</v>
      </c>
      <c r="D24" s="143"/>
      <c r="E24" s="144"/>
      <c r="F24" s="144"/>
      <c r="G24" s="144"/>
      <c r="H24" s="144"/>
      <c r="I24" s="144"/>
      <c r="J24" s="145"/>
      <c r="K24" s="122"/>
      <c r="L24" s="13"/>
      <c r="M24" s="13"/>
      <c r="N24" s="13"/>
      <c r="O24" s="13"/>
      <c r="P24" s="13"/>
      <c r="Q24" s="123"/>
      <c r="R24"/>
    </row>
    <row r="25" spans="1:19" s="31" customFormat="1" ht="21">
      <c r="A25" s="32">
        <v>9</v>
      </c>
      <c r="B25" s="32"/>
      <c r="C25" s="31" t="s">
        <v>0</v>
      </c>
      <c r="D25" s="387">
        <v>0</v>
      </c>
      <c r="E25" s="388"/>
      <c r="F25" s="388"/>
      <c r="G25" s="388"/>
      <c r="H25" s="388"/>
      <c r="I25" s="388"/>
      <c r="J25" s="389"/>
      <c r="K25" s="374">
        <v>0</v>
      </c>
      <c r="L25" s="375">
        <v>0</v>
      </c>
      <c r="M25" s="375">
        <v>0</v>
      </c>
      <c r="N25" s="375">
        <v>0</v>
      </c>
      <c r="O25" s="375">
        <v>0</v>
      </c>
      <c r="P25" s="375">
        <v>0</v>
      </c>
      <c r="Q25" s="373">
        <f>SUM(E25:P25)</f>
        <v>0</v>
      </c>
      <c r="R25"/>
      <c r="S25" s="80"/>
    </row>
    <row r="26" spans="1:19" s="31" customFormat="1" ht="21">
      <c r="A26" s="32">
        <v>10</v>
      </c>
      <c r="B26" s="32"/>
      <c r="C26" s="13" t="s">
        <v>59</v>
      </c>
      <c r="D26" s="387">
        <v>0</v>
      </c>
      <c r="E26" s="388"/>
      <c r="F26" s="388"/>
      <c r="G26" s="388"/>
      <c r="H26" s="388"/>
      <c r="I26" s="388"/>
      <c r="J26" s="389"/>
      <c r="K26" s="374">
        <v>0</v>
      </c>
      <c r="L26" s="375">
        <v>0</v>
      </c>
      <c r="M26" s="375">
        <v>0</v>
      </c>
      <c r="N26" s="375">
        <v>0</v>
      </c>
      <c r="O26" s="375">
        <v>0</v>
      </c>
      <c r="P26" s="375">
        <v>0</v>
      </c>
      <c r="Q26" s="373">
        <f>SUM(E26:P26)</f>
        <v>0</v>
      </c>
      <c r="R26"/>
      <c r="S26" s="80"/>
    </row>
    <row r="27" spans="1:19" s="31" customFormat="1" ht="21">
      <c r="A27" s="32">
        <v>11</v>
      </c>
      <c r="B27" s="32"/>
      <c r="C27" s="31" t="s">
        <v>178</v>
      </c>
      <c r="D27" s="387">
        <v>0</v>
      </c>
      <c r="E27" s="388"/>
      <c r="F27" s="388"/>
      <c r="G27" s="388"/>
      <c r="H27" s="388"/>
      <c r="I27" s="388"/>
      <c r="J27" s="389"/>
      <c r="K27" s="371">
        <f>'Cap&amp;OpEx 2017'!C31</f>
        <v>0</v>
      </c>
      <c r="L27" s="372">
        <f>'Cap&amp;OpEx 2017'!D31</f>
        <v>0</v>
      </c>
      <c r="M27" s="372">
        <f>'Cap&amp;OpEx 2017'!E31</f>
        <v>0</v>
      </c>
      <c r="N27" s="372">
        <f>'Cap&amp;OpEx 2017'!F31</f>
        <v>0</v>
      </c>
      <c r="O27" s="372">
        <f>'Cap&amp;OpEx 2017'!G31</f>
        <v>0</v>
      </c>
      <c r="P27" s="372">
        <f>'Cap&amp;OpEx 2017'!H31</f>
        <v>0</v>
      </c>
      <c r="Q27" s="373">
        <f>SUM(E27:P27)</f>
        <v>0</v>
      </c>
      <c r="R27"/>
      <c r="S27" s="80"/>
    </row>
    <row r="28" spans="1:19" s="31" customFormat="1" ht="21">
      <c r="A28" s="32"/>
      <c r="B28" s="32"/>
      <c r="D28" s="146"/>
      <c r="E28" s="147"/>
      <c r="F28" s="147"/>
      <c r="G28" s="147"/>
      <c r="H28" s="147"/>
      <c r="I28" s="147"/>
      <c r="J28" s="148"/>
      <c r="K28" s="124"/>
      <c r="L28" s="47"/>
      <c r="M28" s="47"/>
      <c r="N28" s="47"/>
      <c r="O28" s="47"/>
      <c r="P28" s="47"/>
      <c r="Q28" s="125"/>
      <c r="R28"/>
    </row>
    <row r="29" spans="1:19" s="31" customFormat="1" ht="21">
      <c r="A29" s="32">
        <v>12</v>
      </c>
      <c r="B29" s="32"/>
      <c r="C29" s="31" t="s">
        <v>60</v>
      </c>
      <c r="D29" s="387">
        <f t="shared" ref="D29:Q29" si="5">SUM(D25:D28)</f>
        <v>0</v>
      </c>
      <c r="E29" s="388">
        <f t="shared" si="5"/>
        <v>0</v>
      </c>
      <c r="F29" s="388">
        <f t="shared" si="5"/>
        <v>0</v>
      </c>
      <c r="G29" s="388">
        <f t="shared" si="5"/>
        <v>0</v>
      </c>
      <c r="H29" s="388">
        <f t="shared" si="5"/>
        <v>0</v>
      </c>
      <c r="I29" s="388">
        <f t="shared" si="5"/>
        <v>0</v>
      </c>
      <c r="J29" s="389">
        <f t="shared" si="5"/>
        <v>0</v>
      </c>
      <c r="K29" s="371">
        <f t="shared" si="5"/>
        <v>0</v>
      </c>
      <c r="L29" s="372">
        <f t="shared" si="5"/>
        <v>0</v>
      </c>
      <c r="M29" s="372">
        <f t="shared" si="5"/>
        <v>0</v>
      </c>
      <c r="N29" s="372">
        <f t="shared" si="5"/>
        <v>0</v>
      </c>
      <c r="O29" s="372">
        <f t="shared" si="5"/>
        <v>0</v>
      </c>
      <c r="P29" s="372">
        <f t="shared" si="5"/>
        <v>0</v>
      </c>
      <c r="Q29" s="373">
        <f t="shared" si="5"/>
        <v>0</v>
      </c>
      <c r="R29"/>
    </row>
    <row r="30" spans="1:19" s="31" customFormat="1" ht="21">
      <c r="A30" s="32"/>
      <c r="B30" s="32"/>
      <c r="D30" s="143"/>
      <c r="E30" s="144"/>
      <c r="F30" s="144"/>
      <c r="G30" s="144"/>
      <c r="H30" s="144"/>
      <c r="I30" s="144"/>
      <c r="J30" s="145"/>
      <c r="K30" s="122"/>
      <c r="L30" s="13"/>
      <c r="M30" s="13"/>
      <c r="N30" s="13"/>
      <c r="O30" s="13"/>
      <c r="P30" s="13"/>
      <c r="Q30" s="123"/>
      <c r="R30"/>
    </row>
    <row r="31" spans="1:19" s="31" customFormat="1" ht="21">
      <c r="A31" s="32">
        <v>13</v>
      </c>
      <c r="B31" s="77" t="s">
        <v>165</v>
      </c>
      <c r="D31" s="384">
        <f t="shared" ref="D31:Q31" si="6">D22+D29</f>
        <v>0</v>
      </c>
      <c r="E31" s="385">
        <f t="shared" si="6"/>
        <v>0</v>
      </c>
      <c r="F31" s="385">
        <f t="shared" si="6"/>
        <v>0</v>
      </c>
      <c r="G31" s="385">
        <f t="shared" si="6"/>
        <v>0</v>
      </c>
      <c r="H31" s="385">
        <f t="shared" si="6"/>
        <v>0</v>
      </c>
      <c r="I31" s="385">
        <f t="shared" si="6"/>
        <v>0</v>
      </c>
      <c r="J31" s="386">
        <f t="shared" si="6"/>
        <v>0</v>
      </c>
      <c r="K31" s="381">
        <f t="shared" si="6"/>
        <v>2047.9907853849734</v>
      </c>
      <c r="L31" s="382">
        <f t="shared" si="6"/>
        <v>2649.2643881347103</v>
      </c>
      <c r="M31" s="382">
        <f t="shared" si="6"/>
        <v>5267.6489516370766</v>
      </c>
      <c r="N31" s="382">
        <f t="shared" si="6"/>
        <v>8940.6988271944301</v>
      </c>
      <c r="O31" s="382">
        <f t="shared" si="6"/>
        <v>12301.682358669863</v>
      </c>
      <c r="P31" s="382">
        <f t="shared" si="6"/>
        <v>26164.612520048278</v>
      </c>
      <c r="Q31" s="383">
        <f t="shared" si="6"/>
        <v>49175.912426630865</v>
      </c>
      <c r="R31"/>
    </row>
    <row r="32" spans="1:19" s="31" customFormat="1" ht="21">
      <c r="A32" s="32"/>
      <c r="B32" s="32"/>
      <c r="D32" s="80"/>
      <c r="P32" s="80"/>
      <c r="R32"/>
    </row>
    <row r="1048490" spans="19:19" ht="21">
      <c r="S1048490" s="80">
        <f>SUM(D1048490:P1048576)</f>
        <v>0</v>
      </c>
    </row>
  </sheetData>
  <mergeCells count="3">
    <mergeCell ref="AC5:AJ5"/>
    <mergeCell ref="K5:Q5"/>
    <mergeCell ref="D5:J5"/>
  </mergeCells>
  <pageMargins left="0.7" right="0.7" top="0.75" bottom="0.75" header="0.3" footer="0.3"/>
  <pageSetup scale="30" orientation="landscape" r:id="rId1"/>
  <headerFooter scaleWithDoc="0">
    <oddFooter>&amp;R&amp;"Arial,Bold"Exhibit CMG-5
Page 3 of 12</oddFooter>
  </headerFooter>
  <rowBreaks count="1" manualBreakCount="1">
    <brk id="31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8"/>
  <sheetViews>
    <sheetView workbookViewId="0"/>
  </sheetViews>
  <sheetFormatPr defaultColWidth="9.21875" defaultRowHeight="15.6"/>
  <cols>
    <col min="1" max="1" width="9.21875" style="28"/>
    <col min="2" max="2" width="35" style="26" bestFit="1" customWidth="1"/>
    <col min="3" max="3" width="15.77734375" style="26" customWidth="1"/>
    <col min="4" max="4" width="18" style="26" bestFit="1" customWidth="1"/>
    <col min="5" max="5" width="18.44140625" style="26" bestFit="1" customWidth="1"/>
    <col min="6" max="6" width="17.21875" style="26" customWidth="1"/>
    <col min="7" max="8" width="16.77734375" style="26" bestFit="1" customWidth="1"/>
    <col min="9" max="9" width="17" style="26" bestFit="1" customWidth="1"/>
    <col min="10" max="10" width="12.21875" style="28" bestFit="1" customWidth="1"/>
    <col min="11" max="11" width="16.21875" style="28" bestFit="1" customWidth="1"/>
    <col min="12" max="24" width="14.77734375" style="28" customWidth="1"/>
    <col min="25" max="25" width="9.21875" style="28"/>
    <col min="26" max="26" width="10.5546875" style="28" bestFit="1" customWidth="1"/>
    <col min="27" max="16384" width="9.21875" style="28"/>
  </cols>
  <sheetData>
    <row r="1" spans="1:24" ht="17.399999999999999">
      <c r="B1" s="553" t="s">
        <v>67</v>
      </c>
      <c r="C1" s="553"/>
      <c r="D1" s="553"/>
      <c r="E1" s="553"/>
      <c r="F1" s="553"/>
      <c r="G1" s="553"/>
      <c r="H1" s="553"/>
      <c r="I1" s="553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  <c r="W1" s="40"/>
      <c r="X1" s="40"/>
    </row>
    <row r="2" spans="1:24" ht="17.399999999999999">
      <c r="A2" s="553" t="s">
        <v>255</v>
      </c>
      <c r="B2" s="553"/>
      <c r="C2" s="553"/>
      <c r="D2" s="553"/>
      <c r="E2" s="553"/>
      <c r="F2" s="553"/>
      <c r="G2" s="553"/>
      <c r="H2" s="553"/>
      <c r="I2" s="553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  <c r="W2" s="40"/>
      <c r="X2" s="40"/>
    </row>
    <row r="3" spans="1:24" ht="17.399999999999999">
      <c r="B3" s="553" t="s">
        <v>161</v>
      </c>
      <c r="C3" s="553"/>
      <c r="D3" s="553"/>
      <c r="E3" s="553"/>
      <c r="F3" s="553"/>
      <c r="G3" s="553"/>
      <c r="H3" s="553"/>
      <c r="I3" s="553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</row>
    <row r="4" spans="1:24">
      <c r="K4" s="40"/>
      <c r="L4" s="40"/>
      <c r="M4" s="40"/>
      <c r="N4" s="40"/>
      <c r="O4" s="40"/>
      <c r="P4" s="40"/>
      <c r="R4" s="40"/>
      <c r="S4" s="40"/>
      <c r="T4" s="40"/>
      <c r="U4" s="40"/>
      <c r="V4" s="40"/>
      <c r="W4" s="40"/>
      <c r="X4" s="40"/>
    </row>
    <row r="5" spans="1:24">
      <c r="K5" s="40"/>
      <c r="L5" s="40"/>
      <c r="M5" s="40"/>
      <c r="N5" s="40"/>
      <c r="O5" s="40"/>
      <c r="P5" s="40"/>
      <c r="R5" s="40"/>
      <c r="S5" s="40"/>
      <c r="T5" s="40"/>
      <c r="U5" s="40"/>
      <c r="V5" s="40"/>
      <c r="W5" s="40"/>
      <c r="X5" s="40"/>
    </row>
    <row r="6" spans="1:24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3" t="s">
        <v>69</v>
      </c>
      <c r="K6" s="28"/>
      <c r="L6" s="28"/>
      <c r="M6" s="28"/>
      <c r="N6" s="28"/>
      <c r="O6" s="28"/>
      <c r="P6" s="28"/>
      <c r="Q6" s="28"/>
    </row>
    <row r="7" spans="1:24" ht="16.2" thickBot="1">
      <c r="A7" s="44" t="s">
        <v>5</v>
      </c>
      <c r="B7" s="44" t="s">
        <v>6</v>
      </c>
      <c r="C7" s="44" t="s">
        <v>89</v>
      </c>
      <c r="D7" s="44" t="s">
        <v>90</v>
      </c>
      <c r="E7" s="44" t="s">
        <v>91</v>
      </c>
      <c r="F7" s="44" t="s">
        <v>92</v>
      </c>
      <c r="G7" s="44" t="s">
        <v>93</v>
      </c>
      <c r="H7" s="44" t="s">
        <v>94</v>
      </c>
      <c r="I7" s="44" t="s">
        <v>242</v>
      </c>
    </row>
    <row r="8" spans="1:24">
      <c r="A8" s="65" t="s">
        <v>204</v>
      </c>
      <c r="B8" s="65" t="s">
        <v>205</v>
      </c>
      <c r="C8" s="65" t="s">
        <v>206</v>
      </c>
      <c r="D8" s="65" t="s">
        <v>207</v>
      </c>
      <c r="E8" s="65" t="s">
        <v>208</v>
      </c>
      <c r="F8" s="65" t="s">
        <v>209</v>
      </c>
      <c r="G8" s="65" t="s">
        <v>210</v>
      </c>
      <c r="H8" s="65" t="s">
        <v>211</v>
      </c>
      <c r="I8" s="65" t="s">
        <v>212</v>
      </c>
    </row>
    <row r="9" spans="1:24">
      <c r="B9" s="45"/>
      <c r="C9" s="45"/>
      <c r="D9" s="45"/>
      <c r="E9" s="45"/>
      <c r="F9" s="45"/>
      <c r="G9" s="45"/>
      <c r="H9" s="45"/>
      <c r="I9" s="45"/>
    </row>
    <row r="10" spans="1:24">
      <c r="A10" s="38">
        <v>1</v>
      </c>
      <c r="B10" s="26" t="s">
        <v>250</v>
      </c>
      <c r="C10" s="33">
        <f>SUM('Capital Budget 2017'!K3:K7)</f>
        <v>914714.83000000007</v>
      </c>
      <c r="D10" s="33">
        <f>SUM('Capital Budget 2017'!L3:L7)</f>
        <v>593930.80999999994</v>
      </c>
      <c r="E10" s="33">
        <f>SUM('Capital Budget 2017'!M3:M7)</f>
        <v>1244436.9200000002</v>
      </c>
      <c r="F10" s="33">
        <f>SUM('Capital Budget 2017'!N3:N7)</f>
        <v>1431438.0699999998</v>
      </c>
      <c r="G10" s="33">
        <f>SUM('Capital Budget 2017'!O3:O7)</f>
        <v>701917.45000000019</v>
      </c>
      <c r="H10" s="33">
        <f>SUM('Capital Budget 2017'!P3:P7)</f>
        <v>267001.29999999993</v>
      </c>
      <c r="I10" s="33">
        <f>SUM(C10:H10)</f>
        <v>5153439.38</v>
      </c>
      <c r="J10" s="46"/>
    </row>
    <row r="11" spans="1:24">
      <c r="A11" s="38">
        <f>A10+1</f>
        <v>2</v>
      </c>
      <c r="B11" s="26" t="s">
        <v>251</v>
      </c>
      <c r="C11" s="33">
        <f>SUM('Capital Budget 2017'!E23:J23,'Capital Budget 2017'!K23)</f>
        <v>239723.06</v>
      </c>
      <c r="D11" s="33">
        <f>SUM('Capital Budget 2017'!L23)</f>
        <v>70380.760000000009</v>
      </c>
      <c r="E11" s="33">
        <f>SUM('Capital Budget 2017'!M23)</f>
        <v>306489.25000000006</v>
      </c>
      <c r="F11" s="33">
        <f>SUM('Capital Budget 2017'!N23)</f>
        <v>429940.78</v>
      </c>
      <c r="G11" s="33">
        <f>SUM('Capital Budget 2017'!O23)</f>
        <v>393412.5399999998</v>
      </c>
      <c r="H11" s="33">
        <f>SUM('Capital Budget 2017'!P23)</f>
        <v>1622694.82</v>
      </c>
      <c r="I11" s="33">
        <f>SUM(C11:H11)</f>
        <v>3062641.21</v>
      </c>
      <c r="J11" s="46"/>
    </row>
    <row r="12" spans="1:24">
      <c r="A12" s="38">
        <f>A11+1</f>
        <v>3</v>
      </c>
      <c r="B12" s="26" t="s">
        <v>80</v>
      </c>
      <c r="C12" s="33">
        <f>SUM('Capital Budget 2017'!K14,'Capital Budget 2017'!K16:K19)</f>
        <v>213529.98999999996</v>
      </c>
      <c r="D12" s="33">
        <f>SUM('Capital Budget 2017'!L14,'Capital Budget 2017'!L16:L19)</f>
        <v>590202.24000000011</v>
      </c>
      <c r="E12" s="33">
        <f>SUM('Capital Budget 2017'!M14,'Capital Budget 2017'!M16:M19)</f>
        <v>177970.46999999994</v>
      </c>
      <c r="F12" s="33">
        <f>SUM('Capital Budget 2017'!N14,'Capital Budget 2017'!N16:N19)</f>
        <v>206751.37</v>
      </c>
      <c r="G12" s="33">
        <f>SUM('Capital Budget 2017'!O14,'Capital Budget 2017'!O16:O19)</f>
        <v>135116.30000000005</v>
      </c>
      <c r="H12" s="33">
        <f>SUM('Capital Budget 2017'!P14,'Capital Budget 2017'!P16:P19)</f>
        <v>293579.44999999995</v>
      </c>
      <c r="I12" s="33">
        <f>SUM(C12:H12)</f>
        <v>1617149.82</v>
      </c>
      <c r="J12" s="46"/>
    </row>
    <row r="13" spans="1:24">
      <c r="A13" s="38">
        <f>A12+1</f>
        <v>4</v>
      </c>
      <c r="B13" s="26" t="s">
        <v>81</v>
      </c>
      <c r="C13" s="33">
        <f>'Capital Budget 2017'!K15</f>
        <v>1397473.08</v>
      </c>
      <c r="D13" s="33">
        <f>'Capital Budget 2017'!L15</f>
        <v>1524779.69</v>
      </c>
      <c r="E13" s="33">
        <f>'Capital Budget 2017'!M15</f>
        <v>1152787.42</v>
      </c>
      <c r="F13" s="33">
        <f>'Capital Budget 2017'!N15</f>
        <v>1487575.2799999998</v>
      </c>
      <c r="G13" s="33">
        <f>'Capital Budget 2017'!O15</f>
        <v>1174067.3700000001</v>
      </c>
      <c r="H13" s="33">
        <f>'Capital Budget 2017'!P15</f>
        <v>367164.8900000006</v>
      </c>
      <c r="I13" s="33">
        <f>SUM(C13:H13)</f>
        <v>7103847.7300000004</v>
      </c>
      <c r="J13" s="46"/>
    </row>
    <row r="14" spans="1:24">
      <c r="A14" s="38">
        <f>A13+1</f>
        <v>5</v>
      </c>
      <c r="B14" s="26" t="s">
        <v>162</v>
      </c>
      <c r="C14" s="34">
        <f>SUM('Capital Budget 2017'!K8:K13)</f>
        <v>511712.06000000006</v>
      </c>
      <c r="D14" s="34">
        <f>SUM('Capital Budget 2017'!L8:L13)</f>
        <v>556624.30000000005</v>
      </c>
      <c r="E14" s="34">
        <f>SUM('Capital Budget 2017'!M8:M13)</f>
        <v>581759.54999999993</v>
      </c>
      <c r="F14" s="34">
        <f>SUM('Capital Budget 2017'!N8:N13)</f>
        <v>774089.49000000011</v>
      </c>
      <c r="G14" s="34">
        <f>SUM('Capital Budget 2017'!O8:O13)</f>
        <v>639392.29999999981</v>
      </c>
      <c r="H14" s="34">
        <f>SUM('Capital Budget 2017'!P8:P13)</f>
        <v>743965.23999999987</v>
      </c>
      <c r="I14" s="34">
        <f>SUM(C14:H14)</f>
        <v>3807542.94</v>
      </c>
      <c r="J14" s="86"/>
    </row>
    <row r="15" spans="1:24">
      <c r="A15" s="38">
        <f>A14+1</f>
        <v>6</v>
      </c>
      <c r="B15" s="26" t="s">
        <v>82</v>
      </c>
      <c r="C15" s="33">
        <f t="shared" ref="C15:I15" si="0">SUM(C10:C14)</f>
        <v>3277153.02</v>
      </c>
      <c r="D15" s="33">
        <f t="shared" si="0"/>
        <v>3335917.8</v>
      </c>
      <c r="E15" s="33">
        <f t="shared" si="0"/>
        <v>3463443.61</v>
      </c>
      <c r="F15" s="33">
        <f t="shared" si="0"/>
        <v>4329794.9899999993</v>
      </c>
      <c r="G15" s="33">
        <f t="shared" si="0"/>
        <v>3043905.96</v>
      </c>
      <c r="H15" s="33">
        <f t="shared" si="0"/>
        <v>3294405.7000000007</v>
      </c>
      <c r="I15" s="33">
        <f t="shared" si="0"/>
        <v>20744621.080000002</v>
      </c>
      <c r="J15" s="46"/>
    </row>
    <row r="16" spans="1:24">
      <c r="C16" s="33"/>
      <c r="D16" s="33"/>
      <c r="E16" s="33"/>
      <c r="F16" s="33"/>
      <c r="G16" s="33"/>
      <c r="H16" s="33"/>
      <c r="I16" s="33"/>
      <c r="J16" s="46"/>
    </row>
    <row r="17" spans="1:10">
      <c r="A17" s="38">
        <f>A15+1</f>
        <v>7</v>
      </c>
      <c r="B17" s="26" t="s">
        <v>252</v>
      </c>
      <c r="C17" s="370">
        <v>0</v>
      </c>
      <c r="D17" s="370">
        <v>0</v>
      </c>
      <c r="E17" s="370">
        <v>0</v>
      </c>
      <c r="F17" s="370">
        <v>0</v>
      </c>
      <c r="G17" s="370">
        <v>0</v>
      </c>
      <c r="H17" s="370">
        <v>0</v>
      </c>
      <c r="I17" s="33">
        <f>SUM(C17:H17)</f>
        <v>0</v>
      </c>
      <c r="J17" s="46"/>
    </row>
    <row r="18" spans="1:10">
      <c r="A18" s="38">
        <f>A17+1</f>
        <v>8</v>
      </c>
      <c r="B18" s="26" t="s">
        <v>72</v>
      </c>
      <c r="C18" s="369">
        <v>0</v>
      </c>
      <c r="D18" s="369">
        <v>0</v>
      </c>
      <c r="E18" s="369">
        <v>0</v>
      </c>
      <c r="F18" s="369">
        <v>0</v>
      </c>
      <c r="G18" s="369">
        <v>0</v>
      </c>
      <c r="H18" s="369">
        <v>0</v>
      </c>
      <c r="I18" s="35">
        <f>SUM(C18:H18)</f>
        <v>0</v>
      </c>
      <c r="J18" s="46"/>
    </row>
    <row r="19" spans="1:10">
      <c r="A19" s="38">
        <f>A18+1</f>
        <v>9</v>
      </c>
      <c r="B19" s="26" t="s">
        <v>73</v>
      </c>
      <c r="C19" s="360">
        <v>0</v>
      </c>
      <c r="D19" s="360">
        <v>0</v>
      </c>
      <c r="E19" s="360">
        <v>0</v>
      </c>
      <c r="F19" s="360">
        <v>0</v>
      </c>
      <c r="G19" s="360">
        <v>0</v>
      </c>
      <c r="H19" s="360">
        <v>0</v>
      </c>
      <c r="I19" s="34">
        <f>SUM(C19:H19)</f>
        <v>0</v>
      </c>
      <c r="J19" s="46"/>
    </row>
    <row r="20" spans="1:10">
      <c r="A20" s="38">
        <f>A19+1</f>
        <v>10</v>
      </c>
      <c r="B20" s="26" t="s">
        <v>180</v>
      </c>
      <c r="C20" s="35">
        <f t="shared" ref="C20:I20" si="1">SUM(C17:C19)</f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46"/>
    </row>
    <row r="21" spans="1:10">
      <c r="A21" s="38"/>
      <c r="C21" s="35"/>
      <c r="D21" s="35"/>
      <c r="E21" s="35"/>
      <c r="F21" s="35"/>
      <c r="G21" s="35"/>
      <c r="H21" s="35"/>
      <c r="I21" s="35"/>
      <c r="J21" s="46"/>
    </row>
    <row r="22" spans="1:10">
      <c r="A22" s="38">
        <f>A20+1</f>
        <v>11</v>
      </c>
      <c r="B22" s="26" t="s">
        <v>179</v>
      </c>
      <c r="C22" s="370">
        <v>0</v>
      </c>
      <c r="D22" s="370">
        <v>0</v>
      </c>
      <c r="E22" s="370">
        <v>0</v>
      </c>
      <c r="F22" s="370">
        <v>0</v>
      </c>
      <c r="G22" s="370">
        <f>-G32</f>
        <v>0</v>
      </c>
      <c r="H22" s="370">
        <v>0</v>
      </c>
      <c r="I22" s="33">
        <f>SUM(C22:H22)</f>
        <v>0</v>
      </c>
      <c r="J22" s="46"/>
    </row>
    <row r="23" spans="1:10">
      <c r="A23" s="38"/>
      <c r="C23" s="33"/>
      <c r="D23" s="33"/>
      <c r="E23" s="33"/>
      <c r="F23" s="33"/>
      <c r="G23" s="33"/>
      <c r="H23" s="33"/>
      <c r="I23" s="33"/>
      <c r="J23" s="46"/>
    </row>
    <row r="24" spans="1:10" ht="16.5" customHeight="1">
      <c r="A24" s="38">
        <f>A22+1</f>
        <v>12</v>
      </c>
      <c r="B24" s="26" t="s">
        <v>253</v>
      </c>
      <c r="C24" s="33">
        <f>SUM('Capital Budget 2017'!K26:K28,'Capital Budget 2017'!K31)</f>
        <v>194633.55000000002</v>
      </c>
      <c r="D24" s="33">
        <f>SUM('Capital Budget 2017'!L26:L28,'Capital Budget 2017'!L31)</f>
        <v>104604.53</v>
      </c>
      <c r="E24" s="33">
        <f>SUM('Capital Budget 2017'!M26:M28,'Capital Budget 2017'!M31)</f>
        <v>123629.18</v>
      </c>
      <c r="F24" s="33">
        <f>SUM('Capital Budget 2017'!N26:N28,'Capital Budget 2017'!N31)</f>
        <v>369707.5</v>
      </c>
      <c r="G24" s="33">
        <f>SUM('Capital Budget 2017'!O26:O28,'Capital Budget 2017'!O31)</f>
        <v>250260.92000000004</v>
      </c>
      <c r="H24" s="33">
        <f>SUM('Capital Budget 2017'!P26:P28,'Capital Budget 2017'!P31)</f>
        <v>413785.01999999996</v>
      </c>
      <c r="I24" s="33">
        <f>SUM(C24:H24)</f>
        <v>1456620.7</v>
      </c>
      <c r="J24" s="46"/>
    </row>
    <row r="25" spans="1:10">
      <c r="A25" s="38">
        <f>A24+1</f>
        <v>13</v>
      </c>
      <c r="B25" s="26" t="s">
        <v>83</v>
      </c>
      <c r="C25" s="33">
        <f>SUM('Capital Budget 2017'!K29:K30)</f>
        <v>26417.16</v>
      </c>
      <c r="D25" s="33">
        <f>SUM('Capital Budget 2017'!L29:L30)</f>
        <v>28945.41</v>
      </c>
      <c r="E25" s="33">
        <f>SUM('Capital Budget 2017'!M29:M30)</f>
        <v>24037.84</v>
      </c>
      <c r="F25" s="33">
        <f>SUM('Capital Budget 2017'!N29:N30)</f>
        <v>31446.28</v>
      </c>
      <c r="G25" s="33">
        <f>SUM('Capital Budget 2017'!O29:O30)</f>
        <v>38800.33</v>
      </c>
      <c r="H25" s="33">
        <f>SUM('Capital Budget 2017'!P29:P30)</f>
        <v>37449.410000000003</v>
      </c>
      <c r="I25" s="33">
        <f>SUM(C25:H25)</f>
        <v>187096.43000000002</v>
      </c>
      <c r="J25" s="46"/>
    </row>
    <row r="26" spans="1:10">
      <c r="A26" s="38">
        <f>A25+1</f>
        <v>14</v>
      </c>
      <c r="B26" s="26" t="s">
        <v>84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SUM(C26:H26)</f>
        <v>0</v>
      </c>
      <c r="J26" s="86"/>
    </row>
    <row r="27" spans="1:10">
      <c r="A27" s="38">
        <f>A26+1</f>
        <v>15</v>
      </c>
      <c r="B27" s="26" t="s">
        <v>85</v>
      </c>
      <c r="C27" s="33">
        <f t="shared" ref="C27:I27" si="2">SUM(C24:C26)</f>
        <v>221050.71000000002</v>
      </c>
      <c r="D27" s="33">
        <f t="shared" si="2"/>
        <v>133549.94</v>
      </c>
      <c r="E27" s="33">
        <f t="shared" si="2"/>
        <v>147667.01999999999</v>
      </c>
      <c r="F27" s="33">
        <f t="shared" si="2"/>
        <v>401153.78</v>
      </c>
      <c r="G27" s="33">
        <f t="shared" si="2"/>
        <v>289061.25000000006</v>
      </c>
      <c r="H27" s="33">
        <f t="shared" si="2"/>
        <v>451234.42999999993</v>
      </c>
      <c r="I27" s="33">
        <f t="shared" si="2"/>
        <v>1643717.13</v>
      </c>
      <c r="J27" s="46"/>
    </row>
    <row r="28" spans="1:10">
      <c r="A28" s="38"/>
      <c r="C28" s="33"/>
      <c r="D28" s="33"/>
      <c r="E28" s="33"/>
      <c r="F28" s="33"/>
      <c r="G28" s="33"/>
      <c r="H28" s="33"/>
      <c r="I28" s="33"/>
      <c r="J28" s="46"/>
    </row>
    <row r="29" spans="1:10">
      <c r="A29" s="38">
        <f>A27+1</f>
        <v>16</v>
      </c>
      <c r="B29" s="26" t="s">
        <v>59</v>
      </c>
      <c r="C29" s="370">
        <v>62063.899999999994</v>
      </c>
      <c r="D29" s="370">
        <v>85274.15</v>
      </c>
      <c r="E29" s="370">
        <v>64736.08</v>
      </c>
      <c r="F29" s="370">
        <v>107597.89000000001</v>
      </c>
      <c r="G29" s="370">
        <v>78694.020000000019</v>
      </c>
      <c r="H29" s="370">
        <v>88839.3</v>
      </c>
      <c r="I29" s="33">
        <f>SUM(C29:H29)</f>
        <v>487205.34</v>
      </c>
      <c r="J29" s="46"/>
    </row>
    <row r="30" spans="1:10">
      <c r="A30" s="38">
        <f>A29+1</f>
        <v>17</v>
      </c>
      <c r="B30" s="26" t="s">
        <v>460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370">
        <v>0</v>
      </c>
      <c r="I30" s="33">
        <f>SUM(C30:H30)</f>
        <v>0</v>
      </c>
      <c r="J30" s="46"/>
    </row>
    <row r="31" spans="1:10">
      <c r="A31" s="38">
        <f>A30+1</f>
        <v>18</v>
      </c>
      <c r="B31" s="26" t="s">
        <v>461</v>
      </c>
      <c r="C31" s="370">
        <v>0</v>
      </c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3">
        <f>SUM(C31:H31)</f>
        <v>0</v>
      </c>
    </row>
    <row r="32" spans="1:10">
      <c r="F32" s="63"/>
      <c r="G32" s="33"/>
    </row>
    <row r="34" spans="2:8">
      <c r="G34" s="28"/>
      <c r="H34" s="28"/>
    </row>
    <row r="35" spans="2:8">
      <c r="B35" s="28"/>
      <c r="C35" s="28"/>
      <c r="D35" s="28"/>
      <c r="E35" s="28"/>
      <c r="F35" s="28"/>
      <c r="G35" s="28"/>
      <c r="H35" s="28"/>
    </row>
    <row r="36" spans="2:8">
      <c r="B36" s="28"/>
      <c r="C36" s="28"/>
      <c r="D36" s="28"/>
      <c r="E36" s="28"/>
      <c r="F36" s="28"/>
      <c r="G36" s="28"/>
      <c r="H36" s="28"/>
    </row>
    <row r="37" spans="2:8">
      <c r="B37" s="28"/>
      <c r="C37" s="28"/>
      <c r="D37" s="28"/>
      <c r="E37" s="28"/>
      <c r="F37" s="28"/>
      <c r="G37" s="28"/>
      <c r="H37" s="28"/>
    </row>
    <row r="38" spans="2:8">
      <c r="B38" s="28"/>
      <c r="C38" s="28"/>
      <c r="D38" s="28"/>
      <c r="E38" s="28"/>
      <c r="F38" s="28"/>
      <c r="G38" s="28"/>
      <c r="H38" s="28"/>
    </row>
    <row r="39" spans="2:8">
      <c r="B39" s="28"/>
      <c r="C39" s="28"/>
      <c r="D39" s="28"/>
      <c r="E39" s="28"/>
      <c r="F39" s="28"/>
      <c r="G39" s="28"/>
      <c r="H39" s="28"/>
    </row>
    <row r="40" spans="2:8">
      <c r="B40" s="28"/>
      <c r="C40" s="28"/>
      <c r="D40" s="28"/>
      <c r="E40" s="28"/>
      <c r="F40" s="28"/>
      <c r="G40" s="28"/>
      <c r="H40" s="28"/>
    </row>
    <row r="41" spans="2:8">
      <c r="B41" s="28"/>
      <c r="C41" s="28"/>
      <c r="D41" s="28"/>
      <c r="E41" s="28"/>
      <c r="F41" s="28"/>
      <c r="G41" s="28"/>
      <c r="H41" s="28"/>
    </row>
    <row r="42" spans="2:8">
      <c r="B42" s="28"/>
      <c r="C42" s="28"/>
      <c r="D42" s="28"/>
      <c r="E42" s="28"/>
      <c r="F42" s="28"/>
      <c r="G42" s="28"/>
      <c r="H42" s="28"/>
    </row>
    <row r="43" spans="2:8">
      <c r="B43" s="28"/>
      <c r="C43" s="28"/>
      <c r="D43" s="28"/>
      <c r="E43" s="28"/>
      <c r="F43" s="28"/>
      <c r="G43" s="28"/>
      <c r="H43" s="28"/>
    </row>
    <row r="44" spans="2:8">
      <c r="B44" s="28"/>
      <c r="C44" s="28"/>
      <c r="D44" s="28"/>
      <c r="E44" s="28"/>
      <c r="F44" s="28"/>
      <c r="G44" s="28"/>
      <c r="H44" s="28"/>
    </row>
    <row r="45" spans="2:8">
      <c r="B45" s="28"/>
      <c r="C45" s="28"/>
      <c r="D45" s="28"/>
      <c r="E45" s="28"/>
      <c r="F45" s="28"/>
      <c r="G45" s="28"/>
      <c r="H45" s="28"/>
    </row>
    <row r="46" spans="2:8">
      <c r="B46" s="28"/>
      <c r="C46" s="28"/>
      <c r="D46" s="28"/>
      <c r="E46" s="28"/>
      <c r="F46" s="28"/>
      <c r="G46" s="28"/>
      <c r="H46" s="28"/>
    </row>
    <row r="47" spans="2:8">
      <c r="B47" s="28"/>
      <c r="C47" s="28"/>
      <c r="D47" s="28"/>
      <c r="E47" s="28"/>
      <c r="F47" s="28"/>
      <c r="G47" s="28"/>
      <c r="H47" s="28"/>
    </row>
    <row r="48" spans="2:8">
      <c r="B48" s="28"/>
      <c r="C48" s="28"/>
      <c r="D48" s="28"/>
      <c r="E48" s="28"/>
      <c r="F48" s="28"/>
      <c r="G48" s="28"/>
      <c r="H48" s="28"/>
    </row>
  </sheetData>
  <mergeCells count="3">
    <mergeCell ref="B1:I1"/>
    <mergeCell ref="B3:I3"/>
    <mergeCell ref="A2:I2"/>
  </mergeCells>
  <pageMargins left="0.7" right="0.7" top="0.75" bottom="0.75" header="0.3" footer="0.3"/>
  <pageSetup scale="76" orientation="landscape" r:id="rId1"/>
  <headerFooter>
    <oddFooter>&amp;R&amp;"Times New Roman,Bold"&amp;12Exhibit CMG-5
Page 5 of 12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214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/>
      <c r="H13" s="1">
        <f>1.62%/12</f>
        <v>1.3500000000000003E-3</v>
      </c>
      <c r="J13" s="365">
        <f>F13*H13</f>
        <v>0</v>
      </c>
      <c r="L13" s="365">
        <f>'Cap&amp;OpEx 2017'!C10</f>
        <v>914714.83000000007</v>
      </c>
      <c r="N13" s="365">
        <f>H13*L13*0.5</f>
        <v>617.43251025000018</v>
      </c>
      <c r="P13" s="365">
        <f>J13+N13</f>
        <v>617.43251025000018</v>
      </c>
      <c r="R13" s="365">
        <f>L13+F13</f>
        <v>914714.83000000007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/>
      <c r="H14" s="1">
        <f>3.24%/12</f>
        <v>2.7000000000000006E-3</v>
      </c>
      <c r="J14" s="365">
        <f>F14*H14</f>
        <v>0</v>
      </c>
      <c r="L14" s="365">
        <f>'Cap&amp;OpEx 2017'!C12</f>
        <v>213529.98999999996</v>
      </c>
      <c r="N14" s="365">
        <f>H14*L14*0.5</f>
        <v>288.26548650000001</v>
      </c>
      <c r="P14" s="365">
        <f>J14+N14</f>
        <v>288.26548650000001</v>
      </c>
      <c r="R14" s="365">
        <f>L14+F14</f>
        <v>213529.98999999996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5"/>
      <c r="H15" s="1">
        <f t="shared" ref="H15:H16" si="1">3.24%/12</f>
        <v>2.7000000000000006E-3</v>
      </c>
      <c r="J15" s="365">
        <f>F15*H15</f>
        <v>0</v>
      </c>
      <c r="L15" s="365">
        <f>'Cap&amp;OpEx 2017'!C13</f>
        <v>1397473.08</v>
      </c>
      <c r="N15" s="365">
        <f>H15*L15*0.5</f>
        <v>1886.5886580000006</v>
      </c>
      <c r="P15" s="365">
        <f>J15+N15</f>
        <v>1886.5886580000006</v>
      </c>
      <c r="R15" s="365">
        <f>L15+F15</f>
        <v>1397473.08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5"/>
      <c r="H16" s="1">
        <f t="shared" si="1"/>
        <v>2.7000000000000006E-3</v>
      </c>
      <c r="J16" s="365">
        <f>F16*H16</f>
        <v>0</v>
      </c>
      <c r="L16" s="365">
        <f>'Cap&amp;OpEx 2017'!C14</f>
        <v>511712.06000000006</v>
      </c>
      <c r="N16" s="365">
        <f>H16*L16*0.5</f>
        <v>690.81128100000024</v>
      </c>
      <c r="P16" s="365">
        <f>J16+N16</f>
        <v>690.81128100000024</v>
      </c>
      <c r="R16" s="365">
        <f>L16+F16</f>
        <v>511712.06000000006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0</v>
      </c>
      <c r="J17" s="363">
        <f>SUM(J13:J16)</f>
        <v>0</v>
      </c>
      <c r="L17" s="363">
        <f>SUM(L13:L16)</f>
        <v>3037429.9600000004</v>
      </c>
      <c r="N17" s="363">
        <f>SUM(N13:N16)</f>
        <v>3483.0979357500009</v>
      </c>
      <c r="P17" s="363">
        <f>SUM(P13:P16)</f>
        <v>3483.0979357500009</v>
      </c>
      <c r="R17" s="363">
        <f>SUM(R13:R16)</f>
        <v>3037429.9600000004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/>
      <c r="H20" s="1">
        <f>1.62%/12</f>
        <v>1.3500000000000003E-3</v>
      </c>
      <c r="J20" s="365">
        <f>F20*H20</f>
        <v>0</v>
      </c>
      <c r="L20" s="365">
        <f>'Cap&amp;OpEx 2017'!C17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/>
      <c r="H21" s="1">
        <f>3.24%/12</f>
        <v>2.7000000000000006E-3</v>
      </c>
      <c r="J21" s="365">
        <f>F21*H21</f>
        <v>0</v>
      </c>
      <c r="L21" s="365">
        <f>'Cap&amp;OpEx 2017'!C18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5"/>
      <c r="H22" s="1">
        <f>3.24%/12</f>
        <v>2.7000000000000006E-3</v>
      </c>
      <c r="J22" s="365">
        <f>F22*H22</f>
        <v>0</v>
      </c>
      <c r="L22" s="365">
        <f>'Cap&amp;OpEx 2017'!C19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0</v>
      </c>
      <c r="J25" s="364">
        <f>J17+J23</f>
        <v>0</v>
      </c>
      <c r="L25" s="364">
        <f>L17+L23</f>
        <v>3037429.9600000004</v>
      </c>
      <c r="N25" s="364">
        <f>N17+N23</f>
        <v>3483.0979357500009</v>
      </c>
      <c r="P25" s="364">
        <f>P17+P23</f>
        <v>3483.0979357500009</v>
      </c>
      <c r="R25" s="364">
        <f>R17+R23</f>
        <v>3037429.9600000004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/>
      <c r="J28" s="365"/>
      <c r="L28" s="365">
        <f>'Cap&amp;OpEx 2017'!C24</f>
        <v>194633.55000000002</v>
      </c>
      <c r="N28" s="365"/>
      <c r="P28" s="365"/>
      <c r="R28" s="365">
        <f>L28+F28</f>
        <v>194633.55000000002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/>
      <c r="J29" s="365"/>
      <c r="L29" s="365">
        <f>'Cap&amp;OpEx 2017'!C25</f>
        <v>26417.16</v>
      </c>
      <c r="N29" s="365"/>
      <c r="P29" s="365"/>
      <c r="R29" s="365">
        <f>L29+F29</f>
        <v>26417.16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5"/>
      <c r="J30" s="365"/>
      <c r="L30" s="365">
        <f>'Cap&amp;OpEx 2017'!C26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0</v>
      </c>
      <c r="J31" s="363">
        <f>SUM(J28:J30)</f>
        <v>0</v>
      </c>
      <c r="L31" s="363">
        <f>SUM(L28:L30)</f>
        <v>221050.71000000002</v>
      </c>
      <c r="N31" s="363">
        <f>SUM(N28:N30)</f>
        <v>0</v>
      </c>
      <c r="P31" s="363">
        <f>SUM(P28:P30)</f>
        <v>0</v>
      </c>
      <c r="R31" s="363">
        <f>SUM(R28:R30)</f>
        <v>221050.71000000002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6 of 12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215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>
        <f>'201707 Bk Depr'!R13</f>
        <v>914714.83000000007</v>
      </c>
      <c r="H13" s="1">
        <f>1.62%/12</f>
        <v>1.3500000000000003E-3</v>
      </c>
      <c r="J13" s="365">
        <f>F13*H13</f>
        <v>1234.8650205000004</v>
      </c>
      <c r="L13" s="365">
        <f>'Cap&amp;OpEx 2017'!D10</f>
        <v>593930.80999999994</v>
      </c>
      <c r="N13" s="413">
        <f>5194.65-J13-'201707 Bk Depr'!P13</f>
        <v>3342.3524692499991</v>
      </c>
      <c r="P13" s="365">
        <f>J13+N13</f>
        <v>4577.217489749999</v>
      </c>
      <c r="R13" s="365">
        <f>L13+F13</f>
        <v>1508645.6400000001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>
        <f>'201707 Bk Depr'!R14</f>
        <v>213529.98999999996</v>
      </c>
      <c r="H14" s="1">
        <f>3.24%/12</f>
        <v>2.7000000000000006E-3</v>
      </c>
      <c r="J14" s="365">
        <f t="shared" ref="J14" si="0">F14*H14</f>
        <v>576.53097300000002</v>
      </c>
      <c r="L14" s="365">
        <f>'Cap&amp;OpEx 2017'!D12</f>
        <v>590202.24000000011</v>
      </c>
      <c r="N14" s="413">
        <f>36429.32-J14-P15-P16-SUM('201707 Bk Depr'!P14:P16)</f>
        <v>25022.428336999998</v>
      </c>
      <c r="P14" s="365">
        <f t="shared" ref="P14:P15" si="1">J14+N14</f>
        <v>25598.959309999998</v>
      </c>
      <c r="R14" s="365">
        <f t="shared" ref="R14" si="2">L14+F14</f>
        <v>803732.2300000001</v>
      </c>
    </row>
    <row r="15" spans="1:18">
      <c r="A15" s="6">
        <f t="shared" ref="A15:A17" si="3">A14+1</f>
        <v>3</v>
      </c>
      <c r="B15" s="4"/>
      <c r="C15" s="9" t="s">
        <v>63</v>
      </c>
      <c r="D15" s="6">
        <v>380</v>
      </c>
      <c r="F15" s="365">
        <f>'201707 Bk Depr'!R15</f>
        <v>1397473.08</v>
      </c>
      <c r="H15" s="1">
        <f t="shared" ref="H15:H16" si="4">3.24%/12</f>
        <v>2.7000000000000006E-3</v>
      </c>
      <c r="J15" s="365">
        <f>F15*H15</f>
        <v>3773.1773160000012</v>
      </c>
      <c r="L15" s="365">
        <f>'Cap&amp;OpEx 2017'!D13</f>
        <v>1524779.69</v>
      </c>
      <c r="N15" s="365">
        <f>H15*L15*0.5</f>
        <v>2058.4525815000002</v>
      </c>
      <c r="P15" s="365">
        <f t="shared" si="1"/>
        <v>5831.6298975000009</v>
      </c>
      <c r="R15" s="365">
        <f>L15+F15</f>
        <v>2922252.77</v>
      </c>
    </row>
    <row r="16" spans="1:18">
      <c r="A16" s="6">
        <f t="shared" si="3"/>
        <v>4</v>
      </c>
      <c r="B16" s="4"/>
      <c r="C16" s="4" t="s">
        <v>163</v>
      </c>
      <c r="D16" s="6">
        <v>380</v>
      </c>
      <c r="F16" s="365">
        <f>'201707 Bk Depr'!R16</f>
        <v>511712.06000000006</v>
      </c>
      <c r="H16" s="1">
        <f t="shared" si="4"/>
        <v>2.7000000000000006E-3</v>
      </c>
      <c r="J16" s="365">
        <f>F16*H16</f>
        <v>1381.6225620000005</v>
      </c>
      <c r="L16" s="365">
        <f>'Cap&amp;OpEx 2017'!D14</f>
        <v>556624.30000000005</v>
      </c>
      <c r="N16" s="365">
        <f>H16*L16*0.5</f>
        <v>751.44280500000025</v>
      </c>
      <c r="P16" s="365">
        <f>J16+N16</f>
        <v>2133.0653670000006</v>
      </c>
      <c r="R16" s="365">
        <f>L16+F16</f>
        <v>1068336.3600000001</v>
      </c>
    </row>
    <row r="17" spans="1:18">
      <c r="A17" s="6">
        <f t="shared" si="3"/>
        <v>5</v>
      </c>
      <c r="B17" s="4"/>
      <c r="C17" s="4" t="s">
        <v>21</v>
      </c>
      <c r="F17" s="363">
        <f>SUM(F13:F16)</f>
        <v>3037429.9600000004</v>
      </c>
      <c r="J17" s="363">
        <f>SUM(J13:J16)</f>
        <v>6966.1958715000019</v>
      </c>
      <c r="L17" s="363">
        <f>SUM(L13:L16)</f>
        <v>3265537.04</v>
      </c>
      <c r="N17" s="363">
        <f>SUM(N13:N16)</f>
        <v>31174.676192749997</v>
      </c>
      <c r="P17" s="363">
        <f>SUM(P13:P16)</f>
        <v>38140.872064250005</v>
      </c>
      <c r="R17" s="363">
        <f>SUM(R13:R16)</f>
        <v>6302967.0000000009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>
        <f>'201707 Bk Depr'!R20</f>
        <v>0</v>
      </c>
      <c r="H20" s="1">
        <f>1.62%/12</f>
        <v>1.3500000000000003E-3</v>
      </c>
      <c r="J20" s="365">
        <f>F20*H20</f>
        <v>0</v>
      </c>
      <c r="L20" s="365">
        <f>'Cap&amp;OpEx 2017'!D17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>
        <f>'201707 Bk Depr'!R21</f>
        <v>0</v>
      </c>
      <c r="H21" s="1">
        <f>3.24%/12</f>
        <v>2.7000000000000006E-3</v>
      </c>
      <c r="J21" s="365">
        <f>F21*H21</f>
        <v>0</v>
      </c>
      <c r="L21" s="365">
        <f>'Cap&amp;OpEx 2017'!D18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5">A21+1</f>
        <v>8</v>
      </c>
      <c r="B22" s="4"/>
      <c r="C22" s="9" t="s">
        <v>63</v>
      </c>
      <c r="D22" s="6">
        <v>380</v>
      </c>
      <c r="F22" s="365">
        <f>'201707 Bk Depr'!R22</f>
        <v>0</v>
      </c>
      <c r="H22" s="1">
        <f>3.24%/12</f>
        <v>2.7000000000000006E-3</v>
      </c>
      <c r="J22" s="365">
        <f>F22*H22</f>
        <v>0</v>
      </c>
      <c r="L22" s="365">
        <f>'Cap&amp;OpEx 2017'!D19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5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3037429.9600000004</v>
      </c>
      <c r="J25" s="364">
        <f>J17+J23</f>
        <v>6966.1958715000019</v>
      </c>
      <c r="L25" s="364">
        <f>L17+L23</f>
        <v>3265537.04</v>
      </c>
      <c r="N25" s="364">
        <f>N17+N23</f>
        <v>31174.676192749997</v>
      </c>
      <c r="P25" s="364">
        <f>P17+P23</f>
        <v>38140.872064250005</v>
      </c>
      <c r="R25" s="364">
        <f>R17+R23</f>
        <v>6302967.0000000009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>
        <f>'201707 Bk Depr'!R28</f>
        <v>194633.55000000002</v>
      </c>
      <c r="J28" s="365"/>
      <c r="L28" s="365">
        <f>'Cap&amp;OpEx 2017'!D24</f>
        <v>104604.53</v>
      </c>
      <c r="N28" s="365"/>
      <c r="P28" s="365"/>
      <c r="R28" s="365">
        <f>L28+F28</f>
        <v>299238.08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>
        <f>'201707 Bk Depr'!R29</f>
        <v>26417.16</v>
      </c>
      <c r="J29" s="365"/>
      <c r="L29" s="365">
        <f>'Cap&amp;OpEx 2017'!D25</f>
        <v>28945.41</v>
      </c>
      <c r="N29" s="365"/>
      <c r="P29" s="365"/>
      <c r="R29" s="365">
        <f>L29+F29</f>
        <v>55362.57</v>
      </c>
    </row>
    <row r="30" spans="1:18">
      <c r="A30" s="6">
        <f t="shared" ref="A30:A31" si="6">A29+1</f>
        <v>13</v>
      </c>
      <c r="B30" s="4"/>
      <c r="C30" s="9" t="s">
        <v>63</v>
      </c>
      <c r="D30" s="6">
        <v>380</v>
      </c>
      <c r="F30" s="365">
        <f>'201707 Bk Depr'!R30</f>
        <v>0</v>
      </c>
      <c r="J30" s="365"/>
      <c r="L30" s="365">
        <f>'Cap&amp;OpEx 2017'!D26</f>
        <v>0</v>
      </c>
      <c r="N30" s="365"/>
      <c r="P30" s="365"/>
      <c r="R30" s="365">
        <f>L30+F30</f>
        <v>0</v>
      </c>
    </row>
    <row r="31" spans="1:18">
      <c r="A31" s="6">
        <f t="shared" si="6"/>
        <v>14</v>
      </c>
      <c r="B31" s="4"/>
      <c r="C31" s="4" t="s">
        <v>23</v>
      </c>
      <c r="F31" s="363">
        <f>SUM(F28:F30)</f>
        <v>221050.71000000002</v>
      </c>
      <c r="J31" s="363">
        <f>SUM(J28:J30)</f>
        <v>0</v>
      </c>
      <c r="L31" s="363">
        <f>SUM(L28:L30)</f>
        <v>133549.94</v>
      </c>
      <c r="N31" s="363">
        <f>SUM(N28:N30)</f>
        <v>0</v>
      </c>
      <c r="P31" s="363">
        <f>SUM(P28:P30)</f>
        <v>0</v>
      </c>
      <c r="R31" s="363">
        <f>SUM(R28:R30)</f>
        <v>354600.65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7 of 12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>
        <f>'201708 Bk Depr'!R13</f>
        <v>1508645.6400000001</v>
      </c>
      <c r="H13" s="1">
        <f>1.62%/12</f>
        <v>1.3500000000000003E-3</v>
      </c>
      <c r="J13" s="365">
        <f>F13*H13</f>
        <v>2036.6716140000005</v>
      </c>
      <c r="L13" s="365">
        <f>'Cap&amp;OpEx 2017'!E10</f>
        <v>1244436.9200000002</v>
      </c>
      <c r="N13" s="365">
        <f>H13*L13*0.5</f>
        <v>839.99492100000032</v>
      </c>
      <c r="P13" s="365">
        <f>J13+N13</f>
        <v>2876.6665350000007</v>
      </c>
      <c r="R13" s="365">
        <f>L13+F13</f>
        <v>2753082.5600000005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>
        <f>'201708 Bk Depr'!R14</f>
        <v>803732.2300000001</v>
      </c>
      <c r="H14" s="1">
        <f>3.24%/12</f>
        <v>2.7000000000000006E-3</v>
      </c>
      <c r="J14" s="365">
        <f t="shared" ref="J14" si="0">F14*H14</f>
        <v>2170.0770210000005</v>
      </c>
      <c r="L14" s="365">
        <f>'Cap&amp;OpEx 2017'!E12</f>
        <v>177970.46999999994</v>
      </c>
      <c r="N14" s="365">
        <f t="shared" ref="N14" si="1">H14*L14*0.5</f>
        <v>240.26013449999996</v>
      </c>
      <c r="P14" s="365">
        <f t="shared" ref="P14" si="2">J14+N14</f>
        <v>2410.3371555000003</v>
      </c>
      <c r="R14" s="365">
        <f t="shared" ref="R14" si="3">L14+F14</f>
        <v>981702.70000000007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5">
        <f>'201708 Bk Depr'!R15</f>
        <v>2922252.77</v>
      </c>
      <c r="H15" s="1">
        <f t="shared" ref="H15:H16" si="5">3.24%/12</f>
        <v>2.7000000000000006E-3</v>
      </c>
      <c r="J15" s="365">
        <f>F15*H15</f>
        <v>7890.0824790000015</v>
      </c>
      <c r="L15" s="365">
        <f>'Cap&amp;OpEx 2017'!E13</f>
        <v>1152787.42</v>
      </c>
      <c r="N15" s="365">
        <f>H15*L15*0.5</f>
        <v>1556.2630170000002</v>
      </c>
      <c r="P15" s="365">
        <f>J15+N15</f>
        <v>9446.3454960000017</v>
      </c>
      <c r="R15" s="365">
        <f>L15+F15</f>
        <v>4075040.19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5">
        <f>'201708 Bk Depr'!R16</f>
        <v>1068336.3600000001</v>
      </c>
      <c r="H16" s="1">
        <f t="shared" si="5"/>
        <v>2.7000000000000006E-3</v>
      </c>
      <c r="J16" s="365">
        <f>F16*H16</f>
        <v>2884.5081720000007</v>
      </c>
      <c r="L16" s="365">
        <f>'Cap&amp;OpEx 2017'!E14</f>
        <v>581759.54999999993</v>
      </c>
      <c r="N16" s="365">
        <f>H16*L16*0.5</f>
        <v>785.37539250000009</v>
      </c>
      <c r="P16" s="365">
        <f>J16+N16</f>
        <v>3669.8835645000008</v>
      </c>
      <c r="R16" s="365">
        <f>L16+F16</f>
        <v>1650095.9100000001</v>
      </c>
    </row>
    <row r="17" spans="1:18">
      <c r="A17" s="6">
        <f t="shared" si="4"/>
        <v>5</v>
      </c>
      <c r="B17" s="4"/>
      <c r="C17" s="4" t="s">
        <v>21</v>
      </c>
      <c r="F17" s="363">
        <f>SUM(F13:F16)</f>
        <v>6302967.0000000009</v>
      </c>
      <c r="J17" s="363">
        <f>SUM(J13:J16)</f>
        <v>14981.339286000002</v>
      </c>
      <c r="L17" s="363">
        <f>SUM(L13:L16)</f>
        <v>3156954.36</v>
      </c>
      <c r="N17" s="363">
        <f>SUM(N13:N16)</f>
        <v>3421.8934650000006</v>
      </c>
      <c r="P17" s="363">
        <f>SUM(P13:P16)</f>
        <v>18403.232751000003</v>
      </c>
      <c r="R17" s="363">
        <f>SUM(R13:R16)</f>
        <v>9459921.3600000013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>
        <f>'201708 Bk Depr'!R20</f>
        <v>0</v>
      </c>
      <c r="H20" s="1">
        <f>1.62%/12</f>
        <v>1.3500000000000003E-3</v>
      </c>
      <c r="J20" s="365">
        <f>F20*H20</f>
        <v>0</v>
      </c>
      <c r="L20" s="365">
        <f>'Cap&amp;OpEx 2017'!E17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>
        <f>'201708 Bk Depr'!R21</f>
        <v>0</v>
      </c>
      <c r="H21" s="1">
        <f>3.24%/12</f>
        <v>2.7000000000000006E-3</v>
      </c>
      <c r="J21" s="365">
        <f t="shared" ref="J21" si="6">F21*H21</f>
        <v>0</v>
      </c>
      <c r="L21" s="365">
        <f>'Cap&amp;OpEx 2017'!E19</f>
        <v>0</v>
      </c>
      <c r="N21" s="365">
        <f t="shared" ref="N21" si="7">H21*L21*0.5</f>
        <v>0</v>
      </c>
      <c r="P21" s="365">
        <f t="shared" ref="P21" si="8">J21+N21</f>
        <v>0</v>
      </c>
      <c r="R21" s="365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65">
        <f>'201708 Bk Depr'!R22</f>
        <v>0</v>
      </c>
      <c r="H22" s="1">
        <f>3.24%/12</f>
        <v>2.7000000000000006E-3</v>
      </c>
      <c r="J22" s="365">
        <f>F22*H22</f>
        <v>0</v>
      </c>
      <c r="L22" s="365">
        <f>'Cap&amp;OpEx 2017'!E19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6302967.0000000009</v>
      </c>
      <c r="J25" s="364">
        <f>J17+J23</f>
        <v>14981.339286000002</v>
      </c>
      <c r="L25" s="364">
        <f>L17+L23</f>
        <v>3156954.36</v>
      </c>
      <c r="N25" s="364">
        <f>N17+N23</f>
        <v>3421.8934650000006</v>
      </c>
      <c r="P25" s="364">
        <f>P17+P23</f>
        <v>18403.232751000003</v>
      </c>
      <c r="R25" s="364">
        <f>R17+R23</f>
        <v>9459921.3600000013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>
        <f>'201708 Bk Depr'!R28</f>
        <v>299238.08</v>
      </c>
      <c r="J28" s="365"/>
      <c r="L28" s="365">
        <f>'Cap&amp;OpEx 2017'!E24</f>
        <v>123629.18</v>
      </c>
      <c r="N28" s="365"/>
      <c r="P28" s="365"/>
      <c r="R28" s="365">
        <f>L28+F28</f>
        <v>422867.26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>
        <f>'201708 Bk Depr'!R29</f>
        <v>55362.57</v>
      </c>
      <c r="J29" s="365"/>
      <c r="L29" s="365">
        <f>'Cap&amp;OpEx 2017'!E25</f>
        <v>24037.84</v>
      </c>
      <c r="N29" s="365"/>
      <c r="P29" s="365"/>
      <c r="R29" s="365">
        <f>L29+F29</f>
        <v>79400.41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65">
        <f>'201708 Bk Depr'!R30</f>
        <v>0</v>
      </c>
      <c r="J30" s="365"/>
      <c r="L30" s="365">
        <f>'Cap&amp;OpEx 2017'!E26</f>
        <v>0</v>
      </c>
      <c r="N30" s="365"/>
      <c r="P30" s="365"/>
      <c r="R30" s="365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63">
        <f>SUM(F28:F30)</f>
        <v>354600.65</v>
      </c>
      <c r="J31" s="363">
        <f>SUM(J28:J30)</f>
        <v>0</v>
      </c>
      <c r="L31" s="363">
        <f>SUM(L28:L30)</f>
        <v>147667.01999999999</v>
      </c>
      <c r="N31" s="363">
        <f>SUM(N28:N30)</f>
        <v>0</v>
      </c>
      <c r="P31" s="363">
        <f>SUM(P28:P30)</f>
        <v>0</v>
      </c>
      <c r="R31" s="363">
        <f>SUM(R28:R30)</f>
        <v>502267.67000000004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8 of 12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217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>
        <f>'201709 Bk Depr'!R13</f>
        <v>2753082.5600000005</v>
      </c>
      <c r="H13" s="1">
        <f>1.62%/12</f>
        <v>1.3500000000000003E-3</v>
      </c>
      <c r="J13" s="365">
        <f>F13*H13</f>
        <v>3716.6614560000016</v>
      </c>
      <c r="L13" s="365">
        <f>'Cap&amp;OpEx 2017'!F10</f>
        <v>1431438.0699999998</v>
      </c>
      <c r="N13" s="365">
        <f>H13*L13*0.5</f>
        <v>966.22069725000006</v>
      </c>
      <c r="P13" s="365">
        <f>J13+N13</f>
        <v>4682.8821532500015</v>
      </c>
      <c r="R13" s="365">
        <f>L13+F13</f>
        <v>4184520.6300000004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>
        <f>'201709 Bk Depr'!R14</f>
        <v>981702.70000000007</v>
      </c>
      <c r="H14" s="1">
        <f>3.24%/12</f>
        <v>2.7000000000000006E-3</v>
      </c>
      <c r="J14" s="365">
        <f t="shared" ref="J14" si="0">F14*H14</f>
        <v>2650.5972900000006</v>
      </c>
      <c r="L14" s="365">
        <f>'Cap&amp;OpEx 2017'!F12</f>
        <v>206751.37</v>
      </c>
      <c r="N14" s="365">
        <f t="shared" ref="N14" si="1">H14*L14*0.5</f>
        <v>279.11434950000006</v>
      </c>
      <c r="P14" s="365">
        <f t="shared" ref="P14" si="2">J14+N14</f>
        <v>2929.7116395000007</v>
      </c>
      <c r="R14" s="365">
        <f t="shared" ref="R14" si="3">L14+F14</f>
        <v>1188454.07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5">
        <f>'201709 Bk Depr'!R15</f>
        <v>4075040.19</v>
      </c>
      <c r="H15" s="1">
        <f t="shared" ref="H15:H16" si="5">3.24%/12</f>
        <v>2.7000000000000006E-3</v>
      </c>
      <c r="J15" s="365">
        <f>F15*H15</f>
        <v>11002.608513000003</v>
      </c>
      <c r="L15" s="365">
        <f>'Cap&amp;OpEx 2017'!F13</f>
        <v>1487575.2799999998</v>
      </c>
      <c r="N15" s="365">
        <f>H15*L15*0.5</f>
        <v>2008.2266280000001</v>
      </c>
      <c r="P15" s="365">
        <f>J15+N15</f>
        <v>13010.835141000003</v>
      </c>
      <c r="R15" s="365">
        <f>L15+F15</f>
        <v>5562615.4699999997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5">
        <f>'201709 Bk Depr'!R16</f>
        <v>1650095.9100000001</v>
      </c>
      <c r="H16" s="1">
        <f t="shared" si="5"/>
        <v>2.7000000000000006E-3</v>
      </c>
      <c r="J16" s="365">
        <f>F16*H16</f>
        <v>4455.2589570000009</v>
      </c>
      <c r="L16" s="365">
        <f>'Cap&amp;OpEx 2017'!F14</f>
        <v>774089.49000000011</v>
      </c>
      <c r="N16" s="365">
        <f>H16*L16*0.5</f>
        <v>1045.0208115000003</v>
      </c>
      <c r="P16" s="365">
        <f>J16+N16</f>
        <v>5500.2797685000014</v>
      </c>
      <c r="R16" s="365">
        <f>L16+F16</f>
        <v>2424185.4000000004</v>
      </c>
    </row>
    <row r="17" spans="1:18">
      <c r="A17" s="6">
        <f t="shared" si="4"/>
        <v>5</v>
      </c>
      <c r="B17" s="4"/>
      <c r="C17" s="4" t="s">
        <v>21</v>
      </c>
      <c r="F17" s="363">
        <f>SUM(F13:F16)</f>
        <v>9459921.3600000013</v>
      </c>
      <c r="J17" s="363">
        <f>SUM(J13:J16)</f>
        <v>21825.126216000008</v>
      </c>
      <c r="L17" s="363">
        <f>SUM(L13:L16)</f>
        <v>3899854.21</v>
      </c>
      <c r="N17" s="363">
        <f>SUM(N13:N16)</f>
        <v>4298.5824862500003</v>
      </c>
      <c r="P17" s="363">
        <f>SUM(P13:P16)</f>
        <v>26123.708702250005</v>
      </c>
      <c r="R17" s="363">
        <f>SUM(R13:R16)</f>
        <v>13359775.57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>
        <f>'201709 Bk Depr'!R20</f>
        <v>0</v>
      </c>
      <c r="H20" s="1">
        <f>1.62%/12</f>
        <v>1.3500000000000003E-3</v>
      </c>
      <c r="J20" s="365">
        <f>F20*H20</f>
        <v>0</v>
      </c>
      <c r="L20" s="365">
        <f>'Cap&amp;OpEx 2017'!F17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>
        <f>'201709 Bk Depr'!R21</f>
        <v>0</v>
      </c>
      <c r="H21" s="1">
        <f>3.24%/12</f>
        <v>2.7000000000000006E-3</v>
      </c>
      <c r="J21" s="365">
        <f>F21*H21</f>
        <v>0</v>
      </c>
      <c r="L21" s="365">
        <f>'Cap&amp;OpEx 2017'!F18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5">
        <f>'201709 Bk Depr'!R22</f>
        <v>0</v>
      </c>
      <c r="H22" s="1">
        <f>3.24%/12</f>
        <v>2.7000000000000006E-3</v>
      </c>
      <c r="J22" s="365">
        <f>F22*H22</f>
        <v>0</v>
      </c>
      <c r="L22" s="365">
        <f>'Cap&amp;OpEx 2017'!F19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6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9459921.3600000013</v>
      </c>
      <c r="J25" s="364">
        <f>J17+J23</f>
        <v>21825.126216000008</v>
      </c>
      <c r="L25" s="364">
        <f>L17+L23</f>
        <v>3899854.21</v>
      </c>
      <c r="N25" s="364">
        <f>N17+N23</f>
        <v>4298.5824862500003</v>
      </c>
      <c r="P25" s="364">
        <f>P17+P23</f>
        <v>26123.708702250005</v>
      </c>
      <c r="R25" s="364">
        <f>R17+R23</f>
        <v>13359775.57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>
        <f>'201709 Bk Depr'!R28</f>
        <v>422867.26</v>
      </c>
      <c r="J28" s="365"/>
      <c r="L28" s="365">
        <f>'Cap&amp;OpEx 2017'!F24</f>
        <v>369707.5</v>
      </c>
      <c r="N28" s="365"/>
      <c r="P28" s="365"/>
      <c r="R28" s="365">
        <f>L28+F28</f>
        <v>792574.76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>
        <f>'201709 Bk Depr'!R29</f>
        <v>79400.41</v>
      </c>
      <c r="J29" s="365"/>
      <c r="L29" s="365">
        <f>'Cap&amp;OpEx 2017'!F25</f>
        <v>31446.28</v>
      </c>
      <c r="N29" s="365"/>
      <c r="P29" s="365"/>
      <c r="R29" s="365">
        <f>L29+F29</f>
        <v>110846.69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5">
        <f>'201709 Bk Depr'!R30</f>
        <v>0</v>
      </c>
      <c r="J30" s="365"/>
      <c r="L30" s="365">
        <f>'Cap&amp;OpEx 2017'!F26</f>
        <v>0</v>
      </c>
      <c r="N30" s="365"/>
      <c r="P30" s="365"/>
      <c r="R30" s="365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63">
        <f>SUM(F28:F30)</f>
        <v>502267.67000000004</v>
      </c>
      <c r="J31" s="363">
        <f>SUM(J28:J30)</f>
        <v>0</v>
      </c>
      <c r="L31" s="363">
        <f>SUM(L28:L30)</f>
        <v>401153.78</v>
      </c>
      <c r="N31" s="363">
        <f>SUM(N28:N30)</f>
        <v>0</v>
      </c>
      <c r="P31" s="363">
        <f>SUM(P28:P30)</f>
        <v>0</v>
      </c>
      <c r="R31" s="363">
        <f>SUM(R28:R30)</f>
        <v>903421.45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9 of 12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>
        <f>'201710 Bk Depr'!R13</f>
        <v>4184520.6300000004</v>
      </c>
      <c r="H13" s="1">
        <f>1.62%/12</f>
        <v>1.3500000000000003E-3</v>
      </c>
      <c r="J13" s="365">
        <f>F13*H13</f>
        <v>5649.1028505000013</v>
      </c>
      <c r="L13" s="365">
        <f>'Cap&amp;OpEx 2017'!G10</f>
        <v>701917.45000000019</v>
      </c>
      <c r="N13" s="365">
        <f>H13*L13*0.5</f>
        <v>473.79427875000022</v>
      </c>
      <c r="P13" s="365">
        <f>J13+N13</f>
        <v>6122.8971292500019</v>
      </c>
      <c r="R13" s="365">
        <f>L13+F13</f>
        <v>4886438.08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>
        <f>'201710 Bk Depr'!R14</f>
        <v>1188454.07</v>
      </c>
      <c r="H14" s="1">
        <f>3.24%/12</f>
        <v>2.7000000000000006E-3</v>
      </c>
      <c r="J14" s="365">
        <f t="shared" ref="J14" si="0">F14*H14</f>
        <v>3208.8259890000008</v>
      </c>
      <c r="L14" s="365">
        <f>'Cap&amp;OpEx 2017'!G12</f>
        <v>135116.30000000005</v>
      </c>
      <c r="N14" s="365">
        <f t="shared" ref="N14" si="1">H14*L14*0.5</f>
        <v>182.40700500000011</v>
      </c>
      <c r="P14" s="365">
        <f t="shared" ref="P14" si="2">J14+N14</f>
        <v>3391.2329940000009</v>
      </c>
      <c r="R14" s="365">
        <f t="shared" ref="R14" si="3">L14+F14</f>
        <v>1323570.3700000001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5">
        <f>'201710 Bk Depr'!R15</f>
        <v>5562615.4699999997</v>
      </c>
      <c r="H15" s="1">
        <f t="shared" ref="H15:H16" si="5">3.24%/12</f>
        <v>2.7000000000000006E-3</v>
      </c>
      <c r="J15" s="365">
        <f>F15*H15</f>
        <v>15019.061769000002</v>
      </c>
      <c r="L15" s="365">
        <f>'Cap&amp;OpEx 2017'!G13</f>
        <v>1174067.3700000001</v>
      </c>
      <c r="N15" s="365">
        <f>H15*L15*0.5</f>
        <v>1584.9909495000004</v>
      </c>
      <c r="P15" s="365">
        <f>J15+N15</f>
        <v>16604.052718500003</v>
      </c>
      <c r="R15" s="365">
        <f>L15+F15</f>
        <v>6736682.8399999999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5">
        <f>'201710 Bk Depr'!R16</f>
        <v>2424185.4000000004</v>
      </c>
      <c r="H16" s="1">
        <f t="shared" si="5"/>
        <v>2.7000000000000006E-3</v>
      </c>
      <c r="J16" s="365">
        <f>F16*H16</f>
        <v>6545.3005800000028</v>
      </c>
      <c r="L16" s="365">
        <f>'Cap&amp;OpEx 2017'!G14</f>
        <v>639392.29999999981</v>
      </c>
      <c r="N16" s="365">
        <f>H16*L16*0.5</f>
        <v>863.17960499999992</v>
      </c>
      <c r="P16" s="365">
        <f>J16+N16</f>
        <v>7408.4801850000031</v>
      </c>
      <c r="R16" s="365">
        <f>L16+F16</f>
        <v>3063577.7</v>
      </c>
    </row>
    <row r="17" spans="1:18">
      <c r="A17" s="6">
        <f t="shared" si="4"/>
        <v>5</v>
      </c>
      <c r="B17" s="4"/>
      <c r="C17" s="4" t="s">
        <v>21</v>
      </c>
      <c r="F17" s="363">
        <f>SUM(F13:F16)</f>
        <v>13359775.57</v>
      </c>
      <c r="J17" s="363">
        <f>SUM(J13:J16)</f>
        <v>30422.291188500007</v>
      </c>
      <c r="L17" s="363">
        <f>SUM(L13:L16)</f>
        <v>2650493.42</v>
      </c>
      <c r="N17" s="363">
        <f>SUM(N13:N16)</f>
        <v>3104.3718382500006</v>
      </c>
      <c r="P17" s="363">
        <f>SUM(P13:P16)</f>
        <v>33526.663026750008</v>
      </c>
      <c r="R17" s="363">
        <f>SUM(R13:R16)</f>
        <v>16010268.989999998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>
        <f>'201710 Bk Depr'!R20</f>
        <v>0</v>
      </c>
      <c r="H20" s="1">
        <f>1.62%/12</f>
        <v>1.3500000000000003E-3</v>
      </c>
      <c r="J20" s="365">
        <f>F20*H20</f>
        <v>0</v>
      </c>
      <c r="L20" s="365">
        <f>'Cap&amp;OpEx 2017'!G17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>
        <f>'201710 Bk Depr'!R21</f>
        <v>0</v>
      </c>
      <c r="H21" s="1">
        <f>3.24%/12</f>
        <v>2.7000000000000006E-3</v>
      </c>
      <c r="J21" s="365">
        <f t="shared" ref="J21" si="6">F21*H21</f>
        <v>0</v>
      </c>
      <c r="L21" s="365">
        <f>'Cap&amp;OpEx 2017'!G19</f>
        <v>0</v>
      </c>
      <c r="N21" s="365">
        <f t="shared" ref="N21" si="7">H21*L21*0.5</f>
        <v>0</v>
      </c>
      <c r="P21" s="365">
        <f t="shared" ref="P21" si="8">J21+N21</f>
        <v>0</v>
      </c>
      <c r="R21" s="365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65">
        <f>'201710 Bk Depr'!R22</f>
        <v>0</v>
      </c>
      <c r="H22" s="1">
        <f>3.24%/12</f>
        <v>2.7000000000000006E-3</v>
      </c>
      <c r="J22" s="365">
        <f>F22*H22</f>
        <v>0</v>
      </c>
      <c r="L22" s="365">
        <f>'Cap&amp;OpEx 2017'!G19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13359775.57</v>
      </c>
      <c r="J25" s="364">
        <f>J17+J23</f>
        <v>30422.291188500007</v>
      </c>
      <c r="L25" s="364">
        <f>L17+L23</f>
        <v>2650493.42</v>
      </c>
      <c r="N25" s="364">
        <f>N17+N23</f>
        <v>3104.3718382500006</v>
      </c>
      <c r="P25" s="364">
        <f>P17+P23</f>
        <v>33526.663026750008</v>
      </c>
      <c r="R25" s="364">
        <f>R17+R23</f>
        <v>16010268.989999998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>
        <f>'201710 Bk Depr'!R28</f>
        <v>792574.76</v>
      </c>
      <c r="J28" s="365"/>
      <c r="L28" s="365">
        <f>'Cap&amp;OpEx 2017'!G24</f>
        <v>250260.92000000004</v>
      </c>
      <c r="N28" s="365"/>
      <c r="P28" s="365"/>
      <c r="R28" s="365">
        <f>L28+F28</f>
        <v>1042835.68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>
        <f>'201710 Bk Depr'!R29</f>
        <v>110846.69</v>
      </c>
      <c r="J29" s="365"/>
      <c r="L29" s="365">
        <f>'Cap&amp;OpEx 2017'!G25</f>
        <v>38800.33</v>
      </c>
      <c r="N29" s="365"/>
      <c r="P29" s="365"/>
      <c r="R29" s="365">
        <f>L29+F29</f>
        <v>149647.02000000002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65">
        <f>'201710 Bk Depr'!R30</f>
        <v>0</v>
      </c>
      <c r="J30" s="365"/>
      <c r="L30" s="365">
        <f>'Cap&amp;OpEx 2017'!G26</f>
        <v>0</v>
      </c>
      <c r="N30" s="365"/>
      <c r="P30" s="365"/>
      <c r="R30" s="365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63">
        <f>SUM(F28:F30)</f>
        <v>903421.45</v>
      </c>
      <c r="J31" s="363">
        <f>SUM(J28:J30)</f>
        <v>0</v>
      </c>
      <c r="L31" s="363">
        <f>SUM(L28:L30)</f>
        <v>289061.25000000006</v>
      </c>
      <c r="N31" s="363">
        <f>SUM(N28:N30)</f>
        <v>0</v>
      </c>
      <c r="P31" s="363">
        <f>SUM(P28:P30)</f>
        <v>0</v>
      </c>
      <c r="R31" s="363">
        <f>SUM(R28:R30)</f>
        <v>1192482.7000000002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10 of 12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R31"/>
  <sheetViews>
    <sheetView workbookViewId="0"/>
  </sheetViews>
  <sheetFormatPr defaultColWidth="9.21875" defaultRowHeight="15.6"/>
  <cols>
    <col min="1" max="1" width="5.21875" style="6" customWidth="1"/>
    <col min="2" max="2" width="2.77734375" style="6" customWidth="1"/>
    <col min="3" max="3" width="23" style="4" customWidth="1"/>
    <col min="4" max="4" width="9.21875" style="6"/>
    <col min="5" max="5" width="1.21875" style="6" customWidth="1"/>
    <col min="6" max="6" width="15.77734375" style="4" customWidth="1"/>
    <col min="7" max="7" width="1.21875" style="6" customWidth="1"/>
    <col min="8" max="8" width="9.77734375" style="4" customWidth="1"/>
    <col min="9" max="9" width="1.21875" style="6" customWidth="1"/>
    <col min="10" max="10" width="12.5546875" style="4" bestFit="1" customWidth="1"/>
    <col min="11" max="11" width="1.21875" style="6" customWidth="1"/>
    <col min="12" max="12" width="14.77734375" style="4" bestFit="1" customWidth="1"/>
    <col min="13" max="13" width="1.21875" style="6" customWidth="1"/>
    <col min="14" max="14" width="16.77734375" style="4" customWidth="1"/>
    <col min="15" max="15" width="1.21875" style="6" customWidth="1"/>
    <col min="16" max="16" width="16" style="4" bestFit="1" customWidth="1"/>
    <col min="17" max="17" width="1.21875" style="6" customWidth="1"/>
    <col min="18" max="18" width="15.77734375" style="4" customWidth="1"/>
    <col min="19" max="16384" width="9.21875" style="4"/>
  </cols>
  <sheetData>
    <row r="1" spans="1:18" ht="17.399999999999999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7.399999999999999">
      <c r="A3" s="197" t="s">
        <v>218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456</v>
      </c>
      <c r="D13" s="6">
        <v>376</v>
      </c>
      <c r="F13" s="365">
        <f>'201711 Bk Depr'!R13</f>
        <v>4886438.08</v>
      </c>
      <c r="H13" s="1">
        <f>1.62%/12</f>
        <v>1.3500000000000003E-3</v>
      </c>
      <c r="J13" s="365">
        <f>F13*H13</f>
        <v>6596.6914080000015</v>
      </c>
      <c r="L13" s="365">
        <f>'Cap&amp;OpEx 2017'!H10</f>
        <v>267001.29999999993</v>
      </c>
      <c r="N13" s="365">
        <f>H13*L13*0.5</f>
        <v>180.2258775</v>
      </c>
      <c r="P13" s="365">
        <f>J13+N13</f>
        <v>6776.9172855000015</v>
      </c>
      <c r="R13" s="365">
        <f>L13+F13</f>
        <v>5153439.38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5">
        <f>'201711 Bk Depr'!R14</f>
        <v>1323570.3700000001</v>
      </c>
      <c r="H14" s="1">
        <f>3.24%/12</f>
        <v>2.7000000000000006E-3</v>
      </c>
      <c r="J14" s="365">
        <f>F14*H14</f>
        <v>3573.6399990000009</v>
      </c>
      <c r="L14" s="365">
        <f>'Cap&amp;OpEx 2017'!H12</f>
        <v>293579.44999999995</v>
      </c>
      <c r="N14" s="365">
        <f>H14*L14*0.5</f>
        <v>396.33225750000003</v>
      </c>
      <c r="P14" s="365">
        <f>J14+N14</f>
        <v>3969.9722565000011</v>
      </c>
      <c r="R14" s="365">
        <f>L14+F14</f>
        <v>1617149.82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5">
        <f>'201711 Bk Depr'!R15</f>
        <v>6736682.8399999999</v>
      </c>
      <c r="H15" s="1">
        <f t="shared" ref="H15:H16" si="1">3.24%/12</f>
        <v>2.7000000000000006E-3</v>
      </c>
      <c r="J15" s="365">
        <f>F15*H15</f>
        <v>18189.043668000002</v>
      </c>
      <c r="L15" s="365">
        <f>'Cap&amp;OpEx 2017'!H13</f>
        <v>367164.8900000006</v>
      </c>
      <c r="N15" s="365">
        <f>H15*L15*0.5</f>
        <v>495.67260150000089</v>
      </c>
      <c r="P15" s="365">
        <f>J15+N15</f>
        <v>18684.716269500004</v>
      </c>
      <c r="R15" s="365">
        <f>L15+F15</f>
        <v>7103847.7300000004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5">
        <f>'201711 Bk Depr'!R16</f>
        <v>3063577.7</v>
      </c>
      <c r="H16" s="1">
        <f t="shared" si="1"/>
        <v>2.7000000000000006E-3</v>
      </c>
      <c r="J16" s="365">
        <f>F16*H16</f>
        <v>8271.6597900000015</v>
      </c>
      <c r="L16" s="365">
        <f>'Cap&amp;OpEx 2017'!H14</f>
        <v>743965.23999999987</v>
      </c>
      <c r="N16" s="365">
        <f>H16*L16*0.5</f>
        <v>1004.353074</v>
      </c>
      <c r="P16" s="365">
        <f>J16+N16</f>
        <v>9276.0128640000021</v>
      </c>
      <c r="R16" s="365">
        <f>L16+F16</f>
        <v>3807542.94</v>
      </c>
    </row>
    <row r="17" spans="1:18">
      <c r="A17" s="6">
        <f t="shared" si="0"/>
        <v>5</v>
      </c>
      <c r="B17" s="4"/>
      <c r="C17" s="4" t="s">
        <v>21</v>
      </c>
      <c r="F17" s="363">
        <f>SUM(F13:F16)</f>
        <v>16010268.989999998</v>
      </c>
      <c r="J17" s="363">
        <f>SUM(J13:J16)</f>
        <v>36631.034865000009</v>
      </c>
      <c r="L17" s="363">
        <f>SUM(L13:L16)</f>
        <v>1671710.8800000004</v>
      </c>
      <c r="N17" s="363">
        <f>SUM(N13:N16)</f>
        <v>2076.5838105000007</v>
      </c>
      <c r="P17" s="363">
        <f>SUM(P13:P16)</f>
        <v>38707.618675500009</v>
      </c>
      <c r="R17" s="363">
        <f>SUM(R13:R16)</f>
        <v>17681979.870000001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456</v>
      </c>
      <c r="D20" s="6">
        <v>376</v>
      </c>
      <c r="F20" s="365">
        <f>'201711 Bk Depr'!R20</f>
        <v>0</v>
      </c>
      <c r="H20" s="1">
        <f>1.62%/12</f>
        <v>1.3500000000000003E-3</v>
      </c>
      <c r="J20" s="365">
        <f>F20*H20</f>
        <v>0</v>
      </c>
      <c r="L20" s="365">
        <f>'Cap&amp;OpEx 2017'!H17</f>
        <v>0</v>
      </c>
      <c r="N20" s="365">
        <f>H20*L20*0.5</f>
        <v>0</v>
      </c>
      <c r="P20" s="365">
        <f>J20+N20</f>
        <v>0</v>
      </c>
      <c r="R20" s="365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5">
        <f>'201711 Bk Depr'!R21</f>
        <v>0</v>
      </c>
      <c r="H21" s="1">
        <f>3.24%/12</f>
        <v>2.7000000000000006E-3</v>
      </c>
      <c r="J21" s="365">
        <f>F21*H21</f>
        <v>0</v>
      </c>
      <c r="L21" s="365">
        <f>'Cap&amp;OpEx 2017'!H18</f>
        <v>0</v>
      </c>
      <c r="N21" s="365">
        <f>H21*L21*0.5</f>
        <v>0</v>
      </c>
      <c r="P21" s="365">
        <f>J21+N21</f>
        <v>0</v>
      </c>
      <c r="R21" s="365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5">
        <f>'201711 Bk Depr'!R22</f>
        <v>0</v>
      </c>
      <c r="H22" s="1">
        <f>3.24%/12</f>
        <v>2.7000000000000006E-3</v>
      </c>
      <c r="J22" s="365">
        <f>F22*H22</f>
        <v>0</v>
      </c>
      <c r="L22" s="365">
        <f>'Cap&amp;OpEx 2017'!H19</f>
        <v>0</v>
      </c>
      <c r="N22" s="365">
        <f>H22*L22*0.5</f>
        <v>0</v>
      </c>
      <c r="P22" s="365">
        <f>J22+N22</f>
        <v>0</v>
      </c>
      <c r="R22" s="365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3">
        <f>SUM(F20:F22)</f>
        <v>0</v>
      </c>
      <c r="J23" s="363">
        <f>SUM(J20:J22)</f>
        <v>0</v>
      </c>
      <c r="L23" s="363">
        <f>SUM(L20:L22)</f>
        <v>0</v>
      </c>
      <c r="N23" s="363">
        <f>SUM(N20:N22)</f>
        <v>0</v>
      </c>
      <c r="P23" s="363">
        <f>SUM(P20:P22)</f>
        <v>0</v>
      </c>
      <c r="R23" s="363">
        <f>SUM(R20:R22)</f>
        <v>0</v>
      </c>
    </row>
    <row r="24" spans="1:18">
      <c r="B24" s="4"/>
    </row>
    <row r="25" spans="1:18" ht="16.2" thickBot="1">
      <c r="A25" s="6">
        <f>A23+1</f>
        <v>10</v>
      </c>
      <c r="B25" s="11" t="s">
        <v>18</v>
      </c>
      <c r="C25" s="11"/>
      <c r="F25" s="364">
        <f>F17+F23</f>
        <v>16010268.989999998</v>
      </c>
      <c r="J25" s="364">
        <f>J17+J23</f>
        <v>36631.034865000009</v>
      </c>
      <c r="L25" s="364">
        <f>L17+L23</f>
        <v>1671710.8800000004</v>
      </c>
      <c r="N25" s="364">
        <f>N17+N23</f>
        <v>2076.5838105000007</v>
      </c>
      <c r="P25" s="364">
        <f>P17+P23</f>
        <v>38707.618675500009</v>
      </c>
      <c r="R25" s="364">
        <f>R17+R23</f>
        <v>17681979.870000001</v>
      </c>
    </row>
    <row r="26" spans="1:18" ht="16.2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456</v>
      </c>
      <c r="D28" s="6">
        <v>376</v>
      </c>
      <c r="F28" s="365">
        <f>'201711 Bk Depr'!R28</f>
        <v>1042835.68</v>
      </c>
      <c r="J28" s="365"/>
      <c r="L28" s="365">
        <f>'Cap&amp;OpEx 2017'!H24</f>
        <v>413785.01999999996</v>
      </c>
      <c r="N28" s="365"/>
      <c r="P28" s="365"/>
      <c r="R28" s="365">
        <f>L28+F28</f>
        <v>1456620.7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5">
        <f>'201711 Bk Depr'!R29</f>
        <v>149647.02000000002</v>
      </c>
      <c r="J29" s="365"/>
      <c r="L29" s="365">
        <f>'Cap&amp;OpEx 2017'!H25</f>
        <v>37449.410000000003</v>
      </c>
      <c r="N29" s="365"/>
      <c r="P29" s="365"/>
      <c r="R29" s="365">
        <f>L29+F29</f>
        <v>187096.43000000002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5">
        <f>'201711 Bk Depr'!R30</f>
        <v>0</v>
      </c>
      <c r="J30" s="365"/>
      <c r="L30" s="365">
        <f>'Cap&amp;OpEx 2017'!H26</f>
        <v>0</v>
      </c>
      <c r="N30" s="365"/>
      <c r="P30" s="365"/>
      <c r="R30" s="365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3">
        <f>SUM(F28:F30)</f>
        <v>1192482.7000000002</v>
      </c>
      <c r="J31" s="363">
        <f>SUM(J28:J30)</f>
        <v>0</v>
      </c>
      <c r="L31" s="363">
        <f>SUM(L28:L30)</f>
        <v>451234.42999999993</v>
      </c>
      <c r="N31" s="363">
        <f>SUM(N28:N30)</f>
        <v>0</v>
      </c>
      <c r="P31" s="363">
        <f>SUM(P28:P30)</f>
        <v>0</v>
      </c>
      <c r="R31" s="363">
        <f>SUM(R28:R30)</f>
        <v>1643717.13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11 of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0"/>
  <sheetViews>
    <sheetView workbookViewId="0"/>
  </sheetViews>
  <sheetFormatPr defaultColWidth="9.21875" defaultRowHeight="13.8"/>
  <cols>
    <col min="1" max="1" width="20.77734375" style="344" customWidth="1"/>
    <col min="2" max="8" width="18.77734375" style="345" customWidth="1"/>
    <col min="9" max="9" width="24.77734375" style="345" customWidth="1"/>
    <col min="10" max="16384" width="9.21875" style="344"/>
  </cols>
  <sheetData>
    <row r="1" spans="1:10" ht="15.6">
      <c r="A1" s="414" t="s">
        <v>67</v>
      </c>
      <c r="B1" s="415"/>
      <c r="C1" s="415"/>
      <c r="D1" s="415"/>
      <c r="E1" s="415"/>
      <c r="F1" s="415"/>
      <c r="G1" s="415"/>
      <c r="H1" s="415"/>
      <c r="I1" s="415"/>
    </row>
    <row r="2" spans="1:10" ht="15.75" customHeight="1">
      <c r="A2" s="304" t="s">
        <v>424</v>
      </c>
      <c r="B2" s="343"/>
      <c r="C2" s="304"/>
      <c r="D2" s="304"/>
      <c r="E2" s="304"/>
      <c r="F2" s="304"/>
      <c r="G2" s="304"/>
      <c r="H2" s="304"/>
      <c r="I2" s="304"/>
    </row>
    <row r="3" spans="1:10" ht="15.75" customHeight="1">
      <c r="A3" s="307" t="str">
        <f>'OU Collection'!A3</f>
        <v>As of December 2019</v>
      </c>
      <c r="B3" s="343"/>
      <c r="C3" s="307"/>
      <c r="D3" s="307"/>
      <c r="E3" s="307"/>
      <c r="F3" s="307"/>
      <c r="G3" s="307"/>
      <c r="H3" s="307"/>
      <c r="I3" s="307"/>
    </row>
    <row r="4" spans="1:10" ht="15.75" customHeight="1">
      <c r="C4" s="323"/>
    </row>
    <row r="5" spans="1:10" s="346" customFormat="1" ht="15.75" customHeight="1">
      <c r="B5" s="347"/>
      <c r="C5" s="323"/>
      <c r="D5" s="347"/>
      <c r="E5" s="347"/>
      <c r="F5" s="347"/>
      <c r="G5" s="347"/>
      <c r="H5" s="347"/>
      <c r="I5" s="347"/>
    </row>
    <row r="6" spans="1:10" s="313" customFormat="1" ht="15.75" customHeight="1">
      <c r="A6" s="309" t="s">
        <v>375</v>
      </c>
      <c r="B6" s="330" t="s">
        <v>376</v>
      </c>
      <c r="C6" s="330" t="s">
        <v>377</v>
      </c>
      <c r="D6" s="330" t="s">
        <v>378</v>
      </c>
      <c r="E6" s="330" t="s">
        <v>379</v>
      </c>
      <c r="F6" s="330" t="s">
        <v>380</v>
      </c>
      <c r="G6" s="330" t="s">
        <v>381</v>
      </c>
      <c r="H6" s="330" t="s">
        <v>391</v>
      </c>
      <c r="I6" s="330" t="s">
        <v>392</v>
      </c>
    </row>
    <row r="7" spans="1:10" s="331" customFormat="1" ht="15.75" customHeight="1">
      <c r="A7" s="348"/>
      <c r="B7" s="329" t="s">
        <v>425</v>
      </c>
      <c r="C7" s="329" t="s">
        <v>425</v>
      </c>
      <c r="D7" s="329" t="s">
        <v>425</v>
      </c>
      <c r="E7" s="329" t="s">
        <v>425</v>
      </c>
      <c r="F7" s="329" t="s">
        <v>425</v>
      </c>
      <c r="G7" s="329" t="s">
        <v>425</v>
      </c>
      <c r="H7" s="329" t="s">
        <v>425</v>
      </c>
      <c r="I7" s="329" t="s">
        <v>425</v>
      </c>
      <c r="J7" s="348"/>
    </row>
    <row r="8" spans="1:10" s="331" customFormat="1" ht="15.75" customHeight="1">
      <c r="A8" s="349" t="s">
        <v>426</v>
      </c>
      <c r="B8" s="329" t="s">
        <v>427</v>
      </c>
      <c r="C8" s="329" t="s">
        <v>428</v>
      </c>
      <c r="D8" s="329" t="s">
        <v>19</v>
      </c>
      <c r="E8" s="329" t="s">
        <v>429</v>
      </c>
      <c r="F8" s="329" t="s">
        <v>430</v>
      </c>
      <c r="G8" s="329" t="s">
        <v>428</v>
      </c>
      <c r="H8" s="329" t="s">
        <v>429</v>
      </c>
      <c r="I8" s="329" t="s">
        <v>431</v>
      </c>
      <c r="J8" s="348"/>
    </row>
    <row r="9" spans="1:10" s="331" customFormat="1" ht="15.75" customHeight="1">
      <c r="A9" s="350" t="s">
        <v>108</v>
      </c>
      <c r="B9" s="309" t="s">
        <v>432</v>
      </c>
      <c r="C9" s="309" t="s">
        <v>433</v>
      </c>
      <c r="D9" s="309" t="s">
        <v>434</v>
      </c>
      <c r="E9" s="309" t="s">
        <v>435</v>
      </c>
      <c r="F9" s="309" t="s">
        <v>436</v>
      </c>
      <c r="G9" s="309" t="s">
        <v>437</v>
      </c>
      <c r="H9" s="309" t="s">
        <v>12</v>
      </c>
      <c r="I9" s="309" t="s">
        <v>438</v>
      </c>
      <c r="J9" s="348"/>
    </row>
    <row r="10" spans="1:10" s="331" customFormat="1" ht="15.75" customHeight="1">
      <c r="A10" s="351"/>
      <c r="B10" s="330"/>
      <c r="C10" s="330"/>
      <c r="D10" s="330"/>
      <c r="E10" s="330"/>
      <c r="F10" s="330"/>
      <c r="G10" s="330"/>
      <c r="H10" s="330"/>
      <c r="I10" s="352" t="s">
        <v>439</v>
      </c>
    </row>
    <row r="11" spans="1:10" s="331" customFormat="1" ht="15.75" customHeight="1">
      <c r="A11" s="334" t="s">
        <v>508</v>
      </c>
      <c r="B11" s="313"/>
      <c r="C11" s="313"/>
      <c r="D11" s="313"/>
      <c r="E11" s="313"/>
      <c r="F11" s="313"/>
      <c r="G11" s="313"/>
      <c r="H11" s="313"/>
      <c r="I11" s="313"/>
    </row>
    <row r="12" spans="1:10" s="331" customFormat="1" ht="15.75" customHeight="1">
      <c r="A12" s="336">
        <v>43435</v>
      </c>
      <c r="B12" s="314">
        <v>35116262.590000004</v>
      </c>
      <c r="C12" s="314">
        <v>-875631.04</v>
      </c>
      <c r="D12" s="314">
        <v>3466154.78</v>
      </c>
      <c r="E12" s="314">
        <v>-5841052.25</v>
      </c>
      <c r="F12" s="314">
        <v>0</v>
      </c>
      <c r="G12" s="314">
        <v>0</v>
      </c>
      <c r="H12" s="314">
        <v>0</v>
      </c>
      <c r="I12" s="314">
        <f t="shared" ref="I12:I25" si="0">B12+C12+D12+E12-F12-G12-H12</f>
        <v>31865734.080000006</v>
      </c>
      <c r="J12" s="313"/>
    </row>
    <row r="13" spans="1:10" s="331" customFormat="1" ht="15.75" customHeight="1">
      <c r="A13" s="336"/>
      <c r="B13" s="320"/>
      <c r="C13" s="320"/>
      <c r="D13" s="320"/>
      <c r="E13" s="320"/>
      <c r="F13" s="320"/>
      <c r="G13" s="320"/>
      <c r="H13" s="320"/>
      <c r="I13" s="320"/>
      <c r="J13" s="313"/>
    </row>
    <row r="14" spans="1:10" s="331" customFormat="1" ht="15.75" customHeight="1">
      <c r="A14" s="336">
        <f>DATE(YEAR(A12+45),MONTH(A12+45),1)</f>
        <v>43466</v>
      </c>
      <c r="B14" s="314">
        <v>35987940.68</v>
      </c>
      <c r="C14" s="314">
        <v>-961776.71</v>
      </c>
      <c r="D14" s="314">
        <v>3669143.1</v>
      </c>
      <c r="E14" s="314">
        <v>-5912804.4299999997</v>
      </c>
      <c r="F14" s="314">
        <v>0</v>
      </c>
      <c r="G14" s="314">
        <v>0</v>
      </c>
      <c r="H14" s="314">
        <v>0</v>
      </c>
      <c r="I14" s="314">
        <f t="shared" si="0"/>
        <v>32782502.640000001</v>
      </c>
      <c r="J14" s="313"/>
    </row>
    <row r="15" spans="1:10" s="331" customFormat="1" ht="15.75" customHeight="1">
      <c r="A15" s="336">
        <f t="shared" ref="A15:A25" si="1">DATE(YEAR(A14+45),MONTH(A14+45),1)</f>
        <v>43497</v>
      </c>
      <c r="B15" s="314">
        <v>37344591.980000012</v>
      </c>
      <c r="C15" s="314">
        <v>-1049772.93</v>
      </c>
      <c r="D15" s="314">
        <v>3684750.7600000002</v>
      </c>
      <c r="E15" s="314">
        <v>-5947139.7187169762</v>
      </c>
      <c r="F15" s="314">
        <v>0</v>
      </c>
      <c r="G15" s="314">
        <v>0</v>
      </c>
      <c r="H15" s="314">
        <v>0</v>
      </c>
      <c r="I15" s="314">
        <f t="shared" si="0"/>
        <v>34032430.091283031</v>
      </c>
      <c r="J15" s="313"/>
    </row>
    <row r="16" spans="1:10" s="331" customFormat="1" ht="15.75" customHeight="1">
      <c r="A16" s="336">
        <f t="shared" si="1"/>
        <v>43525</v>
      </c>
      <c r="B16" s="314">
        <v>38295916.860000007</v>
      </c>
      <c r="C16" s="314">
        <v>-1140592.3999999999</v>
      </c>
      <c r="D16" s="314">
        <v>3715078.14</v>
      </c>
      <c r="E16" s="314">
        <v>-6046523.7202483118</v>
      </c>
      <c r="F16" s="314">
        <v>0</v>
      </c>
      <c r="G16" s="314">
        <v>0</v>
      </c>
      <c r="H16" s="314">
        <v>0</v>
      </c>
      <c r="I16" s="314">
        <f t="shared" si="0"/>
        <v>34823878.879751697</v>
      </c>
      <c r="J16" s="313"/>
    </row>
    <row r="17" spans="1:10" s="331" customFormat="1" ht="15.75" customHeight="1">
      <c r="A17" s="336">
        <f t="shared" si="1"/>
        <v>43556</v>
      </c>
      <c r="B17" s="314">
        <v>41956291.920000002</v>
      </c>
      <c r="C17" s="314">
        <v>-1238761.07</v>
      </c>
      <c r="D17" s="314">
        <v>4500793.04</v>
      </c>
      <c r="E17" s="314">
        <v>-6364692.9699999997</v>
      </c>
      <c r="F17" s="314">
        <v>0</v>
      </c>
      <c r="G17" s="314">
        <v>0</v>
      </c>
      <c r="H17" s="314">
        <v>0</v>
      </c>
      <c r="I17" s="314">
        <f t="shared" si="0"/>
        <v>38853630.920000002</v>
      </c>
      <c r="J17" s="313"/>
    </row>
    <row r="18" spans="1:10" s="331" customFormat="1" ht="15.75" customHeight="1">
      <c r="A18" s="336">
        <f t="shared" si="1"/>
        <v>43586</v>
      </c>
      <c r="B18" s="314">
        <v>43713041.299999997</v>
      </c>
      <c r="C18" s="314">
        <v>-1344620.57</v>
      </c>
      <c r="D18" s="314">
        <v>4893125.6100000003</v>
      </c>
      <c r="E18" s="314">
        <v>-6598140.7599999998</v>
      </c>
      <c r="F18" s="314">
        <v>0</v>
      </c>
      <c r="G18" s="314">
        <v>0</v>
      </c>
      <c r="H18" s="314">
        <v>0</v>
      </c>
      <c r="I18" s="314">
        <f t="shared" si="0"/>
        <v>40663405.579999998</v>
      </c>
      <c r="J18" s="313"/>
    </row>
    <row r="19" spans="1:10" s="331" customFormat="1" ht="15.75" customHeight="1">
      <c r="A19" s="336">
        <f t="shared" si="1"/>
        <v>43617</v>
      </c>
      <c r="B19" s="314">
        <v>45530514.760000005</v>
      </c>
      <c r="C19" s="314">
        <v>-1455271.4</v>
      </c>
      <c r="D19" s="314">
        <v>5343996.8600000003</v>
      </c>
      <c r="E19" s="314">
        <v>-6855479.861694946</v>
      </c>
      <c r="F19" s="314">
        <v>0</v>
      </c>
      <c r="G19" s="314">
        <v>0</v>
      </c>
      <c r="H19" s="314">
        <v>0</v>
      </c>
      <c r="I19" s="314">
        <f t="shared" si="0"/>
        <v>42563760.358305059</v>
      </c>
      <c r="J19" s="313"/>
    </row>
    <row r="20" spans="1:10" s="331" customFormat="1" ht="15.75" customHeight="1">
      <c r="A20" s="336">
        <f t="shared" si="1"/>
        <v>43647</v>
      </c>
      <c r="B20" s="314">
        <v>47162016.650000006</v>
      </c>
      <c r="C20" s="314">
        <v>-1570548.21</v>
      </c>
      <c r="D20" s="314">
        <v>5728715.1800000006</v>
      </c>
      <c r="E20" s="314">
        <v>-7118226.7299298029</v>
      </c>
      <c r="F20" s="314">
        <v>0</v>
      </c>
      <c r="G20" s="314">
        <v>0</v>
      </c>
      <c r="H20" s="314">
        <v>0</v>
      </c>
      <c r="I20" s="314">
        <f t="shared" si="0"/>
        <v>44201956.8900702</v>
      </c>
      <c r="J20" s="313"/>
    </row>
    <row r="21" spans="1:10" s="331" customFormat="1" ht="15.75" customHeight="1">
      <c r="A21" s="336">
        <f t="shared" si="1"/>
        <v>43678</v>
      </c>
      <c r="B21" s="314">
        <v>48799695.539999999</v>
      </c>
      <c r="C21" s="314">
        <v>-1690207.77</v>
      </c>
      <c r="D21" s="314">
        <v>6102920.8499999996</v>
      </c>
      <c r="E21" s="314">
        <v>-7389192.1148268059</v>
      </c>
      <c r="F21" s="314">
        <v>0</v>
      </c>
      <c r="G21" s="314">
        <v>0</v>
      </c>
      <c r="H21" s="314">
        <v>0</v>
      </c>
      <c r="I21" s="314">
        <f t="shared" si="0"/>
        <v>45823216.505173191</v>
      </c>
      <c r="J21" s="313"/>
    </row>
    <row r="22" spans="1:10" s="331" customFormat="1" ht="15.75" customHeight="1">
      <c r="A22" s="336">
        <f t="shared" si="1"/>
        <v>43709</v>
      </c>
      <c r="B22" s="314">
        <v>50555145.670000002</v>
      </c>
      <c r="C22" s="314">
        <v>-1814421.51</v>
      </c>
      <c r="D22" s="314">
        <v>6571139.8200000003</v>
      </c>
      <c r="E22" s="314">
        <v>-7717838.7199999997</v>
      </c>
      <c r="F22" s="314">
        <v>0</v>
      </c>
      <c r="G22" s="314">
        <v>0</v>
      </c>
      <c r="H22" s="314">
        <v>0</v>
      </c>
      <c r="I22" s="314">
        <f t="shared" si="0"/>
        <v>47594025.260000005</v>
      </c>
      <c r="J22" s="313"/>
    </row>
    <row r="23" spans="1:10" s="331" customFormat="1" ht="15.75" customHeight="1">
      <c r="A23" s="336">
        <f t="shared" si="1"/>
        <v>43739</v>
      </c>
      <c r="B23" s="314">
        <v>52204254.890000001</v>
      </c>
      <c r="C23" s="314">
        <v>-1943210.44</v>
      </c>
      <c r="D23" s="314">
        <v>6984604.5800000001</v>
      </c>
      <c r="E23" s="314">
        <v>-8044111.5999999996</v>
      </c>
      <c r="F23" s="314">
        <v>0</v>
      </c>
      <c r="G23" s="314">
        <v>0</v>
      </c>
      <c r="H23" s="314">
        <v>0</v>
      </c>
      <c r="I23" s="314">
        <f t="shared" si="0"/>
        <v>49201537.43</v>
      </c>
      <c r="J23" s="313"/>
    </row>
    <row r="24" spans="1:10" s="331" customFormat="1" ht="15.75" customHeight="1">
      <c r="A24" s="336">
        <f t="shared" si="1"/>
        <v>43770</v>
      </c>
      <c r="B24" s="314">
        <v>54138979.700000003</v>
      </c>
      <c r="C24" s="314">
        <v>-2076774.38</v>
      </c>
      <c r="D24" s="314">
        <v>7487648.1900000004</v>
      </c>
      <c r="E24" s="314">
        <v>-8385489.8499999996</v>
      </c>
      <c r="F24" s="314">
        <v>0</v>
      </c>
      <c r="G24" s="314">
        <v>0</v>
      </c>
      <c r="H24" s="314">
        <v>0</v>
      </c>
      <c r="I24" s="314">
        <f t="shared" si="0"/>
        <v>51164363.659999996</v>
      </c>
      <c r="J24" s="313"/>
    </row>
    <row r="25" spans="1:10" s="331" customFormat="1" ht="15.75" customHeight="1">
      <c r="A25" s="336">
        <f t="shared" si="1"/>
        <v>43800</v>
      </c>
      <c r="B25" s="314">
        <v>55802661.969999999</v>
      </c>
      <c r="C25" s="314">
        <v>-2215132.89</v>
      </c>
      <c r="D25" s="314">
        <v>8089722.0599999996</v>
      </c>
      <c r="E25" s="314">
        <v>-8790723.3000000007</v>
      </c>
      <c r="F25" s="314">
        <v>0</v>
      </c>
      <c r="G25" s="314">
        <v>0</v>
      </c>
      <c r="H25" s="314">
        <v>0</v>
      </c>
      <c r="I25" s="314">
        <f t="shared" si="0"/>
        <v>52886527.840000004</v>
      </c>
      <c r="J25" s="313"/>
    </row>
    <row r="26" spans="1:10" s="331" customFormat="1" ht="15.75" customHeight="1">
      <c r="A26" s="334" t="str">
        <f>+"TOTAL for Year, "&amp;TEXT(A14,"mm/yy")&amp;" - "&amp;TEXT(A25,"mm/yy")</f>
        <v>TOTAL for Year, 01/19 - 12/19</v>
      </c>
      <c r="B26" s="313"/>
      <c r="C26" s="313"/>
      <c r="D26" s="313"/>
      <c r="E26" s="313"/>
      <c r="F26" s="313"/>
      <c r="G26" s="313"/>
      <c r="H26" s="313"/>
      <c r="I26" s="313"/>
      <c r="J26" s="313"/>
    </row>
    <row r="27" spans="1:10" ht="15.75" customHeight="1"/>
    <row r="28" spans="1:10" ht="15.75" customHeight="1"/>
    <row r="29" spans="1:10" ht="15.75" customHeight="1"/>
    <row r="30" spans="1:10" ht="15.6">
      <c r="A30" s="309" t="s">
        <v>390</v>
      </c>
      <c r="B30" s="330" t="s">
        <v>393</v>
      </c>
      <c r="C30" s="330" t="s">
        <v>394</v>
      </c>
      <c r="D30" s="330" t="s">
        <v>395</v>
      </c>
      <c r="E30" s="330" t="s">
        <v>396</v>
      </c>
      <c r="F30" s="330" t="s">
        <v>412</v>
      </c>
      <c r="G30" s="330" t="s">
        <v>413</v>
      </c>
      <c r="H30" s="330" t="s">
        <v>414</v>
      </c>
      <c r="I30" s="330" t="s">
        <v>415</v>
      </c>
    </row>
    <row r="31" spans="1:10" ht="15.6">
      <c r="A31" s="348"/>
      <c r="B31" s="329" t="s">
        <v>425</v>
      </c>
      <c r="C31" s="329" t="s">
        <v>425</v>
      </c>
      <c r="D31" s="329" t="s">
        <v>425</v>
      </c>
      <c r="E31" s="329" t="s">
        <v>425</v>
      </c>
      <c r="F31" s="329" t="s">
        <v>425</v>
      </c>
      <c r="G31" s="329" t="s">
        <v>425</v>
      </c>
      <c r="H31" s="329" t="s">
        <v>425</v>
      </c>
      <c r="I31" s="329" t="s">
        <v>425</v>
      </c>
    </row>
    <row r="32" spans="1:10" ht="15.6">
      <c r="A32" s="349" t="s">
        <v>426</v>
      </c>
      <c r="B32" s="329" t="s">
        <v>427</v>
      </c>
      <c r="C32" s="329" t="s">
        <v>428</v>
      </c>
      <c r="D32" s="329" t="s">
        <v>19</v>
      </c>
      <c r="E32" s="329" t="s">
        <v>429</v>
      </c>
      <c r="F32" s="329" t="s">
        <v>430</v>
      </c>
      <c r="G32" s="329" t="s">
        <v>428</v>
      </c>
      <c r="H32" s="329" t="s">
        <v>429</v>
      </c>
      <c r="I32" s="329" t="s">
        <v>431</v>
      </c>
    </row>
    <row r="33" spans="1:9" ht="15.6">
      <c r="A33" s="350" t="s">
        <v>108</v>
      </c>
      <c r="B33" s="309" t="s">
        <v>432</v>
      </c>
      <c r="C33" s="309" t="s">
        <v>433</v>
      </c>
      <c r="D33" s="309" t="s">
        <v>434</v>
      </c>
      <c r="E33" s="309" t="s">
        <v>435</v>
      </c>
      <c r="F33" s="309" t="s">
        <v>436</v>
      </c>
      <c r="G33" s="309" t="s">
        <v>437</v>
      </c>
      <c r="H33" s="309" t="s">
        <v>12</v>
      </c>
      <c r="I33" s="309" t="s">
        <v>438</v>
      </c>
    </row>
    <row r="34" spans="1:9" ht="15.6">
      <c r="A34" s="351"/>
      <c r="B34" s="330"/>
      <c r="C34" s="330"/>
      <c r="D34" s="330"/>
      <c r="E34" s="330"/>
      <c r="F34" s="330"/>
      <c r="G34" s="330"/>
      <c r="H34" s="330"/>
      <c r="I34" s="352" t="s">
        <v>440</v>
      </c>
    </row>
    <row r="35" spans="1:9" ht="15.6">
      <c r="A35" s="334" t="str">
        <f>A11</f>
        <v>Start of Period Rate Base, 12/18</v>
      </c>
      <c r="B35" s="313"/>
      <c r="C35" s="313"/>
      <c r="D35" s="313"/>
      <c r="E35" s="313"/>
      <c r="F35" s="313"/>
      <c r="G35" s="313"/>
      <c r="H35" s="313"/>
      <c r="I35" s="313"/>
    </row>
    <row r="36" spans="1:9" ht="15.6">
      <c r="A36" s="336">
        <f>A12</f>
        <v>43435</v>
      </c>
      <c r="B36" s="314">
        <v>11207438.539999999</v>
      </c>
      <c r="C36" s="314">
        <v>0</v>
      </c>
      <c r="D36" s="314">
        <v>0</v>
      </c>
      <c r="E36" s="314">
        <v>0</v>
      </c>
      <c r="F36" s="314">
        <v>0</v>
      </c>
      <c r="G36" s="314">
        <v>0</v>
      </c>
      <c r="H36" s="314">
        <v>0</v>
      </c>
      <c r="I36" s="314">
        <f t="shared" ref="I36" si="2">B36+C36+D36+E36-F36-G36-H36</f>
        <v>11207438.539999999</v>
      </c>
    </row>
    <row r="37" spans="1:9" ht="15.6">
      <c r="A37" s="336"/>
      <c r="B37" s="320"/>
      <c r="C37" s="320"/>
      <c r="D37" s="320"/>
      <c r="E37" s="320"/>
      <c r="F37" s="320"/>
      <c r="G37" s="320"/>
      <c r="H37" s="320"/>
      <c r="I37" s="320"/>
    </row>
    <row r="38" spans="1:9" ht="15.6">
      <c r="A38" s="336">
        <f>A14</f>
        <v>43466</v>
      </c>
      <c r="B38" s="314">
        <v>11864591.74</v>
      </c>
      <c r="C38" s="314">
        <v>0</v>
      </c>
      <c r="D38" s="314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f t="shared" ref="I38:I49" si="3">B38+C38+D38+E38-F38-G38-H38</f>
        <v>11864591.74</v>
      </c>
    </row>
    <row r="39" spans="1:9" ht="15.6">
      <c r="A39" s="336">
        <f t="shared" ref="A39:A49" si="4">A15</f>
        <v>43497</v>
      </c>
      <c r="B39" s="314">
        <v>12426920.369999999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f t="shared" si="3"/>
        <v>12426920.369999999</v>
      </c>
    </row>
    <row r="40" spans="1:9" ht="15.6">
      <c r="A40" s="336">
        <f t="shared" si="4"/>
        <v>43525</v>
      </c>
      <c r="B40" s="314">
        <v>15217857.67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f t="shared" si="3"/>
        <v>15217857.67</v>
      </c>
    </row>
    <row r="41" spans="1:9" ht="15.6">
      <c r="A41" s="336">
        <f t="shared" si="4"/>
        <v>43556</v>
      </c>
      <c r="B41" s="314">
        <v>16484315.449999999</v>
      </c>
      <c r="C41" s="314">
        <v>0</v>
      </c>
      <c r="D41" s="314">
        <v>0</v>
      </c>
      <c r="E41" s="314">
        <v>0</v>
      </c>
      <c r="F41" s="314">
        <v>0</v>
      </c>
      <c r="G41" s="314">
        <v>0</v>
      </c>
      <c r="H41" s="314">
        <v>0</v>
      </c>
      <c r="I41" s="314">
        <f t="shared" si="3"/>
        <v>16484315.449999999</v>
      </c>
    </row>
    <row r="42" spans="1:9" ht="15.6">
      <c r="A42" s="336">
        <f t="shared" si="4"/>
        <v>43586</v>
      </c>
      <c r="B42" s="314">
        <v>19551518.379999999</v>
      </c>
      <c r="C42" s="314">
        <v>0</v>
      </c>
      <c r="D42" s="314">
        <v>0</v>
      </c>
      <c r="E42" s="314">
        <v>0</v>
      </c>
      <c r="F42" s="314">
        <v>0</v>
      </c>
      <c r="G42" s="314">
        <v>0</v>
      </c>
      <c r="H42" s="314">
        <v>0</v>
      </c>
      <c r="I42" s="314">
        <f t="shared" si="3"/>
        <v>19551518.379999999</v>
      </c>
    </row>
    <row r="43" spans="1:9" ht="15.6">
      <c r="A43" s="336">
        <f t="shared" si="4"/>
        <v>43617</v>
      </c>
      <c r="B43" s="314">
        <v>20801914.799999997</v>
      </c>
      <c r="C43" s="314">
        <v>0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  <c r="I43" s="314">
        <f t="shared" si="3"/>
        <v>20801914.799999997</v>
      </c>
    </row>
    <row r="44" spans="1:9" ht="15.6">
      <c r="A44" s="336">
        <f t="shared" si="4"/>
        <v>43647</v>
      </c>
      <c r="B44" s="314">
        <v>23420482.129999999</v>
      </c>
      <c r="C44" s="314">
        <v>0</v>
      </c>
      <c r="D44" s="314">
        <v>0</v>
      </c>
      <c r="E44" s="314">
        <v>0</v>
      </c>
      <c r="F44" s="314">
        <v>0</v>
      </c>
      <c r="G44" s="314">
        <v>0</v>
      </c>
      <c r="H44" s="314">
        <v>0</v>
      </c>
      <c r="I44" s="314">
        <f t="shared" si="3"/>
        <v>23420482.129999999</v>
      </c>
    </row>
    <row r="45" spans="1:9" ht="15.6">
      <c r="A45" s="336">
        <f t="shared" si="4"/>
        <v>43678</v>
      </c>
      <c r="B45" s="314">
        <v>26447799.649999999</v>
      </c>
      <c r="C45" s="314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  <c r="I45" s="314">
        <f t="shared" si="3"/>
        <v>26447799.649999999</v>
      </c>
    </row>
    <row r="46" spans="1:9" ht="15.6">
      <c r="A46" s="336">
        <f t="shared" si="4"/>
        <v>43709</v>
      </c>
      <c r="B46" s="314">
        <v>31360379.030000001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4">
        <f t="shared" si="3"/>
        <v>31360379.030000001</v>
      </c>
    </row>
    <row r="47" spans="1:9" ht="15.6">
      <c r="A47" s="336">
        <f t="shared" si="4"/>
        <v>43739</v>
      </c>
      <c r="B47" s="314">
        <v>37085782.100000001</v>
      </c>
      <c r="C47" s="314">
        <v>0</v>
      </c>
      <c r="D47" s="314">
        <v>0</v>
      </c>
      <c r="E47" s="314">
        <v>0</v>
      </c>
      <c r="F47" s="314">
        <v>0</v>
      </c>
      <c r="G47" s="314">
        <v>0</v>
      </c>
      <c r="H47" s="314">
        <v>0</v>
      </c>
      <c r="I47" s="314">
        <f t="shared" si="3"/>
        <v>37085782.100000001</v>
      </c>
    </row>
    <row r="48" spans="1:9" ht="15.6">
      <c r="A48" s="336">
        <f t="shared" si="4"/>
        <v>43770</v>
      </c>
      <c r="B48" s="314">
        <v>42365586.899999999</v>
      </c>
      <c r="C48" s="314">
        <v>0</v>
      </c>
      <c r="D48" s="314">
        <v>0</v>
      </c>
      <c r="E48" s="314">
        <v>0</v>
      </c>
      <c r="F48" s="314">
        <v>0</v>
      </c>
      <c r="G48" s="314">
        <v>0</v>
      </c>
      <c r="H48" s="314">
        <v>0</v>
      </c>
      <c r="I48" s="314">
        <f t="shared" si="3"/>
        <v>42365586.899999999</v>
      </c>
    </row>
    <row r="49" spans="1:9" ht="15.6">
      <c r="A49" s="336">
        <f t="shared" si="4"/>
        <v>43800</v>
      </c>
      <c r="B49" s="314">
        <v>44002739.890000001</v>
      </c>
      <c r="C49" s="314">
        <v>0</v>
      </c>
      <c r="D49" s="314">
        <v>0</v>
      </c>
      <c r="E49" s="314">
        <v>0</v>
      </c>
      <c r="F49" s="314">
        <v>0</v>
      </c>
      <c r="G49" s="314">
        <v>0</v>
      </c>
      <c r="H49" s="314">
        <v>0</v>
      </c>
      <c r="I49" s="314">
        <f t="shared" si="3"/>
        <v>44002739.890000001</v>
      </c>
    </row>
    <row r="50" spans="1:9" ht="15.6">
      <c r="A50" s="334" t="str">
        <f>+"TOTAL for Year, "&amp;TEXT(A38,"mm/yy")&amp;" - "&amp;TEXT(A49,"mm/yy")</f>
        <v>TOTAL for Year, 01/19 - 12/19</v>
      </c>
      <c r="B50" s="313"/>
      <c r="C50" s="313"/>
      <c r="D50" s="313"/>
      <c r="E50" s="313"/>
      <c r="F50" s="313"/>
      <c r="G50" s="313"/>
      <c r="H50" s="313"/>
      <c r="I50" s="313"/>
    </row>
  </sheetData>
  <pageMargins left="0.49" right="0.48" top="1.1000000000000001" bottom="0.75" header="0.5" footer="0.1"/>
  <pageSetup scale="62" orientation="landscape" r:id="rId1"/>
  <headerFooter scaleWithDoc="0" alignWithMargins="0">
    <oddFooter xml:space="preserve">&amp;R&amp;"Times New Roman,Bold"Exhibit 3
Page 3 of 4
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C100"/>
  <sheetViews>
    <sheetView workbookViewId="0"/>
  </sheetViews>
  <sheetFormatPr defaultColWidth="9.21875" defaultRowHeight="13.2"/>
  <cols>
    <col min="1" max="1" width="5.21875" style="52" customWidth="1"/>
    <col min="2" max="2" width="3.21875" style="52" customWidth="1"/>
    <col min="3" max="3" width="11.77734375" style="52" customWidth="1"/>
    <col min="4" max="4" width="11.77734375" style="52" hidden="1" customWidth="1"/>
    <col min="5" max="5" width="1.21875" style="52" customWidth="1"/>
    <col min="6" max="6" width="6.21875" style="52" bestFit="1" customWidth="1"/>
    <col min="7" max="9" width="13.77734375" style="52" bestFit="1" customWidth="1"/>
    <col min="10" max="10" width="13.77734375" style="52" customWidth="1"/>
    <col min="11" max="11" width="12.21875" style="52" customWidth="1"/>
    <col min="12" max="12" width="14.21875" style="52" bestFit="1" customWidth="1"/>
    <col min="13" max="13" width="15" style="52" bestFit="1" customWidth="1"/>
    <col min="14" max="14" width="13.77734375" style="52" bestFit="1" customWidth="1"/>
    <col min="15" max="15" width="14.44140625" style="52" bestFit="1" customWidth="1"/>
    <col min="16" max="16" width="13.77734375" style="52" bestFit="1" customWidth="1"/>
    <col min="17" max="17" width="11.21875" style="52" customWidth="1"/>
    <col min="18" max="18" width="10.77734375" style="52" customWidth="1"/>
    <col min="19" max="19" width="11.44140625" style="52" customWidth="1"/>
    <col min="20" max="20" width="11.21875" style="52" customWidth="1"/>
    <col min="21" max="21" width="14.77734375" style="52" customWidth="1"/>
    <col min="22" max="22" width="12" style="52" customWidth="1"/>
    <col min="23" max="23" width="9.21875" style="52"/>
    <col min="24" max="24" width="13.77734375" style="52" customWidth="1"/>
    <col min="25" max="27" width="9.21875" style="52"/>
    <col min="28" max="28" width="11.77734375" style="52" customWidth="1"/>
    <col min="29" max="16384" width="9.21875" style="52"/>
  </cols>
  <sheetData>
    <row r="1" spans="1:29" ht="17.399999999999999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9" ht="17.399999999999999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9" ht="17.399999999999999">
      <c r="A3" s="192" t="s">
        <v>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155"/>
      <c r="N6" s="54"/>
      <c r="O6" s="54"/>
      <c r="P6" s="54"/>
      <c r="Q6" s="54"/>
      <c r="R6" s="54"/>
      <c r="S6" s="54"/>
      <c r="T6" s="54"/>
      <c r="U6" s="54"/>
    </row>
    <row r="7" spans="1:29" ht="26.4">
      <c r="A7" s="54"/>
      <c r="B7" s="54"/>
      <c r="C7" s="55" t="s">
        <v>191</v>
      </c>
      <c r="D7" s="54" t="s">
        <v>25</v>
      </c>
      <c r="E7" s="54"/>
      <c r="F7" s="54"/>
      <c r="G7" s="54">
        <v>2012</v>
      </c>
      <c r="H7" s="54">
        <v>2013</v>
      </c>
      <c r="I7" s="54">
        <v>2014</v>
      </c>
      <c r="J7" s="54">
        <v>2015</v>
      </c>
      <c r="K7" s="54">
        <v>2016</v>
      </c>
      <c r="L7" s="54">
        <v>2017</v>
      </c>
      <c r="M7" s="54"/>
      <c r="N7" s="54" t="s">
        <v>35</v>
      </c>
      <c r="O7" s="54"/>
      <c r="P7" s="54"/>
      <c r="Q7" s="55" t="s">
        <v>181</v>
      </c>
      <c r="R7" s="55" t="s">
        <v>182</v>
      </c>
      <c r="S7" s="55" t="s">
        <v>187</v>
      </c>
      <c r="T7" s="55" t="s">
        <v>189</v>
      </c>
      <c r="U7" s="54" t="s">
        <v>41</v>
      </c>
      <c r="V7" s="55" t="s">
        <v>164</v>
      </c>
      <c r="W7" s="55"/>
      <c r="X7" s="55" t="s">
        <v>236</v>
      </c>
    </row>
    <row r="8" spans="1:29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31</v>
      </c>
      <c r="K8" s="54" t="s">
        <v>32</v>
      </c>
      <c r="L8" s="54" t="s">
        <v>33</v>
      </c>
      <c r="M8" s="54" t="s">
        <v>34</v>
      </c>
      <c r="N8" s="54" t="s">
        <v>36</v>
      </c>
      <c r="O8" s="54" t="s">
        <v>38</v>
      </c>
      <c r="P8" s="54"/>
      <c r="Q8" s="54" t="s">
        <v>34</v>
      </c>
      <c r="R8" s="54" t="s">
        <v>34</v>
      </c>
      <c r="S8" s="54" t="s">
        <v>188</v>
      </c>
      <c r="T8" s="54" t="s">
        <v>190</v>
      </c>
      <c r="U8" s="54" t="s">
        <v>40</v>
      </c>
      <c r="V8" s="54" t="s">
        <v>237</v>
      </c>
      <c r="W8" s="54" t="s">
        <v>164</v>
      </c>
      <c r="X8" s="54" t="s">
        <v>40</v>
      </c>
    </row>
    <row r="9" spans="1:29">
      <c r="A9" s="85" t="s">
        <v>5</v>
      </c>
      <c r="B9" s="85"/>
      <c r="C9" s="85" t="s">
        <v>2</v>
      </c>
      <c r="D9" s="85" t="s">
        <v>2</v>
      </c>
      <c r="E9" s="85"/>
      <c r="F9" s="85" t="s">
        <v>108</v>
      </c>
      <c r="G9" s="85" t="s">
        <v>20</v>
      </c>
      <c r="H9" s="85" t="s">
        <v>20</v>
      </c>
      <c r="I9" s="85" t="s">
        <v>20</v>
      </c>
      <c r="J9" s="85" t="s">
        <v>20</v>
      </c>
      <c r="K9" s="85" t="s">
        <v>20</v>
      </c>
      <c r="L9" s="85" t="s">
        <v>20</v>
      </c>
      <c r="M9" s="85" t="s">
        <v>0</v>
      </c>
      <c r="N9" s="85" t="s">
        <v>37</v>
      </c>
      <c r="O9" s="85" t="s">
        <v>0</v>
      </c>
      <c r="P9" s="85" t="s">
        <v>39</v>
      </c>
      <c r="Q9" s="56" t="s">
        <v>183</v>
      </c>
      <c r="R9" s="56" t="s">
        <v>186</v>
      </c>
      <c r="S9" s="56" t="s">
        <v>183</v>
      </c>
      <c r="T9" s="56" t="s">
        <v>12</v>
      </c>
      <c r="U9" s="85" t="s">
        <v>42</v>
      </c>
      <c r="V9" s="56" t="s">
        <v>238</v>
      </c>
      <c r="W9" s="56" t="s">
        <v>239</v>
      </c>
      <c r="X9" s="89" t="s">
        <v>42</v>
      </c>
    </row>
    <row r="10" spans="1:29">
      <c r="C10" s="57"/>
      <c r="D10" s="57" t="s">
        <v>71</v>
      </c>
      <c r="E10" s="58"/>
      <c r="F10" s="58"/>
      <c r="G10" s="58"/>
      <c r="H10" s="58"/>
      <c r="I10" s="58"/>
      <c r="J10" s="58"/>
      <c r="K10" s="58"/>
      <c r="L10" s="58"/>
    </row>
    <row r="11" spans="1:29">
      <c r="A11" s="52">
        <v>1</v>
      </c>
      <c r="C11" s="57" t="s">
        <v>70</v>
      </c>
      <c r="D11" s="59"/>
      <c r="G11" s="27"/>
      <c r="H11" s="27"/>
      <c r="I11" s="27"/>
      <c r="J11" s="27"/>
      <c r="K11" s="27"/>
      <c r="L11" s="27">
        <f>SUM('Capital Budget 2017'!K20:P20)-L12-L13</f>
        <v>8664070.7300000023</v>
      </c>
    </row>
    <row r="12" spans="1:29">
      <c r="A12" s="52">
        <v>2</v>
      </c>
      <c r="C12" s="57" t="s">
        <v>74</v>
      </c>
      <c r="D12" s="59"/>
      <c r="G12" s="27"/>
      <c r="H12" s="27"/>
      <c r="I12" s="27"/>
      <c r="J12" s="27"/>
      <c r="K12" s="27"/>
      <c r="L12" s="27">
        <f>SUM('Capital Budget 2017'!K5:P10,'Capital Budget 2017'!K16:P19)</f>
        <v>4210527.95</v>
      </c>
      <c r="M12" s="62">
        <f>4210527.95-L12</f>
        <v>0</v>
      </c>
    </row>
    <row r="13" spans="1:29">
      <c r="A13" s="52">
        <v>3</v>
      </c>
      <c r="C13" s="57" t="s">
        <v>185</v>
      </c>
      <c r="D13" s="59"/>
      <c r="G13" s="27"/>
      <c r="H13" s="27"/>
      <c r="I13" s="27"/>
      <c r="J13" s="27"/>
      <c r="K13" s="27"/>
      <c r="L13" s="27">
        <f>SUM('Capital Budget 2017'!K11:P13,'Capital Budget 2017'!K15:P15)*0.5</f>
        <v>4807381.1899999995</v>
      </c>
    </row>
    <row r="14" spans="1:29">
      <c r="C14" s="59"/>
      <c r="G14" s="27"/>
      <c r="I14" s="27"/>
      <c r="Z14" s="50"/>
      <c r="AA14" s="50"/>
      <c r="AB14" s="50"/>
      <c r="AC14" s="50"/>
    </row>
    <row r="15" spans="1:29">
      <c r="G15" s="196" t="s">
        <v>43</v>
      </c>
      <c r="H15" s="196"/>
      <c r="I15" s="196"/>
      <c r="J15" s="196"/>
      <c r="K15" s="196"/>
      <c r="L15" s="196"/>
      <c r="M15" s="196"/>
      <c r="N15" s="196"/>
      <c r="Z15" s="50"/>
      <c r="AA15" s="50"/>
      <c r="AB15" s="50"/>
      <c r="AC15" s="50"/>
    </row>
    <row r="16" spans="1:29">
      <c r="T16" s="27"/>
      <c r="U16" s="27"/>
      <c r="X16" s="27">
        <f>U16</f>
        <v>0</v>
      </c>
      <c r="Z16" s="50"/>
      <c r="AA16" s="50"/>
      <c r="AB16" s="50"/>
      <c r="AC16" s="50"/>
    </row>
    <row r="17" spans="1:29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f>U17-U16</f>
        <v>0</v>
      </c>
      <c r="W17" s="91"/>
      <c r="X17" s="27">
        <f>X16+V17*335/365</f>
        <v>0</v>
      </c>
      <c r="Z17" s="50"/>
      <c r="AA17" s="50"/>
      <c r="AB17" s="51"/>
      <c r="AC17" s="50"/>
    </row>
    <row r="18" spans="1:29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f t="shared" ref="V18:V28" si="0">U18-U17</f>
        <v>0</v>
      </c>
      <c r="W18" s="91"/>
      <c r="X18" s="27">
        <f>X17+V18*307/365</f>
        <v>0</v>
      </c>
      <c r="Z18" s="50"/>
      <c r="AA18" s="50"/>
      <c r="AB18" s="51"/>
      <c r="AC18" s="50"/>
    </row>
    <row r="19" spans="1:29">
      <c r="A19" s="52">
        <f t="shared" ref="A19:A44" si="1">A18+1</f>
        <v>6</v>
      </c>
      <c r="C19" s="61">
        <v>6.6769999999999996E-2</v>
      </c>
      <c r="D19" s="61">
        <v>8.5500000000000007E-2</v>
      </c>
      <c r="F19" s="52">
        <v>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f t="shared" si="0"/>
        <v>0</v>
      </c>
      <c r="W19" s="91"/>
      <c r="X19" s="27">
        <f>X18+V19*276/365</f>
        <v>0</v>
      </c>
      <c r="Z19" s="50"/>
      <c r="AA19" s="50"/>
      <c r="AB19" s="51"/>
      <c r="AC19" s="50"/>
    </row>
    <row r="20" spans="1:29">
      <c r="A20" s="52">
        <f t="shared" si="1"/>
        <v>7</v>
      </c>
      <c r="C20" s="61">
        <v>6.1769999999999999E-2</v>
      </c>
      <c r="D20" s="61">
        <v>7.6999999999999999E-2</v>
      </c>
      <c r="F20" s="52">
        <v>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f t="shared" si="0"/>
        <v>0</v>
      </c>
      <c r="W20" s="91"/>
      <c r="X20" s="27">
        <f>X19+V20*246/365</f>
        <v>0</v>
      </c>
      <c r="Z20" s="50"/>
      <c r="AA20" s="153"/>
      <c r="AB20" s="51"/>
      <c r="AC20" s="50"/>
    </row>
    <row r="21" spans="1:29">
      <c r="A21" s="52">
        <f t="shared" si="1"/>
        <v>8</v>
      </c>
      <c r="C21" s="61">
        <v>5.713E-2</v>
      </c>
      <c r="D21" s="61">
        <v>6.93E-2</v>
      </c>
      <c r="F21" s="52">
        <v>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f t="shared" si="0"/>
        <v>0</v>
      </c>
      <c r="W21" s="91"/>
      <c r="X21" s="27">
        <f>X20+V21*215/365</f>
        <v>0</v>
      </c>
      <c r="Z21" s="50"/>
      <c r="AA21" s="50"/>
      <c r="AB21" s="51"/>
      <c r="AC21" s="50"/>
    </row>
    <row r="22" spans="1:29">
      <c r="A22" s="52">
        <f t="shared" si="1"/>
        <v>9</v>
      </c>
      <c r="C22" s="61">
        <v>5.2850000000000001E-2</v>
      </c>
      <c r="D22" s="61">
        <v>6.2300000000000001E-2</v>
      </c>
      <c r="F22" s="52">
        <v>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f t="shared" si="0"/>
        <v>0</v>
      </c>
      <c r="W22" s="91"/>
      <c r="X22" s="27">
        <f>X21+V22*185/365</f>
        <v>0</v>
      </c>
      <c r="Z22" s="50"/>
      <c r="AA22" s="50"/>
      <c r="AB22" s="50"/>
      <c r="AC22" s="50"/>
    </row>
    <row r="23" spans="1:29">
      <c r="A23" s="52">
        <f t="shared" si="1"/>
        <v>10</v>
      </c>
      <c r="C23" s="61">
        <v>4.888E-2</v>
      </c>
      <c r="D23" s="61">
        <v>5.8999999999999997E-2</v>
      </c>
      <c r="F23" s="52">
        <v>7</v>
      </c>
      <c r="G23" s="27"/>
      <c r="H23" s="27"/>
      <c r="I23" s="27"/>
      <c r="J23" s="27"/>
      <c r="K23" s="27"/>
      <c r="L23" s="156">
        <f>(('201707 Bk Depr'!$L$17-SUM('Capital Budget 2017'!K$5:K$10,'Capital Budget 2017'!K$16:K$19)-(1/6*L13))*$C$17)+SUM('Capital Budget 2017'!K$5:K$10,'Capital Budget 2017'!K$16:K$19)+(1/6*L13)</f>
        <v>1613880.4175208332</v>
      </c>
      <c r="M23" s="27">
        <f t="shared" ref="M23:M28" si="2">SUM(G23:L23)</f>
        <v>1613880.4175208332</v>
      </c>
      <c r="N23" s="27">
        <f>'201707 Bk Depr'!L$31</f>
        <v>221050.71000000002</v>
      </c>
      <c r="O23" s="27">
        <f>'201707 Bk Depr'!P$17</f>
        <v>3483.0979357500009</v>
      </c>
      <c r="P23" s="27">
        <f t="shared" ref="P23:P28" si="3">M23+N23-O23</f>
        <v>1831448.0295850832</v>
      </c>
      <c r="Q23" s="27">
        <f t="shared" ref="Q23:Q28" si="4">P23*0.35</f>
        <v>641006.81035477913</v>
      </c>
      <c r="R23" s="27">
        <f t="shared" ref="R23:R28" si="5">Q71</f>
        <v>63615.83782135501</v>
      </c>
      <c r="S23" s="27">
        <f t="shared" ref="S23:S28" si="6">-R23*0.35</f>
        <v>-22265.543237474252</v>
      </c>
      <c r="T23" s="27"/>
      <c r="U23" s="27">
        <f t="shared" ref="U23:U28" si="7">U22+Q23+R23+S23+T23</f>
        <v>682357.10493865982</v>
      </c>
      <c r="V23" s="27">
        <f t="shared" si="0"/>
        <v>682357.10493865982</v>
      </c>
      <c r="W23" s="91" t="s">
        <v>249</v>
      </c>
      <c r="X23" s="27">
        <f>X22+V23*154/184</f>
        <v>571103.22913344356</v>
      </c>
      <c r="Z23" s="50"/>
      <c r="AA23" s="50"/>
      <c r="AB23" s="50"/>
      <c r="AC23" s="50"/>
    </row>
    <row r="24" spans="1:29">
      <c r="A24" s="52">
        <f t="shared" si="1"/>
        <v>11</v>
      </c>
      <c r="C24" s="61">
        <v>4.5220000000000003E-2</v>
      </c>
      <c r="D24" s="61">
        <v>5.8999999999999997E-2</v>
      </c>
      <c r="F24" s="52">
        <v>8</v>
      </c>
      <c r="G24" s="27"/>
      <c r="H24" s="27"/>
      <c r="I24" s="27"/>
      <c r="J24" s="27"/>
      <c r="K24" s="27"/>
      <c r="L24" s="156">
        <f>(('201708 Bk Depr'!$L$17-SUM('Capital Budget 2017'!L$5:L$10,'Capital Budget 2017'!L$16:L$19)-(1/6*L13))*$C$17)+SUM('Capital Budget 2017'!L$5:L$10,'Capital Budget 2017'!L$16:L$19)+(1/6*L13)</f>
        <v>1723348.1978958333</v>
      </c>
      <c r="M24" s="27">
        <f t="shared" si="2"/>
        <v>1723348.1978958333</v>
      </c>
      <c r="N24" s="27">
        <f>'201708 Bk Depr'!L$31</f>
        <v>133549.94</v>
      </c>
      <c r="O24" s="27">
        <f>'201708 Bk Depr'!P$17</f>
        <v>38140.872064250005</v>
      </c>
      <c r="P24" s="27">
        <f t="shared" si="3"/>
        <v>1818757.2658315832</v>
      </c>
      <c r="Q24" s="27">
        <f t="shared" si="4"/>
        <v>636565.04304105404</v>
      </c>
      <c r="R24" s="27">
        <f t="shared" si="5"/>
        <v>62854.391996145001</v>
      </c>
      <c r="S24" s="27">
        <f t="shared" si="6"/>
        <v>-21999.037198650749</v>
      </c>
      <c r="T24" s="27"/>
      <c r="U24" s="27">
        <f t="shared" si="7"/>
        <v>1359777.5027772083</v>
      </c>
      <c r="V24" s="27">
        <f t="shared" si="0"/>
        <v>677420.39783854852</v>
      </c>
      <c r="W24" s="91" t="s">
        <v>248</v>
      </c>
      <c r="X24" s="27">
        <f>X23+V24*123/184</f>
        <v>1023944.0385581255</v>
      </c>
      <c r="Z24" s="154"/>
      <c r="AA24" s="50"/>
      <c r="AB24" s="50"/>
      <c r="AC24" s="50"/>
    </row>
    <row r="25" spans="1:29">
      <c r="A25" s="52">
        <f t="shared" si="1"/>
        <v>12</v>
      </c>
      <c r="C25" s="61">
        <v>4.462E-2</v>
      </c>
      <c r="D25" s="61">
        <v>5.91E-2</v>
      </c>
      <c r="F25" s="52">
        <v>9</v>
      </c>
      <c r="G25" s="27"/>
      <c r="H25" s="27"/>
      <c r="I25" s="27"/>
      <c r="J25" s="27"/>
      <c r="K25" s="27"/>
      <c r="L25" s="156">
        <f>(('201709 Bk Depr'!$L$17-SUM('Capital Budget 2017'!M$5:M$10,'Capital Budget 2017'!M$16:M$19)-(1/6*L13))*$C$17)+SUM('Capital Budget 2017'!M$5:M$10,'Capital Budget 2017'!M$16:M$19)+(1/6*L13)</f>
        <v>1878248.2566458334</v>
      </c>
      <c r="M25" s="27">
        <f t="shared" si="2"/>
        <v>1878248.2566458334</v>
      </c>
      <c r="N25" s="27">
        <f>'201709 Bk Depr'!L$31</f>
        <v>147667.01999999999</v>
      </c>
      <c r="O25" s="27">
        <f>'201709 Bk Depr'!P$17</f>
        <v>18403.232751000003</v>
      </c>
      <c r="P25" s="27">
        <f t="shared" si="3"/>
        <v>2007512.0438948334</v>
      </c>
      <c r="Q25" s="27">
        <f t="shared" si="4"/>
        <v>702629.21536319167</v>
      </c>
      <c r="R25" s="27">
        <f t="shared" si="5"/>
        <v>74179.67867994</v>
      </c>
      <c r="S25" s="27">
        <f t="shared" si="6"/>
        <v>-25962.887537978997</v>
      </c>
      <c r="T25" s="27"/>
      <c r="U25" s="27">
        <f t="shared" si="7"/>
        <v>2110623.5092823608</v>
      </c>
      <c r="V25" s="27">
        <f t="shared" si="0"/>
        <v>750846.00650515244</v>
      </c>
      <c r="W25" s="91" t="s">
        <v>247</v>
      </c>
      <c r="X25" s="27">
        <f>X24+V25*93/184</f>
        <v>1403447.7266286644</v>
      </c>
    </row>
    <row r="26" spans="1:29">
      <c r="A26" s="52">
        <f t="shared" si="1"/>
        <v>13</v>
      </c>
      <c r="C26" s="61">
        <v>4.4609999999999997E-2</v>
      </c>
      <c r="D26" s="61">
        <v>5.8999999999999997E-2</v>
      </c>
      <c r="F26" s="52">
        <v>10</v>
      </c>
      <c r="G26" s="27"/>
      <c r="H26" s="27"/>
      <c r="I26" s="27"/>
      <c r="J26" s="27"/>
      <c r="K26" s="27"/>
      <c r="L26" s="156">
        <f>(('201710 Bk Depr'!$L$17-SUM('Capital Budget 2017'!N$5:N$10,'Capital Budget 2017'!N$16:N$19)-(1/6*L13))*$C$17)+SUM('Capital Budget 2017'!N$5:N$10,'Capital Budget 2017'!N$16:N$19)+(1/6*L13)</f>
        <v>1426952.0940208333</v>
      </c>
      <c r="M26" s="27">
        <f t="shared" si="2"/>
        <v>1426952.0940208333</v>
      </c>
      <c r="N26" s="27">
        <f>'201710 Bk Depr'!L$31</f>
        <v>401153.78</v>
      </c>
      <c r="O26" s="27">
        <f>'201710 Bk Depr'!P$17</f>
        <v>26123.708702250005</v>
      </c>
      <c r="P26" s="27">
        <f t="shared" si="3"/>
        <v>1801982.1653185834</v>
      </c>
      <c r="Q26" s="27">
        <f t="shared" si="4"/>
        <v>630693.7578615041</v>
      </c>
      <c r="R26" s="27">
        <f t="shared" si="5"/>
        <v>61847.885965364992</v>
      </c>
      <c r="S26" s="27">
        <f t="shared" si="6"/>
        <v>-21646.760087877745</v>
      </c>
      <c r="T26" s="27"/>
      <c r="U26" s="27">
        <f t="shared" si="7"/>
        <v>2781518.3930213526</v>
      </c>
      <c r="V26" s="27">
        <f t="shared" si="0"/>
        <v>670894.8837389918</v>
      </c>
      <c r="W26" s="91" t="s">
        <v>246</v>
      </c>
      <c r="X26" s="27">
        <f>X25+V26*62/184</f>
        <v>1629510.1331059334</v>
      </c>
    </row>
    <row r="27" spans="1:29">
      <c r="A27" s="52">
        <f t="shared" si="1"/>
        <v>14</v>
      </c>
      <c r="C27" s="61">
        <v>4.462E-2</v>
      </c>
      <c r="D27" s="61">
        <v>5.91E-2</v>
      </c>
      <c r="F27" s="52">
        <v>11</v>
      </c>
      <c r="G27" s="27"/>
      <c r="H27" s="27"/>
      <c r="I27" s="27"/>
      <c r="J27" s="27"/>
      <c r="K27" s="27"/>
      <c r="L27" s="156">
        <f>(('201711 Bk Depr'!$L$17-SUM('Capital Budget 2017'!O$5:O$10,'Capital Budget 2017'!O$16:O$19)-(1/6*L13))*$C$17)+SUM('Capital Budget 2017'!O$5:O$10,'Capital Budget 2017'!O$16:O$19)+(1/6*L13)</f>
        <v>1253329.2557708332</v>
      </c>
      <c r="M27" s="27">
        <f t="shared" si="2"/>
        <v>1253329.2557708332</v>
      </c>
      <c r="N27" s="27">
        <f>'201711 Bk Depr'!L$31</f>
        <v>289061.25000000006</v>
      </c>
      <c r="O27" s="27">
        <f>'201711 Bk Depr'!P$17</f>
        <v>33526.663026750008</v>
      </c>
      <c r="P27" s="27">
        <f t="shared" si="3"/>
        <v>1508863.8427440831</v>
      </c>
      <c r="Q27" s="27">
        <f t="shared" si="4"/>
        <v>528102.34496042912</v>
      </c>
      <c r="R27" s="27">
        <f t="shared" si="5"/>
        <v>44260.786610894997</v>
      </c>
      <c r="S27" s="27">
        <f t="shared" si="6"/>
        <v>-15491.275313813248</v>
      </c>
      <c r="T27" s="27"/>
      <c r="U27" s="27">
        <f t="shared" si="7"/>
        <v>3338390.2492788634</v>
      </c>
      <c r="V27" s="27">
        <f t="shared" si="0"/>
        <v>556871.85625751084</v>
      </c>
      <c r="W27" s="91" t="s">
        <v>245</v>
      </c>
      <c r="X27" s="27">
        <f>X26+V27*32/184</f>
        <v>1726357.4124550656</v>
      </c>
    </row>
    <row r="28" spans="1:29">
      <c r="A28" s="52">
        <f t="shared" si="1"/>
        <v>15</v>
      </c>
      <c r="C28" s="61">
        <v>4.4609999999999997E-2</v>
      </c>
      <c r="D28" s="61">
        <v>5.8999999999999997E-2</v>
      </c>
      <c r="F28" s="52">
        <v>12</v>
      </c>
      <c r="G28" s="27"/>
      <c r="H28" s="27"/>
      <c r="I28" s="27"/>
      <c r="J28" s="27"/>
      <c r="K28" s="27"/>
      <c r="L28" s="156">
        <f>(('201712 Bk Depr'!$L$17-SUM('Capital Budget 2017'!P$5:P$10,'Capital Budget 2017'!P$16:P$19)-(1/6*L13))*$C$17)+SUM('Capital Budget 2017'!P$5:P$10,'Capital Budget 2017'!P$16:P$19)+(1/6*L13)</f>
        <v>1447053.5705208331</v>
      </c>
      <c r="M28" s="27">
        <f t="shared" si="2"/>
        <v>1447053.5705208331</v>
      </c>
      <c r="N28" s="27">
        <f>'201712 Bk Depr'!L$31</f>
        <v>451234.42999999993</v>
      </c>
      <c r="O28" s="27">
        <f>'201712 Bk Depr'!P$17</f>
        <v>38707.618675500009</v>
      </c>
      <c r="P28" s="27">
        <f t="shared" si="3"/>
        <v>1859580.3818453331</v>
      </c>
      <c r="Q28" s="27">
        <f t="shared" si="4"/>
        <v>650853.13364586653</v>
      </c>
      <c r="R28" s="27">
        <f t="shared" si="5"/>
        <v>65303.778956970003</v>
      </c>
      <c r="S28" s="27">
        <f t="shared" si="6"/>
        <v>-22856.322634939501</v>
      </c>
      <c r="T28" s="27"/>
      <c r="U28" s="27">
        <f t="shared" si="7"/>
        <v>4031690.8392467606</v>
      </c>
      <c r="V28" s="27">
        <f t="shared" si="0"/>
        <v>693300.58996789716</v>
      </c>
      <c r="W28" s="91" t="s">
        <v>244</v>
      </c>
      <c r="X28" s="27">
        <f>X27+V28*1/184</f>
        <v>1730125.3504440216</v>
      </c>
    </row>
    <row r="29" spans="1:29">
      <c r="A29" s="52">
        <f t="shared" si="1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tr">
        <f t="shared" ref="T29:T43" si="8">IF(S29="","",S29*0.389)</f>
        <v/>
      </c>
      <c r="U29" s="62"/>
      <c r="X29" s="27"/>
    </row>
    <row r="30" spans="1:29">
      <c r="A30" s="52">
        <f t="shared" si="1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 t="str">
        <f t="shared" si="8"/>
        <v/>
      </c>
      <c r="U30" s="27" t="str">
        <f t="shared" ref="U30:U43" si="9">IF(Q30="","",U29+Q30)</f>
        <v/>
      </c>
    </row>
    <row r="31" spans="1:29">
      <c r="A31" s="52">
        <f t="shared" si="1"/>
        <v>18</v>
      </c>
      <c r="C31" s="61">
        <v>4.462E-2</v>
      </c>
      <c r="D31" s="61">
        <v>5.91E-2</v>
      </c>
      <c r="G31" s="27"/>
      <c r="H31" s="6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tr">
        <f t="shared" si="8"/>
        <v/>
      </c>
      <c r="U31" s="27" t="str">
        <f t="shared" si="9"/>
        <v/>
      </c>
    </row>
    <row r="32" spans="1:29">
      <c r="A32" s="52">
        <f t="shared" si="1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tr">
        <f t="shared" si="8"/>
        <v/>
      </c>
      <c r="U32" s="27" t="str">
        <f t="shared" si="9"/>
        <v/>
      </c>
    </row>
    <row r="33" spans="1:21">
      <c r="A33" s="52">
        <f t="shared" si="1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tr">
        <f t="shared" si="8"/>
        <v/>
      </c>
      <c r="U33" s="27" t="str">
        <f t="shared" si="9"/>
        <v/>
      </c>
    </row>
    <row r="34" spans="1:21">
      <c r="A34" s="52">
        <f t="shared" si="1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tr">
        <f t="shared" si="8"/>
        <v/>
      </c>
      <c r="U34" s="27" t="str">
        <f t="shared" si="9"/>
        <v/>
      </c>
    </row>
    <row r="35" spans="1:21">
      <c r="A35" s="52">
        <f t="shared" si="1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 t="str">
        <f t="shared" si="8"/>
        <v/>
      </c>
      <c r="U35" s="27" t="str">
        <f t="shared" si="9"/>
        <v/>
      </c>
    </row>
    <row r="36" spans="1:21">
      <c r="A36" s="52">
        <f t="shared" si="1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 t="str">
        <f t="shared" si="8"/>
        <v/>
      </c>
      <c r="U36" s="27" t="str">
        <f t="shared" si="9"/>
        <v/>
      </c>
    </row>
    <row r="37" spans="1:21">
      <c r="A37" s="52">
        <f t="shared" si="1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tr">
        <f t="shared" si="8"/>
        <v/>
      </c>
      <c r="U37" s="27" t="str">
        <f t="shared" si="9"/>
        <v/>
      </c>
    </row>
    <row r="38" spans="1:21">
      <c r="A38" s="52">
        <f t="shared" si="1"/>
        <v>25</v>
      </c>
      <c r="C38" s="61">
        <v>0</v>
      </c>
      <c r="D38" s="61"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 t="str">
        <f t="shared" si="8"/>
        <v/>
      </c>
      <c r="U38" s="27" t="str">
        <f t="shared" si="9"/>
        <v/>
      </c>
    </row>
    <row r="39" spans="1:21">
      <c r="A39" s="52">
        <f t="shared" si="1"/>
        <v>26</v>
      </c>
      <c r="C39" s="61">
        <v>0</v>
      </c>
      <c r="I39" s="27"/>
      <c r="J39" s="27"/>
      <c r="K39" s="27"/>
      <c r="L39" s="27"/>
      <c r="M39" s="27"/>
      <c r="P39" s="27"/>
      <c r="Q39" s="27"/>
      <c r="R39" s="27"/>
      <c r="S39" s="27"/>
      <c r="T39" s="27" t="str">
        <f t="shared" si="8"/>
        <v/>
      </c>
      <c r="U39" s="27" t="str">
        <f t="shared" si="9"/>
        <v/>
      </c>
    </row>
    <row r="40" spans="1:21">
      <c r="A40" s="52">
        <f t="shared" si="1"/>
        <v>27</v>
      </c>
      <c r="C40" s="61">
        <v>0</v>
      </c>
      <c r="J40" s="27"/>
      <c r="K40" s="27"/>
      <c r="L40" s="27"/>
      <c r="M40" s="27"/>
      <c r="P40" s="27"/>
      <c r="Q40" s="27"/>
      <c r="R40" s="27"/>
      <c r="S40" s="27"/>
      <c r="T40" s="27" t="str">
        <f t="shared" si="8"/>
        <v/>
      </c>
      <c r="U40" s="27" t="str">
        <f t="shared" si="9"/>
        <v/>
      </c>
    </row>
    <row r="41" spans="1:21">
      <c r="A41" s="52">
        <f t="shared" si="1"/>
        <v>28</v>
      </c>
      <c r="C41" s="61">
        <v>0</v>
      </c>
      <c r="K41" s="27"/>
      <c r="L41" s="27"/>
      <c r="M41" s="27"/>
      <c r="P41" s="27"/>
      <c r="Q41" s="27"/>
      <c r="R41" s="27"/>
      <c r="S41" s="27"/>
      <c r="T41" s="27" t="str">
        <f t="shared" si="8"/>
        <v/>
      </c>
      <c r="U41" s="27" t="str">
        <f t="shared" si="9"/>
        <v/>
      </c>
    </row>
    <row r="42" spans="1:21">
      <c r="A42" s="52">
        <f t="shared" si="1"/>
        <v>29</v>
      </c>
      <c r="C42" s="61">
        <v>0</v>
      </c>
      <c r="L42" s="27"/>
      <c r="M42" s="27"/>
      <c r="P42" s="27"/>
      <c r="Q42" s="27"/>
      <c r="R42" s="27"/>
      <c r="S42" s="27"/>
      <c r="T42" s="27" t="str">
        <f t="shared" si="8"/>
        <v/>
      </c>
      <c r="U42" s="27" t="str">
        <f t="shared" si="9"/>
        <v/>
      </c>
    </row>
    <row r="43" spans="1:21">
      <c r="A43" s="52">
        <f t="shared" si="1"/>
        <v>30</v>
      </c>
      <c r="C43" s="61">
        <v>0</v>
      </c>
      <c r="M43" s="27"/>
      <c r="P43" s="27"/>
      <c r="Q43" s="27"/>
      <c r="R43" s="27"/>
      <c r="S43" s="27"/>
      <c r="T43" s="27" t="str">
        <f t="shared" si="8"/>
        <v/>
      </c>
      <c r="U43" s="27" t="str">
        <f t="shared" si="9"/>
        <v/>
      </c>
    </row>
    <row r="44" spans="1:21">
      <c r="A44" s="52">
        <f t="shared" si="1"/>
        <v>31</v>
      </c>
      <c r="G44" s="27">
        <f t="shared" ref="G44:T44" si="10">SUM(G17:G43)</f>
        <v>0</v>
      </c>
      <c r="H44" s="27">
        <f t="shared" si="10"/>
        <v>0</v>
      </c>
      <c r="I44" s="27">
        <f t="shared" si="10"/>
        <v>0</v>
      </c>
      <c r="J44" s="27">
        <f t="shared" si="10"/>
        <v>0</v>
      </c>
      <c r="K44" s="27">
        <f t="shared" si="10"/>
        <v>0</v>
      </c>
      <c r="L44" s="27">
        <f t="shared" si="10"/>
        <v>9342811.7923749983</v>
      </c>
      <c r="M44" s="27">
        <f t="shared" si="10"/>
        <v>9342811.7923749983</v>
      </c>
      <c r="N44" s="27">
        <f t="shared" si="10"/>
        <v>1643717.1300000001</v>
      </c>
      <c r="O44" s="27">
        <f t="shared" si="10"/>
        <v>158385.19315550002</v>
      </c>
      <c r="P44" s="27">
        <f t="shared" si="10"/>
        <v>10828143.729219498</v>
      </c>
      <c r="Q44" s="27">
        <f t="shared" si="10"/>
        <v>3789850.3052268247</v>
      </c>
      <c r="R44" s="27">
        <f t="shared" si="10"/>
        <v>372062.36003067007</v>
      </c>
      <c r="S44" s="27">
        <f t="shared" si="10"/>
        <v>-130221.8260107345</v>
      </c>
      <c r="T44" s="27">
        <f t="shared" si="10"/>
        <v>0</v>
      </c>
      <c r="U44" s="27">
        <f>AVERAGE(U16:U28)</f>
        <v>2384059.5997575345</v>
      </c>
    </row>
    <row r="45" spans="1:21">
      <c r="H45" s="27"/>
      <c r="I45" s="27"/>
      <c r="J45" s="27"/>
      <c r="K45" s="27"/>
      <c r="L45" s="27"/>
      <c r="M45" s="27"/>
      <c r="N45" s="27"/>
      <c r="O45" s="27"/>
      <c r="U45" s="27"/>
    </row>
    <row r="46" spans="1:21">
      <c r="I46" s="62"/>
      <c r="J46" s="27"/>
      <c r="R46" s="27"/>
      <c r="S46" s="27"/>
      <c r="T46" s="27"/>
    </row>
    <row r="47" spans="1:21">
      <c r="B47" s="60" t="s">
        <v>166</v>
      </c>
      <c r="C47" s="52" t="s">
        <v>229</v>
      </c>
    </row>
    <row r="48" spans="1:21">
      <c r="B48" s="60" t="s">
        <v>167</v>
      </c>
      <c r="C48" s="52" t="s">
        <v>230</v>
      </c>
    </row>
    <row r="49" spans="1:21">
      <c r="B49" s="60" t="s">
        <v>168</v>
      </c>
      <c r="C49" s="52" t="s">
        <v>231</v>
      </c>
    </row>
    <row r="50" spans="1:21">
      <c r="B50" s="60" t="s">
        <v>177</v>
      </c>
      <c r="C50" s="52" t="s">
        <v>232</v>
      </c>
      <c r="R50" s="54"/>
      <c r="S50" s="54"/>
      <c r="T50" s="54"/>
    </row>
    <row r="51" spans="1:21">
      <c r="B51" s="60" t="s">
        <v>213</v>
      </c>
      <c r="C51" s="52" t="s">
        <v>233</v>
      </c>
      <c r="R51" s="54"/>
      <c r="S51" s="54"/>
      <c r="T51" s="54"/>
    </row>
    <row r="52" spans="1:21">
      <c r="B52" s="60" t="s">
        <v>228</v>
      </c>
      <c r="C52" s="52" t="s">
        <v>234</v>
      </c>
      <c r="R52" s="54"/>
      <c r="S52" s="54"/>
      <c r="T52" s="54"/>
    </row>
    <row r="53" spans="1:21">
      <c r="R53" s="48"/>
      <c r="S53" s="48"/>
      <c r="T53" s="48"/>
    </row>
    <row r="54" spans="1:21">
      <c r="A54" s="54"/>
      <c r="B54" s="54"/>
      <c r="C54" s="54"/>
      <c r="D54" s="54" t="s">
        <v>24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9"/>
      <c r="S54" s="49"/>
      <c r="T54" s="49"/>
      <c r="U54" s="54"/>
    </row>
    <row r="55" spans="1:21" ht="26.4">
      <c r="A55" s="54"/>
      <c r="B55" s="54"/>
      <c r="C55" s="55" t="s">
        <v>191</v>
      </c>
      <c r="D55" s="54" t="s">
        <v>25</v>
      </c>
      <c r="E55" s="54"/>
      <c r="F55" s="54"/>
      <c r="G55" s="54">
        <v>2012</v>
      </c>
      <c r="H55" s="54">
        <v>2013</v>
      </c>
      <c r="I55" s="54">
        <v>2014</v>
      </c>
      <c r="J55" s="54">
        <v>2015</v>
      </c>
      <c r="K55" s="54">
        <v>2016</v>
      </c>
      <c r="L55" s="54">
        <v>2017</v>
      </c>
      <c r="M55" s="54"/>
      <c r="N55" s="54" t="s">
        <v>35</v>
      </c>
      <c r="O55" s="54"/>
      <c r="P55" s="54"/>
      <c r="Q55" s="55" t="s">
        <v>182</v>
      </c>
      <c r="U55" s="49"/>
    </row>
    <row r="56" spans="1:21">
      <c r="A56" s="54" t="s">
        <v>4</v>
      </c>
      <c r="B56" s="54"/>
      <c r="C56" s="54" t="s">
        <v>26</v>
      </c>
      <c r="D56" s="54" t="s">
        <v>26</v>
      </c>
      <c r="E56" s="54"/>
      <c r="F56" s="54"/>
      <c r="G56" s="54" t="s">
        <v>28</v>
      </c>
      <c r="H56" s="54" t="s">
        <v>29</v>
      </c>
      <c r="I56" s="54" t="s">
        <v>30</v>
      </c>
      <c r="J56" s="54" t="s">
        <v>31</v>
      </c>
      <c r="K56" s="54" t="s">
        <v>32</v>
      </c>
      <c r="L56" s="54" t="s">
        <v>33</v>
      </c>
      <c r="M56" s="54" t="s">
        <v>34</v>
      </c>
      <c r="N56" s="54" t="s">
        <v>36</v>
      </c>
      <c r="O56" s="54" t="s">
        <v>38</v>
      </c>
      <c r="P56" s="54"/>
      <c r="Q56" s="54" t="s">
        <v>34</v>
      </c>
      <c r="U56" s="49"/>
    </row>
    <row r="57" spans="1:21">
      <c r="A57" s="85" t="s">
        <v>5</v>
      </c>
      <c r="B57" s="85"/>
      <c r="C57" s="85" t="s">
        <v>2</v>
      </c>
      <c r="D57" s="85" t="s">
        <v>2</v>
      </c>
      <c r="E57" s="85"/>
      <c r="F57" s="85" t="s">
        <v>108</v>
      </c>
      <c r="G57" s="85" t="s">
        <v>20</v>
      </c>
      <c r="H57" s="85" t="s">
        <v>20</v>
      </c>
      <c r="I57" s="85" t="s">
        <v>20</v>
      </c>
      <c r="J57" s="85" t="s">
        <v>20</v>
      </c>
      <c r="K57" s="85" t="s">
        <v>20</v>
      </c>
      <c r="L57" s="85" t="s">
        <v>20</v>
      </c>
      <c r="M57" s="85" t="s">
        <v>0</v>
      </c>
      <c r="N57" s="85" t="s">
        <v>37</v>
      </c>
      <c r="O57" s="85" t="s">
        <v>0</v>
      </c>
      <c r="P57" s="85" t="s">
        <v>39</v>
      </c>
      <c r="Q57" s="56" t="s">
        <v>184</v>
      </c>
      <c r="U57" s="49"/>
    </row>
    <row r="58" spans="1:21">
      <c r="C58" s="57"/>
      <c r="D58" s="57" t="s">
        <v>71</v>
      </c>
      <c r="E58" s="58"/>
      <c r="F58" s="58"/>
      <c r="G58" s="58"/>
      <c r="H58" s="58"/>
      <c r="I58" s="58"/>
      <c r="J58" s="58"/>
      <c r="K58" s="58"/>
      <c r="L58" s="58"/>
      <c r="U58" s="50"/>
    </row>
    <row r="59" spans="1:21">
      <c r="A59" s="52">
        <v>1</v>
      </c>
      <c r="C59" s="57" t="s">
        <v>70</v>
      </c>
      <c r="D59" s="59"/>
      <c r="G59" s="27"/>
      <c r="H59" s="27"/>
      <c r="I59" s="27"/>
      <c r="J59" s="27"/>
      <c r="K59" s="27"/>
      <c r="L59" s="27">
        <f>L11+L13</f>
        <v>13471451.920000002</v>
      </c>
      <c r="M59" s="62"/>
      <c r="U59" s="50"/>
    </row>
    <row r="60" spans="1:21">
      <c r="A60" s="52">
        <v>2</v>
      </c>
      <c r="C60" s="57" t="s">
        <v>74</v>
      </c>
      <c r="D60" s="59"/>
      <c r="G60" s="27"/>
      <c r="H60" s="27"/>
      <c r="I60" s="27"/>
      <c r="J60" s="27"/>
      <c r="K60" s="27"/>
      <c r="L60" s="27">
        <f>L12</f>
        <v>4210527.95</v>
      </c>
      <c r="U60" s="50"/>
    </row>
    <row r="61" spans="1:21">
      <c r="A61" s="52">
        <v>3</v>
      </c>
      <c r="C61" s="57" t="s">
        <v>185</v>
      </c>
      <c r="D61" s="59"/>
      <c r="G61" s="27"/>
      <c r="H61" s="27"/>
      <c r="I61" s="27"/>
      <c r="J61" s="27"/>
      <c r="K61" s="27"/>
      <c r="L61" s="27"/>
      <c r="U61" s="50"/>
    </row>
    <row r="62" spans="1:21">
      <c r="C62" s="59"/>
      <c r="G62" s="27"/>
      <c r="I62" s="27"/>
      <c r="U62" s="50"/>
    </row>
    <row r="63" spans="1:21">
      <c r="G63" s="554" t="s">
        <v>43</v>
      </c>
      <c r="H63" s="554"/>
      <c r="I63" s="554"/>
      <c r="J63" s="554"/>
      <c r="K63" s="554"/>
      <c r="L63" s="554"/>
      <c r="M63" s="554"/>
      <c r="N63" s="554"/>
      <c r="U63" s="50"/>
    </row>
    <row r="64" spans="1:21">
      <c r="U64" s="51"/>
    </row>
    <row r="65" spans="1:21">
      <c r="A65" s="52">
        <f>A61+1</f>
        <v>4</v>
      </c>
      <c r="C65" s="61">
        <v>3.7499999999999999E-2</v>
      </c>
      <c r="D65" s="61">
        <v>0.05</v>
      </c>
      <c r="F65" s="52">
        <v>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U65" s="51"/>
    </row>
    <row r="66" spans="1:21">
      <c r="A66" s="52">
        <f>A65+1</f>
        <v>5</v>
      </c>
      <c r="C66" s="61">
        <v>7.2190000000000004E-2</v>
      </c>
      <c r="D66" s="61">
        <v>9.5000000000000001E-2</v>
      </c>
      <c r="F66" s="52">
        <v>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U66" s="51"/>
    </row>
    <row r="67" spans="1:21">
      <c r="A67" s="52">
        <f t="shared" ref="A67:A92" si="11">A66+1</f>
        <v>6</v>
      </c>
      <c r="C67" s="61">
        <v>6.6769999999999996E-2</v>
      </c>
      <c r="D67" s="61">
        <v>8.5500000000000007E-2</v>
      </c>
      <c r="F67" s="52">
        <v>3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U67" s="51"/>
    </row>
    <row r="68" spans="1:21">
      <c r="A68" s="52">
        <f t="shared" si="11"/>
        <v>7</v>
      </c>
      <c r="C68" s="61">
        <v>6.1769999999999999E-2</v>
      </c>
      <c r="D68" s="61">
        <v>7.6999999999999999E-2</v>
      </c>
      <c r="F68" s="52">
        <v>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U68" s="51"/>
    </row>
    <row r="69" spans="1:21">
      <c r="A69" s="52">
        <f t="shared" si="11"/>
        <v>8</v>
      </c>
      <c r="C69" s="61">
        <v>5.713E-2</v>
      </c>
      <c r="D69" s="61">
        <v>6.93E-2</v>
      </c>
      <c r="F69" s="52">
        <v>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U69" s="51"/>
    </row>
    <row r="70" spans="1:21">
      <c r="A70" s="52">
        <f t="shared" si="11"/>
        <v>9</v>
      </c>
      <c r="C70" s="61">
        <v>5.2850000000000001E-2</v>
      </c>
      <c r="D70" s="61">
        <v>6.2300000000000001E-2</v>
      </c>
      <c r="F70" s="52">
        <v>6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U70" s="51"/>
    </row>
    <row r="71" spans="1:21">
      <c r="A71" s="52">
        <f t="shared" si="11"/>
        <v>10</v>
      </c>
      <c r="C71" s="61">
        <v>4.888E-2</v>
      </c>
      <c r="D71" s="61">
        <v>5.8999999999999997E-2</v>
      </c>
      <c r="F71" s="52">
        <v>7</v>
      </c>
      <c r="G71" s="27"/>
      <c r="H71" s="27"/>
      <c r="I71" s="27"/>
      <c r="J71" s="27"/>
      <c r="K71" s="27"/>
      <c r="L71" s="27">
        <f>(('201707 Bk Depr'!$L$17-SUM('Capital Budget 2017'!K$5:K$10,'Capital Budget 2017'!K$16:K$19))*'Tax Depr 2017'!$C$65)+SUM('Capital Budget 2017'!K$5:K$10,'Capital Budget 2017'!K$16:K$19)</f>
        <v>842696.35162500001</v>
      </c>
      <c r="M71" s="27">
        <f t="shared" ref="M71:M76" si="12">SUM(G71:L71)</f>
        <v>842696.35162500001</v>
      </c>
      <c r="N71" s="27">
        <f>N23</f>
        <v>221050.71000000002</v>
      </c>
      <c r="O71" s="27">
        <f>O23</f>
        <v>3483.0979357500009</v>
      </c>
      <c r="P71" s="27">
        <f t="shared" ref="P71:P76" si="13">M71+N71-O71</f>
        <v>1060263.9636892502</v>
      </c>
      <c r="Q71" s="27">
        <f t="shared" ref="Q71:Q76" si="14">P71*0.06</f>
        <v>63615.83782135501</v>
      </c>
      <c r="U71" s="51"/>
    </row>
    <row r="72" spans="1:21">
      <c r="A72" s="52">
        <f t="shared" si="11"/>
        <v>11</v>
      </c>
      <c r="C72" s="61">
        <v>4.5220000000000003E-2</v>
      </c>
      <c r="D72" s="61">
        <v>5.8999999999999997E-2</v>
      </c>
      <c r="F72" s="52">
        <v>8</v>
      </c>
      <c r="G72" s="27"/>
      <c r="H72" s="27"/>
      <c r="I72" s="27"/>
      <c r="J72" s="27"/>
      <c r="K72" s="27"/>
      <c r="L72" s="27">
        <f>(('201708 Bk Depr'!$L$17-SUM('Capital Budget 2017'!L$5:L$10,'Capital Budget 2017'!L$16:L$19))*'Tax Depr 2017'!$C$65)+SUM('Capital Budget 2017'!L$5:L$10,'Capital Budget 2017'!L$16:L$19)</f>
        <v>952164.13200000022</v>
      </c>
      <c r="M72" s="27">
        <f t="shared" si="12"/>
        <v>952164.13200000022</v>
      </c>
      <c r="N72" s="27">
        <f t="shared" ref="N72:N76" si="15">N24</f>
        <v>133549.94</v>
      </c>
      <c r="O72" s="27">
        <f t="shared" ref="O72:O76" si="16">O24</f>
        <v>38140.872064250005</v>
      </c>
      <c r="P72" s="27">
        <f t="shared" si="13"/>
        <v>1047573.1999357501</v>
      </c>
      <c r="Q72" s="27">
        <f t="shared" si="14"/>
        <v>62854.391996145001</v>
      </c>
      <c r="U72" s="51"/>
    </row>
    <row r="73" spans="1:21">
      <c r="A73" s="52">
        <f t="shared" si="11"/>
        <v>12</v>
      </c>
      <c r="C73" s="61">
        <v>4.462E-2</v>
      </c>
      <c r="D73" s="61">
        <v>5.91E-2</v>
      </c>
      <c r="F73" s="52">
        <v>9</v>
      </c>
      <c r="G73" s="27"/>
      <c r="H73" s="27"/>
      <c r="I73" s="27"/>
      <c r="J73" s="27"/>
      <c r="K73" s="27"/>
      <c r="L73" s="27">
        <f>(('201709 Bk Depr'!$L$17-SUM('Capital Budget 2017'!M$5:M$10,'Capital Budget 2017'!M$16:M$19))*'Tax Depr 2017'!$C$65)+SUM('Capital Budget 2017'!M$5:M$10,'Capital Budget 2017'!M$16:M$19)</f>
        <v>1107064.1907500001</v>
      </c>
      <c r="M73" s="27">
        <f t="shared" si="12"/>
        <v>1107064.1907500001</v>
      </c>
      <c r="N73" s="27">
        <f t="shared" si="15"/>
        <v>147667.01999999999</v>
      </c>
      <c r="O73" s="27">
        <f t="shared" si="16"/>
        <v>18403.232751000003</v>
      </c>
      <c r="P73" s="27">
        <f t="shared" si="13"/>
        <v>1236327.9779990001</v>
      </c>
      <c r="Q73" s="27">
        <f t="shared" si="14"/>
        <v>74179.67867994</v>
      </c>
      <c r="U73" s="51"/>
    </row>
    <row r="74" spans="1:21">
      <c r="A74" s="52">
        <f t="shared" si="11"/>
        <v>13</v>
      </c>
      <c r="C74" s="61">
        <v>4.4609999999999997E-2</v>
      </c>
      <c r="D74" s="61">
        <v>5.8999999999999997E-2</v>
      </c>
      <c r="F74" s="52">
        <v>10</v>
      </c>
      <c r="G74" s="27"/>
      <c r="H74" s="27"/>
      <c r="I74" s="27"/>
      <c r="J74" s="27"/>
      <c r="K74" s="27"/>
      <c r="L74" s="27">
        <f>(('201710 Bk Depr'!$L$17-SUM('Capital Budget 2017'!N$5:N$10,'Capital Budget 2017'!N$16:N$19))*'Tax Depr 2017'!$C$65)+SUM('Capital Budget 2017'!N$5:N$10,'Capital Budget 2017'!N$16:N$19)</f>
        <v>655768.02812500007</v>
      </c>
      <c r="M74" s="27">
        <f t="shared" si="12"/>
        <v>655768.02812500007</v>
      </c>
      <c r="N74" s="27">
        <f t="shared" si="15"/>
        <v>401153.78</v>
      </c>
      <c r="O74" s="27">
        <f t="shared" si="16"/>
        <v>26123.708702250005</v>
      </c>
      <c r="P74" s="27">
        <f t="shared" si="13"/>
        <v>1030798.0994227499</v>
      </c>
      <c r="Q74" s="27">
        <f t="shared" si="14"/>
        <v>61847.885965364992</v>
      </c>
      <c r="U74" s="51"/>
    </row>
    <row r="75" spans="1:21">
      <c r="A75" s="52">
        <f t="shared" si="11"/>
        <v>14</v>
      </c>
      <c r="C75" s="61">
        <v>4.462E-2</v>
      </c>
      <c r="D75" s="61">
        <v>5.91E-2</v>
      </c>
      <c r="F75" s="52">
        <v>11</v>
      </c>
      <c r="G75" s="27"/>
      <c r="H75" s="27"/>
      <c r="I75" s="27"/>
      <c r="J75" s="27"/>
      <c r="K75" s="27"/>
      <c r="L75" s="27">
        <f>(('201711 Bk Depr'!$L$17-SUM('Capital Budget 2017'!O$5:O$10,'Capital Budget 2017'!O$16:O$19))*'Tax Depr 2017'!$C$65)+SUM('Capital Budget 2017'!O$5:O$10,'Capital Budget 2017'!O$16:O$19)</f>
        <v>482145.18987499992</v>
      </c>
      <c r="M75" s="27">
        <f t="shared" si="12"/>
        <v>482145.18987499992</v>
      </c>
      <c r="N75" s="27">
        <f t="shared" si="15"/>
        <v>289061.25000000006</v>
      </c>
      <c r="O75" s="27">
        <f t="shared" si="16"/>
        <v>33526.663026750008</v>
      </c>
      <c r="P75" s="27">
        <f t="shared" si="13"/>
        <v>737679.77684824995</v>
      </c>
      <c r="Q75" s="27">
        <f t="shared" si="14"/>
        <v>44260.786610894997</v>
      </c>
      <c r="U75" s="51"/>
    </row>
    <row r="76" spans="1:21">
      <c r="A76" s="52">
        <f t="shared" si="11"/>
        <v>15</v>
      </c>
      <c r="C76" s="61">
        <v>4.4609999999999997E-2</v>
      </c>
      <c r="D76" s="61">
        <v>5.8999999999999997E-2</v>
      </c>
      <c r="F76" s="52">
        <v>12</v>
      </c>
      <c r="G76" s="27"/>
      <c r="H76" s="27"/>
      <c r="I76" s="27"/>
      <c r="J76" s="27"/>
      <c r="K76" s="27"/>
      <c r="L76" s="27">
        <f>(('201712 Bk Depr'!$L$17-SUM('Capital Budget 2017'!P$5:P$10,'Capital Budget 2017'!P$16:P$19))*'Tax Depr 2017'!$C$65)+SUM('Capital Budget 2017'!P$5:P$10,'Capital Budget 2017'!P$16:P$19)</f>
        <v>675869.50462500006</v>
      </c>
      <c r="M76" s="27">
        <f t="shared" si="12"/>
        <v>675869.50462500006</v>
      </c>
      <c r="N76" s="27">
        <f t="shared" si="15"/>
        <v>451234.42999999993</v>
      </c>
      <c r="O76" s="27">
        <f t="shared" si="16"/>
        <v>38707.618675500009</v>
      </c>
      <c r="P76" s="27">
        <f t="shared" si="13"/>
        <v>1088396.3159495001</v>
      </c>
      <c r="Q76" s="27">
        <f t="shared" si="14"/>
        <v>65303.778956970003</v>
      </c>
      <c r="U76" s="51"/>
    </row>
    <row r="77" spans="1:21">
      <c r="A77" s="52">
        <f t="shared" si="11"/>
        <v>16</v>
      </c>
      <c r="C77" s="61">
        <v>4.462E-2</v>
      </c>
      <c r="D77" s="61">
        <v>5.91E-2</v>
      </c>
      <c r="G77" s="27"/>
      <c r="H77" s="27"/>
      <c r="I77" s="27"/>
      <c r="J77" s="27"/>
      <c r="K77" s="27"/>
      <c r="L77" s="27"/>
      <c r="M77" s="27"/>
      <c r="N77" s="27"/>
      <c r="O77" s="27"/>
      <c r="P77" s="27" t="str">
        <f t="shared" ref="P77:P91" si="17">IF(O77=0,"",M77+N77-O77)</f>
        <v/>
      </c>
      <c r="Q77" s="27" t="str">
        <f t="shared" ref="Q77:Q91" si="18">IF(P77="","",P77*0.389)</f>
        <v/>
      </c>
      <c r="R77" s="51"/>
      <c r="S77" s="51"/>
      <c r="T77" s="51"/>
      <c r="U77" s="27" t="str">
        <f t="shared" ref="U77:U91" si="19">IF(Q77="","",U76+Q77)</f>
        <v/>
      </c>
    </row>
    <row r="78" spans="1:21">
      <c r="A78" s="52">
        <f t="shared" si="11"/>
        <v>17</v>
      </c>
      <c r="C78" s="61">
        <v>4.4609999999999997E-2</v>
      </c>
      <c r="D78" s="61">
        <v>5.8999999999999997E-2</v>
      </c>
      <c r="G78" s="27"/>
      <c r="H78" s="27"/>
      <c r="I78" s="27"/>
      <c r="J78" s="27"/>
      <c r="K78" s="27"/>
      <c r="L78" s="27"/>
      <c r="M78" s="27"/>
      <c r="N78" s="27"/>
      <c r="O78" s="27"/>
      <c r="P78" s="27" t="str">
        <f t="shared" si="17"/>
        <v/>
      </c>
      <c r="Q78" s="27" t="str">
        <f t="shared" si="18"/>
        <v/>
      </c>
      <c r="R78" s="51"/>
      <c r="S78" s="51"/>
      <c r="T78" s="51"/>
      <c r="U78" s="27" t="str">
        <f t="shared" si="19"/>
        <v/>
      </c>
    </row>
    <row r="79" spans="1:21">
      <c r="A79" s="52">
        <f t="shared" si="11"/>
        <v>18</v>
      </c>
      <c r="C79" s="61">
        <v>4.462E-2</v>
      </c>
      <c r="D79" s="61">
        <v>5.91E-2</v>
      </c>
      <c r="G79" s="27"/>
      <c r="H79" s="62"/>
      <c r="I79" s="27"/>
      <c r="J79" s="27"/>
      <c r="K79" s="27"/>
      <c r="L79" s="27"/>
      <c r="M79" s="27"/>
      <c r="N79" s="27"/>
      <c r="O79" s="27"/>
      <c r="P79" s="27" t="str">
        <f t="shared" si="17"/>
        <v/>
      </c>
      <c r="Q79" s="27" t="str">
        <f t="shared" si="18"/>
        <v/>
      </c>
      <c r="R79" s="51"/>
      <c r="S79" s="51"/>
      <c r="T79" s="51"/>
      <c r="U79" s="27" t="str">
        <f t="shared" si="19"/>
        <v/>
      </c>
    </row>
    <row r="80" spans="1:21">
      <c r="A80" s="52">
        <f t="shared" si="11"/>
        <v>19</v>
      </c>
      <c r="C80" s="61">
        <v>4.4609999999999997E-2</v>
      </c>
      <c r="D80" s="61">
        <v>2.9499999999999998E-2</v>
      </c>
      <c r="G80" s="27"/>
      <c r="H80" s="27"/>
      <c r="I80" s="27"/>
      <c r="J80" s="27"/>
      <c r="K80" s="27"/>
      <c r="L80" s="27"/>
      <c r="M80" s="27"/>
      <c r="N80" s="27"/>
      <c r="O80" s="27"/>
      <c r="P80" s="27" t="str">
        <f t="shared" si="17"/>
        <v/>
      </c>
      <c r="Q80" s="27" t="str">
        <f t="shared" si="18"/>
        <v/>
      </c>
      <c r="R80" s="51"/>
      <c r="S80" s="51"/>
      <c r="T80" s="51"/>
      <c r="U80" s="27" t="str">
        <f t="shared" si="19"/>
        <v/>
      </c>
    </row>
    <row r="81" spans="1:21">
      <c r="A81" s="52">
        <f t="shared" si="11"/>
        <v>20</v>
      </c>
      <c r="C81" s="61">
        <v>4.462E-2</v>
      </c>
      <c r="D81" s="61"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 t="str">
        <f t="shared" si="17"/>
        <v/>
      </c>
      <c r="Q81" s="27" t="str">
        <f t="shared" si="18"/>
        <v/>
      </c>
      <c r="R81" s="51"/>
      <c r="S81" s="51"/>
      <c r="T81" s="51"/>
      <c r="U81" s="27" t="str">
        <f t="shared" si="19"/>
        <v/>
      </c>
    </row>
    <row r="82" spans="1:21">
      <c r="A82" s="52">
        <f t="shared" si="11"/>
        <v>21</v>
      </c>
      <c r="C82" s="61">
        <v>4.4609999999999997E-2</v>
      </c>
      <c r="D82" s="61">
        <v>0</v>
      </c>
      <c r="G82" s="27"/>
      <c r="H82" s="27"/>
      <c r="I82" s="27"/>
      <c r="J82" s="27"/>
      <c r="K82" s="27"/>
      <c r="L82" s="27"/>
      <c r="M82" s="27"/>
      <c r="N82" s="27"/>
      <c r="O82" s="27"/>
      <c r="P82" s="27" t="str">
        <f t="shared" si="17"/>
        <v/>
      </c>
      <c r="Q82" s="27" t="str">
        <f t="shared" si="18"/>
        <v/>
      </c>
      <c r="R82" s="51"/>
      <c r="S82" s="51"/>
      <c r="T82" s="51"/>
      <c r="U82" s="27" t="str">
        <f t="shared" si="19"/>
        <v/>
      </c>
    </row>
    <row r="83" spans="1:21">
      <c r="A83" s="52">
        <f t="shared" si="11"/>
        <v>22</v>
      </c>
      <c r="C83" s="61">
        <v>4.462E-2</v>
      </c>
      <c r="D83" s="61"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 t="str">
        <f t="shared" si="17"/>
        <v/>
      </c>
      <c r="Q83" s="27" t="str">
        <f t="shared" si="18"/>
        <v/>
      </c>
      <c r="R83" s="51"/>
      <c r="S83" s="51"/>
      <c r="T83" s="51"/>
      <c r="U83" s="27" t="str">
        <f t="shared" si="19"/>
        <v/>
      </c>
    </row>
    <row r="84" spans="1:21">
      <c r="A84" s="52">
        <f t="shared" si="11"/>
        <v>23</v>
      </c>
      <c r="C84" s="61">
        <v>4.4609999999999997E-2</v>
      </c>
      <c r="D84" s="61">
        <v>0</v>
      </c>
      <c r="G84" s="27"/>
      <c r="H84" s="27"/>
      <c r="I84" s="27"/>
      <c r="J84" s="27"/>
      <c r="K84" s="27"/>
      <c r="L84" s="27"/>
      <c r="M84" s="27"/>
      <c r="N84" s="27"/>
      <c r="O84" s="27"/>
      <c r="P84" s="27" t="str">
        <f t="shared" si="17"/>
        <v/>
      </c>
      <c r="Q84" s="27" t="str">
        <f t="shared" si="18"/>
        <v/>
      </c>
      <c r="R84" s="51"/>
      <c r="S84" s="51"/>
      <c r="T84" s="51"/>
      <c r="U84" s="27" t="str">
        <f t="shared" si="19"/>
        <v/>
      </c>
    </row>
    <row r="85" spans="1:21">
      <c r="A85" s="52">
        <f t="shared" si="11"/>
        <v>24</v>
      </c>
      <c r="C85" s="61">
        <v>2.231E-2</v>
      </c>
      <c r="D85" s="61"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 t="str">
        <f t="shared" si="17"/>
        <v/>
      </c>
      <c r="Q85" s="27" t="str">
        <f t="shared" si="18"/>
        <v/>
      </c>
      <c r="R85" s="51"/>
      <c r="S85" s="51"/>
      <c r="T85" s="51"/>
      <c r="U85" s="27" t="str">
        <f t="shared" si="19"/>
        <v/>
      </c>
    </row>
    <row r="86" spans="1:21">
      <c r="A86" s="52">
        <f t="shared" si="11"/>
        <v>25</v>
      </c>
      <c r="C86" s="61">
        <v>0</v>
      </c>
      <c r="D86" s="61">
        <v>0</v>
      </c>
      <c r="H86" s="27"/>
      <c r="I86" s="27"/>
      <c r="J86" s="27"/>
      <c r="K86" s="27"/>
      <c r="L86" s="27"/>
      <c r="M86" s="27"/>
      <c r="N86" s="27"/>
      <c r="O86" s="27"/>
      <c r="P86" s="27" t="str">
        <f t="shared" si="17"/>
        <v/>
      </c>
      <c r="Q86" s="27" t="str">
        <f t="shared" si="18"/>
        <v/>
      </c>
      <c r="R86" s="51"/>
      <c r="S86" s="51"/>
      <c r="T86" s="51"/>
      <c r="U86" s="27" t="str">
        <f t="shared" si="19"/>
        <v/>
      </c>
    </row>
    <row r="87" spans="1:21">
      <c r="A87" s="52">
        <f t="shared" si="11"/>
        <v>26</v>
      </c>
      <c r="C87" s="61">
        <v>0</v>
      </c>
      <c r="I87" s="27"/>
      <c r="J87" s="27"/>
      <c r="K87" s="27"/>
      <c r="L87" s="27"/>
      <c r="M87" s="27"/>
      <c r="P87" s="27" t="str">
        <f t="shared" si="17"/>
        <v/>
      </c>
      <c r="Q87" s="27" t="str">
        <f t="shared" si="18"/>
        <v/>
      </c>
      <c r="R87" s="51"/>
      <c r="S87" s="51"/>
      <c r="T87" s="51"/>
      <c r="U87" s="27" t="str">
        <f t="shared" si="19"/>
        <v/>
      </c>
    </row>
    <row r="88" spans="1:21">
      <c r="A88" s="52">
        <f t="shared" si="11"/>
        <v>27</v>
      </c>
      <c r="C88" s="61">
        <v>0</v>
      </c>
      <c r="J88" s="27"/>
      <c r="K88" s="27"/>
      <c r="L88" s="27"/>
      <c r="M88" s="27"/>
      <c r="P88" s="27" t="str">
        <f t="shared" si="17"/>
        <v/>
      </c>
      <c r="Q88" s="27" t="str">
        <f t="shared" si="18"/>
        <v/>
      </c>
      <c r="R88" s="51"/>
      <c r="S88" s="51"/>
      <c r="T88" s="51"/>
      <c r="U88" s="27" t="str">
        <f t="shared" si="19"/>
        <v/>
      </c>
    </row>
    <row r="89" spans="1:21">
      <c r="A89" s="52">
        <f t="shared" si="11"/>
        <v>28</v>
      </c>
      <c r="C89" s="61">
        <v>0</v>
      </c>
      <c r="K89" s="27"/>
      <c r="L89" s="27"/>
      <c r="M89" s="27"/>
      <c r="P89" s="27" t="str">
        <f t="shared" si="17"/>
        <v/>
      </c>
      <c r="Q89" s="27" t="str">
        <f t="shared" si="18"/>
        <v/>
      </c>
      <c r="R89" s="51"/>
      <c r="S89" s="51"/>
      <c r="T89" s="51"/>
      <c r="U89" s="27" t="str">
        <f t="shared" si="19"/>
        <v/>
      </c>
    </row>
    <row r="90" spans="1:21">
      <c r="A90" s="52">
        <f t="shared" si="11"/>
        <v>29</v>
      </c>
      <c r="C90" s="61">
        <v>0</v>
      </c>
      <c r="L90" s="27"/>
      <c r="M90" s="27"/>
      <c r="P90" s="27" t="str">
        <f t="shared" si="17"/>
        <v/>
      </c>
      <c r="Q90" s="27" t="str">
        <f t="shared" si="18"/>
        <v/>
      </c>
      <c r="R90" s="51"/>
      <c r="S90" s="51"/>
      <c r="T90" s="51"/>
      <c r="U90" s="27" t="str">
        <f t="shared" si="19"/>
        <v/>
      </c>
    </row>
    <row r="91" spans="1:21">
      <c r="A91" s="52">
        <f t="shared" si="11"/>
        <v>30</v>
      </c>
      <c r="C91" s="61">
        <v>0</v>
      </c>
      <c r="M91" s="27"/>
      <c r="P91" s="27" t="str">
        <f t="shared" si="17"/>
        <v/>
      </c>
      <c r="Q91" s="27" t="str">
        <f t="shared" si="18"/>
        <v/>
      </c>
      <c r="U91" s="27" t="str">
        <f t="shared" si="19"/>
        <v/>
      </c>
    </row>
    <row r="92" spans="1:21">
      <c r="A92" s="52">
        <f t="shared" si="11"/>
        <v>31</v>
      </c>
      <c r="G92" s="27">
        <f t="shared" ref="G92:Q92" si="20">SUM(G65:G91)</f>
        <v>0</v>
      </c>
      <c r="H92" s="27">
        <f t="shared" si="20"/>
        <v>0</v>
      </c>
      <c r="I92" s="27">
        <f t="shared" si="20"/>
        <v>0</v>
      </c>
      <c r="J92" s="27">
        <f t="shared" si="20"/>
        <v>0</v>
      </c>
      <c r="K92" s="27">
        <f t="shared" si="20"/>
        <v>0</v>
      </c>
      <c r="L92" s="27">
        <f t="shared" si="20"/>
        <v>4715707.3970000008</v>
      </c>
      <c r="M92" s="27">
        <f t="shared" si="20"/>
        <v>4715707.3970000008</v>
      </c>
      <c r="N92" s="27">
        <f t="shared" si="20"/>
        <v>1643717.1300000001</v>
      </c>
      <c r="O92" s="27">
        <f t="shared" si="20"/>
        <v>158385.19315550002</v>
      </c>
      <c r="P92" s="27">
        <f t="shared" si="20"/>
        <v>6201039.3338444997</v>
      </c>
      <c r="Q92" s="27">
        <f t="shared" si="20"/>
        <v>372062.36003067007</v>
      </c>
      <c r="R92" s="27"/>
      <c r="S92" s="27"/>
      <c r="T92" s="27"/>
      <c r="U92" s="27"/>
    </row>
    <row r="93" spans="1:21">
      <c r="H93" s="27"/>
      <c r="I93" s="27"/>
      <c r="J93" s="27"/>
      <c r="K93" s="27"/>
      <c r="L93" s="27"/>
      <c r="M93" s="27"/>
      <c r="N93" s="27"/>
      <c r="O93" s="27"/>
      <c r="U93" s="27"/>
    </row>
    <row r="94" spans="1:21">
      <c r="I94" s="62"/>
      <c r="J94" s="27"/>
    </row>
    <row r="95" spans="1:21">
      <c r="B95" s="60" t="s">
        <v>166</v>
      </c>
      <c r="C95" s="52" t="s">
        <v>229</v>
      </c>
    </row>
    <row r="96" spans="1:21">
      <c r="B96" s="60" t="s">
        <v>167</v>
      </c>
      <c r="C96" s="52" t="s">
        <v>230</v>
      </c>
    </row>
    <row r="97" spans="2:3">
      <c r="B97" s="60" t="s">
        <v>168</v>
      </c>
      <c r="C97" s="52" t="s">
        <v>231</v>
      </c>
    </row>
    <row r="98" spans="2:3">
      <c r="B98" s="60" t="s">
        <v>177</v>
      </c>
      <c r="C98" s="52" t="s">
        <v>232</v>
      </c>
    </row>
    <row r="99" spans="2:3">
      <c r="B99" s="60" t="s">
        <v>213</v>
      </c>
      <c r="C99" s="52" t="s">
        <v>233</v>
      </c>
    </row>
    <row r="100" spans="2:3">
      <c r="B100" s="60" t="s">
        <v>228</v>
      </c>
      <c r="C100" s="52" t="s">
        <v>235</v>
      </c>
    </row>
  </sheetData>
  <mergeCells count="1">
    <mergeCell ref="G63:N63"/>
  </mergeCells>
  <pageMargins left="0.7" right="0.7" top="0.75" bottom="0.75" header="0.3" footer="0.3"/>
  <pageSetup scale="39" orientation="landscape" r:id="rId1"/>
  <headerFooter>
    <oddFooter>&amp;R&amp;"Times New Roman,Bold"&amp;12Exhibit CMG-5
Page 12 of 12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X79"/>
  <sheetViews>
    <sheetView workbookViewId="0"/>
  </sheetViews>
  <sheetFormatPr defaultColWidth="9.21875" defaultRowHeight="13.2"/>
  <cols>
    <col min="1" max="1" width="10.77734375" style="28" bestFit="1" customWidth="1"/>
    <col min="2" max="2" width="11.77734375" style="28" bestFit="1" customWidth="1"/>
    <col min="3" max="3" width="32.77734375" style="28" bestFit="1" customWidth="1"/>
    <col min="4" max="4" width="5.5546875" style="28" bestFit="1" customWidth="1"/>
    <col min="5" max="16" width="11.77734375" style="28" bestFit="1" customWidth="1"/>
    <col min="17" max="17" width="12.77734375" style="28" bestFit="1" customWidth="1"/>
    <col min="18" max="18" width="9.21875" style="28"/>
    <col min="19" max="19" width="14.5546875" style="28" bestFit="1" customWidth="1"/>
    <col min="20" max="20" width="14" style="28" customWidth="1"/>
    <col min="21" max="21" width="12.77734375" style="28" customWidth="1"/>
    <col min="22" max="22" width="13.21875" style="28" customWidth="1"/>
    <col min="23" max="16384" width="9.21875" style="28"/>
  </cols>
  <sheetData>
    <row r="1" spans="1:21" s="177" customFormat="1">
      <c r="A1" s="175" t="s">
        <v>7</v>
      </c>
      <c r="B1" s="175" t="s">
        <v>109</v>
      </c>
      <c r="C1" s="175" t="s">
        <v>110</v>
      </c>
      <c r="D1" s="175" t="s">
        <v>27</v>
      </c>
      <c r="E1" s="176" t="s">
        <v>86</v>
      </c>
      <c r="F1" s="176" t="s">
        <v>87</v>
      </c>
      <c r="G1" s="176" t="s">
        <v>99</v>
      </c>
      <c r="H1" s="176" t="s">
        <v>100</v>
      </c>
      <c r="I1" s="176" t="s">
        <v>88</v>
      </c>
      <c r="J1" s="176" t="s">
        <v>101</v>
      </c>
      <c r="K1" s="176" t="s">
        <v>102</v>
      </c>
      <c r="L1" s="176" t="s">
        <v>90</v>
      </c>
      <c r="M1" s="176" t="s">
        <v>111</v>
      </c>
      <c r="N1" s="176" t="s">
        <v>92</v>
      </c>
      <c r="O1" s="176" t="s">
        <v>93</v>
      </c>
      <c r="P1" s="176" t="s">
        <v>94</v>
      </c>
      <c r="Q1" s="176" t="s">
        <v>3</v>
      </c>
    </row>
    <row r="2" spans="1:21">
      <c r="A2" s="178" t="s">
        <v>112</v>
      </c>
    </row>
    <row r="3" spans="1:21">
      <c r="B3" s="234" t="s">
        <v>123</v>
      </c>
      <c r="C3" s="234" t="s">
        <v>124</v>
      </c>
      <c r="D3" s="28">
        <v>2017</v>
      </c>
      <c r="E3" s="179">
        <v>520978.89999999851</v>
      </c>
      <c r="F3" s="179">
        <v>235337.40000000224</v>
      </c>
      <c r="G3" s="179">
        <v>1086822.0999999978</v>
      </c>
      <c r="H3" s="179">
        <v>498570.6400000006</v>
      </c>
      <c r="I3" s="179">
        <v>661669.41999999806</v>
      </c>
      <c r="J3" s="179">
        <v>339707.83000000194</v>
      </c>
      <c r="K3" s="179">
        <v>472477.71</v>
      </c>
      <c r="L3" s="179">
        <v>240387.73999999993</v>
      </c>
      <c r="M3" s="179">
        <v>560835.84000000008</v>
      </c>
      <c r="N3" s="179">
        <v>1350211.8599999999</v>
      </c>
      <c r="O3" s="179">
        <v>209637.68000000017</v>
      </c>
      <c r="P3" s="179">
        <v>74276.189999999944</v>
      </c>
      <c r="Q3" s="179">
        <f t="shared" ref="Q3:Q18" si="0">SUM(E3:P3)</f>
        <v>6250913.3099999987</v>
      </c>
      <c r="S3" s="180"/>
    </row>
    <row r="4" spans="1:21">
      <c r="B4" s="234" t="s">
        <v>126</v>
      </c>
      <c r="C4" s="234" t="s">
        <v>127</v>
      </c>
      <c r="D4" s="28">
        <v>2017</v>
      </c>
      <c r="E4" s="179">
        <v>528769.89999999851</v>
      </c>
      <c r="F4" s="179">
        <v>1071641.6600000001</v>
      </c>
      <c r="G4" s="179">
        <v>405396.62999999896</v>
      </c>
      <c r="H4" s="179">
        <v>456509.66000000015</v>
      </c>
      <c r="I4" s="179">
        <v>119386.58999999985</v>
      </c>
      <c r="J4" s="179">
        <v>123413.67000000179</v>
      </c>
      <c r="K4" s="179">
        <v>107348.31</v>
      </c>
      <c r="L4" s="179">
        <v>94422.010000000009</v>
      </c>
      <c r="M4" s="179">
        <v>75156.219999999972</v>
      </c>
      <c r="N4" s="179">
        <v>36052.75</v>
      </c>
      <c r="O4" s="179">
        <v>377006.46</v>
      </c>
      <c r="P4" s="179">
        <v>31586.229999999981</v>
      </c>
      <c r="Q4" s="179">
        <f t="shared" si="0"/>
        <v>3426690.0899999994</v>
      </c>
    </row>
    <row r="5" spans="1:21">
      <c r="B5" s="234" t="s">
        <v>128</v>
      </c>
      <c r="C5" s="234" t="s">
        <v>129</v>
      </c>
      <c r="D5" s="28">
        <v>2017</v>
      </c>
      <c r="E5" s="179">
        <v>233181.33000000007</v>
      </c>
      <c r="F5" s="179">
        <v>171957.97999999858</v>
      </c>
      <c r="G5" s="179">
        <v>125507.69000000134</v>
      </c>
      <c r="H5" s="179">
        <v>315149.74000000022</v>
      </c>
      <c r="I5" s="179">
        <v>233780.32999999821</v>
      </c>
      <c r="J5" s="179">
        <v>234858.84000000171</v>
      </c>
      <c r="K5" s="179">
        <v>159759.81</v>
      </c>
      <c r="L5" s="179">
        <v>138326.57</v>
      </c>
      <c r="M5" s="179">
        <v>530409.01</v>
      </c>
      <c r="N5" s="179">
        <v>-13997.579999999958</v>
      </c>
      <c r="O5" s="179">
        <v>45160.04999999993</v>
      </c>
      <c r="P5" s="179">
        <v>34352.119999999995</v>
      </c>
      <c r="Q5" s="251">
        <f t="shared" si="0"/>
        <v>2208445.89</v>
      </c>
      <c r="R5" s="28" t="s">
        <v>458</v>
      </c>
      <c r="S5"/>
      <c r="T5"/>
      <c r="U5"/>
    </row>
    <row r="6" spans="1:21">
      <c r="B6" s="412" t="s">
        <v>130</v>
      </c>
      <c r="C6" s="412" t="s">
        <v>131</v>
      </c>
      <c r="D6" s="28">
        <v>2017</v>
      </c>
      <c r="E6" s="179">
        <v>14120.400000000001</v>
      </c>
      <c r="F6" s="179">
        <v>15614</v>
      </c>
      <c r="G6" s="179">
        <v>17931.079999999994</v>
      </c>
      <c r="H6" s="179">
        <v>15428.660000000003</v>
      </c>
      <c r="I6" s="179">
        <v>24044.42</v>
      </c>
      <c r="J6" s="179">
        <v>14034.37999999999</v>
      </c>
      <c r="K6" s="179">
        <v>18596.599999999999</v>
      </c>
      <c r="L6" s="179">
        <v>33532.1</v>
      </c>
      <c r="M6" s="179">
        <v>33311.570000000007</v>
      </c>
      <c r="N6" s="179">
        <v>49193.469999999987</v>
      </c>
      <c r="O6" s="179">
        <v>21667.700000000012</v>
      </c>
      <c r="P6" s="179">
        <v>55597.600000000006</v>
      </c>
      <c r="Q6" s="251">
        <f t="shared" si="0"/>
        <v>313071.98</v>
      </c>
      <c r="R6" s="28" t="s">
        <v>458</v>
      </c>
      <c r="S6"/>
      <c r="T6"/>
      <c r="U6"/>
    </row>
    <row r="7" spans="1:21">
      <c r="B7" s="234" t="s">
        <v>192</v>
      </c>
      <c r="C7" s="234" t="s">
        <v>193</v>
      </c>
      <c r="D7" s="28">
        <v>2017</v>
      </c>
      <c r="E7" s="179">
        <v>139089.51</v>
      </c>
      <c r="F7" s="179">
        <v>100273</v>
      </c>
      <c r="G7" s="179">
        <v>183131.20999999996</v>
      </c>
      <c r="H7" s="179">
        <v>141251.33000000007</v>
      </c>
      <c r="I7" s="179">
        <v>174004.80000000005</v>
      </c>
      <c r="J7" s="179">
        <v>154064.29000000004</v>
      </c>
      <c r="K7" s="179">
        <v>156532.4</v>
      </c>
      <c r="L7" s="179">
        <v>87262.390000000014</v>
      </c>
      <c r="M7" s="179">
        <v>44724.28</v>
      </c>
      <c r="N7" s="179">
        <v>9977.570000000007</v>
      </c>
      <c r="O7" s="179">
        <v>48445.56</v>
      </c>
      <c r="P7" s="179">
        <v>71189.159999999974</v>
      </c>
      <c r="Q7" s="251">
        <f t="shared" si="0"/>
        <v>1309945.5000000002</v>
      </c>
      <c r="R7" s="28" t="s">
        <v>458</v>
      </c>
      <c r="S7"/>
      <c r="T7"/>
      <c r="U7"/>
    </row>
    <row r="8" spans="1:21">
      <c r="B8" s="238" t="s">
        <v>114</v>
      </c>
      <c r="C8" s="238" t="s">
        <v>115</v>
      </c>
      <c r="D8" s="28">
        <v>2017</v>
      </c>
      <c r="E8" s="179">
        <v>228764</v>
      </c>
      <c r="F8" s="179">
        <v>113240.16000000015</v>
      </c>
      <c r="G8" s="179">
        <v>242232.45999999996</v>
      </c>
      <c r="H8" s="179">
        <v>270778.31000000052</v>
      </c>
      <c r="I8" s="179">
        <v>186266.41999999899</v>
      </c>
      <c r="J8" s="179">
        <v>164938.8200000003</v>
      </c>
      <c r="K8" s="179">
        <v>178208.03</v>
      </c>
      <c r="L8" s="179">
        <v>216686.65</v>
      </c>
      <c r="M8" s="179">
        <v>242194.71000000002</v>
      </c>
      <c r="N8" s="179">
        <v>274861.59999999998</v>
      </c>
      <c r="O8" s="179">
        <v>146568.65999999992</v>
      </c>
      <c r="P8" s="179">
        <v>171112.55000000005</v>
      </c>
      <c r="Q8" s="251">
        <f>SUM(E8:P8)</f>
        <v>2435852.3699999992</v>
      </c>
      <c r="R8" s="28" t="s">
        <v>458</v>
      </c>
      <c r="S8"/>
      <c r="T8"/>
      <c r="U8"/>
    </row>
    <row r="9" spans="1:21">
      <c r="B9" s="238" t="s">
        <v>116</v>
      </c>
      <c r="C9" s="238" t="s">
        <v>117</v>
      </c>
      <c r="D9" s="28">
        <v>2017</v>
      </c>
      <c r="E9" s="179">
        <v>5789.1300000000047</v>
      </c>
      <c r="F9" s="179">
        <v>6097</v>
      </c>
      <c r="G9" s="179">
        <v>1717.2200000000012</v>
      </c>
      <c r="H9" s="179">
        <v>5594.9100000000035</v>
      </c>
      <c r="I9" s="179">
        <v>1216.3999999999942</v>
      </c>
      <c r="J9" s="179">
        <v>3702.070000000007</v>
      </c>
      <c r="K9" s="179">
        <v>-11129.050000000001</v>
      </c>
      <c r="L9" s="179">
        <v>18151.579999999998</v>
      </c>
      <c r="M9" s="179">
        <v>0</v>
      </c>
      <c r="N9" s="179">
        <v>2053.87</v>
      </c>
      <c r="O9" s="179">
        <v>2107.2100000000009</v>
      </c>
      <c r="P9" s="179">
        <v>2277.1800000000003</v>
      </c>
      <c r="Q9" s="251">
        <f t="shared" si="0"/>
        <v>37577.520000000011</v>
      </c>
      <c r="R9" s="28" t="s">
        <v>458</v>
      </c>
      <c r="S9"/>
      <c r="T9"/>
      <c r="U9"/>
    </row>
    <row r="10" spans="1:21">
      <c r="B10" s="238" t="s">
        <v>118</v>
      </c>
      <c r="C10" s="238" t="s">
        <v>119</v>
      </c>
      <c r="D10" s="28">
        <v>2017</v>
      </c>
      <c r="E10" s="179">
        <v>581.79000000000815</v>
      </c>
      <c r="F10" s="179">
        <v>7402.1999999999825</v>
      </c>
      <c r="G10" s="179">
        <v>8468.9800000000105</v>
      </c>
      <c r="H10" s="179">
        <v>1043.9499999999825</v>
      </c>
      <c r="I10" s="179">
        <v>9023.570000000007</v>
      </c>
      <c r="J10" s="179">
        <v>0</v>
      </c>
      <c r="K10" s="179">
        <v>41689.47</v>
      </c>
      <c r="L10" s="179">
        <v>5161.7299999999959</v>
      </c>
      <c r="M10" s="179">
        <v>-1411.6999999999971</v>
      </c>
      <c r="N10" s="179">
        <v>534.76000000000204</v>
      </c>
      <c r="O10" s="179">
        <v>-1401.3899999999994</v>
      </c>
      <c r="P10" s="179">
        <v>8962.43</v>
      </c>
      <c r="Q10" s="251">
        <f t="shared" si="0"/>
        <v>80055.790000000008</v>
      </c>
      <c r="R10" s="28" t="s">
        <v>458</v>
      </c>
      <c r="S10"/>
      <c r="T10"/>
      <c r="U10"/>
    </row>
    <row r="11" spans="1:21">
      <c r="B11" s="238" t="s">
        <v>120</v>
      </c>
      <c r="C11" s="238" t="s">
        <v>121</v>
      </c>
      <c r="D11" s="28">
        <v>2017</v>
      </c>
      <c r="E11" s="179">
        <v>396106.8900000006</v>
      </c>
      <c r="F11" s="179">
        <v>462578.48000000045</v>
      </c>
      <c r="G11" s="179">
        <v>382900.55999999866</v>
      </c>
      <c r="H11" s="179">
        <v>352185.10000000149</v>
      </c>
      <c r="I11" s="179">
        <v>304538.59999999963</v>
      </c>
      <c r="J11" s="179">
        <v>307815.5700000003</v>
      </c>
      <c r="K11" s="179">
        <v>306901.28000000003</v>
      </c>
      <c r="L11" s="179">
        <v>308028.39</v>
      </c>
      <c r="M11" s="179">
        <v>337339.0199999999</v>
      </c>
      <c r="N11" s="179">
        <v>494973.42000000016</v>
      </c>
      <c r="O11" s="179">
        <v>479984.35999999987</v>
      </c>
      <c r="P11" s="179">
        <v>531075.55999999982</v>
      </c>
      <c r="Q11" s="250">
        <f t="shared" si="0"/>
        <v>4664427.2300000014</v>
      </c>
      <c r="R11" s="28" t="s">
        <v>457</v>
      </c>
      <c r="S11"/>
      <c r="T11"/>
      <c r="U11"/>
    </row>
    <row r="12" spans="1:21">
      <c r="B12" s="238" t="s">
        <v>122</v>
      </c>
      <c r="C12" s="238" t="s">
        <v>219</v>
      </c>
      <c r="D12" s="28">
        <v>2017</v>
      </c>
      <c r="E12" s="179">
        <v>1732.6600000000035</v>
      </c>
      <c r="F12" s="179">
        <v>590.23999999999069</v>
      </c>
      <c r="G12" s="179">
        <v>4634.1000000000058</v>
      </c>
      <c r="H12" s="179">
        <v>3289.3500000000058</v>
      </c>
      <c r="I12" s="179">
        <v>254.82000000000698</v>
      </c>
      <c r="J12" s="179">
        <v>1484.9400000000023</v>
      </c>
      <c r="K12" s="179">
        <v>-2920.12</v>
      </c>
      <c r="L12" s="179">
        <v>7558.4</v>
      </c>
      <c r="M12" s="179">
        <v>3637.5199999999995</v>
      </c>
      <c r="N12" s="179">
        <v>1665.8400000000001</v>
      </c>
      <c r="O12" s="179">
        <v>12133.46</v>
      </c>
      <c r="P12" s="179">
        <v>30537.520000000004</v>
      </c>
      <c r="Q12" s="250">
        <f t="shared" si="0"/>
        <v>64598.730000000018</v>
      </c>
      <c r="R12" s="28" t="s">
        <v>457</v>
      </c>
      <c r="S12"/>
      <c r="T12"/>
      <c r="U12"/>
    </row>
    <row r="13" spans="1:21">
      <c r="B13" s="238" t="s">
        <v>296</v>
      </c>
      <c r="C13" s="239" t="s">
        <v>352</v>
      </c>
      <c r="D13" s="28">
        <v>2017</v>
      </c>
      <c r="E13" s="179">
        <v>1481.4799999999959</v>
      </c>
      <c r="F13" s="179">
        <v>332.63000000000466</v>
      </c>
      <c r="G13" s="179">
        <v>517.33000000000175</v>
      </c>
      <c r="H13" s="179">
        <v>0</v>
      </c>
      <c r="I13" s="179">
        <v>0</v>
      </c>
      <c r="J13" s="179">
        <v>520.22000000000116</v>
      </c>
      <c r="K13" s="179">
        <v>-1037.55</v>
      </c>
      <c r="L13" s="179">
        <v>1037.55</v>
      </c>
      <c r="M13" s="179">
        <v>0</v>
      </c>
      <c r="N13" s="179">
        <v>0</v>
      </c>
      <c r="O13" s="179">
        <v>0</v>
      </c>
      <c r="P13" s="179">
        <v>0</v>
      </c>
      <c r="Q13" s="250">
        <f t="shared" si="0"/>
        <v>2851.6600000000035</v>
      </c>
      <c r="R13" s="28" t="s">
        <v>457</v>
      </c>
      <c r="S13"/>
      <c r="T13"/>
      <c r="U13"/>
    </row>
    <row r="14" spans="1:21">
      <c r="B14" s="235" t="s">
        <v>123</v>
      </c>
      <c r="C14" s="235" t="s">
        <v>124</v>
      </c>
      <c r="D14" s="28">
        <v>2017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227290.54</v>
      </c>
      <c r="M14" s="179">
        <v>0</v>
      </c>
      <c r="N14" s="179">
        <v>0</v>
      </c>
      <c r="O14" s="179">
        <v>0</v>
      </c>
      <c r="P14" s="179">
        <v>0</v>
      </c>
      <c r="Q14" s="179">
        <f t="shared" si="0"/>
        <v>227290.54</v>
      </c>
      <c r="S14"/>
      <c r="T14"/>
      <c r="U14"/>
    </row>
    <row r="15" spans="1:21">
      <c r="B15" s="241" t="s">
        <v>125</v>
      </c>
      <c r="C15" s="241" t="s">
        <v>169</v>
      </c>
      <c r="D15" s="28">
        <v>2017</v>
      </c>
      <c r="E15" s="179">
        <v>1369037.4699999988</v>
      </c>
      <c r="F15" s="179">
        <v>1390174.0300000012</v>
      </c>
      <c r="G15" s="179">
        <v>1356976.2199999988</v>
      </c>
      <c r="H15" s="179">
        <v>1383896.5199999958</v>
      </c>
      <c r="I15" s="179">
        <v>1709499.3800000101</v>
      </c>
      <c r="J15" s="179">
        <v>1494016.1799999923</v>
      </c>
      <c r="K15" s="179">
        <v>1397473.08</v>
      </c>
      <c r="L15" s="179">
        <v>1524779.69</v>
      </c>
      <c r="M15" s="179">
        <v>1152787.42</v>
      </c>
      <c r="N15" s="179">
        <v>1487575.2799999998</v>
      </c>
      <c r="O15" s="179">
        <v>1174067.3700000001</v>
      </c>
      <c r="P15" s="179">
        <v>367164.8900000006</v>
      </c>
      <c r="Q15" s="250">
        <f t="shared" si="0"/>
        <v>15807447.529999997</v>
      </c>
      <c r="R15" s="28" t="s">
        <v>457</v>
      </c>
      <c r="S15"/>
      <c r="T15"/>
      <c r="U15"/>
    </row>
    <row r="16" spans="1:21">
      <c r="B16" s="235" t="s">
        <v>192</v>
      </c>
      <c r="C16" s="235" t="s">
        <v>193</v>
      </c>
      <c r="D16" s="28">
        <v>2017</v>
      </c>
      <c r="E16" s="179">
        <v>139089.64999999991</v>
      </c>
      <c r="F16" s="179">
        <v>100273.10000000009</v>
      </c>
      <c r="G16" s="179">
        <v>183131.36999999988</v>
      </c>
      <c r="H16" s="179">
        <v>141251.4700000002</v>
      </c>
      <c r="I16" s="179">
        <v>174004.94999999995</v>
      </c>
      <c r="J16" s="179">
        <v>154064.42999999993</v>
      </c>
      <c r="K16" s="179">
        <v>156532.54999999999</v>
      </c>
      <c r="L16" s="179">
        <v>77488.800000000017</v>
      </c>
      <c r="M16" s="179">
        <v>44724.249999999971</v>
      </c>
      <c r="N16" s="179">
        <v>9977.5599999999977</v>
      </c>
      <c r="O16" s="179">
        <v>48445.540000000037</v>
      </c>
      <c r="P16" s="179">
        <v>71189.13</v>
      </c>
      <c r="Q16" s="251">
        <f t="shared" si="0"/>
        <v>1300172.8000000003</v>
      </c>
      <c r="R16" s="28" t="s">
        <v>458</v>
      </c>
      <c r="S16"/>
      <c r="T16"/>
      <c r="U16"/>
    </row>
    <row r="17" spans="1:24">
      <c r="B17" s="235" t="s">
        <v>130</v>
      </c>
      <c r="C17" s="235" t="s">
        <v>131</v>
      </c>
      <c r="D17" s="28">
        <v>2017</v>
      </c>
      <c r="E17" s="179">
        <v>56481.599999999627</v>
      </c>
      <c r="F17" s="179">
        <v>62456</v>
      </c>
      <c r="G17" s="179">
        <v>71724.320000000298</v>
      </c>
      <c r="H17" s="179">
        <v>61714.639999999665</v>
      </c>
      <c r="I17" s="179">
        <v>96177.680000000633</v>
      </c>
      <c r="J17" s="179">
        <v>56137.519999999553</v>
      </c>
      <c r="K17" s="179">
        <v>74386.399999999994</v>
      </c>
      <c r="L17" s="179">
        <v>268033.94000000006</v>
      </c>
      <c r="M17" s="179">
        <v>133246.21999999997</v>
      </c>
      <c r="N17" s="179">
        <v>196773.81</v>
      </c>
      <c r="O17" s="179">
        <v>86670.760000000009</v>
      </c>
      <c r="P17" s="179">
        <v>222390.31999999995</v>
      </c>
      <c r="Q17" s="251">
        <f t="shared" si="0"/>
        <v>1386193.21</v>
      </c>
      <c r="R17" s="28" t="s">
        <v>458</v>
      </c>
      <c r="S17"/>
      <c r="T17"/>
      <c r="U17"/>
    </row>
    <row r="18" spans="1:24">
      <c r="B18" s="236" t="s">
        <v>132</v>
      </c>
      <c r="C18" s="235" t="s">
        <v>133</v>
      </c>
      <c r="D18" s="28">
        <v>2017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-17369.669999999998</v>
      </c>
      <c r="L18" s="179">
        <v>17369.669999999998</v>
      </c>
      <c r="M18" s="179">
        <v>0</v>
      </c>
      <c r="N18" s="179">
        <v>0</v>
      </c>
      <c r="O18" s="179">
        <v>0</v>
      </c>
      <c r="P18" s="179">
        <v>0</v>
      </c>
      <c r="Q18" s="251">
        <f t="shared" si="0"/>
        <v>0</v>
      </c>
      <c r="R18" s="28" t="s">
        <v>458</v>
      </c>
      <c r="S18"/>
      <c r="T18"/>
      <c r="U18"/>
    </row>
    <row r="19" spans="1:24">
      <c r="B19" s="235" t="s">
        <v>350</v>
      </c>
      <c r="C19" s="237" t="s">
        <v>351</v>
      </c>
      <c r="D19" s="28">
        <v>2017</v>
      </c>
      <c r="E19" s="242">
        <v>0</v>
      </c>
      <c r="F19" s="242">
        <v>0</v>
      </c>
      <c r="G19" s="181">
        <v>615.03000000000247</v>
      </c>
      <c r="H19" s="181">
        <v>0</v>
      </c>
      <c r="I19" s="181">
        <v>67.099999999998545</v>
      </c>
      <c r="J19" s="181">
        <v>-0.33000000000174623</v>
      </c>
      <c r="K19" s="181">
        <v>-19.29</v>
      </c>
      <c r="L19" s="181">
        <v>19.29</v>
      </c>
      <c r="M19" s="181">
        <v>0</v>
      </c>
      <c r="N19" s="181">
        <v>0</v>
      </c>
      <c r="O19" s="181">
        <v>0</v>
      </c>
      <c r="P19" s="181">
        <v>0</v>
      </c>
      <c r="Q19" s="252">
        <f>SUM(E19:P19)</f>
        <v>681.79999999999927</v>
      </c>
      <c r="R19" s="28" t="s">
        <v>458</v>
      </c>
    </row>
    <row r="20" spans="1:24">
      <c r="C20" s="29" t="s">
        <v>134</v>
      </c>
      <c r="E20" s="182">
        <f t="shared" ref="E20:P20" si="1">SUM(E3:E19)</f>
        <v>3635204.7099999958</v>
      </c>
      <c r="F20" s="182">
        <f t="shared" si="1"/>
        <v>3737967.8800000031</v>
      </c>
      <c r="G20" s="182">
        <f t="shared" si="1"/>
        <v>4071706.2999999956</v>
      </c>
      <c r="H20" s="182">
        <f t="shared" si="1"/>
        <v>3646664.2799999989</v>
      </c>
      <c r="I20" s="182">
        <f t="shared" si="1"/>
        <v>3693934.4800000056</v>
      </c>
      <c r="J20" s="182">
        <f t="shared" si="1"/>
        <v>3048758.4299999978</v>
      </c>
      <c r="K20" s="182">
        <f t="shared" si="1"/>
        <v>3037429.9599999995</v>
      </c>
      <c r="L20" s="182">
        <f t="shared" si="1"/>
        <v>3265537.0399999996</v>
      </c>
      <c r="M20" s="182">
        <f t="shared" si="1"/>
        <v>3156954.3600000003</v>
      </c>
      <c r="N20" s="182">
        <f t="shared" si="1"/>
        <v>3899854.21</v>
      </c>
      <c r="O20" s="182">
        <f t="shared" si="1"/>
        <v>2650493.42</v>
      </c>
      <c r="P20" s="182">
        <f t="shared" si="1"/>
        <v>1671710.8800000004</v>
      </c>
      <c r="Q20" s="182">
        <f>SUM(Q3:Q19)</f>
        <v>39516215.949999996</v>
      </c>
    </row>
    <row r="21" spans="1:24">
      <c r="C21" s="29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24">
      <c r="C22" s="29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24">
      <c r="A23" s="183" t="s">
        <v>113</v>
      </c>
      <c r="B23" s="183" t="s">
        <v>324</v>
      </c>
      <c r="C23" s="183"/>
      <c r="D23" s="183">
        <v>2017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239723.06</v>
      </c>
      <c r="L23" s="64">
        <v>70380.760000000009</v>
      </c>
      <c r="M23" s="64">
        <v>306489.25000000006</v>
      </c>
      <c r="N23" s="64">
        <v>429940.78</v>
      </c>
      <c r="O23" s="64">
        <v>393412.5399999998</v>
      </c>
      <c r="P23" s="64">
        <v>1622694.82</v>
      </c>
      <c r="Q23" s="179">
        <f>SUM(E23:P23)</f>
        <v>3062641.21</v>
      </c>
      <c r="R23" s="28" t="s">
        <v>222</v>
      </c>
    </row>
    <row r="24" spans="1:24"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24">
      <c r="A25" s="178" t="s">
        <v>37</v>
      </c>
      <c r="S25"/>
      <c r="T25"/>
      <c r="U25"/>
      <c r="V25"/>
      <c r="W25"/>
      <c r="X25"/>
    </row>
    <row r="26" spans="1:24">
      <c r="A26" s="28" t="s">
        <v>135</v>
      </c>
      <c r="B26" s="240" t="s">
        <v>123</v>
      </c>
      <c r="C26" s="240" t="s">
        <v>124</v>
      </c>
      <c r="D26" s="28">
        <v>2017</v>
      </c>
      <c r="E26" s="179">
        <v>3419.82</v>
      </c>
      <c r="F26" s="179">
        <v>6138.96</v>
      </c>
      <c r="G26" s="179">
        <v>7265.57</v>
      </c>
      <c r="H26" s="179">
        <v>11339.26</v>
      </c>
      <c r="I26" s="179">
        <v>48283.839999999997</v>
      </c>
      <c r="J26" s="179">
        <v>44705.18</v>
      </c>
      <c r="K26" s="179">
        <v>38874.949999999997</v>
      </c>
      <c r="L26" s="179">
        <v>13652.62</v>
      </c>
      <c r="M26" s="179">
        <v>36086.69</v>
      </c>
      <c r="N26" s="179">
        <v>147498.39000000001</v>
      </c>
      <c r="O26" s="179">
        <v>198015.39</v>
      </c>
      <c r="P26" s="179">
        <v>315268.21999999997</v>
      </c>
      <c r="Q26" s="179">
        <f t="shared" ref="Q26:Q31" si="2">SUM(E26:P26)</f>
        <v>870548.89</v>
      </c>
      <c r="S26"/>
      <c r="T26"/>
      <c r="U26"/>
      <c r="V26"/>
      <c r="W26"/>
      <c r="X26"/>
    </row>
    <row r="27" spans="1:24">
      <c r="A27" s="28" t="s">
        <v>135</v>
      </c>
      <c r="B27" s="240" t="s">
        <v>126</v>
      </c>
      <c r="C27" s="240" t="s">
        <v>127</v>
      </c>
      <c r="D27" s="28">
        <v>2017</v>
      </c>
      <c r="E27" s="179">
        <v>10591.47</v>
      </c>
      <c r="F27" s="179">
        <v>69695.240000000005</v>
      </c>
      <c r="G27" s="179">
        <v>408.53</v>
      </c>
      <c r="H27" s="179">
        <v>3060.12</v>
      </c>
      <c r="I27" s="179">
        <v>12155.12</v>
      </c>
      <c r="J27" s="179">
        <v>45491.64</v>
      </c>
      <c r="K27" s="179">
        <v>118656.44</v>
      </c>
      <c r="L27" s="179">
        <v>47773.16</v>
      </c>
      <c r="M27" s="179">
        <v>7823.23</v>
      </c>
      <c r="N27" s="179">
        <v>12470.76</v>
      </c>
      <c r="O27" s="179">
        <v>7387.7</v>
      </c>
      <c r="P27" s="179">
        <v>60669.52</v>
      </c>
      <c r="Q27" s="179">
        <f t="shared" si="2"/>
        <v>396182.93</v>
      </c>
      <c r="S27"/>
      <c r="T27"/>
      <c r="U27"/>
      <c r="V27"/>
      <c r="W27"/>
      <c r="X27"/>
    </row>
    <row r="28" spans="1:24">
      <c r="A28" s="28" t="s">
        <v>135</v>
      </c>
      <c r="B28" s="240" t="s">
        <v>128</v>
      </c>
      <c r="C28" s="240" t="s">
        <v>129</v>
      </c>
      <c r="D28" s="28">
        <v>2017</v>
      </c>
      <c r="E28" s="179">
        <v>18724.18</v>
      </c>
      <c r="F28" s="179">
        <v>113905.69</v>
      </c>
      <c r="G28" s="179">
        <v>64789.79</v>
      </c>
      <c r="H28" s="179">
        <v>1723.75</v>
      </c>
      <c r="I28" s="179">
        <v>33286.61</v>
      </c>
      <c r="J28" s="179">
        <v>34648.080000000002</v>
      </c>
      <c r="K28" s="179">
        <v>19593.14</v>
      </c>
      <c r="L28" s="179">
        <v>34511.69</v>
      </c>
      <c r="M28" s="179">
        <v>41454.58</v>
      </c>
      <c r="N28" s="179">
        <v>73381.240000000005</v>
      </c>
      <c r="O28" s="179">
        <v>10571.38</v>
      </c>
      <c r="P28" s="179">
        <v>2295.92</v>
      </c>
      <c r="Q28" s="179">
        <f t="shared" si="2"/>
        <v>448886.05000000005</v>
      </c>
      <c r="S28"/>
      <c r="T28"/>
      <c r="U28"/>
      <c r="V28"/>
      <c r="W28"/>
      <c r="X28"/>
    </row>
    <row r="29" spans="1:24">
      <c r="A29" s="28" t="s">
        <v>135</v>
      </c>
      <c r="B29" s="243" t="s">
        <v>130</v>
      </c>
      <c r="C29" s="243" t="s">
        <v>131</v>
      </c>
      <c r="D29" s="28">
        <v>2017</v>
      </c>
      <c r="E29" s="179">
        <v>7714.94</v>
      </c>
      <c r="F29" s="179">
        <v>13634.23</v>
      </c>
      <c r="G29" s="179">
        <v>18500.919999999998</v>
      </c>
      <c r="H29" s="179">
        <v>10452.540000000001</v>
      </c>
      <c r="I29" s="179">
        <v>21963.52</v>
      </c>
      <c r="J29" s="179">
        <v>43551.3</v>
      </c>
      <c r="K29" s="179">
        <v>16158.76</v>
      </c>
      <c r="L29" s="179">
        <v>16083.48</v>
      </c>
      <c r="M29" s="179">
        <v>18536.05</v>
      </c>
      <c r="N29" s="179">
        <v>17341.64</v>
      </c>
      <c r="O29" s="179">
        <v>28010.400000000001</v>
      </c>
      <c r="P29" s="179">
        <v>24027.32</v>
      </c>
      <c r="Q29" s="179">
        <f t="shared" si="2"/>
        <v>235975.1</v>
      </c>
      <c r="S29"/>
      <c r="T29"/>
      <c r="U29"/>
      <c r="V29"/>
      <c r="W29"/>
      <c r="X29"/>
    </row>
    <row r="30" spans="1:24">
      <c r="A30" s="28" t="s">
        <v>135</v>
      </c>
      <c r="B30" s="243" t="s">
        <v>132</v>
      </c>
      <c r="C30" s="243" t="s">
        <v>133</v>
      </c>
      <c r="D30" s="28">
        <v>2017</v>
      </c>
      <c r="E30" s="179">
        <v>26251.599999999999</v>
      </c>
      <c r="F30" s="179">
        <v>29321.27</v>
      </c>
      <c r="G30" s="179">
        <v>30169.439999999999</v>
      </c>
      <c r="H30" s="179">
        <v>24981.24</v>
      </c>
      <c r="I30" s="179">
        <v>18663.61</v>
      </c>
      <c r="J30" s="179">
        <v>19225.32</v>
      </c>
      <c r="K30" s="179">
        <v>10258.4</v>
      </c>
      <c r="L30" s="179">
        <v>12861.93</v>
      </c>
      <c r="M30" s="179">
        <v>5501.79</v>
      </c>
      <c r="N30" s="179">
        <v>14104.64</v>
      </c>
      <c r="O30" s="179">
        <v>10789.93</v>
      </c>
      <c r="P30" s="179">
        <v>13422.09</v>
      </c>
      <c r="Q30" s="179">
        <f t="shared" si="2"/>
        <v>215551.25999999998</v>
      </c>
      <c r="S30"/>
      <c r="T30"/>
      <c r="U30"/>
      <c r="V30"/>
      <c r="W30"/>
      <c r="X30"/>
    </row>
    <row r="31" spans="1:24">
      <c r="A31" s="28" t="s">
        <v>135</v>
      </c>
      <c r="B31" s="240" t="s">
        <v>192</v>
      </c>
      <c r="C31" s="240" t="s">
        <v>193</v>
      </c>
      <c r="D31" s="28">
        <v>2017</v>
      </c>
      <c r="E31" s="181"/>
      <c r="F31" s="181"/>
      <c r="G31" s="181"/>
      <c r="H31" s="181"/>
      <c r="I31" s="181">
        <v>49974.13</v>
      </c>
      <c r="J31" s="181">
        <v>6755.03</v>
      </c>
      <c r="K31" s="181">
        <v>17509.02</v>
      </c>
      <c r="L31" s="181">
        <v>8667.06</v>
      </c>
      <c r="M31" s="181">
        <v>38264.68</v>
      </c>
      <c r="N31" s="181">
        <v>136357.10999999999</v>
      </c>
      <c r="O31" s="181">
        <v>34286.449999999997</v>
      </c>
      <c r="P31" s="181">
        <v>35551.360000000001</v>
      </c>
      <c r="Q31" s="181">
        <f t="shared" si="2"/>
        <v>327364.83999999997</v>
      </c>
      <c r="S31"/>
      <c r="T31"/>
      <c r="U31"/>
      <c r="V31"/>
      <c r="W31"/>
      <c r="X31"/>
    </row>
    <row r="32" spans="1:24">
      <c r="C32" s="29" t="s">
        <v>136</v>
      </c>
      <c r="E32" s="182">
        <f t="shared" ref="E32:Q32" si="3">SUM(E26:E31)</f>
        <v>66702.010000000009</v>
      </c>
      <c r="F32" s="182">
        <f t="shared" si="3"/>
        <v>232695.39</v>
      </c>
      <c r="G32" s="182">
        <f t="shared" si="3"/>
        <v>121134.25</v>
      </c>
      <c r="H32" s="182">
        <f>SUM(H26:H31)</f>
        <v>51556.91</v>
      </c>
      <c r="I32" s="182">
        <f t="shared" si="3"/>
        <v>184326.83000000002</v>
      </c>
      <c r="J32" s="182">
        <f>SUM(J26:J31)</f>
        <v>194376.55000000002</v>
      </c>
      <c r="K32" s="182">
        <f t="shared" si="3"/>
        <v>221050.71000000002</v>
      </c>
      <c r="L32" s="182">
        <f t="shared" si="3"/>
        <v>133549.94</v>
      </c>
      <c r="M32" s="182">
        <f t="shared" si="3"/>
        <v>147667.01999999999</v>
      </c>
      <c r="N32" s="182">
        <f t="shared" si="3"/>
        <v>401153.78</v>
      </c>
      <c r="O32" s="182">
        <f t="shared" si="3"/>
        <v>289061.25</v>
      </c>
      <c r="P32" s="182">
        <f t="shared" si="3"/>
        <v>451234.43</v>
      </c>
      <c r="Q32" s="182">
        <f t="shared" si="3"/>
        <v>2494509.0699999998</v>
      </c>
      <c r="S32"/>
      <c r="T32"/>
      <c r="U32"/>
      <c r="V32"/>
      <c r="W32"/>
      <c r="X32"/>
    </row>
    <row r="33" spans="1:24">
      <c r="S33"/>
      <c r="T33"/>
      <c r="U33"/>
      <c r="V33"/>
      <c r="W33"/>
      <c r="X33"/>
    </row>
    <row r="34" spans="1:24">
      <c r="C34" s="29" t="s">
        <v>194</v>
      </c>
      <c r="E34" s="182">
        <f t="shared" ref="E34:O34" si="4">E20+E32+E23</f>
        <v>3701906.719999996</v>
      </c>
      <c r="F34" s="182">
        <f t="shared" si="4"/>
        <v>3970663.2700000033</v>
      </c>
      <c r="G34" s="182">
        <f t="shared" si="4"/>
        <v>4192840.5499999956</v>
      </c>
      <c r="H34" s="182">
        <f t="shared" si="4"/>
        <v>3698221.189999999</v>
      </c>
      <c r="I34" s="182">
        <f t="shared" si="4"/>
        <v>3878261.3100000056</v>
      </c>
      <c r="J34" s="182">
        <f t="shared" si="4"/>
        <v>3243134.9799999977</v>
      </c>
      <c r="K34" s="182">
        <f t="shared" si="4"/>
        <v>3498203.7299999995</v>
      </c>
      <c r="L34" s="182">
        <f t="shared" si="4"/>
        <v>3469467.7399999993</v>
      </c>
      <c r="M34" s="182">
        <f t="shared" si="4"/>
        <v>3611110.6300000004</v>
      </c>
      <c r="N34" s="182">
        <f t="shared" si="4"/>
        <v>4730948.7700000005</v>
      </c>
      <c r="O34" s="182">
        <f t="shared" si="4"/>
        <v>3332967.21</v>
      </c>
      <c r="P34" s="182">
        <f>P20+P32+P23</f>
        <v>3745640.1300000008</v>
      </c>
      <c r="Q34" s="182">
        <f>Q20+Q32+Q23</f>
        <v>45073366.229999997</v>
      </c>
      <c r="T34" s="183"/>
      <c r="U34" s="183"/>
      <c r="V34" s="183"/>
    </row>
    <row r="35" spans="1:24">
      <c r="C35" s="29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24" hidden="1">
      <c r="A36" s="178" t="s">
        <v>112</v>
      </c>
    </row>
    <row r="37" spans="1:24" hidden="1">
      <c r="A37" s="28" t="s">
        <v>113</v>
      </c>
      <c r="B37" s="28" t="s">
        <v>114</v>
      </c>
      <c r="C37" s="28" t="s">
        <v>115</v>
      </c>
      <c r="D37" s="28">
        <v>2018</v>
      </c>
      <c r="E37" s="179">
        <v>186185.53</v>
      </c>
      <c r="F37" s="179">
        <v>160489.14000000001</v>
      </c>
      <c r="G37" s="179">
        <v>169260.06</v>
      </c>
      <c r="H37" s="179">
        <v>162592.25</v>
      </c>
      <c r="I37" s="179">
        <v>176374.84</v>
      </c>
      <c r="J37" s="179">
        <v>158518.10999999999</v>
      </c>
      <c r="K37" s="179">
        <v>159817.35999999999</v>
      </c>
      <c r="L37" s="179">
        <v>186878.72</v>
      </c>
      <c r="M37" s="179">
        <v>162215.48000000001</v>
      </c>
      <c r="N37" s="179">
        <v>180247.71</v>
      </c>
      <c r="O37" s="179">
        <v>167622.68</v>
      </c>
      <c r="P37" s="179">
        <v>157909.67000000001</v>
      </c>
      <c r="Q37" s="179">
        <f t="shared" ref="Q37:Q48" si="5">SUM(E37:P37)</f>
        <v>2028111.5499999998</v>
      </c>
    </row>
    <row r="38" spans="1:24" hidden="1">
      <c r="A38" s="28" t="s">
        <v>113</v>
      </c>
      <c r="B38" s="28" t="s">
        <v>116</v>
      </c>
      <c r="C38" s="28" t="s">
        <v>117</v>
      </c>
      <c r="D38" s="28">
        <v>2018</v>
      </c>
      <c r="E38" s="179">
        <v>12063.07</v>
      </c>
      <c r="F38" s="179">
        <v>8642.9699999999993</v>
      </c>
      <c r="G38" s="179">
        <v>9978.69</v>
      </c>
      <c r="H38" s="179">
        <v>14011.59</v>
      </c>
      <c r="I38" s="179">
        <v>22487.79</v>
      </c>
      <c r="J38" s="179">
        <v>7893.27</v>
      </c>
      <c r="K38" s="179">
        <v>11927.31</v>
      </c>
      <c r="L38" s="179">
        <v>10922.97</v>
      </c>
      <c r="M38" s="179">
        <v>8727.43</v>
      </c>
      <c r="N38" s="179">
        <v>16982.37</v>
      </c>
      <c r="O38" s="179">
        <v>12062.97</v>
      </c>
      <c r="P38" s="179">
        <v>4337.6099999999997</v>
      </c>
      <c r="Q38" s="179">
        <f t="shared" si="5"/>
        <v>140038.04</v>
      </c>
    </row>
    <row r="39" spans="1:24" hidden="1">
      <c r="A39" s="28" t="s">
        <v>113</v>
      </c>
      <c r="B39" s="28" t="s">
        <v>118</v>
      </c>
      <c r="C39" s="28" t="s">
        <v>119</v>
      </c>
      <c r="D39" s="28">
        <v>2018</v>
      </c>
      <c r="E39" s="179">
        <v>4186.8</v>
      </c>
      <c r="F39" s="179">
        <v>0</v>
      </c>
      <c r="G39" s="179">
        <v>8746.7999999999993</v>
      </c>
      <c r="H39" s="179">
        <v>0</v>
      </c>
      <c r="I39" s="179">
        <v>13306.8</v>
      </c>
      <c r="J39" s="179">
        <v>34200</v>
      </c>
      <c r="K39" s="179">
        <v>11400</v>
      </c>
      <c r="L39" s="179">
        <v>11026.8</v>
      </c>
      <c r="M39" s="179">
        <v>0</v>
      </c>
      <c r="N39" s="179">
        <v>4186.8</v>
      </c>
      <c r="O39" s="179">
        <v>4560</v>
      </c>
      <c r="P39" s="179">
        <v>7793.4</v>
      </c>
      <c r="Q39" s="179">
        <f t="shared" si="5"/>
        <v>99407.4</v>
      </c>
    </row>
    <row r="40" spans="1:24" hidden="1">
      <c r="A40" s="28" t="s">
        <v>113</v>
      </c>
      <c r="B40" s="28" t="s">
        <v>120</v>
      </c>
      <c r="C40" s="28" t="s">
        <v>121</v>
      </c>
      <c r="D40" s="28">
        <v>2018</v>
      </c>
      <c r="E40" s="179">
        <v>387527.36</v>
      </c>
      <c r="F40" s="179">
        <v>325903.34000000003</v>
      </c>
      <c r="G40" s="179">
        <v>356177.76</v>
      </c>
      <c r="H40" s="179">
        <v>340813.14</v>
      </c>
      <c r="I40" s="179">
        <v>373653.38</v>
      </c>
      <c r="J40" s="179">
        <v>336399.05</v>
      </c>
      <c r="K40" s="179">
        <v>341054.36</v>
      </c>
      <c r="L40" s="179">
        <v>397880.68</v>
      </c>
      <c r="M40" s="179">
        <v>338179.39</v>
      </c>
      <c r="N40" s="179">
        <v>381704.17</v>
      </c>
      <c r="O40" s="179">
        <v>348481.75</v>
      </c>
      <c r="P40" s="179">
        <v>312069.15999999997</v>
      </c>
      <c r="Q40" s="179">
        <f t="shared" si="5"/>
        <v>4239843.54</v>
      </c>
    </row>
    <row r="41" spans="1:24" hidden="1">
      <c r="A41" s="28" t="s">
        <v>113</v>
      </c>
      <c r="B41" s="28" t="s">
        <v>122</v>
      </c>
      <c r="C41" s="28" t="s">
        <v>219</v>
      </c>
      <c r="D41" s="28">
        <v>2018</v>
      </c>
      <c r="E41" s="179">
        <v>1140</v>
      </c>
      <c r="F41" s="179">
        <v>4373.3999999999996</v>
      </c>
      <c r="G41" s="179">
        <v>3224.28</v>
      </c>
      <c r="H41" s="179">
        <v>4560</v>
      </c>
      <c r="I41" s="179">
        <v>3224.28</v>
      </c>
      <c r="J41" s="179">
        <v>10636.5</v>
      </c>
      <c r="K41" s="179">
        <v>3224.28</v>
      </c>
      <c r="L41" s="179">
        <v>3224.28</v>
      </c>
      <c r="M41" s="179">
        <v>3224.28</v>
      </c>
      <c r="N41" s="179">
        <v>4364.28</v>
      </c>
      <c r="O41" s="179">
        <v>3224.28</v>
      </c>
      <c r="P41" s="179">
        <v>1140</v>
      </c>
      <c r="Q41" s="179">
        <f t="shared" si="5"/>
        <v>45559.859999999993</v>
      </c>
    </row>
    <row r="42" spans="1:24" hidden="1">
      <c r="A42" s="28" t="s">
        <v>113</v>
      </c>
      <c r="B42" s="28" t="s">
        <v>123</v>
      </c>
      <c r="C42" s="28" t="s">
        <v>124</v>
      </c>
      <c r="D42" s="28">
        <v>2018</v>
      </c>
      <c r="E42" s="179">
        <v>324961.05</v>
      </c>
      <c r="F42" s="179">
        <v>329947.18</v>
      </c>
      <c r="G42" s="179">
        <v>332498.55</v>
      </c>
      <c r="H42" s="179">
        <v>328543.65999999997</v>
      </c>
      <c r="I42" s="179">
        <v>333103.65999999997</v>
      </c>
      <c r="J42" s="179">
        <v>328901.58</v>
      </c>
      <c r="K42" s="179">
        <v>326977.52</v>
      </c>
      <c r="L42" s="179">
        <v>335120.13</v>
      </c>
      <c r="M42" s="179">
        <v>333103.65999999997</v>
      </c>
      <c r="N42" s="179">
        <v>330560.13</v>
      </c>
      <c r="O42" s="179">
        <v>333103.65999999997</v>
      </c>
      <c r="P42" s="179">
        <v>362743.66</v>
      </c>
      <c r="Q42" s="179">
        <f t="shared" si="5"/>
        <v>3999564.4400000004</v>
      </c>
    </row>
    <row r="43" spans="1:24" hidden="1">
      <c r="A43" s="28" t="s">
        <v>113</v>
      </c>
      <c r="B43" s="28" t="s">
        <v>126</v>
      </c>
      <c r="C43" s="28" t="s">
        <v>127</v>
      </c>
      <c r="D43" s="28">
        <v>2018</v>
      </c>
      <c r="E43" s="179">
        <v>386063.56</v>
      </c>
      <c r="F43" s="179">
        <v>377913.09</v>
      </c>
      <c r="G43" s="179">
        <v>393516.51</v>
      </c>
      <c r="H43" s="179">
        <v>382115.16</v>
      </c>
      <c r="I43" s="179">
        <v>387995.48</v>
      </c>
      <c r="J43" s="179">
        <v>383265</v>
      </c>
      <c r="K43" s="179">
        <v>377828.52</v>
      </c>
      <c r="L43" s="179">
        <v>389561.59999999998</v>
      </c>
      <c r="M43" s="179">
        <v>381502.2</v>
      </c>
      <c r="N43" s="179">
        <v>390181.07</v>
      </c>
      <c r="O43" s="179">
        <v>385528.65</v>
      </c>
      <c r="P43" s="179">
        <v>365805.73</v>
      </c>
      <c r="Q43" s="179">
        <f t="shared" si="5"/>
        <v>4601276.57</v>
      </c>
    </row>
    <row r="44" spans="1:24" hidden="1">
      <c r="A44" s="28" t="s">
        <v>113</v>
      </c>
      <c r="B44" s="28" t="s">
        <v>128</v>
      </c>
      <c r="C44" s="28" t="s">
        <v>129</v>
      </c>
      <c r="D44" s="28">
        <v>2018</v>
      </c>
      <c r="E44" s="179">
        <v>55664.67</v>
      </c>
      <c r="F44" s="179">
        <v>54524.67</v>
      </c>
      <c r="G44" s="179">
        <v>49606.74</v>
      </c>
      <c r="H44" s="179">
        <v>48466.74</v>
      </c>
      <c r="I44" s="179">
        <v>50746.74</v>
      </c>
      <c r="J44" s="179">
        <v>49606.74</v>
      </c>
      <c r="K44" s="179">
        <v>46365.71</v>
      </c>
      <c r="L44" s="179">
        <v>49606.74</v>
      </c>
      <c r="M44" s="179">
        <v>49606.74</v>
      </c>
      <c r="N44" s="179">
        <v>48466.74</v>
      </c>
      <c r="O44" s="179">
        <v>49606.74</v>
      </c>
      <c r="P44" s="179">
        <v>47505.71</v>
      </c>
      <c r="Q44" s="179">
        <f t="shared" si="5"/>
        <v>599774.67999999993</v>
      </c>
    </row>
    <row r="45" spans="1:24" hidden="1">
      <c r="A45" s="28" t="s">
        <v>113</v>
      </c>
      <c r="B45" s="28" t="s">
        <v>130</v>
      </c>
      <c r="C45" s="28" t="s">
        <v>131</v>
      </c>
      <c r="D45" s="28">
        <v>2018</v>
      </c>
      <c r="E45" s="179">
        <v>182995.97</v>
      </c>
      <c r="F45" s="179">
        <v>154533.23000000001</v>
      </c>
      <c r="G45" s="179">
        <v>169606.99</v>
      </c>
      <c r="H45" s="179">
        <v>161299.14000000001</v>
      </c>
      <c r="I45" s="179">
        <v>178027.04</v>
      </c>
      <c r="J45" s="179">
        <v>159554.56</v>
      </c>
      <c r="K45" s="179">
        <v>162594.53</v>
      </c>
      <c r="L45" s="179">
        <v>191476.63</v>
      </c>
      <c r="M45" s="179">
        <v>162282.1</v>
      </c>
      <c r="N45" s="179">
        <v>182293.42</v>
      </c>
      <c r="O45" s="179">
        <v>165401.94</v>
      </c>
      <c r="P45" s="179">
        <v>147852.20000000001</v>
      </c>
      <c r="Q45" s="179">
        <f t="shared" si="5"/>
        <v>2017917.7500000002</v>
      </c>
    </row>
    <row r="46" spans="1:24" hidden="1">
      <c r="A46" s="28" t="s">
        <v>113</v>
      </c>
      <c r="B46" s="28" t="s">
        <v>132</v>
      </c>
      <c r="C46" s="28" t="s">
        <v>133</v>
      </c>
      <c r="D46" s="28">
        <v>2018</v>
      </c>
      <c r="E46" s="179">
        <v>7704.19</v>
      </c>
      <c r="F46" s="179">
        <v>7704.33</v>
      </c>
      <c r="G46" s="179">
        <v>11601.57</v>
      </c>
      <c r="H46" s="179">
        <v>13550.19</v>
      </c>
      <c r="I46" s="179">
        <v>12741.57</v>
      </c>
      <c r="J46" s="179">
        <v>7704.33</v>
      </c>
      <c r="K46" s="179">
        <v>7704.33</v>
      </c>
      <c r="L46" s="179">
        <v>11601.57</v>
      </c>
      <c r="M46" s="179">
        <v>8844.33</v>
      </c>
      <c r="N46" s="179">
        <v>11601.57</v>
      </c>
      <c r="O46" s="179">
        <v>13550.19</v>
      </c>
      <c r="P46" s="179">
        <v>7704.33</v>
      </c>
      <c r="Q46" s="179">
        <f t="shared" si="5"/>
        <v>122012.49999999999</v>
      </c>
    </row>
    <row r="47" spans="1:24" hidden="1">
      <c r="A47" s="28" t="s">
        <v>113</v>
      </c>
      <c r="B47" s="28" t="s">
        <v>223</v>
      </c>
      <c r="C47" s="28" t="s">
        <v>224</v>
      </c>
      <c r="D47" s="28">
        <v>2018</v>
      </c>
      <c r="E47" s="179">
        <v>134055.41</v>
      </c>
      <c r="F47" s="179">
        <v>286749.19</v>
      </c>
      <c r="G47" s="179">
        <v>912267.63</v>
      </c>
      <c r="H47" s="179">
        <v>913749.19</v>
      </c>
      <c r="I47" s="179">
        <v>913749.19</v>
      </c>
      <c r="J47" s="179">
        <v>1022049.19</v>
      </c>
      <c r="K47" s="179">
        <v>942249.19</v>
      </c>
      <c r="L47" s="179">
        <v>942249.19</v>
      </c>
      <c r="M47" s="179">
        <v>942249.19</v>
      </c>
      <c r="N47" s="179">
        <v>942249.19</v>
      </c>
      <c r="O47" s="179">
        <v>776949.19</v>
      </c>
      <c r="P47" s="179">
        <v>686889.19</v>
      </c>
      <c r="Q47" s="179">
        <f t="shared" si="5"/>
        <v>9415454.9399999976</v>
      </c>
      <c r="R47" s="28" t="s">
        <v>222</v>
      </c>
    </row>
    <row r="48" spans="1:24" hidden="1">
      <c r="A48" s="28" t="s">
        <v>113</v>
      </c>
      <c r="B48" s="28" t="s">
        <v>220</v>
      </c>
      <c r="C48" s="28" t="s">
        <v>221</v>
      </c>
      <c r="D48" s="28">
        <v>2018</v>
      </c>
      <c r="E48" s="181">
        <v>1358103.19</v>
      </c>
      <c r="F48" s="181">
        <v>1373178.07</v>
      </c>
      <c r="G48" s="181">
        <v>1628357.32</v>
      </c>
      <c r="H48" s="181">
        <v>1643178.53</v>
      </c>
      <c r="I48" s="181">
        <v>1699518.61</v>
      </c>
      <c r="J48" s="181">
        <v>1729786</v>
      </c>
      <c r="K48" s="181">
        <v>1740449.26</v>
      </c>
      <c r="L48" s="181">
        <v>1889198.12</v>
      </c>
      <c r="M48" s="181">
        <v>1669762.17</v>
      </c>
      <c r="N48" s="181">
        <v>1666346.84</v>
      </c>
      <c r="O48" s="181">
        <v>1633930.6</v>
      </c>
      <c r="P48" s="181">
        <v>1567469.06</v>
      </c>
      <c r="Q48" s="181">
        <f t="shared" si="5"/>
        <v>19599277.77</v>
      </c>
      <c r="R48" s="28" t="s">
        <v>222</v>
      </c>
    </row>
    <row r="49" spans="1:18" hidden="1">
      <c r="C49" s="29" t="s">
        <v>134</v>
      </c>
      <c r="E49" s="182">
        <f t="shared" ref="E49:Q49" si="6">SUM(E37:E48)</f>
        <v>3040650.8</v>
      </c>
      <c r="F49" s="182">
        <f t="shared" si="6"/>
        <v>3083958.6100000003</v>
      </c>
      <c r="G49" s="182">
        <f t="shared" si="6"/>
        <v>4044842.9000000004</v>
      </c>
      <c r="H49" s="182">
        <f t="shared" si="6"/>
        <v>4012879.59</v>
      </c>
      <c r="I49" s="182">
        <f t="shared" si="6"/>
        <v>4164929.38</v>
      </c>
      <c r="J49" s="182">
        <f t="shared" si="6"/>
        <v>4228514.33</v>
      </c>
      <c r="K49" s="182">
        <f t="shared" si="6"/>
        <v>4131592.37</v>
      </c>
      <c r="L49" s="182">
        <f t="shared" si="6"/>
        <v>4418747.43</v>
      </c>
      <c r="M49" s="182">
        <f t="shared" si="6"/>
        <v>4059696.9699999997</v>
      </c>
      <c r="N49" s="182">
        <f t="shared" si="6"/>
        <v>4159184.29</v>
      </c>
      <c r="O49" s="182">
        <f t="shared" si="6"/>
        <v>3894022.65</v>
      </c>
      <c r="P49" s="182">
        <f t="shared" si="6"/>
        <v>3669219.72</v>
      </c>
      <c r="Q49" s="182">
        <f t="shared" si="6"/>
        <v>46908239.039999999</v>
      </c>
    </row>
    <row r="50" spans="1:18" hidden="1">
      <c r="A50" s="178" t="s">
        <v>37</v>
      </c>
    </row>
    <row r="51" spans="1:18" hidden="1">
      <c r="A51" s="28" t="s">
        <v>135</v>
      </c>
      <c r="B51" s="28" t="s">
        <v>130</v>
      </c>
      <c r="C51" s="28" t="s">
        <v>131</v>
      </c>
      <c r="D51" s="28">
        <v>2018</v>
      </c>
      <c r="E51" s="179">
        <v>33548.199999999997</v>
      </c>
      <c r="F51" s="179">
        <v>28399.08</v>
      </c>
      <c r="G51" s="179">
        <v>31287.51</v>
      </c>
      <c r="H51" s="179">
        <v>29694.04</v>
      </c>
      <c r="I51" s="179">
        <v>32777.99</v>
      </c>
      <c r="J51" s="179">
        <v>29274.59</v>
      </c>
      <c r="K51" s="179">
        <v>29837.88</v>
      </c>
      <c r="L51" s="179">
        <v>35167.31</v>
      </c>
      <c r="M51" s="179">
        <v>29381.99</v>
      </c>
      <c r="N51" s="179">
        <v>33618.82</v>
      </c>
      <c r="O51" s="179">
        <v>30303.37</v>
      </c>
      <c r="P51" s="179">
        <v>26844.63</v>
      </c>
      <c r="Q51" s="179">
        <f>SUM(E51:P51)</f>
        <v>370135.41</v>
      </c>
    </row>
    <row r="52" spans="1:18" hidden="1">
      <c r="A52" s="28" t="s">
        <v>135</v>
      </c>
      <c r="B52" s="28" t="s">
        <v>132</v>
      </c>
      <c r="C52" s="28" t="s">
        <v>133</v>
      </c>
      <c r="D52" s="28">
        <v>2018</v>
      </c>
      <c r="E52" s="179">
        <v>0</v>
      </c>
      <c r="F52" s="179">
        <v>4186.8</v>
      </c>
      <c r="G52" s="179">
        <v>0</v>
      </c>
      <c r="H52" s="179">
        <v>11980.2</v>
      </c>
      <c r="I52" s="179">
        <v>11400</v>
      </c>
      <c r="J52" s="179">
        <v>11980.2</v>
      </c>
      <c r="K52" s="179">
        <v>0</v>
      </c>
      <c r="L52" s="179">
        <v>1140</v>
      </c>
      <c r="M52" s="179">
        <v>0</v>
      </c>
      <c r="N52" s="179">
        <v>4186.8</v>
      </c>
      <c r="O52" s="179">
        <v>0</v>
      </c>
      <c r="P52" s="179">
        <v>2093.4</v>
      </c>
      <c r="Q52" s="179">
        <f>SUM(E52:P52)</f>
        <v>46967.4</v>
      </c>
    </row>
    <row r="53" spans="1:18" hidden="1">
      <c r="A53" s="28" t="s">
        <v>135</v>
      </c>
      <c r="B53" s="28" t="s">
        <v>220</v>
      </c>
      <c r="C53" s="28" t="s">
        <v>221</v>
      </c>
      <c r="D53" s="28">
        <v>2018</v>
      </c>
      <c r="E53" s="181">
        <v>27360</v>
      </c>
      <c r="F53" s="181">
        <v>30780</v>
      </c>
      <c r="G53" s="181">
        <v>30780</v>
      </c>
      <c r="H53" s="181">
        <v>27360</v>
      </c>
      <c r="I53" s="181">
        <v>38760</v>
      </c>
      <c r="J53" s="181">
        <v>38760</v>
      </c>
      <c r="K53" s="181">
        <v>34200</v>
      </c>
      <c r="L53" s="181">
        <v>38760</v>
      </c>
      <c r="M53" s="181">
        <v>38760</v>
      </c>
      <c r="N53" s="181">
        <v>30780</v>
      </c>
      <c r="O53" s="181">
        <v>31920</v>
      </c>
      <c r="P53" s="181">
        <v>31920</v>
      </c>
      <c r="Q53" s="181">
        <f>SUM(E53:P53)</f>
        <v>400140</v>
      </c>
      <c r="R53" s="28" t="s">
        <v>222</v>
      </c>
    </row>
    <row r="54" spans="1:18" hidden="1">
      <c r="C54" s="29" t="s">
        <v>136</v>
      </c>
      <c r="E54" s="182">
        <f t="shared" ref="E54:Q54" si="7">SUM(E51:E53)</f>
        <v>60908.2</v>
      </c>
      <c r="F54" s="182">
        <f t="shared" si="7"/>
        <v>63365.880000000005</v>
      </c>
      <c r="G54" s="182">
        <f t="shared" si="7"/>
        <v>62067.509999999995</v>
      </c>
      <c r="H54" s="182">
        <f t="shared" si="7"/>
        <v>69034.240000000005</v>
      </c>
      <c r="I54" s="182">
        <f t="shared" si="7"/>
        <v>82937.989999999991</v>
      </c>
      <c r="J54" s="182">
        <f t="shared" si="7"/>
        <v>80014.790000000008</v>
      </c>
      <c r="K54" s="182">
        <f t="shared" si="7"/>
        <v>64037.880000000005</v>
      </c>
      <c r="L54" s="182">
        <f t="shared" si="7"/>
        <v>75067.31</v>
      </c>
      <c r="M54" s="182">
        <f t="shared" si="7"/>
        <v>68141.990000000005</v>
      </c>
      <c r="N54" s="182">
        <f t="shared" si="7"/>
        <v>68585.62</v>
      </c>
      <c r="O54" s="182">
        <f t="shared" si="7"/>
        <v>62223.369999999995</v>
      </c>
      <c r="P54" s="182">
        <f t="shared" si="7"/>
        <v>60858.03</v>
      </c>
      <c r="Q54" s="182">
        <f t="shared" si="7"/>
        <v>817242.81</v>
      </c>
    </row>
    <row r="55" spans="1:18" hidden="1"/>
    <row r="56" spans="1:18" hidden="1">
      <c r="C56" s="29" t="s">
        <v>225</v>
      </c>
      <c r="E56" s="182">
        <f t="shared" ref="E56:Q56" si="8">E49+E54</f>
        <v>3101559</v>
      </c>
      <c r="F56" s="182">
        <f t="shared" si="8"/>
        <v>3147324.49</v>
      </c>
      <c r="G56" s="182">
        <f t="shared" si="8"/>
        <v>4106910.41</v>
      </c>
      <c r="H56" s="182">
        <f t="shared" si="8"/>
        <v>4081913.83</v>
      </c>
      <c r="I56" s="182">
        <f t="shared" si="8"/>
        <v>4247867.37</v>
      </c>
      <c r="J56" s="182">
        <f t="shared" si="8"/>
        <v>4308529.12</v>
      </c>
      <c r="K56" s="182">
        <f t="shared" si="8"/>
        <v>4195630.25</v>
      </c>
      <c r="L56" s="182">
        <f t="shared" si="8"/>
        <v>4493814.7399999993</v>
      </c>
      <c r="M56" s="182">
        <f t="shared" si="8"/>
        <v>4127838.96</v>
      </c>
      <c r="N56" s="182">
        <f t="shared" si="8"/>
        <v>4227769.91</v>
      </c>
      <c r="O56" s="182">
        <f t="shared" si="8"/>
        <v>3956246.02</v>
      </c>
      <c r="P56" s="182">
        <f t="shared" si="8"/>
        <v>3730077.75</v>
      </c>
      <c r="Q56" s="182">
        <f t="shared" si="8"/>
        <v>47725481.850000001</v>
      </c>
    </row>
    <row r="57" spans="1:18" hidden="1">
      <c r="C57" s="29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8" hidden="1">
      <c r="A58" s="178" t="s">
        <v>112</v>
      </c>
    </row>
    <row r="59" spans="1:18" hidden="1">
      <c r="A59" s="28" t="s">
        <v>113</v>
      </c>
      <c r="B59" s="28" t="s">
        <v>114</v>
      </c>
      <c r="C59" s="28" t="s">
        <v>115</v>
      </c>
      <c r="D59" s="28">
        <v>2019</v>
      </c>
      <c r="E59" s="179">
        <v>195835.63</v>
      </c>
      <c r="F59" s="179">
        <v>168740.26</v>
      </c>
      <c r="G59" s="179">
        <v>175998.34</v>
      </c>
      <c r="H59" s="179">
        <v>172442.62</v>
      </c>
      <c r="I59" s="179">
        <v>179189.87</v>
      </c>
      <c r="J59" s="179">
        <v>152409.91</v>
      </c>
      <c r="K59" s="179">
        <v>169535.82</v>
      </c>
      <c r="L59" s="179">
        <v>181298.9</v>
      </c>
      <c r="M59" s="179">
        <v>170278.1</v>
      </c>
      <c r="N59" s="179">
        <v>187083.61</v>
      </c>
      <c r="O59" s="179">
        <v>167346.92000000001</v>
      </c>
      <c r="P59" s="179">
        <v>166726.26999999999</v>
      </c>
      <c r="Q59" s="179">
        <f t="shared" ref="Q59:Q69" si="9">SUM(E59:P59)</f>
        <v>2086886.25</v>
      </c>
    </row>
    <row r="60" spans="1:18" hidden="1">
      <c r="A60" s="28" t="s">
        <v>113</v>
      </c>
      <c r="B60" s="28" t="s">
        <v>116</v>
      </c>
      <c r="C60" s="28" t="s">
        <v>117</v>
      </c>
      <c r="D60" s="28">
        <v>2019</v>
      </c>
      <c r="E60" s="179">
        <v>14095.13</v>
      </c>
      <c r="F60" s="179">
        <v>10675.03</v>
      </c>
      <c r="G60" s="179">
        <v>9961.69</v>
      </c>
      <c r="H60" s="179">
        <v>13957.09</v>
      </c>
      <c r="I60" s="179">
        <v>22361.71</v>
      </c>
      <c r="J60" s="179">
        <v>7895.02</v>
      </c>
      <c r="K60" s="179">
        <v>11890.42</v>
      </c>
      <c r="L60" s="179">
        <v>10888.36</v>
      </c>
      <c r="M60" s="179">
        <v>8721.23</v>
      </c>
      <c r="N60" s="179">
        <v>16875.04</v>
      </c>
      <c r="O60" s="179">
        <v>12028.36</v>
      </c>
      <c r="P60" s="179">
        <v>4337.08</v>
      </c>
      <c r="Q60" s="179">
        <f t="shared" si="9"/>
        <v>143686.16</v>
      </c>
    </row>
    <row r="61" spans="1:18" hidden="1">
      <c r="A61" s="28" t="s">
        <v>113</v>
      </c>
      <c r="B61" s="28" t="s">
        <v>118</v>
      </c>
      <c r="C61" s="28" t="s">
        <v>119</v>
      </c>
      <c r="D61" s="28">
        <v>2019</v>
      </c>
      <c r="E61" s="179">
        <v>4149.3</v>
      </c>
      <c r="F61" s="179">
        <v>0</v>
      </c>
      <c r="G61" s="179">
        <v>8709.2999999999993</v>
      </c>
      <c r="H61" s="179">
        <v>0</v>
      </c>
      <c r="I61" s="179">
        <v>13269.3</v>
      </c>
      <c r="J61" s="179">
        <v>34200</v>
      </c>
      <c r="K61" s="179">
        <v>11400</v>
      </c>
      <c r="L61" s="179">
        <v>10989.3</v>
      </c>
      <c r="M61" s="179">
        <v>0</v>
      </c>
      <c r="N61" s="179">
        <v>4149.3</v>
      </c>
      <c r="O61" s="179">
        <v>4560</v>
      </c>
      <c r="P61" s="179">
        <v>7774.65</v>
      </c>
      <c r="Q61" s="179">
        <f t="shared" si="9"/>
        <v>99201.15</v>
      </c>
    </row>
    <row r="62" spans="1:18" hidden="1">
      <c r="A62" s="28" t="s">
        <v>113</v>
      </c>
      <c r="B62" s="28" t="s">
        <v>120</v>
      </c>
      <c r="C62" s="28" t="s">
        <v>121</v>
      </c>
      <c r="D62" s="28">
        <v>2019</v>
      </c>
      <c r="E62" s="179">
        <v>403654.79</v>
      </c>
      <c r="F62" s="179">
        <v>342109.42</v>
      </c>
      <c r="G62" s="179">
        <v>358927.85</v>
      </c>
      <c r="H62" s="179">
        <v>364109.91</v>
      </c>
      <c r="I62" s="179">
        <v>380002.07</v>
      </c>
      <c r="J62" s="179">
        <v>322838.09999999998</v>
      </c>
      <c r="K62" s="179">
        <v>360761.99</v>
      </c>
      <c r="L62" s="179">
        <v>387203.54</v>
      </c>
      <c r="M62" s="179">
        <v>363651.3</v>
      </c>
      <c r="N62" s="179">
        <v>388404.63</v>
      </c>
      <c r="O62" s="179">
        <v>339180.79999999999</v>
      </c>
      <c r="P62" s="179">
        <v>335190.43</v>
      </c>
      <c r="Q62" s="179">
        <f t="shared" si="9"/>
        <v>4346034.8299999991</v>
      </c>
    </row>
    <row r="63" spans="1:18" hidden="1">
      <c r="A63" s="28" t="s">
        <v>113</v>
      </c>
      <c r="B63" s="28" t="s">
        <v>122</v>
      </c>
      <c r="C63" s="28" t="s">
        <v>219</v>
      </c>
      <c r="D63" s="28">
        <v>2019</v>
      </c>
      <c r="E63" s="179">
        <v>0</v>
      </c>
      <c r="F63" s="179">
        <v>3214.65</v>
      </c>
      <c r="G63" s="179">
        <v>2066.67</v>
      </c>
      <c r="H63" s="179">
        <v>3420</v>
      </c>
      <c r="I63" s="179">
        <v>2066.67</v>
      </c>
      <c r="J63" s="179">
        <v>21962.639999999999</v>
      </c>
      <c r="K63" s="179">
        <v>2066.67</v>
      </c>
      <c r="L63" s="179">
        <v>2066.67</v>
      </c>
      <c r="M63" s="179">
        <v>3206.67</v>
      </c>
      <c r="N63" s="179">
        <v>3206.67</v>
      </c>
      <c r="O63" s="179">
        <v>2066.67</v>
      </c>
      <c r="P63" s="179">
        <v>0</v>
      </c>
      <c r="Q63" s="179">
        <f t="shared" si="9"/>
        <v>45343.979999999989</v>
      </c>
    </row>
    <row r="64" spans="1:18" hidden="1">
      <c r="A64" s="28" t="s">
        <v>113</v>
      </c>
      <c r="B64" s="28" t="s">
        <v>123</v>
      </c>
      <c r="C64" s="28" t="s">
        <v>124</v>
      </c>
      <c r="D64" s="28">
        <v>2019</v>
      </c>
      <c r="E64" s="179">
        <v>250652.76</v>
      </c>
      <c r="F64" s="179">
        <v>252737.85</v>
      </c>
      <c r="G64" s="179">
        <v>252729.01</v>
      </c>
      <c r="H64" s="179">
        <v>252733.44</v>
      </c>
      <c r="I64" s="179">
        <v>252733.44</v>
      </c>
      <c r="J64" s="179">
        <v>248572.07</v>
      </c>
      <c r="K64" s="179">
        <v>252128.79</v>
      </c>
      <c r="L64" s="179">
        <v>252128.79</v>
      </c>
      <c r="M64" s="179">
        <v>252133.22</v>
      </c>
      <c r="N64" s="179">
        <v>252128.79</v>
      </c>
      <c r="O64" s="179">
        <v>252133.22</v>
      </c>
      <c r="P64" s="179">
        <v>228992.76</v>
      </c>
      <c r="Q64" s="179">
        <f t="shared" si="9"/>
        <v>2999804.1400000006</v>
      </c>
    </row>
    <row r="65" spans="1:18" hidden="1">
      <c r="A65" s="28" t="s">
        <v>113</v>
      </c>
      <c r="B65" s="28" t="s">
        <v>126</v>
      </c>
      <c r="C65" s="28" t="s">
        <v>127</v>
      </c>
      <c r="D65" s="28">
        <v>2019</v>
      </c>
      <c r="E65" s="179">
        <v>315010.81</v>
      </c>
      <c r="F65" s="179">
        <v>306938.03000000003</v>
      </c>
      <c r="G65" s="179">
        <v>319005.53999999998</v>
      </c>
      <c r="H65" s="179">
        <v>276899.40999999997</v>
      </c>
      <c r="I65" s="179">
        <v>282724.84000000003</v>
      </c>
      <c r="J65" s="179">
        <v>274652.08</v>
      </c>
      <c r="K65" s="179">
        <v>272054.49</v>
      </c>
      <c r="L65" s="179">
        <v>280210.59000000003</v>
      </c>
      <c r="M65" s="179">
        <v>270223.77</v>
      </c>
      <c r="N65" s="179">
        <v>282207.96999999997</v>
      </c>
      <c r="O65" s="179">
        <v>276215.87</v>
      </c>
      <c r="P65" s="179">
        <v>243945.93</v>
      </c>
      <c r="Q65" s="179">
        <f t="shared" si="9"/>
        <v>3400089.3300000005</v>
      </c>
    </row>
    <row r="66" spans="1:18" hidden="1">
      <c r="A66" s="28" t="s">
        <v>113</v>
      </c>
      <c r="B66" s="28" t="s">
        <v>130</v>
      </c>
      <c r="C66" s="28" t="s">
        <v>131</v>
      </c>
      <c r="D66" s="28">
        <v>2019</v>
      </c>
      <c r="E66" s="179">
        <v>191630.64</v>
      </c>
      <c r="F66" s="179">
        <v>160579.31</v>
      </c>
      <c r="G66" s="179">
        <v>168922.2</v>
      </c>
      <c r="H66" s="179">
        <v>174094.93</v>
      </c>
      <c r="I66" s="179">
        <v>182205.79</v>
      </c>
      <c r="J66" s="179">
        <v>154775.65</v>
      </c>
      <c r="K66" s="179">
        <v>175064.6</v>
      </c>
      <c r="L66" s="179">
        <v>188121.34</v>
      </c>
      <c r="M66" s="179">
        <v>175394.81</v>
      </c>
      <c r="N66" s="179">
        <v>183674.51</v>
      </c>
      <c r="O66" s="179">
        <v>158768.13</v>
      </c>
      <c r="P66" s="179">
        <v>156607.60999999999</v>
      </c>
      <c r="Q66" s="179">
        <f t="shared" si="9"/>
        <v>2069839.52</v>
      </c>
    </row>
    <row r="67" spans="1:18" hidden="1">
      <c r="A67" s="28" t="s">
        <v>113</v>
      </c>
      <c r="B67" s="28" t="s">
        <v>132</v>
      </c>
      <c r="C67" s="28" t="s">
        <v>133</v>
      </c>
      <c r="D67" s="28">
        <v>2019</v>
      </c>
      <c r="E67" s="179">
        <v>7742.02</v>
      </c>
      <c r="F67" s="179">
        <v>7742.06</v>
      </c>
      <c r="G67" s="179">
        <v>11599.52</v>
      </c>
      <c r="H67" s="179">
        <v>13528.25</v>
      </c>
      <c r="I67" s="179">
        <v>13528.25</v>
      </c>
      <c r="J67" s="179">
        <v>7742.06</v>
      </c>
      <c r="K67" s="179">
        <v>7742.06</v>
      </c>
      <c r="L67" s="179">
        <v>11599.52</v>
      </c>
      <c r="M67" s="179">
        <v>7742.06</v>
      </c>
      <c r="N67" s="179">
        <v>15456.98</v>
      </c>
      <c r="O67" s="179">
        <v>13528.25</v>
      </c>
      <c r="P67" s="179">
        <v>7742.06</v>
      </c>
      <c r="Q67" s="179">
        <f t="shared" si="9"/>
        <v>125693.09</v>
      </c>
    </row>
    <row r="68" spans="1:18" hidden="1">
      <c r="A68" s="28" t="s">
        <v>113</v>
      </c>
      <c r="B68" s="28" t="s">
        <v>223</v>
      </c>
      <c r="C68" s="28" t="s">
        <v>224</v>
      </c>
      <c r="D68" s="28">
        <v>2019</v>
      </c>
      <c r="E68" s="179">
        <v>591437.17000000004</v>
      </c>
      <c r="F68" s="179">
        <v>703356.47</v>
      </c>
      <c r="G68" s="179">
        <v>819437.17</v>
      </c>
      <c r="H68" s="179">
        <v>878517.85</v>
      </c>
      <c r="I68" s="179">
        <v>874356.47</v>
      </c>
      <c r="J68" s="179">
        <v>929275.79</v>
      </c>
      <c r="K68" s="179">
        <v>873156.03</v>
      </c>
      <c r="L68" s="179">
        <v>881478.79</v>
      </c>
      <c r="M68" s="179">
        <v>824478.79</v>
      </c>
      <c r="N68" s="179">
        <v>824478.79</v>
      </c>
      <c r="O68" s="179">
        <v>807378.79</v>
      </c>
      <c r="P68" s="179">
        <v>698397.85</v>
      </c>
      <c r="Q68" s="179">
        <f t="shared" si="9"/>
        <v>9705749.959999999</v>
      </c>
      <c r="R68" s="28" t="s">
        <v>222</v>
      </c>
    </row>
    <row r="69" spans="1:18" hidden="1">
      <c r="A69" s="28" t="s">
        <v>113</v>
      </c>
      <c r="B69" s="28" t="s">
        <v>220</v>
      </c>
      <c r="C69" s="28" t="s">
        <v>221</v>
      </c>
      <c r="D69" s="28">
        <v>2019</v>
      </c>
      <c r="E69" s="181">
        <v>2053387.02</v>
      </c>
      <c r="F69" s="181">
        <v>2916467.32</v>
      </c>
      <c r="G69" s="181">
        <v>3040800.54</v>
      </c>
      <c r="H69" s="181">
        <v>3323303.23</v>
      </c>
      <c r="I69" s="181">
        <v>3360715.49</v>
      </c>
      <c r="J69" s="181">
        <v>3315886.95</v>
      </c>
      <c r="K69" s="181">
        <v>3350032</v>
      </c>
      <c r="L69" s="181">
        <v>3190709.12</v>
      </c>
      <c r="M69" s="181">
        <v>3070230.17</v>
      </c>
      <c r="N69" s="181">
        <v>3210915.79</v>
      </c>
      <c r="O69" s="181">
        <v>3161759.22</v>
      </c>
      <c r="P69" s="181">
        <v>2787445.73</v>
      </c>
      <c r="Q69" s="181">
        <f t="shared" si="9"/>
        <v>36781652.579999998</v>
      </c>
      <c r="R69" s="28" t="s">
        <v>222</v>
      </c>
    </row>
    <row r="70" spans="1:18" hidden="1">
      <c r="C70" s="29" t="s">
        <v>134</v>
      </c>
      <c r="E70" s="182">
        <f t="shared" ref="E70:Q70" si="10">SUM(E59:E69)</f>
        <v>4027595.27</v>
      </c>
      <c r="F70" s="182">
        <f t="shared" si="10"/>
        <v>4872560.4000000004</v>
      </c>
      <c r="G70" s="182">
        <f t="shared" si="10"/>
        <v>5168157.83</v>
      </c>
      <c r="H70" s="182">
        <f t="shared" si="10"/>
        <v>5473006.7300000004</v>
      </c>
      <c r="I70" s="182">
        <f t="shared" si="10"/>
        <v>5563153.9000000004</v>
      </c>
      <c r="J70" s="182">
        <f t="shared" si="10"/>
        <v>5470210.2700000005</v>
      </c>
      <c r="K70" s="182">
        <f t="shared" si="10"/>
        <v>5485832.8700000001</v>
      </c>
      <c r="L70" s="182">
        <f t="shared" si="10"/>
        <v>5396694.9199999999</v>
      </c>
      <c r="M70" s="182">
        <f t="shared" si="10"/>
        <v>5146060.12</v>
      </c>
      <c r="N70" s="182">
        <f t="shared" si="10"/>
        <v>5368582.08</v>
      </c>
      <c r="O70" s="182">
        <f t="shared" si="10"/>
        <v>5194966.2300000004</v>
      </c>
      <c r="P70" s="182">
        <f t="shared" si="10"/>
        <v>4637160.37</v>
      </c>
      <c r="Q70" s="182">
        <f t="shared" si="10"/>
        <v>61803980.989999995</v>
      </c>
    </row>
    <row r="71" spans="1:18" hidden="1">
      <c r="A71" s="178" t="s">
        <v>37</v>
      </c>
    </row>
    <row r="72" spans="1:18" hidden="1">
      <c r="A72" s="28" t="s">
        <v>135</v>
      </c>
      <c r="B72" s="28" t="s">
        <v>130</v>
      </c>
      <c r="C72" s="28" t="s">
        <v>131</v>
      </c>
      <c r="D72" s="28">
        <v>2019</v>
      </c>
      <c r="E72" s="179">
        <v>35020.78</v>
      </c>
      <c r="F72" s="179">
        <v>29397.99</v>
      </c>
      <c r="G72" s="179">
        <v>31018.58</v>
      </c>
      <c r="H72" s="179">
        <v>32027.3</v>
      </c>
      <c r="I72" s="179">
        <v>33486.65</v>
      </c>
      <c r="J72" s="179">
        <v>28287.43</v>
      </c>
      <c r="K72" s="179">
        <v>32116.35</v>
      </c>
      <c r="L72" s="179">
        <v>34399.15</v>
      </c>
      <c r="M72" s="179">
        <v>31799.040000000001</v>
      </c>
      <c r="N72" s="179">
        <v>33823.980000000003</v>
      </c>
      <c r="O72" s="179">
        <v>28997.81</v>
      </c>
      <c r="P72" s="179">
        <v>28513.67</v>
      </c>
      <c r="Q72" s="179">
        <f>SUM(E72:P72)</f>
        <v>378888.73</v>
      </c>
    </row>
    <row r="73" spans="1:18" hidden="1">
      <c r="A73" s="28" t="s">
        <v>135</v>
      </c>
      <c r="B73" s="28" t="s">
        <v>132</v>
      </c>
      <c r="C73" s="28" t="s">
        <v>133</v>
      </c>
      <c r="D73" s="28">
        <v>2019</v>
      </c>
      <c r="E73" s="179">
        <v>0</v>
      </c>
      <c r="F73" s="179">
        <v>4149.3</v>
      </c>
      <c r="G73" s="179">
        <v>0</v>
      </c>
      <c r="H73" s="179">
        <v>11923.95</v>
      </c>
      <c r="I73" s="179">
        <v>11400</v>
      </c>
      <c r="J73" s="179">
        <v>11923.95</v>
      </c>
      <c r="K73" s="179">
        <v>0</v>
      </c>
      <c r="L73" s="179">
        <v>1140</v>
      </c>
      <c r="M73" s="179">
        <v>0</v>
      </c>
      <c r="N73" s="179">
        <v>3857.46</v>
      </c>
      <c r="O73" s="179">
        <v>1140</v>
      </c>
      <c r="P73" s="179">
        <v>1928.73</v>
      </c>
      <c r="Q73" s="179">
        <f>SUM(E73:P73)</f>
        <v>47463.39</v>
      </c>
    </row>
    <row r="74" spans="1:18" hidden="1">
      <c r="A74" s="28" t="s">
        <v>135</v>
      </c>
      <c r="B74" s="28" t="s">
        <v>220</v>
      </c>
      <c r="C74" s="28" t="s">
        <v>221</v>
      </c>
      <c r="D74" s="28">
        <v>2019</v>
      </c>
      <c r="E74" s="181">
        <v>57000</v>
      </c>
      <c r="F74" s="181">
        <v>60420</v>
      </c>
      <c r="G74" s="181">
        <v>60420</v>
      </c>
      <c r="H74" s="181">
        <v>57000</v>
      </c>
      <c r="I74" s="181">
        <v>61560</v>
      </c>
      <c r="J74" s="181">
        <v>61560</v>
      </c>
      <c r="K74" s="181">
        <v>57000</v>
      </c>
      <c r="L74" s="181">
        <v>61560</v>
      </c>
      <c r="M74" s="181">
        <v>61560</v>
      </c>
      <c r="N74" s="181">
        <v>57000</v>
      </c>
      <c r="O74" s="181">
        <v>61560</v>
      </c>
      <c r="P74" s="181">
        <v>61560</v>
      </c>
      <c r="Q74" s="181">
        <f>SUM(E74:P74)</f>
        <v>718200</v>
      </c>
      <c r="R74" s="28" t="s">
        <v>222</v>
      </c>
    </row>
    <row r="75" spans="1:18" hidden="1">
      <c r="C75" s="29" t="s">
        <v>136</v>
      </c>
      <c r="E75" s="182">
        <f t="shared" ref="E75:Q75" si="11">SUM(E72:E74)</f>
        <v>92020.78</v>
      </c>
      <c r="F75" s="182">
        <f t="shared" si="11"/>
        <v>93967.290000000008</v>
      </c>
      <c r="G75" s="182">
        <f t="shared" si="11"/>
        <v>91438.58</v>
      </c>
      <c r="H75" s="182">
        <f t="shared" si="11"/>
        <v>100951.25</v>
      </c>
      <c r="I75" s="182">
        <f t="shared" si="11"/>
        <v>106446.65</v>
      </c>
      <c r="J75" s="182">
        <f t="shared" si="11"/>
        <v>101771.38</v>
      </c>
      <c r="K75" s="182">
        <f t="shared" si="11"/>
        <v>89116.35</v>
      </c>
      <c r="L75" s="182">
        <f t="shared" si="11"/>
        <v>97099.15</v>
      </c>
      <c r="M75" s="182">
        <f t="shared" si="11"/>
        <v>93359.040000000008</v>
      </c>
      <c r="N75" s="182">
        <f t="shared" si="11"/>
        <v>94681.44</v>
      </c>
      <c r="O75" s="182">
        <f t="shared" si="11"/>
        <v>91697.81</v>
      </c>
      <c r="P75" s="182">
        <f t="shared" si="11"/>
        <v>92002.4</v>
      </c>
      <c r="Q75" s="182">
        <f t="shared" si="11"/>
        <v>1144552.1200000001</v>
      </c>
    </row>
    <row r="76" spans="1:18" hidden="1"/>
    <row r="77" spans="1:18" hidden="1">
      <c r="C77" s="29" t="s">
        <v>226</v>
      </c>
      <c r="E77" s="182">
        <f t="shared" ref="E77:Q77" si="12">E70+E75</f>
        <v>4119616.05</v>
      </c>
      <c r="F77" s="182">
        <f t="shared" si="12"/>
        <v>4966527.6900000004</v>
      </c>
      <c r="G77" s="182">
        <f t="shared" si="12"/>
        <v>5259596.41</v>
      </c>
      <c r="H77" s="182">
        <f t="shared" si="12"/>
        <v>5573957.9800000004</v>
      </c>
      <c r="I77" s="182">
        <f t="shared" si="12"/>
        <v>5669600.5500000007</v>
      </c>
      <c r="J77" s="182">
        <f t="shared" si="12"/>
        <v>5571981.6500000004</v>
      </c>
      <c r="K77" s="182">
        <f t="shared" si="12"/>
        <v>5574949.2199999997</v>
      </c>
      <c r="L77" s="182">
        <f t="shared" si="12"/>
        <v>5493794.0700000003</v>
      </c>
      <c r="M77" s="182">
        <f t="shared" si="12"/>
        <v>5239419.16</v>
      </c>
      <c r="N77" s="182">
        <f t="shared" si="12"/>
        <v>5463263.5200000005</v>
      </c>
      <c r="O77" s="182">
        <f t="shared" si="12"/>
        <v>5286664.04</v>
      </c>
      <c r="P77" s="182">
        <f t="shared" si="12"/>
        <v>4729162.7700000005</v>
      </c>
      <c r="Q77" s="182">
        <f t="shared" si="12"/>
        <v>62948533.109999992</v>
      </c>
    </row>
    <row r="79" spans="1:18" ht="24.6">
      <c r="B79" s="244" t="s">
        <v>353</v>
      </c>
    </row>
  </sheetData>
  <pageMargins left="0.7" right="0.7" top="0.75" bottom="0.75" header="0.3" footer="0.3"/>
  <pageSetup scale="52" orientation="landscape" r:id="rId1"/>
  <colBreaks count="1" manualBreakCount="1">
    <brk id="19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5"/>
  <sheetViews>
    <sheetView workbookViewId="0"/>
  </sheetViews>
  <sheetFormatPr defaultColWidth="9.21875" defaultRowHeight="13.2"/>
  <cols>
    <col min="1" max="1" width="30.77734375" style="273" customWidth="1"/>
    <col min="2" max="4" width="15.77734375" style="308" customWidth="1"/>
    <col min="5" max="5" width="15.77734375" style="273" customWidth="1"/>
    <col min="6" max="6" width="15.77734375" style="308" customWidth="1"/>
    <col min="7" max="7" width="9.21875" style="273" customWidth="1"/>
    <col min="8" max="9" width="9.21875" style="273"/>
    <col min="10" max="12" width="9.21875" style="273" customWidth="1"/>
    <col min="13" max="16384" width="9.21875" style="273"/>
  </cols>
  <sheetData>
    <row r="1" spans="1:13" ht="15.6">
      <c r="A1" s="414" t="s">
        <v>67</v>
      </c>
      <c r="B1" s="305"/>
      <c r="C1" s="305"/>
      <c r="D1" s="305"/>
      <c r="E1" s="306"/>
      <c r="F1" s="305"/>
    </row>
    <row r="2" spans="1:13" ht="15" customHeight="1">
      <c r="A2" s="353" t="s">
        <v>441</v>
      </c>
      <c r="B2" s="304"/>
      <c r="C2" s="304"/>
      <c r="D2" s="304"/>
      <c r="E2" s="304"/>
      <c r="F2" s="304"/>
    </row>
    <row r="3" spans="1:13" ht="15" customHeight="1">
      <c r="A3" s="353" t="str">
        <f>'OU Collection'!A3</f>
        <v>As of December 2019</v>
      </c>
      <c r="B3" s="307"/>
      <c r="C3" s="307"/>
      <c r="D3" s="307"/>
      <c r="E3" s="307"/>
      <c r="F3" s="307"/>
    </row>
    <row r="4" spans="1:13" ht="15" customHeight="1">
      <c r="C4" s="471"/>
      <c r="D4" s="471"/>
      <c r="E4" s="308"/>
    </row>
    <row r="5" spans="1:13" s="326" customFormat="1" ht="13.05" customHeight="1">
      <c r="B5" s="327"/>
      <c r="C5" s="471"/>
      <c r="D5" s="471"/>
      <c r="E5" s="327"/>
      <c r="F5" s="327"/>
    </row>
    <row r="6" spans="1:13" s="313" customFormat="1" ht="16.05" customHeight="1">
      <c r="A6" s="309" t="s">
        <v>375</v>
      </c>
      <c r="B6" s="330" t="s">
        <v>376</v>
      </c>
      <c r="C6" s="330" t="s">
        <v>377</v>
      </c>
      <c r="D6" s="330" t="s">
        <v>378</v>
      </c>
      <c r="E6" s="330" t="s">
        <v>379</v>
      </c>
      <c r="F6" s="330" t="s">
        <v>380</v>
      </c>
      <c r="I6" s="474"/>
      <c r="J6" s="474"/>
      <c r="K6" s="474"/>
      <c r="L6" s="474"/>
      <c r="M6" s="474"/>
    </row>
    <row r="7" spans="1:13" s="331" customFormat="1" ht="16.05" customHeight="1">
      <c r="A7" s="348"/>
      <c r="B7" s="329" t="s">
        <v>442</v>
      </c>
      <c r="C7" s="329"/>
      <c r="D7" s="329" t="s">
        <v>0</v>
      </c>
      <c r="E7" s="329"/>
      <c r="F7" s="329" t="s">
        <v>443</v>
      </c>
      <c r="I7" s="474"/>
      <c r="J7" s="474"/>
      <c r="K7" s="474"/>
      <c r="L7" s="474"/>
      <c r="M7" s="474"/>
    </row>
    <row r="8" spans="1:13" s="331" customFormat="1" ht="16.05" customHeight="1">
      <c r="A8" s="349" t="s">
        <v>426</v>
      </c>
      <c r="B8" s="329" t="s">
        <v>444</v>
      </c>
      <c r="C8" s="329" t="s">
        <v>0</v>
      </c>
      <c r="D8" s="329" t="s">
        <v>445</v>
      </c>
      <c r="E8" s="329" t="s">
        <v>446</v>
      </c>
      <c r="F8" s="329" t="s">
        <v>447</v>
      </c>
      <c r="I8" s="474"/>
      <c r="J8" s="474"/>
      <c r="K8" s="474"/>
      <c r="L8" s="474"/>
      <c r="M8" s="474"/>
    </row>
    <row r="9" spans="1:13" s="331" customFormat="1" ht="16.05" customHeight="1">
      <c r="A9" s="350" t="s">
        <v>108</v>
      </c>
      <c r="B9" s="309" t="s">
        <v>426</v>
      </c>
      <c r="C9" s="309" t="s">
        <v>426</v>
      </c>
      <c r="D9" s="309" t="s">
        <v>12</v>
      </c>
      <c r="E9" s="309" t="s">
        <v>426</v>
      </c>
      <c r="F9" s="309" t="s">
        <v>448</v>
      </c>
      <c r="I9" s="474"/>
      <c r="J9" s="474"/>
      <c r="K9" s="474"/>
      <c r="L9" s="474"/>
      <c r="M9" s="474"/>
    </row>
    <row r="10" spans="1:13" s="331" customFormat="1" ht="16.05" customHeight="1">
      <c r="A10" s="354"/>
      <c r="B10" s="312"/>
      <c r="C10" s="312"/>
      <c r="D10" s="312"/>
      <c r="E10" s="312"/>
      <c r="F10" s="332" t="s">
        <v>449</v>
      </c>
      <c r="I10" s="474"/>
      <c r="J10" s="474"/>
      <c r="K10" s="474"/>
      <c r="L10" s="474"/>
      <c r="M10" s="474"/>
    </row>
    <row r="11" spans="1:13" s="331" customFormat="1" ht="16.05" customHeight="1">
      <c r="A11" s="336">
        <v>43466</v>
      </c>
      <c r="B11" s="314">
        <v>13468.560000000001</v>
      </c>
      <c r="C11" s="314">
        <v>86145.67</v>
      </c>
      <c r="D11" s="314">
        <v>0</v>
      </c>
      <c r="E11" s="320">
        <v>40112</v>
      </c>
      <c r="F11" s="314">
        <f>SUM(B11:E11)</f>
        <v>139726.22999999998</v>
      </c>
      <c r="G11" s="313"/>
      <c r="I11" s="474"/>
      <c r="J11" s="474"/>
      <c r="K11" s="474"/>
      <c r="L11" s="474"/>
      <c r="M11" s="474"/>
    </row>
    <row r="12" spans="1:13" s="331" customFormat="1" ht="16.05" customHeight="1">
      <c r="A12" s="336">
        <f t="shared" ref="A12:A22" si="0">DATE(YEAR(A11+45),MONTH(A11+45),1)</f>
        <v>43497</v>
      </c>
      <c r="B12" s="314">
        <v>-994.94999999999709</v>
      </c>
      <c r="C12" s="314">
        <v>87996.22</v>
      </c>
      <c r="D12" s="314">
        <v>0</v>
      </c>
      <c r="E12" s="320">
        <v>40112</v>
      </c>
      <c r="F12" s="317">
        <f>SUM(B12:E12)</f>
        <v>127113.27</v>
      </c>
      <c r="G12" s="313"/>
      <c r="I12" s="474"/>
      <c r="J12" s="474"/>
      <c r="K12" s="474"/>
      <c r="L12" s="474"/>
      <c r="M12" s="474"/>
    </row>
    <row r="13" spans="1:13" s="331" customFormat="1" ht="16.05" customHeight="1">
      <c r="A13" s="336">
        <f t="shared" si="0"/>
        <v>43525</v>
      </c>
      <c r="B13" s="314">
        <v>7399.9800000000114</v>
      </c>
      <c r="C13" s="314">
        <v>90819.47</v>
      </c>
      <c r="D13" s="314">
        <v>0</v>
      </c>
      <c r="E13" s="320">
        <v>40112</v>
      </c>
      <c r="F13" s="317">
        <f t="shared" ref="F13:F22" si="1">SUM(B13:E13)</f>
        <v>138331.45000000001</v>
      </c>
      <c r="G13" s="313"/>
      <c r="I13" s="474"/>
      <c r="J13" s="474"/>
      <c r="K13" s="474"/>
      <c r="L13" s="474"/>
      <c r="M13" s="474"/>
    </row>
    <row r="14" spans="1:13" s="331" customFormat="1" ht="16.05" customHeight="1">
      <c r="A14" s="336">
        <f t="shared" si="0"/>
        <v>43556</v>
      </c>
      <c r="B14" s="314">
        <v>23537.760000000009</v>
      </c>
      <c r="C14" s="314">
        <v>98168.67</v>
      </c>
      <c r="D14" s="314">
        <v>0</v>
      </c>
      <c r="E14" s="320">
        <v>40112</v>
      </c>
      <c r="F14" s="317">
        <f t="shared" si="1"/>
        <v>161818.43</v>
      </c>
      <c r="G14" s="313"/>
      <c r="I14" s="474"/>
      <c r="J14" s="474"/>
      <c r="K14" s="474"/>
      <c r="L14" s="474"/>
      <c r="M14" s="474"/>
    </row>
    <row r="15" spans="1:13" s="331" customFormat="1" ht="16.05" customHeight="1">
      <c r="A15" s="336">
        <f t="shared" si="0"/>
        <v>43586</v>
      </c>
      <c r="B15" s="314">
        <v>154764.51</v>
      </c>
      <c r="C15" s="314">
        <v>105859.5</v>
      </c>
      <c r="D15" s="314">
        <v>0</v>
      </c>
      <c r="E15" s="320">
        <v>40112</v>
      </c>
      <c r="F15" s="317">
        <f t="shared" si="1"/>
        <v>300736.01</v>
      </c>
      <c r="G15" s="313"/>
      <c r="I15" s="474"/>
      <c r="J15" s="474"/>
      <c r="K15" s="474"/>
      <c r="L15" s="474"/>
      <c r="M15" s="474"/>
    </row>
    <row r="16" spans="1:13" s="331" customFormat="1" ht="16.05" customHeight="1">
      <c r="A16" s="336">
        <f t="shared" si="0"/>
        <v>43617</v>
      </c>
      <c r="B16" s="314">
        <v>138836.32</v>
      </c>
      <c r="C16" s="314">
        <v>110650.83</v>
      </c>
      <c r="D16" s="314">
        <v>0</v>
      </c>
      <c r="E16" s="320">
        <v>40112</v>
      </c>
      <c r="F16" s="317">
        <f t="shared" si="1"/>
        <v>289599.15000000002</v>
      </c>
      <c r="G16" s="313"/>
      <c r="I16" s="474"/>
      <c r="J16" s="474"/>
      <c r="K16" s="474"/>
      <c r="L16" s="474"/>
      <c r="M16" s="474"/>
    </row>
    <row r="17" spans="1:13" s="331" customFormat="1" ht="16.05" customHeight="1">
      <c r="A17" s="336">
        <f t="shared" si="0"/>
        <v>43647</v>
      </c>
      <c r="B17" s="314">
        <v>70058.930000000008</v>
      </c>
      <c r="C17" s="314">
        <v>115276.81</v>
      </c>
      <c r="D17" s="314">
        <v>0</v>
      </c>
      <c r="E17" s="320">
        <v>40112</v>
      </c>
      <c r="F17" s="317">
        <f t="shared" si="1"/>
        <v>225447.74</v>
      </c>
      <c r="G17" s="313"/>
      <c r="I17" s="474"/>
      <c r="J17" s="474"/>
      <c r="K17" s="474"/>
      <c r="L17" s="474"/>
      <c r="M17" s="474"/>
    </row>
    <row r="18" spans="1:13" s="331" customFormat="1" ht="16.05" customHeight="1">
      <c r="A18" s="336">
        <f t="shared" si="0"/>
        <v>43678</v>
      </c>
      <c r="B18" s="314">
        <v>75650.09</v>
      </c>
      <c r="C18" s="314">
        <v>119659.56</v>
      </c>
      <c r="D18" s="314">
        <v>0</v>
      </c>
      <c r="E18" s="320">
        <v>40112</v>
      </c>
      <c r="F18" s="317">
        <f t="shared" si="1"/>
        <v>235421.65</v>
      </c>
      <c r="G18" s="313"/>
      <c r="I18" s="474"/>
      <c r="J18" s="474"/>
      <c r="K18" s="474"/>
      <c r="L18" s="474"/>
      <c r="M18" s="474"/>
    </row>
    <row r="19" spans="1:13" s="331" customFormat="1" ht="16.05" customHeight="1">
      <c r="A19" s="336">
        <f t="shared" si="0"/>
        <v>43709</v>
      </c>
      <c r="B19" s="314">
        <v>94599.16</v>
      </c>
      <c r="C19" s="314">
        <v>124213.74</v>
      </c>
      <c r="D19" s="314">
        <v>0</v>
      </c>
      <c r="E19" s="320">
        <v>40112</v>
      </c>
      <c r="F19" s="317">
        <f t="shared" si="1"/>
        <v>258924.90000000002</v>
      </c>
      <c r="G19" s="313"/>
      <c r="I19" s="474"/>
      <c r="J19" s="474"/>
      <c r="K19" s="474"/>
      <c r="L19" s="474"/>
      <c r="M19" s="474"/>
    </row>
    <row r="20" spans="1:13" s="331" customFormat="1" ht="16.05" customHeight="1">
      <c r="A20" s="336">
        <f t="shared" si="0"/>
        <v>43739</v>
      </c>
      <c r="B20" s="314">
        <v>69510.05</v>
      </c>
      <c r="C20" s="314">
        <v>128788.93</v>
      </c>
      <c r="D20" s="314">
        <v>0</v>
      </c>
      <c r="E20" s="320">
        <v>40112</v>
      </c>
      <c r="F20" s="317">
        <f t="shared" si="1"/>
        <v>238410.97999999998</v>
      </c>
      <c r="G20" s="313"/>
      <c r="I20" s="474"/>
      <c r="J20" s="474"/>
      <c r="K20" s="474"/>
      <c r="L20" s="474"/>
      <c r="M20" s="474"/>
    </row>
    <row r="21" spans="1:13" s="331" customFormat="1" ht="16.05" customHeight="1">
      <c r="A21" s="336">
        <f t="shared" si="0"/>
        <v>43770</v>
      </c>
      <c r="B21" s="314">
        <v>74100.510000000009</v>
      </c>
      <c r="C21" s="314">
        <v>133563.94</v>
      </c>
      <c r="D21" s="314">
        <v>0</v>
      </c>
      <c r="E21" s="320">
        <v>40112</v>
      </c>
      <c r="F21" s="317">
        <f t="shared" si="1"/>
        <v>247776.45</v>
      </c>
      <c r="G21" s="313"/>
      <c r="I21" s="474"/>
      <c r="J21" s="474"/>
      <c r="K21" s="474"/>
      <c r="L21" s="474"/>
      <c r="M21" s="474"/>
    </row>
    <row r="22" spans="1:13" s="331" customFormat="1" ht="16.05" customHeight="1">
      <c r="A22" s="336">
        <f t="shared" si="0"/>
        <v>43800</v>
      </c>
      <c r="B22" s="314">
        <v>92177.96</v>
      </c>
      <c r="C22" s="314">
        <v>138358.51</v>
      </c>
      <c r="D22" s="314">
        <v>0</v>
      </c>
      <c r="E22" s="320">
        <v>40112</v>
      </c>
      <c r="F22" s="319">
        <f t="shared" si="1"/>
        <v>270648.47000000003</v>
      </c>
      <c r="G22" s="313"/>
      <c r="I22" s="474"/>
      <c r="J22" s="474"/>
      <c r="K22" s="474"/>
      <c r="L22" s="474"/>
      <c r="M22" s="474"/>
    </row>
    <row r="23" spans="1:13" s="331" customFormat="1" ht="18" customHeight="1" thickBot="1">
      <c r="A23" s="355" t="str">
        <f>+"TOTAL for Year, "&amp;TEXT(A11,"mm/yy")&amp;" - "&amp;TEXT(A22,"mm/yy")</f>
        <v>TOTAL for Year, 01/19 - 12/19</v>
      </c>
      <c r="B23" s="322">
        <f>SUM(B11:B22)</f>
        <v>813108.88000000012</v>
      </c>
      <c r="C23" s="322">
        <f>SUM(C11:C22)</f>
        <v>1339501.8499999999</v>
      </c>
      <c r="D23" s="322">
        <f>SUM(D11:D22)</f>
        <v>0</v>
      </c>
      <c r="E23" s="322">
        <f>SUM(E11:E22)</f>
        <v>481344</v>
      </c>
      <c r="F23" s="322">
        <f>SUM(F11:F22)</f>
        <v>2633954.7300000004</v>
      </c>
      <c r="G23" s="313"/>
      <c r="I23" s="474"/>
      <c r="J23" s="474"/>
      <c r="K23" s="474"/>
      <c r="L23" s="474"/>
      <c r="M23" s="474"/>
    </row>
    <row r="24" spans="1:13" ht="15.75" customHeight="1" thickTop="1">
      <c r="A24" s="339"/>
      <c r="E24" s="308"/>
      <c r="G24" s="308"/>
      <c r="I24" s="474"/>
      <c r="J24" s="474"/>
      <c r="K24" s="474"/>
      <c r="L24" s="474"/>
      <c r="M24" s="474"/>
    </row>
    <row r="25" spans="1:13" s="474" customFormat="1" ht="15.75" customHeight="1">
      <c r="A25" s="473"/>
      <c r="B25" s="473"/>
      <c r="C25" s="473"/>
      <c r="D25" s="473"/>
      <c r="E25" s="473"/>
      <c r="F25" s="473"/>
      <c r="G25" s="473"/>
    </row>
    <row r="26" spans="1:13" s="474" customFormat="1" ht="15.75" customHeight="1"/>
    <row r="27" spans="1:13" s="474" customFormat="1" ht="15.6">
      <c r="A27" s="309" t="s">
        <v>390</v>
      </c>
      <c r="B27" s="330" t="s">
        <v>381</v>
      </c>
      <c r="C27" s="330" t="s">
        <v>391</v>
      </c>
      <c r="D27" s="330" t="s">
        <v>392</v>
      </c>
      <c r="E27" s="330" t="s">
        <v>393</v>
      </c>
      <c r="F27" s="330" t="s">
        <v>394</v>
      </c>
    </row>
    <row r="28" spans="1:13" s="474" customFormat="1" ht="15.6">
      <c r="A28" s="348"/>
      <c r="B28" s="329" t="s">
        <v>442</v>
      </c>
      <c r="C28" s="329"/>
      <c r="D28" s="329" t="s">
        <v>0</v>
      </c>
      <c r="E28" s="329"/>
      <c r="F28" s="329" t="s">
        <v>443</v>
      </c>
    </row>
    <row r="29" spans="1:13" s="474" customFormat="1" ht="15.6">
      <c r="A29" s="349" t="s">
        <v>426</v>
      </c>
      <c r="B29" s="329" t="s">
        <v>444</v>
      </c>
      <c r="C29" s="329" t="s">
        <v>0</v>
      </c>
      <c r="D29" s="329" t="s">
        <v>445</v>
      </c>
      <c r="E29" s="329" t="s">
        <v>446</v>
      </c>
      <c r="F29" s="329" t="s">
        <v>447</v>
      </c>
    </row>
    <row r="30" spans="1:13" s="474" customFormat="1" ht="15.6">
      <c r="A30" s="350" t="s">
        <v>108</v>
      </c>
      <c r="B30" s="309" t="s">
        <v>426</v>
      </c>
      <c r="C30" s="309" t="s">
        <v>426</v>
      </c>
      <c r="D30" s="309" t="s">
        <v>12</v>
      </c>
      <c r="E30" s="309" t="s">
        <v>426</v>
      </c>
      <c r="F30" s="309" t="s">
        <v>448</v>
      </c>
    </row>
    <row r="31" spans="1:13" s="474" customFormat="1" ht="15.6">
      <c r="A31" s="354"/>
      <c r="B31" s="312"/>
      <c r="C31" s="312"/>
      <c r="D31" s="312"/>
      <c r="E31" s="312"/>
      <c r="F31" s="332" t="s">
        <v>450</v>
      </c>
    </row>
    <row r="32" spans="1:13" ht="15.6">
      <c r="A32" s="336">
        <f>A11</f>
        <v>43466</v>
      </c>
      <c r="B32" s="314">
        <v>0</v>
      </c>
      <c r="C32" s="314">
        <v>0</v>
      </c>
      <c r="D32" s="314">
        <v>0</v>
      </c>
      <c r="E32" s="320">
        <v>7144.99</v>
      </c>
      <c r="F32" s="314">
        <f>SUM(B32:E32)</f>
        <v>7144.99</v>
      </c>
    </row>
    <row r="33" spans="1:6" ht="15.6">
      <c r="A33" s="336">
        <f t="shared" ref="A33:A43" si="2">A12</f>
        <v>43497</v>
      </c>
      <c r="B33" s="314">
        <v>0</v>
      </c>
      <c r="C33" s="314">
        <v>0</v>
      </c>
      <c r="D33" s="314">
        <v>0</v>
      </c>
      <c r="E33" s="320">
        <v>7144.99</v>
      </c>
      <c r="F33" s="317">
        <f>SUM(B33:E33)</f>
        <v>7144.99</v>
      </c>
    </row>
    <row r="34" spans="1:6" ht="15.6">
      <c r="A34" s="336">
        <f t="shared" si="2"/>
        <v>43525</v>
      </c>
      <c r="B34" s="314">
        <v>0</v>
      </c>
      <c r="C34" s="314">
        <v>0</v>
      </c>
      <c r="D34" s="314">
        <v>0</v>
      </c>
      <c r="E34" s="320">
        <v>7144.99</v>
      </c>
      <c r="F34" s="317">
        <f t="shared" ref="F34:F43" si="3">SUM(B34:E34)</f>
        <v>7144.99</v>
      </c>
    </row>
    <row r="35" spans="1:6" ht="15.6">
      <c r="A35" s="336">
        <f t="shared" si="2"/>
        <v>43556</v>
      </c>
      <c r="B35" s="314">
        <v>0</v>
      </c>
      <c r="C35" s="314">
        <v>0</v>
      </c>
      <c r="D35" s="314">
        <v>0</v>
      </c>
      <c r="E35" s="320">
        <v>7144.99</v>
      </c>
      <c r="F35" s="317">
        <f t="shared" si="3"/>
        <v>7144.99</v>
      </c>
    </row>
    <row r="36" spans="1:6" ht="15.6">
      <c r="A36" s="336">
        <f t="shared" si="2"/>
        <v>43586</v>
      </c>
      <c r="B36" s="314">
        <v>0</v>
      </c>
      <c r="C36" s="314">
        <v>0</v>
      </c>
      <c r="D36" s="314">
        <v>0</v>
      </c>
      <c r="E36" s="320">
        <v>7144.99</v>
      </c>
      <c r="F36" s="317">
        <f t="shared" si="3"/>
        <v>7144.99</v>
      </c>
    </row>
    <row r="37" spans="1:6" ht="15.6">
      <c r="A37" s="336">
        <f t="shared" si="2"/>
        <v>43617</v>
      </c>
      <c r="B37" s="314">
        <v>0</v>
      </c>
      <c r="C37" s="314">
        <v>0</v>
      </c>
      <c r="D37" s="314">
        <v>0</v>
      </c>
      <c r="E37" s="320">
        <v>7144.99</v>
      </c>
      <c r="F37" s="317">
        <f t="shared" si="3"/>
        <v>7144.99</v>
      </c>
    </row>
    <row r="38" spans="1:6" ht="15.6">
      <c r="A38" s="336">
        <f t="shared" si="2"/>
        <v>43647</v>
      </c>
      <c r="B38" s="314">
        <v>0</v>
      </c>
      <c r="C38" s="314">
        <v>0</v>
      </c>
      <c r="D38" s="314">
        <v>0</v>
      </c>
      <c r="E38" s="320">
        <v>7144.99</v>
      </c>
      <c r="F38" s="317">
        <f t="shared" si="3"/>
        <v>7144.99</v>
      </c>
    </row>
    <row r="39" spans="1:6" ht="15.6">
      <c r="A39" s="336">
        <f t="shared" si="2"/>
        <v>43678</v>
      </c>
      <c r="B39" s="314">
        <v>0</v>
      </c>
      <c r="C39" s="314">
        <v>0</v>
      </c>
      <c r="D39" s="314">
        <v>0</v>
      </c>
      <c r="E39" s="320">
        <v>7144.99</v>
      </c>
      <c r="F39" s="317">
        <f t="shared" si="3"/>
        <v>7144.99</v>
      </c>
    </row>
    <row r="40" spans="1:6" ht="15.6">
      <c r="A40" s="336">
        <f t="shared" si="2"/>
        <v>43709</v>
      </c>
      <c r="B40" s="314">
        <v>0</v>
      </c>
      <c r="C40" s="314">
        <v>0</v>
      </c>
      <c r="D40" s="314">
        <v>0</v>
      </c>
      <c r="E40" s="320">
        <v>7144.99</v>
      </c>
      <c r="F40" s="317">
        <f t="shared" si="3"/>
        <v>7144.99</v>
      </c>
    </row>
    <row r="41" spans="1:6" ht="15.6">
      <c r="A41" s="336">
        <f t="shared" si="2"/>
        <v>43739</v>
      </c>
      <c r="B41" s="314">
        <v>0</v>
      </c>
      <c r="C41" s="314">
        <v>0</v>
      </c>
      <c r="D41" s="314">
        <v>0</v>
      </c>
      <c r="E41" s="320">
        <v>7144.99</v>
      </c>
      <c r="F41" s="317">
        <f t="shared" si="3"/>
        <v>7144.99</v>
      </c>
    </row>
    <row r="42" spans="1:6" ht="15.6">
      <c r="A42" s="336">
        <f t="shared" si="2"/>
        <v>43770</v>
      </c>
      <c r="B42" s="314">
        <v>0</v>
      </c>
      <c r="C42" s="314">
        <v>0</v>
      </c>
      <c r="D42" s="314">
        <v>0</v>
      </c>
      <c r="E42" s="320">
        <v>7144.99</v>
      </c>
      <c r="F42" s="317">
        <f t="shared" si="3"/>
        <v>7144.99</v>
      </c>
    </row>
    <row r="43" spans="1:6" ht="15.6">
      <c r="A43" s="336">
        <f t="shared" si="2"/>
        <v>43800</v>
      </c>
      <c r="B43" s="314">
        <v>0</v>
      </c>
      <c r="C43" s="314">
        <v>0</v>
      </c>
      <c r="D43" s="314">
        <v>0</v>
      </c>
      <c r="E43" s="320">
        <v>7144.99</v>
      </c>
      <c r="F43" s="319">
        <f t="shared" si="3"/>
        <v>7144.99</v>
      </c>
    </row>
    <row r="44" spans="1:6" ht="16.2" thickBot="1">
      <c r="A44" s="355" t="str">
        <f>+"TOTAL for Year, "&amp;TEXT(A32,"mm/yy")&amp;" - "&amp;TEXT(A43,"mm/yy")</f>
        <v>TOTAL for Year, 01/19 - 12/19</v>
      </c>
      <c r="B44" s="322">
        <f>SUM(B32:B43)</f>
        <v>0</v>
      </c>
      <c r="C44" s="322">
        <f>SUM(C32:C43)</f>
        <v>0</v>
      </c>
      <c r="D44" s="322">
        <f>SUM(D32:D43)</f>
        <v>0</v>
      </c>
      <c r="E44" s="322">
        <f>SUM(E32:E43)</f>
        <v>85739.88</v>
      </c>
      <c r="F44" s="322">
        <f>SUM(F32:F43)</f>
        <v>85739.88</v>
      </c>
    </row>
    <row r="45" spans="1:6" ht="13.8" thickTop="1"/>
  </sheetData>
  <pageMargins left="1" right="0.5" top="1.85" bottom="0.5" header="0.5" footer="0.1"/>
  <pageSetup scale="83" orientation="portrait" r:id="rId1"/>
  <headerFooter scaleWithDoc="0" alignWithMargins="0">
    <oddHeader>&amp;R&amp;"Times New Roman,Bold"Exhibit 3
Page 4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23</vt:i4>
      </vt:variant>
    </vt:vector>
  </HeadingPairs>
  <TitlesOfParts>
    <vt:vector size="104" baseType="lpstr">
      <vt:lpstr>Cover - Exhibit 1</vt:lpstr>
      <vt:lpstr>Cover - Exhibit 2</vt:lpstr>
      <vt:lpstr>Class Allocation</vt:lpstr>
      <vt:lpstr>True-up &gt;&gt;</vt:lpstr>
      <vt:lpstr>Cover - Exhibit 3</vt:lpstr>
      <vt:lpstr>OU Collection</vt:lpstr>
      <vt:lpstr>RevReq</vt:lpstr>
      <vt:lpstr>Net Assets</vt:lpstr>
      <vt:lpstr>OpEx</vt:lpstr>
      <vt:lpstr>Forecast &gt;&gt;</vt:lpstr>
      <vt:lpstr>Cover - Exhibit 4</vt:lpstr>
      <vt:lpstr>2020 Filing &gt;&gt;</vt:lpstr>
      <vt:lpstr>Rev Req 2020-Distr</vt:lpstr>
      <vt:lpstr>Rev Req 2020-Trans</vt:lpstr>
      <vt:lpstr>ROR</vt:lpstr>
      <vt:lpstr>Cap&amp;OpEx 2020</vt:lpstr>
      <vt:lpstr>202001 Bk Depr</vt:lpstr>
      <vt:lpstr>202002 Bk Depr</vt:lpstr>
      <vt:lpstr>202003 Bk Depr</vt:lpstr>
      <vt:lpstr>202004 Bk Depr</vt:lpstr>
      <vt:lpstr>202005 Bk Depr</vt:lpstr>
      <vt:lpstr>202006 Bk Depr</vt:lpstr>
      <vt:lpstr>202007 Bk Depr</vt:lpstr>
      <vt:lpstr>202008 Bk Depr</vt:lpstr>
      <vt:lpstr>202009 Bk Depr</vt:lpstr>
      <vt:lpstr>202010 Bk Depr</vt:lpstr>
      <vt:lpstr>202011 Bk Depr</vt:lpstr>
      <vt:lpstr>202012 Bk Depr</vt:lpstr>
      <vt:lpstr>Tax Depr 2020-Dist</vt:lpstr>
      <vt:lpstr>Tax Depr 2020-Trans</vt:lpstr>
      <vt:lpstr>2020 Capital Budget</vt:lpstr>
      <vt:lpstr>COS Budget 2020</vt:lpstr>
      <vt:lpstr>Summary</vt:lpstr>
      <vt:lpstr>2019 Support &gt;&gt;</vt:lpstr>
      <vt:lpstr>Rev Req 2019-Distr</vt:lpstr>
      <vt:lpstr>Rev Req 2019-Trans</vt:lpstr>
      <vt:lpstr>Cap&amp;OpEx 2019</vt:lpstr>
      <vt:lpstr>201901 Bk Depr</vt:lpstr>
      <vt:lpstr>201902 Bk Depr</vt:lpstr>
      <vt:lpstr>201903 Bk Depr</vt:lpstr>
      <vt:lpstr>201904 Bk Depr</vt:lpstr>
      <vt:lpstr>201905 Bk Depr</vt:lpstr>
      <vt:lpstr>201906 Bk Depr</vt:lpstr>
      <vt:lpstr>201907 Bk Depr</vt:lpstr>
      <vt:lpstr>201908 Bk Depr</vt:lpstr>
      <vt:lpstr>201909 Bk Depr</vt:lpstr>
      <vt:lpstr>201910 Bk Depr</vt:lpstr>
      <vt:lpstr>201911 Bk Depr</vt:lpstr>
      <vt:lpstr>201912 Bk Depr</vt:lpstr>
      <vt:lpstr>Tax Depr 2019</vt:lpstr>
      <vt:lpstr>2019 Capital Budget</vt:lpstr>
      <vt:lpstr>2018 Support &gt;&gt;</vt:lpstr>
      <vt:lpstr>Rev Req 2018-Distr</vt:lpstr>
      <vt:lpstr>Rev Req 2018-Trans</vt:lpstr>
      <vt:lpstr>Cap&amp;OpEx 2018</vt:lpstr>
      <vt:lpstr>201801 Bk Depr</vt:lpstr>
      <vt:lpstr>201802 Bk Depr</vt:lpstr>
      <vt:lpstr>201803 Bk Depr</vt:lpstr>
      <vt:lpstr>201804 Bk Depr</vt:lpstr>
      <vt:lpstr>201805 Bk Depr</vt:lpstr>
      <vt:lpstr>201806 Bk Depr</vt:lpstr>
      <vt:lpstr>201807 Bk Depr</vt:lpstr>
      <vt:lpstr>201808 Bk Depr</vt:lpstr>
      <vt:lpstr>201809 Bk Depr</vt:lpstr>
      <vt:lpstr>201810 Bk Depr</vt:lpstr>
      <vt:lpstr>201811 Bk Depr</vt:lpstr>
      <vt:lpstr>201812 Bk Depr</vt:lpstr>
      <vt:lpstr>Tax Depr 2018</vt:lpstr>
      <vt:lpstr>2018 Capital Budget</vt:lpstr>
      <vt:lpstr>2017 Support &gt;&gt;</vt:lpstr>
      <vt:lpstr>Rev Req 2017-Distr</vt:lpstr>
      <vt:lpstr>Rev Req 2017-Trans</vt:lpstr>
      <vt:lpstr>Cap&amp;OpEx 2017</vt:lpstr>
      <vt:lpstr>201707 Bk Depr</vt:lpstr>
      <vt:lpstr>201708 Bk Depr</vt:lpstr>
      <vt:lpstr>201709 Bk Depr</vt:lpstr>
      <vt:lpstr>201710 Bk Depr</vt:lpstr>
      <vt:lpstr>201711 Bk Depr</vt:lpstr>
      <vt:lpstr>201712 Bk Depr</vt:lpstr>
      <vt:lpstr>Tax Depr 2017</vt:lpstr>
      <vt:lpstr>Capital Budget 2017</vt:lpstr>
      <vt:lpstr>'Capital Budget 2017'!Print_Area</vt:lpstr>
      <vt:lpstr>'Class Allocation'!Print_Area</vt:lpstr>
      <vt:lpstr>'Cover - Exhibit 1'!Print_Area</vt:lpstr>
      <vt:lpstr>'Cover - Exhibit 2'!Print_Area</vt:lpstr>
      <vt:lpstr>'Cover - Exhibit 3'!Print_Area</vt:lpstr>
      <vt:lpstr>'Cover - Exhibit 4'!Print_Area</vt:lpstr>
      <vt:lpstr>'Net Assets'!Print_Area</vt:lpstr>
      <vt:lpstr>OpEx!Print_Area</vt:lpstr>
      <vt:lpstr>'OU Collection'!Print_Area</vt:lpstr>
      <vt:lpstr>'Rev Req 2017-Distr'!Print_Area</vt:lpstr>
      <vt:lpstr>'Rev Req 2017-Trans'!Print_Area</vt:lpstr>
      <vt:lpstr>'Rev Req 2018-Distr'!Print_Area</vt:lpstr>
      <vt:lpstr>'Rev Req 2018-Trans'!Print_Area</vt:lpstr>
      <vt:lpstr>'Rev Req 2019-Distr'!Print_Area</vt:lpstr>
      <vt:lpstr>'Rev Req 2019-Trans'!Print_Area</vt:lpstr>
      <vt:lpstr>'Rev Req 2020-Distr'!Print_Area</vt:lpstr>
      <vt:lpstr>'Rev Req 2020-Trans'!Print_Area</vt:lpstr>
      <vt:lpstr>RevReq!Print_Area</vt:lpstr>
      <vt:lpstr>'Tax Depr 2018'!Print_Area</vt:lpstr>
      <vt:lpstr>'Tax Depr 2019'!Print_Area</vt:lpstr>
      <vt:lpstr>'Tax Depr 2020-Dist'!Print_Area</vt:lpstr>
      <vt:lpstr>'Tax Depr 2020-Trans'!Print_Area</vt:lpstr>
      <vt:lpstr>'Class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2016-11-16T19:08:28Z</dcterms:created>
  <dcterms:modified xsi:type="dcterms:W3CDTF">2020-04-17T19:35:20Z</dcterms:modified>
</cp:coreProperties>
</file>