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R:\KY\QIP Filings\2020\Discovery\"/>
    </mc:Choice>
  </mc:AlternateContent>
  <xr:revisionPtr revIDLastSave="0" documentId="13_ncr:1_{426931B2-A636-4245-9AA1-3B7A87EFD58B}" xr6:coauthVersionLast="44" xr6:coauthVersionMax="44" xr10:uidLastSave="{00000000-0000-0000-0000-000000000000}"/>
  <bookViews>
    <workbookView xWindow="22932" yWindow="-108" windowWidth="23256" windowHeight="12576" tabRatio="927" xr2:uid="{00000000-000D-0000-FFFF-FFFF00000000}"/>
  </bookViews>
  <sheets>
    <sheet name="Depreciation Exp" sheetId="8" r:id="rId1"/>
    <sheet name="Deferred Income Taxes" sheetId="5" r:id="rId2"/>
    <sheet name="Depreciation Rates" sheetId="1" r:id="rId3"/>
    <sheet name="Net Plant Changes" sheetId="6" r:id="rId4"/>
    <sheet name="Placed in Service" sheetId="19" r:id="rId5"/>
    <sheet name="Tax Repairs Deduct" sheetId="17" r:id="rId6"/>
  </sheets>
  <definedNames>
    <definedName name="_xlnm._FilterDatabase" localSheetId="2" hidden="1">'Depreciation Rates'!$B$7:$G$79</definedName>
    <definedName name="_xlnm.Print_Area" localSheetId="1">'Deferred Income Taxes'!$A$1:$D$24</definedName>
    <definedName name="_xlnm.Print_Area" localSheetId="0">'Depreciation Exp'!$A$1:$G$12</definedName>
    <definedName name="_xlnm.Print_Area" localSheetId="2">'Depreciation Rates'!$B$8:$G$80</definedName>
    <definedName name="_xlnm.Print_Area" localSheetId="3">'Net Plant Changes'!$A$1:$F$30</definedName>
    <definedName name="_xlnm.Print_Area" localSheetId="4">'Placed in Service'!$A$1:$AU$65</definedName>
    <definedName name="_xlnm.Print_Area" localSheetId="5">'Tax Repairs Deduct'!$A$1:$BI$8</definedName>
    <definedName name="_xlnm.Print_Titles" localSheetId="2">'Depreciation Rates'!$1:$7</definedName>
    <definedName name="_xlnm.Print_Titles" localSheetId="4">'Placed in Service'!$A:$B,'Placed in Service'!$1:$4</definedName>
    <definedName name="_xlnm.Print_Titles" localSheetId="5">'Tax Repairs Deduct'!$A:$F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" i="19" l="1"/>
  <c r="AA39" i="19" s="1"/>
  <c r="AO39" i="19" s="1"/>
  <c r="X38" i="19" l="1"/>
  <c r="AB38" i="19"/>
  <c r="AB39" i="19"/>
  <c r="AP39" i="19" s="1"/>
  <c r="U38" i="19"/>
  <c r="AG38" i="19" s="1"/>
  <c r="AC38" i="19"/>
  <c r="U39" i="19"/>
  <c r="AI39" i="19" s="1"/>
  <c r="Y39" i="19"/>
  <c r="AM39" i="19" s="1"/>
  <c r="AC39" i="19"/>
  <c r="AQ39" i="19" s="1"/>
  <c r="V38" i="19"/>
  <c r="Z38" i="19"/>
  <c r="AD38" i="19"/>
  <c r="V39" i="19"/>
  <c r="AJ39" i="19" s="1"/>
  <c r="Z39" i="19"/>
  <c r="AN39" i="19" s="1"/>
  <c r="AD39" i="19"/>
  <c r="AR39" i="19" s="1"/>
  <c r="AF38" i="19"/>
  <c r="X39" i="19"/>
  <c r="AL39" i="19" s="1"/>
  <c r="Y38" i="19"/>
  <c r="W38" i="19"/>
  <c r="AA38" i="19"/>
  <c r="AE38" i="19"/>
  <c r="W39" i="19"/>
  <c r="AK39" i="19" s="1"/>
  <c r="R29" i="19"/>
  <c r="R27" i="19"/>
  <c r="R39" i="19" l="1"/>
  <c r="R33" i="19"/>
  <c r="R32" i="19"/>
  <c r="R31" i="19"/>
  <c r="R28" i="19"/>
  <c r="R25" i="19"/>
  <c r="R23" i="19"/>
  <c r="R21" i="19"/>
  <c r="R19" i="19"/>
  <c r="R18" i="19"/>
  <c r="R16" i="19"/>
  <c r="R15" i="19"/>
  <c r="R13" i="19"/>
  <c r="R11" i="19"/>
  <c r="R10" i="19"/>
  <c r="R9" i="19"/>
  <c r="R8" i="19"/>
  <c r="P57" i="19" l="1"/>
  <c r="O39" i="19"/>
  <c r="AF39" i="19" s="1"/>
  <c r="AT39" i="19" s="1"/>
  <c r="N39" i="19"/>
  <c r="AE39" i="19" s="1"/>
  <c r="O25" i="19"/>
  <c r="AF25" i="19" s="1"/>
  <c r="AT25" i="19" s="1"/>
  <c r="N25" i="19"/>
  <c r="AE25" i="19" s="1"/>
  <c r="AS25" i="19" s="1"/>
  <c r="M25" i="19"/>
  <c r="AD25" i="19" s="1"/>
  <c r="AR25" i="19" s="1"/>
  <c r="L25" i="19"/>
  <c r="AC25" i="19" s="1"/>
  <c r="AQ25" i="19" s="1"/>
  <c r="K25" i="19"/>
  <c r="AB25" i="19" s="1"/>
  <c r="AP25" i="19" s="1"/>
  <c r="J25" i="19"/>
  <c r="AA25" i="19" s="1"/>
  <c r="AO25" i="19" s="1"/>
  <c r="I25" i="19"/>
  <c r="Z25" i="19" s="1"/>
  <c r="AN25" i="19" s="1"/>
  <c r="H25" i="19"/>
  <c r="Y25" i="19" s="1"/>
  <c r="AM25" i="19" s="1"/>
  <c r="G25" i="19"/>
  <c r="X25" i="19" s="1"/>
  <c r="AL25" i="19" s="1"/>
  <c r="F25" i="19"/>
  <c r="W25" i="19" s="1"/>
  <c r="AK25" i="19" s="1"/>
  <c r="E25" i="19"/>
  <c r="V25" i="19" s="1"/>
  <c r="AJ25" i="19" s="1"/>
  <c r="D25" i="19"/>
  <c r="U25" i="19" s="1"/>
  <c r="D21" i="19"/>
  <c r="U21" i="19" s="1"/>
  <c r="AS39" i="19" l="1"/>
  <c r="AU39" i="19" s="1"/>
  <c r="AG39" i="19"/>
  <c r="AG25" i="19"/>
  <c r="AI25" i="19"/>
  <c r="AU25" i="19" s="1"/>
  <c r="AI21" i="19"/>
  <c r="P39" i="19"/>
  <c r="F28" i="19"/>
  <c r="W28" i="19" s="1"/>
  <c r="AK28" i="19" s="1"/>
  <c r="F29" i="19"/>
  <c r="W29" i="19" s="1"/>
  <c r="AK29" i="19" s="1"/>
  <c r="F27" i="19"/>
  <c r="W27" i="19" s="1"/>
  <c r="AK27" i="19" s="1"/>
  <c r="J28" i="19"/>
  <c r="AA28" i="19" s="1"/>
  <c r="AO28" i="19" s="1"/>
  <c r="J29" i="19"/>
  <c r="AA29" i="19" s="1"/>
  <c r="AO29" i="19" s="1"/>
  <c r="J27" i="19"/>
  <c r="AA27" i="19" s="1"/>
  <c r="AO27" i="19" s="1"/>
  <c r="N28" i="19"/>
  <c r="AE28" i="19" s="1"/>
  <c r="AS28" i="19" s="1"/>
  <c r="N29" i="19"/>
  <c r="AE29" i="19" s="1"/>
  <c r="AS29" i="19" s="1"/>
  <c r="N27" i="19"/>
  <c r="AE27" i="19" s="1"/>
  <c r="AS27" i="19" s="1"/>
  <c r="G28" i="19"/>
  <c r="X28" i="19" s="1"/>
  <c r="AL28" i="19" s="1"/>
  <c r="G29" i="19"/>
  <c r="X29" i="19" s="1"/>
  <c r="AL29" i="19" s="1"/>
  <c r="G27" i="19"/>
  <c r="X27" i="19" s="1"/>
  <c r="AL27" i="19" s="1"/>
  <c r="K28" i="19"/>
  <c r="AB28" i="19" s="1"/>
  <c r="AP28" i="19" s="1"/>
  <c r="K29" i="19"/>
  <c r="AB29" i="19" s="1"/>
  <c r="AP29" i="19" s="1"/>
  <c r="K27" i="19"/>
  <c r="AB27" i="19" s="1"/>
  <c r="AP27" i="19" s="1"/>
  <c r="O28" i="19"/>
  <c r="AF28" i="19" s="1"/>
  <c r="AT28" i="19" s="1"/>
  <c r="O29" i="19"/>
  <c r="AF29" i="19" s="1"/>
  <c r="AT29" i="19" s="1"/>
  <c r="O27" i="19"/>
  <c r="AF27" i="19" s="1"/>
  <c r="AT27" i="19" s="1"/>
  <c r="D28" i="19"/>
  <c r="U28" i="19" s="1"/>
  <c r="D29" i="19"/>
  <c r="U29" i="19" s="1"/>
  <c r="D27" i="19"/>
  <c r="U27" i="19" s="1"/>
  <c r="H28" i="19"/>
  <c r="Y28" i="19" s="1"/>
  <c r="AM28" i="19" s="1"/>
  <c r="H29" i="19"/>
  <c r="Y29" i="19" s="1"/>
  <c r="AM29" i="19" s="1"/>
  <c r="H27" i="19"/>
  <c r="Y27" i="19" s="1"/>
  <c r="AM27" i="19" s="1"/>
  <c r="L28" i="19"/>
  <c r="AC28" i="19" s="1"/>
  <c r="AQ28" i="19" s="1"/>
  <c r="L29" i="19"/>
  <c r="AC29" i="19" s="1"/>
  <c r="AQ29" i="19" s="1"/>
  <c r="L27" i="19"/>
  <c r="AC27" i="19" s="1"/>
  <c r="AQ27" i="19" s="1"/>
  <c r="E28" i="19"/>
  <c r="V28" i="19" s="1"/>
  <c r="AJ28" i="19" s="1"/>
  <c r="E29" i="19"/>
  <c r="V29" i="19" s="1"/>
  <c r="AJ29" i="19" s="1"/>
  <c r="E27" i="19"/>
  <c r="V27" i="19" s="1"/>
  <c r="AJ27" i="19" s="1"/>
  <c r="I28" i="19"/>
  <c r="Z28" i="19" s="1"/>
  <c r="AN28" i="19" s="1"/>
  <c r="I29" i="19"/>
  <c r="Z29" i="19" s="1"/>
  <c r="AN29" i="19" s="1"/>
  <c r="I27" i="19"/>
  <c r="Z27" i="19" s="1"/>
  <c r="AN27" i="19" s="1"/>
  <c r="M28" i="19"/>
  <c r="AD28" i="19" s="1"/>
  <c r="AR28" i="19" s="1"/>
  <c r="M29" i="19"/>
  <c r="AD29" i="19" s="1"/>
  <c r="AR29" i="19" s="1"/>
  <c r="M27" i="19"/>
  <c r="AD27" i="19" s="1"/>
  <c r="AR27" i="19" s="1"/>
  <c r="I46" i="19"/>
  <c r="I10" i="19"/>
  <c r="Z10" i="19" s="1"/>
  <c r="AN10" i="19" s="1"/>
  <c r="I11" i="19"/>
  <c r="Z11" i="19" s="1"/>
  <c r="AN11" i="19" s="1"/>
  <c r="I8" i="19"/>
  <c r="Z8" i="19" s="1"/>
  <c r="I9" i="19"/>
  <c r="Z9" i="19" s="1"/>
  <c r="AN9" i="19" s="1"/>
  <c r="I47" i="19"/>
  <c r="I13" i="19"/>
  <c r="Z13" i="19" s="1"/>
  <c r="AN13" i="19" s="1"/>
  <c r="E48" i="19"/>
  <c r="E15" i="19"/>
  <c r="V15" i="19" s="1"/>
  <c r="AJ15" i="19" s="1"/>
  <c r="E16" i="19"/>
  <c r="V16" i="19" s="1"/>
  <c r="AJ16" i="19" s="1"/>
  <c r="M48" i="19"/>
  <c r="M15" i="19"/>
  <c r="AD15" i="19" s="1"/>
  <c r="AR15" i="19" s="1"/>
  <c r="M16" i="19"/>
  <c r="AD16" i="19" s="1"/>
  <c r="AR16" i="19" s="1"/>
  <c r="M49" i="19"/>
  <c r="M18" i="19"/>
  <c r="AD18" i="19" s="1"/>
  <c r="AR18" i="19" s="1"/>
  <c r="M19" i="19"/>
  <c r="AD19" i="19" s="1"/>
  <c r="AR19" i="19" s="1"/>
  <c r="M50" i="19"/>
  <c r="M21" i="19"/>
  <c r="AD21" i="19" s="1"/>
  <c r="AR21" i="19" s="1"/>
  <c r="I54" i="19"/>
  <c r="I32" i="19"/>
  <c r="Z32" i="19" s="1"/>
  <c r="AN32" i="19" s="1"/>
  <c r="I33" i="19"/>
  <c r="Z33" i="19" s="1"/>
  <c r="AN33" i="19" s="1"/>
  <c r="I31" i="19"/>
  <c r="Z31" i="19" s="1"/>
  <c r="AN31" i="19" s="1"/>
  <c r="D46" i="19"/>
  <c r="D10" i="19"/>
  <c r="U10" i="19" s="1"/>
  <c r="D9" i="19"/>
  <c r="U9" i="19" s="1"/>
  <c r="D8" i="19"/>
  <c r="U8" i="19" s="1"/>
  <c r="D11" i="19"/>
  <c r="U11" i="19" s="1"/>
  <c r="H46" i="19"/>
  <c r="H9" i="19"/>
  <c r="Y9" i="19" s="1"/>
  <c r="AM9" i="19" s="1"/>
  <c r="H10" i="19"/>
  <c r="Y10" i="19" s="1"/>
  <c r="AM10" i="19" s="1"/>
  <c r="H11" i="19"/>
  <c r="Y11" i="19" s="1"/>
  <c r="AM11" i="19" s="1"/>
  <c r="H8" i="19"/>
  <c r="Y8" i="19" s="1"/>
  <c r="L46" i="19"/>
  <c r="L9" i="19"/>
  <c r="AC9" i="19" s="1"/>
  <c r="AQ9" i="19" s="1"/>
  <c r="L10" i="19"/>
  <c r="AC10" i="19" s="1"/>
  <c r="AQ10" i="19" s="1"/>
  <c r="L11" i="19"/>
  <c r="AC11" i="19" s="1"/>
  <c r="AQ11" i="19" s="1"/>
  <c r="L8" i="19"/>
  <c r="AC8" i="19" s="1"/>
  <c r="D47" i="19"/>
  <c r="D13" i="19"/>
  <c r="U13" i="19" s="1"/>
  <c r="H47" i="19"/>
  <c r="H13" i="19"/>
  <c r="Y13" i="19" s="1"/>
  <c r="AM13" i="19" s="1"/>
  <c r="L47" i="19"/>
  <c r="L13" i="19"/>
  <c r="AC13" i="19" s="1"/>
  <c r="AQ13" i="19" s="1"/>
  <c r="D48" i="19"/>
  <c r="D16" i="19"/>
  <c r="U16" i="19" s="1"/>
  <c r="D15" i="19"/>
  <c r="U15" i="19" s="1"/>
  <c r="H48" i="19"/>
  <c r="H15" i="19"/>
  <c r="Y15" i="19" s="1"/>
  <c r="AM15" i="19" s="1"/>
  <c r="H16" i="19"/>
  <c r="Y16" i="19" s="1"/>
  <c r="AM16" i="19" s="1"/>
  <c r="L48" i="19"/>
  <c r="L15" i="19"/>
  <c r="AC15" i="19" s="1"/>
  <c r="AQ15" i="19" s="1"/>
  <c r="L16" i="19"/>
  <c r="AC16" i="19" s="1"/>
  <c r="AQ16" i="19" s="1"/>
  <c r="D49" i="19"/>
  <c r="D18" i="19"/>
  <c r="U18" i="19" s="1"/>
  <c r="D19" i="19"/>
  <c r="U19" i="19" s="1"/>
  <c r="H49" i="19"/>
  <c r="H19" i="19"/>
  <c r="Y19" i="19" s="1"/>
  <c r="AM19" i="19" s="1"/>
  <c r="H18" i="19"/>
  <c r="Y18" i="19" s="1"/>
  <c r="AM18" i="19" s="1"/>
  <c r="L49" i="19"/>
  <c r="L19" i="19"/>
  <c r="AC19" i="19" s="1"/>
  <c r="AQ19" i="19" s="1"/>
  <c r="L18" i="19"/>
  <c r="AC18" i="19" s="1"/>
  <c r="AQ18" i="19" s="1"/>
  <c r="H50" i="19"/>
  <c r="H21" i="19"/>
  <c r="Y21" i="19" s="1"/>
  <c r="AM21" i="19" s="1"/>
  <c r="L50" i="19"/>
  <c r="L21" i="19"/>
  <c r="AC21" i="19" s="1"/>
  <c r="AQ21" i="19" s="1"/>
  <c r="D51" i="19"/>
  <c r="D23" i="19"/>
  <c r="U23" i="19" s="1"/>
  <c r="H51" i="19"/>
  <c r="H23" i="19"/>
  <c r="Y23" i="19" s="1"/>
  <c r="AM23" i="19" s="1"/>
  <c r="L51" i="19"/>
  <c r="L23" i="19"/>
  <c r="AC23" i="19" s="1"/>
  <c r="AQ23" i="19" s="1"/>
  <c r="P25" i="19"/>
  <c r="D54" i="19"/>
  <c r="D31" i="19"/>
  <c r="U31" i="19" s="1"/>
  <c r="D33" i="19"/>
  <c r="U33" i="19" s="1"/>
  <c r="D32" i="19"/>
  <c r="U32" i="19" s="1"/>
  <c r="H54" i="19"/>
  <c r="H31" i="19"/>
  <c r="Y31" i="19" s="1"/>
  <c r="AM31" i="19" s="1"/>
  <c r="H32" i="19"/>
  <c r="Y32" i="19" s="1"/>
  <c r="AM32" i="19" s="1"/>
  <c r="H33" i="19"/>
  <c r="Y33" i="19" s="1"/>
  <c r="AM33" i="19" s="1"/>
  <c r="L54" i="19"/>
  <c r="L31" i="19"/>
  <c r="AC31" i="19" s="1"/>
  <c r="AQ31" i="19" s="1"/>
  <c r="L32" i="19"/>
  <c r="AC32" i="19" s="1"/>
  <c r="AQ32" i="19" s="1"/>
  <c r="L33" i="19"/>
  <c r="AC33" i="19" s="1"/>
  <c r="AQ33" i="19" s="1"/>
  <c r="E46" i="19"/>
  <c r="E10" i="19"/>
  <c r="V10" i="19" s="1"/>
  <c r="AJ10" i="19" s="1"/>
  <c r="E11" i="19"/>
  <c r="V11" i="19" s="1"/>
  <c r="AJ11" i="19" s="1"/>
  <c r="E8" i="19"/>
  <c r="V8" i="19" s="1"/>
  <c r="E9" i="19"/>
  <c r="V9" i="19" s="1"/>
  <c r="AJ9" i="19" s="1"/>
  <c r="M46" i="19"/>
  <c r="M10" i="19"/>
  <c r="AD10" i="19" s="1"/>
  <c r="AR10" i="19" s="1"/>
  <c r="M11" i="19"/>
  <c r="AD11" i="19" s="1"/>
  <c r="AR11" i="19" s="1"/>
  <c r="M8" i="19"/>
  <c r="AD8" i="19" s="1"/>
  <c r="M9" i="19"/>
  <c r="AD9" i="19" s="1"/>
  <c r="AR9" i="19" s="1"/>
  <c r="M47" i="19"/>
  <c r="M13" i="19"/>
  <c r="AD13" i="19" s="1"/>
  <c r="AR13" i="19" s="1"/>
  <c r="E49" i="19"/>
  <c r="E18" i="19"/>
  <c r="V18" i="19" s="1"/>
  <c r="AJ18" i="19" s="1"/>
  <c r="E19" i="19"/>
  <c r="V19" i="19" s="1"/>
  <c r="AJ19" i="19" s="1"/>
  <c r="E50" i="19"/>
  <c r="E21" i="19"/>
  <c r="V21" i="19" s="1"/>
  <c r="AJ21" i="19" s="1"/>
  <c r="E51" i="19"/>
  <c r="E23" i="19"/>
  <c r="V23" i="19" s="1"/>
  <c r="AJ23" i="19" s="1"/>
  <c r="M51" i="19"/>
  <c r="M23" i="19"/>
  <c r="AD23" i="19" s="1"/>
  <c r="AR23" i="19" s="1"/>
  <c r="M54" i="19"/>
  <c r="M32" i="19"/>
  <c r="AD32" i="19" s="1"/>
  <c r="AR32" i="19" s="1"/>
  <c r="M33" i="19"/>
  <c r="AD33" i="19" s="1"/>
  <c r="AR33" i="19" s="1"/>
  <c r="M31" i="19"/>
  <c r="AD31" i="19" s="1"/>
  <c r="AR31" i="19" s="1"/>
  <c r="F46" i="19"/>
  <c r="F11" i="19"/>
  <c r="W11" i="19" s="1"/>
  <c r="AK11" i="19" s="1"/>
  <c r="F8" i="19"/>
  <c r="W8" i="19" s="1"/>
  <c r="F9" i="19"/>
  <c r="W9" i="19" s="1"/>
  <c r="AK9" i="19" s="1"/>
  <c r="F10" i="19"/>
  <c r="W10" i="19" s="1"/>
  <c r="AK10" i="19" s="1"/>
  <c r="J46" i="19"/>
  <c r="J11" i="19"/>
  <c r="AA11" i="19" s="1"/>
  <c r="AO11" i="19" s="1"/>
  <c r="J8" i="19"/>
  <c r="AA8" i="19" s="1"/>
  <c r="J9" i="19"/>
  <c r="AA9" i="19" s="1"/>
  <c r="AO9" i="19" s="1"/>
  <c r="J10" i="19"/>
  <c r="AA10" i="19" s="1"/>
  <c r="AO10" i="19" s="1"/>
  <c r="N46" i="19"/>
  <c r="N11" i="19"/>
  <c r="AE11" i="19" s="1"/>
  <c r="AS11" i="19" s="1"/>
  <c r="N8" i="19"/>
  <c r="AE8" i="19" s="1"/>
  <c r="N9" i="19"/>
  <c r="AE9" i="19" s="1"/>
  <c r="AS9" i="19" s="1"/>
  <c r="N10" i="19"/>
  <c r="AE10" i="19" s="1"/>
  <c r="AS10" i="19" s="1"/>
  <c r="F47" i="19"/>
  <c r="F13" i="19"/>
  <c r="W13" i="19" s="1"/>
  <c r="AK13" i="19" s="1"/>
  <c r="J47" i="19"/>
  <c r="J13" i="19"/>
  <c r="AA13" i="19" s="1"/>
  <c r="AO13" i="19" s="1"/>
  <c r="N47" i="19"/>
  <c r="N13" i="19"/>
  <c r="AE13" i="19" s="1"/>
  <c r="AS13" i="19" s="1"/>
  <c r="F48" i="19"/>
  <c r="F16" i="19"/>
  <c r="W16" i="19" s="1"/>
  <c r="AK16" i="19" s="1"/>
  <c r="F15" i="19"/>
  <c r="W15" i="19" s="1"/>
  <c r="AK15" i="19" s="1"/>
  <c r="J48" i="19"/>
  <c r="J16" i="19"/>
  <c r="AA16" i="19" s="1"/>
  <c r="AO16" i="19" s="1"/>
  <c r="J15" i="19"/>
  <c r="AA15" i="19" s="1"/>
  <c r="AO15" i="19" s="1"/>
  <c r="N48" i="19"/>
  <c r="N16" i="19"/>
  <c r="AE16" i="19" s="1"/>
  <c r="AS16" i="19" s="1"/>
  <c r="N15" i="19"/>
  <c r="AE15" i="19" s="1"/>
  <c r="AS15" i="19" s="1"/>
  <c r="F49" i="19"/>
  <c r="F18" i="19"/>
  <c r="W18" i="19" s="1"/>
  <c r="AK18" i="19" s="1"/>
  <c r="F19" i="19"/>
  <c r="W19" i="19" s="1"/>
  <c r="AK19" i="19" s="1"/>
  <c r="J49" i="19"/>
  <c r="J18" i="19"/>
  <c r="AA18" i="19" s="1"/>
  <c r="AO18" i="19" s="1"/>
  <c r="J19" i="19"/>
  <c r="AA19" i="19" s="1"/>
  <c r="AO19" i="19" s="1"/>
  <c r="N49" i="19"/>
  <c r="N18" i="19"/>
  <c r="AE18" i="19" s="1"/>
  <c r="AS18" i="19" s="1"/>
  <c r="N19" i="19"/>
  <c r="AE19" i="19" s="1"/>
  <c r="AS19" i="19" s="1"/>
  <c r="F50" i="19"/>
  <c r="F21" i="19"/>
  <c r="W21" i="19" s="1"/>
  <c r="AK21" i="19" s="1"/>
  <c r="J50" i="19"/>
  <c r="J21" i="19"/>
  <c r="AA21" i="19" s="1"/>
  <c r="AO21" i="19" s="1"/>
  <c r="N50" i="19"/>
  <c r="N21" i="19"/>
  <c r="AE21" i="19" s="1"/>
  <c r="AS21" i="19" s="1"/>
  <c r="F51" i="19"/>
  <c r="F23" i="19"/>
  <c r="W23" i="19" s="1"/>
  <c r="AK23" i="19" s="1"/>
  <c r="J51" i="19"/>
  <c r="J23" i="19"/>
  <c r="AA23" i="19" s="1"/>
  <c r="AO23" i="19" s="1"/>
  <c r="N51" i="19"/>
  <c r="N23" i="19"/>
  <c r="AE23" i="19" s="1"/>
  <c r="AS23" i="19" s="1"/>
  <c r="F54" i="19"/>
  <c r="F32" i="19"/>
  <c r="W32" i="19" s="1"/>
  <c r="AK32" i="19" s="1"/>
  <c r="F33" i="19"/>
  <c r="W33" i="19" s="1"/>
  <c r="AK33" i="19" s="1"/>
  <c r="F31" i="19"/>
  <c r="W31" i="19" s="1"/>
  <c r="AK31" i="19" s="1"/>
  <c r="J54" i="19"/>
  <c r="J32" i="19"/>
  <c r="AA32" i="19" s="1"/>
  <c r="AO32" i="19" s="1"/>
  <c r="J33" i="19"/>
  <c r="AA33" i="19" s="1"/>
  <c r="AO33" i="19" s="1"/>
  <c r="J31" i="19"/>
  <c r="AA31" i="19" s="1"/>
  <c r="AO31" i="19" s="1"/>
  <c r="N54" i="19"/>
  <c r="N32" i="19"/>
  <c r="AE32" i="19" s="1"/>
  <c r="AS32" i="19" s="1"/>
  <c r="N33" i="19"/>
  <c r="AE33" i="19" s="1"/>
  <c r="AS33" i="19" s="1"/>
  <c r="N31" i="19"/>
  <c r="AE31" i="19" s="1"/>
  <c r="AS31" i="19" s="1"/>
  <c r="E47" i="19"/>
  <c r="E13" i="19"/>
  <c r="V13" i="19" s="1"/>
  <c r="AJ13" i="19" s="1"/>
  <c r="I48" i="19"/>
  <c r="I15" i="19"/>
  <c r="Z15" i="19" s="1"/>
  <c r="AN15" i="19" s="1"/>
  <c r="I16" i="19"/>
  <c r="Z16" i="19" s="1"/>
  <c r="AN16" i="19" s="1"/>
  <c r="I49" i="19"/>
  <c r="I18" i="19"/>
  <c r="Z18" i="19" s="1"/>
  <c r="AN18" i="19" s="1"/>
  <c r="I19" i="19"/>
  <c r="Z19" i="19" s="1"/>
  <c r="AN19" i="19" s="1"/>
  <c r="I50" i="19"/>
  <c r="I21" i="19"/>
  <c r="Z21" i="19" s="1"/>
  <c r="AN21" i="19" s="1"/>
  <c r="I51" i="19"/>
  <c r="I23" i="19"/>
  <c r="Z23" i="19" s="1"/>
  <c r="AN23" i="19" s="1"/>
  <c r="E54" i="19"/>
  <c r="E32" i="19"/>
  <c r="V32" i="19" s="1"/>
  <c r="AJ32" i="19" s="1"/>
  <c r="E33" i="19"/>
  <c r="V33" i="19" s="1"/>
  <c r="AJ33" i="19" s="1"/>
  <c r="E31" i="19"/>
  <c r="V31" i="19" s="1"/>
  <c r="AJ31" i="19" s="1"/>
  <c r="G8" i="19"/>
  <c r="X8" i="19" s="1"/>
  <c r="G9" i="19"/>
  <c r="X9" i="19" s="1"/>
  <c r="AL9" i="19" s="1"/>
  <c r="G10" i="19"/>
  <c r="X10" i="19" s="1"/>
  <c r="AL10" i="19" s="1"/>
  <c r="G11" i="19"/>
  <c r="X11" i="19" s="1"/>
  <c r="AL11" i="19" s="1"/>
  <c r="K8" i="19"/>
  <c r="AB8" i="19" s="1"/>
  <c r="K9" i="19"/>
  <c r="AB9" i="19" s="1"/>
  <c r="AP9" i="19" s="1"/>
  <c r="K10" i="19"/>
  <c r="AB10" i="19" s="1"/>
  <c r="AP10" i="19" s="1"/>
  <c r="K11" i="19"/>
  <c r="AB11" i="19" s="1"/>
  <c r="AP11" i="19" s="1"/>
  <c r="O8" i="19"/>
  <c r="AF8" i="19" s="1"/>
  <c r="O9" i="19"/>
  <c r="AF9" i="19" s="1"/>
  <c r="AT9" i="19" s="1"/>
  <c r="O10" i="19"/>
  <c r="AF10" i="19" s="1"/>
  <c r="AT10" i="19" s="1"/>
  <c r="O11" i="19"/>
  <c r="AF11" i="19" s="1"/>
  <c r="AT11" i="19" s="1"/>
  <c r="G47" i="19"/>
  <c r="G13" i="19"/>
  <c r="X13" i="19" s="1"/>
  <c r="AL13" i="19" s="1"/>
  <c r="K47" i="19"/>
  <c r="K13" i="19"/>
  <c r="AB13" i="19" s="1"/>
  <c r="AP13" i="19" s="1"/>
  <c r="O47" i="19"/>
  <c r="O13" i="19"/>
  <c r="AF13" i="19" s="1"/>
  <c r="AT13" i="19" s="1"/>
  <c r="G48" i="19"/>
  <c r="G15" i="19"/>
  <c r="X15" i="19" s="1"/>
  <c r="AL15" i="19" s="1"/>
  <c r="G16" i="19"/>
  <c r="X16" i="19" s="1"/>
  <c r="AL16" i="19" s="1"/>
  <c r="K48" i="19"/>
  <c r="K15" i="19"/>
  <c r="AB15" i="19" s="1"/>
  <c r="AP15" i="19" s="1"/>
  <c r="K16" i="19"/>
  <c r="AB16" i="19" s="1"/>
  <c r="AP16" i="19" s="1"/>
  <c r="O48" i="19"/>
  <c r="O15" i="19"/>
  <c r="AF15" i="19" s="1"/>
  <c r="AT15" i="19" s="1"/>
  <c r="O16" i="19"/>
  <c r="AF16" i="19" s="1"/>
  <c r="AT16" i="19" s="1"/>
  <c r="G49" i="19"/>
  <c r="G18" i="19"/>
  <c r="X18" i="19" s="1"/>
  <c r="AL18" i="19" s="1"/>
  <c r="G19" i="19"/>
  <c r="X19" i="19" s="1"/>
  <c r="AL19" i="19" s="1"/>
  <c r="K49" i="19"/>
  <c r="K18" i="19"/>
  <c r="AB18" i="19" s="1"/>
  <c r="AP18" i="19" s="1"/>
  <c r="K19" i="19"/>
  <c r="AB19" i="19" s="1"/>
  <c r="AP19" i="19" s="1"/>
  <c r="O49" i="19"/>
  <c r="O18" i="19"/>
  <c r="AF18" i="19" s="1"/>
  <c r="AT18" i="19" s="1"/>
  <c r="O19" i="19"/>
  <c r="AF19" i="19" s="1"/>
  <c r="AT19" i="19" s="1"/>
  <c r="G50" i="19"/>
  <c r="G21" i="19"/>
  <c r="X21" i="19" s="1"/>
  <c r="AL21" i="19" s="1"/>
  <c r="K50" i="19"/>
  <c r="K21" i="19"/>
  <c r="AB21" i="19" s="1"/>
  <c r="AP21" i="19" s="1"/>
  <c r="O50" i="19"/>
  <c r="O21" i="19"/>
  <c r="AF21" i="19" s="1"/>
  <c r="AT21" i="19" s="1"/>
  <c r="G51" i="19"/>
  <c r="G23" i="19"/>
  <c r="X23" i="19" s="1"/>
  <c r="AL23" i="19" s="1"/>
  <c r="K51" i="19"/>
  <c r="K23" i="19"/>
  <c r="AB23" i="19" s="1"/>
  <c r="AP23" i="19" s="1"/>
  <c r="O51" i="19"/>
  <c r="O23" i="19"/>
  <c r="AF23" i="19" s="1"/>
  <c r="AT23" i="19" s="1"/>
  <c r="G54" i="19"/>
  <c r="G33" i="19"/>
  <c r="X33" i="19" s="1"/>
  <c r="AL33" i="19" s="1"/>
  <c r="G31" i="19"/>
  <c r="X31" i="19" s="1"/>
  <c r="AL31" i="19" s="1"/>
  <c r="G32" i="19"/>
  <c r="X32" i="19" s="1"/>
  <c r="AL32" i="19" s="1"/>
  <c r="K54" i="19"/>
  <c r="K33" i="19"/>
  <c r="AB33" i="19" s="1"/>
  <c r="AP33" i="19" s="1"/>
  <c r="K31" i="19"/>
  <c r="AB31" i="19" s="1"/>
  <c r="AP31" i="19" s="1"/>
  <c r="K32" i="19"/>
  <c r="AB32" i="19" s="1"/>
  <c r="AP32" i="19" s="1"/>
  <c r="O54" i="19"/>
  <c r="O33" i="19"/>
  <c r="AF33" i="19" s="1"/>
  <c r="AT33" i="19" s="1"/>
  <c r="O31" i="19"/>
  <c r="AF31" i="19" s="1"/>
  <c r="AT31" i="19" s="1"/>
  <c r="O32" i="19"/>
  <c r="AF32" i="19" s="1"/>
  <c r="AT32" i="19" s="1"/>
  <c r="P20" i="19"/>
  <c r="P24" i="19"/>
  <c r="P26" i="19"/>
  <c r="D50" i="19"/>
  <c r="O46" i="19"/>
  <c r="P12" i="19"/>
  <c r="P14" i="19"/>
  <c r="G46" i="19"/>
  <c r="P17" i="19"/>
  <c r="K46" i="19"/>
  <c r="P22" i="19"/>
  <c r="P38" i="19"/>
  <c r="P7" i="19"/>
  <c r="P30" i="19"/>
  <c r="AG32" i="19" l="1"/>
  <c r="AI32" i="19"/>
  <c r="AU32" i="19" s="1"/>
  <c r="AG33" i="19"/>
  <c r="AI33" i="19"/>
  <c r="AU33" i="19" s="1"/>
  <c r="AG31" i="19"/>
  <c r="AI31" i="19"/>
  <c r="AU31" i="19" s="1"/>
  <c r="AG28" i="19"/>
  <c r="AI28" i="19"/>
  <c r="AU28" i="19" s="1"/>
  <c r="AG29" i="19"/>
  <c r="AI29" i="19"/>
  <c r="AU29" i="19" s="1"/>
  <c r="AG27" i="19"/>
  <c r="AI27" i="19"/>
  <c r="AU27" i="19" s="1"/>
  <c r="AG23" i="19"/>
  <c r="AI23" i="19"/>
  <c r="AU23" i="19" s="1"/>
  <c r="AU21" i="19"/>
  <c r="AG21" i="19"/>
  <c r="AG19" i="19"/>
  <c r="AI19" i="19"/>
  <c r="AU19" i="19" s="1"/>
  <c r="AG18" i="19"/>
  <c r="AI18" i="19"/>
  <c r="AU18" i="19" s="1"/>
  <c r="AG15" i="19"/>
  <c r="AI15" i="19"/>
  <c r="AU15" i="19" s="1"/>
  <c r="AG16" i="19"/>
  <c r="AI16" i="19"/>
  <c r="AU16" i="19" s="1"/>
  <c r="AG13" i="19"/>
  <c r="AI13" i="19"/>
  <c r="AU13" i="19" s="1"/>
  <c r="AS8" i="19"/>
  <c r="AS35" i="19" s="1"/>
  <c r="AS42" i="19" s="1"/>
  <c r="AE35" i="19"/>
  <c r="AE42" i="19" s="1"/>
  <c r="AI8" i="19"/>
  <c r="U35" i="19"/>
  <c r="U42" i="19" s="1"/>
  <c r="AF35" i="19"/>
  <c r="AF42" i="19" s="1"/>
  <c r="AT8" i="19"/>
  <c r="AT35" i="19" s="1"/>
  <c r="AT42" i="19" s="1"/>
  <c r="AB35" i="19"/>
  <c r="AB42" i="19" s="1"/>
  <c r="AP8" i="19"/>
  <c r="AP35" i="19" s="1"/>
  <c r="AP42" i="19" s="1"/>
  <c r="X35" i="19"/>
  <c r="X42" i="19" s="1"/>
  <c r="AL8" i="19"/>
  <c r="AL35" i="19" s="1"/>
  <c r="AL42" i="19" s="1"/>
  <c r="AO8" i="19"/>
  <c r="AO35" i="19" s="1"/>
  <c r="AO42" i="19" s="1"/>
  <c r="AA35" i="19"/>
  <c r="AA42" i="19" s="1"/>
  <c r="AR8" i="19"/>
  <c r="AR35" i="19" s="1"/>
  <c r="AR42" i="19" s="1"/>
  <c r="AD35" i="19"/>
  <c r="AD42" i="19" s="1"/>
  <c r="AQ8" i="19"/>
  <c r="AQ35" i="19" s="1"/>
  <c r="AQ42" i="19" s="1"/>
  <c r="AC35" i="19"/>
  <c r="AC42" i="19" s="1"/>
  <c r="AI9" i="19"/>
  <c r="AU9" i="19" s="1"/>
  <c r="AG9" i="19"/>
  <c r="AI11" i="19"/>
  <c r="AU11" i="19" s="1"/>
  <c r="AG11" i="19"/>
  <c r="AK8" i="19"/>
  <c r="AK35" i="19" s="1"/>
  <c r="AK42" i="19" s="1"/>
  <c r="W35" i="19"/>
  <c r="W42" i="19" s="1"/>
  <c r="AG8" i="19"/>
  <c r="V35" i="19"/>
  <c r="V42" i="19" s="1"/>
  <c r="AJ8" i="19"/>
  <c r="Y35" i="19"/>
  <c r="Y42" i="19" s="1"/>
  <c r="AM8" i="19"/>
  <c r="AM35" i="19" s="1"/>
  <c r="AM42" i="19" s="1"/>
  <c r="AI10" i="19"/>
  <c r="AU10" i="19" s="1"/>
  <c r="AG10" i="19"/>
  <c r="Z35" i="19"/>
  <c r="Z42" i="19" s="1"/>
  <c r="AN8" i="19"/>
  <c r="AN35" i="19" s="1"/>
  <c r="AN42" i="19" s="1"/>
  <c r="P28" i="19"/>
  <c r="O35" i="19"/>
  <c r="O42" i="19" s="1"/>
  <c r="O69" i="19" s="1"/>
  <c r="J35" i="19"/>
  <c r="J42" i="19" s="1"/>
  <c r="E35" i="19"/>
  <c r="D35" i="19"/>
  <c r="D42" i="19" s="1"/>
  <c r="I35" i="19"/>
  <c r="I42" i="19" s="1"/>
  <c r="I69" i="19" s="1"/>
  <c r="K35" i="19"/>
  <c r="K42" i="19" s="1"/>
  <c r="K69" i="19" s="1"/>
  <c r="H35" i="19"/>
  <c r="H42" i="19" s="1"/>
  <c r="H69" i="19" s="1"/>
  <c r="G35" i="19"/>
  <c r="G42" i="19" s="1"/>
  <c r="G69" i="19" s="1"/>
  <c r="N35" i="19"/>
  <c r="N42" i="19" s="1"/>
  <c r="N69" i="19" s="1"/>
  <c r="F35" i="19"/>
  <c r="F42" i="19" s="1"/>
  <c r="F69" i="19" s="1"/>
  <c r="M35" i="19"/>
  <c r="L35" i="19"/>
  <c r="L42" i="19" s="1"/>
  <c r="L69" i="19" s="1"/>
  <c r="P29" i="19"/>
  <c r="F55" i="19"/>
  <c r="F58" i="19" s="1"/>
  <c r="H55" i="19"/>
  <c r="H58" i="19" s="1"/>
  <c r="P27" i="19"/>
  <c r="J55" i="19"/>
  <c r="J58" i="19" s="1"/>
  <c r="M55" i="19"/>
  <c r="M58" i="19" s="1"/>
  <c r="P54" i="19"/>
  <c r="L55" i="19"/>
  <c r="L58" i="19" s="1"/>
  <c r="P47" i="19"/>
  <c r="N55" i="19"/>
  <c r="N58" i="19" s="1"/>
  <c r="O55" i="19"/>
  <c r="O58" i="19" s="1"/>
  <c r="P21" i="19"/>
  <c r="E55" i="19"/>
  <c r="E58" i="19" s="1"/>
  <c r="P48" i="19"/>
  <c r="P49" i="19"/>
  <c r="M42" i="19"/>
  <c r="M69" i="19" s="1"/>
  <c r="G55" i="19"/>
  <c r="G58" i="19" s="1"/>
  <c r="E42" i="19"/>
  <c r="E69" i="19" s="1"/>
  <c r="P18" i="19"/>
  <c r="P15" i="19"/>
  <c r="P10" i="19"/>
  <c r="P32" i="19"/>
  <c r="P31" i="19"/>
  <c r="P16" i="19"/>
  <c r="P11" i="19"/>
  <c r="P51" i="19"/>
  <c r="P50" i="19"/>
  <c r="K55" i="19"/>
  <c r="K58" i="19" s="1"/>
  <c r="P33" i="19"/>
  <c r="P8" i="19"/>
  <c r="P23" i="19"/>
  <c r="P19" i="19"/>
  <c r="P13" i="19"/>
  <c r="P9" i="19"/>
  <c r="I55" i="19"/>
  <c r="I58" i="19" s="1"/>
  <c r="D55" i="19"/>
  <c r="D58" i="19" s="1"/>
  <c r="P46" i="19"/>
  <c r="AG35" i="19" l="1"/>
  <c r="AG42" i="19" s="1"/>
  <c r="E8" i="8"/>
  <c r="D8" i="6"/>
  <c r="C12" i="5" s="1"/>
  <c r="D69" i="19"/>
  <c r="D18" i="6"/>
  <c r="J69" i="19"/>
  <c r="E9" i="6" s="1"/>
  <c r="E8" i="6"/>
  <c r="D12" i="5" s="1"/>
  <c r="E18" i="6"/>
  <c r="AU8" i="19"/>
  <c r="AU35" i="19" s="1"/>
  <c r="AU42" i="19" s="1"/>
  <c r="AJ35" i="19"/>
  <c r="AJ42" i="19" s="1"/>
  <c r="AI35" i="19"/>
  <c r="AI42" i="19" s="1"/>
  <c r="P35" i="19"/>
  <c r="P42" i="19" s="1"/>
  <c r="B8" i="6" s="1"/>
  <c r="P55" i="19"/>
  <c r="P58" i="19" s="1"/>
  <c r="B18" i="6" s="1"/>
  <c r="D8" i="8" l="1"/>
  <c r="P69" i="19"/>
  <c r="D9" i="6"/>
  <c r="BI8" i="17"/>
  <c r="BE8" i="17"/>
  <c r="BA8" i="17"/>
  <c r="AW8" i="17"/>
  <c r="AS8" i="17"/>
  <c r="AO8" i="17"/>
  <c r="AI8" i="17"/>
  <c r="AC8" i="17"/>
  <c r="Y8" i="17"/>
  <c r="U8" i="17"/>
  <c r="Q8" i="17"/>
  <c r="M8" i="17"/>
  <c r="E8" i="17" s="1"/>
  <c r="L8" i="17"/>
  <c r="D8" i="17" s="1"/>
  <c r="I8" i="17"/>
  <c r="H8" i="17"/>
  <c r="F8" i="17" l="1"/>
  <c r="J8" i="17"/>
  <c r="F20" i="1" l="1"/>
  <c r="Q39" i="19" l="1"/>
  <c r="S39" i="19" s="1"/>
  <c r="Q25" i="19"/>
  <c r="S25" i="19" s="1"/>
  <c r="Q8" i="19"/>
  <c r="Q18" i="19"/>
  <c r="S18" i="19" s="1"/>
  <c r="Q27" i="19"/>
  <c r="S27" i="19" s="1"/>
  <c r="Q13" i="19"/>
  <c r="S13" i="19" s="1"/>
  <c r="Q32" i="19"/>
  <c r="S32" i="19" s="1"/>
  <c r="Q21" i="19"/>
  <c r="S21" i="19" s="1"/>
  <c r="Q29" i="19"/>
  <c r="S29" i="19" s="1"/>
  <c r="Q10" i="19"/>
  <c r="S10" i="19" s="1"/>
  <c r="Q9" i="19"/>
  <c r="S9" i="19" s="1"/>
  <c r="Q16" i="19"/>
  <c r="S16" i="19" s="1"/>
  <c r="Q19" i="19"/>
  <c r="S19" i="19" s="1"/>
  <c r="Q28" i="19"/>
  <c r="S28" i="19" s="1"/>
  <c r="Q15" i="19"/>
  <c r="S15" i="19" s="1"/>
  <c r="Q31" i="19"/>
  <c r="S31" i="19" s="1"/>
  <c r="Q11" i="19"/>
  <c r="S11" i="19" s="1"/>
  <c r="Q33" i="19"/>
  <c r="S33" i="19" s="1"/>
  <c r="Q23" i="19"/>
  <c r="S23" i="19" s="1"/>
  <c r="Q35" i="19" l="1"/>
  <c r="Q42" i="19" s="1"/>
  <c r="B9" i="6" s="1"/>
  <c r="S8" i="19"/>
  <c r="S35" i="19" s="1"/>
  <c r="S42" i="19" s="1"/>
  <c r="B8" i="8" s="1"/>
  <c r="C13" i="5" l="1"/>
  <c r="B9" i="5"/>
  <c r="E17" i="6"/>
  <c r="D13" i="5"/>
  <c r="B8" i="5" l="1"/>
  <c r="D10" i="6" l="1"/>
  <c r="D17" i="6"/>
  <c r="D7" i="8" l="1"/>
  <c r="E7" i="6"/>
  <c r="E10" i="6" s="1"/>
  <c r="E7" i="8" s="1"/>
  <c r="D17" i="5" l="1"/>
  <c r="C17" i="5"/>
  <c r="B10" i="6" l="1"/>
  <c r="D8" i="5" l="1"/>
  <c r="C8" i="5"/>
  <c r="C11" i="5" s="1"/>
  <c r="C14" i="5" s="1"/>
  <c r="B7" i="8"/>
  <c r="B17" i="6"/>
  <c r="D9" i="5" l="1"/>
  <c r="D11" i="5" s="1"/>
  <c r="D14" i="5" s="1"/>
  <c r="G14" i="1" l="1"/>
  <c r="G15" i="1"/>
  <c r="G16" i="1"/>
  <c r="G23" i="1"/>
  <c r="G25" i="1"/>
  <c r="G26" i="1"/>
  <c r="G27" i="1"/>
  <c r="G28" i="1"/>
  <c r="G29" i="1"/>
  <c r="G30" i="1"/>
  <c r="G31" i="1"/>
  <c r="G32" i="1"/>
  <c r="G33" i="1"/>
  <c r="G34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73" i="1"/>
  <c r="G74" i="1"/>
  <c r="G75" i="1"/>
  <c r="G76" i="1"/>
  <c r="F76" i="1" l="1"/>
  <c r="F72" i="1"/>
  <c r="F68" i="1"/>
  <c r="F64" i="1"/>
  <c r="F60" i="1"/>
  <c r="F57" i="1"/>
  <c r="F53" i="1"/>
  <c r="F49" i="1"/>
  <c r="F45" i="1"/>
  <c r="F41" i="1"/>
  <c r="F37" i="1"/>
  <c r="F33" i="1"/>
  <c r="F23" i="1"/>
  <c r="F19" i="1"/>
  <c r="F15" i="1"/>
  <c r="F11" i="1"/>
  <c r="F77" i="1"/>
  <c r="F73" i="1"/>
  <c r="F69" i="1"/>
  <c r="F65" i="1"/>
  <c r="F61" i="1"/>
  <c r="F58" i="1"/>
  <c r="F54" i="1"/>
  <c r="F50" i="1"/>
  <c r="F46" i="1"/>
  <c r="F42" i="1"/>
  <c r="F38" i="1"/>
  <c r="F34" i="1"/>
  <c r="F30" i="1"/>
  <c r="F27" i="1"/>
  <c r="F24" i="1"/>
  <c r="F16" i="1"/>
  <c r="F12" i="1"/>
  <c r="F9" i="1"/>
  <c r="F8" i="1"/>
  <c r="E2" i="1" s="1"/>
  <c r="F75" i="1"/>
  <c r="F71" i="1"/>
  <c r="F67" i="1"/>
  <c r="F63" i="1"/>
  <c r="F56" i="1"/>
  <c r="F52" i="1"/>
  <c r="F48" i="1"/>
  <c r="F44" i="1"/>
  <c r="F40" i="1"/>
  <c r="F36" i="1"/>
  <c r="F32" i="1"/>
  <c r="F29" i="1"/>
  <c r="F26" i="1"/>
  <c r="F22" i="1"/>
  <c r="F18" i="1"/>
  <c r="F14" i="1"/>
  <c r="F10" i="1"/>
  <c r="F78" i="1"/>
  <c r="F74" i="1"/>
  <c r="F70" i="1"/>
  <c r="F66" i="1"/>
  <c r="F62" i="1"/>
  <c r="F59" i="1"/>
  <c r="F55" i="1"/>
  <c r="F51" i="1"/>
  <c r="F47" i="1"/>
  <c r="F43" i="1"/>
  <c r="F39" i="1"/>
  <c r="F35" i="1"/>
  <c r="F31" i="1"/>
  <c r="F28" i="1"/>
  <c r="F25" i="1"/>
  <c r="F21" i="1"/>
  <c r="F17" i="1"/>
  <c r="F13" i="1"/>
  <c r="E79" i="1"/>
  <c r="F79" i="1" l="1"/>
  <c r="D16" i="6" l="1"/>
  <c r="D19" i="6" s="1"/>
  <c r="E15" i="6" s="1"/>
  <c r="C15" i="5"/>
  <c r="D15" i="5"/>
  <c r="E16" i="6"/>
  <c r="E19" i="6" l="1"/>
  <c r="B16" i="6"/>
  <c r="B19" i="6" l="1"/>
  <c r="C16" i="5"/>
  <c r="C18" i="5" s="1"/>
  <c r="D16" i="5"/>
  <c r="D18" i="5" s="1"/>
  <c r="D22" i="5" s="1"/>
  <c r="C22" i="5" l="1"/>
  <c r="C23" i="5" s="1"/>
  <c r="D21" i="5" s="1"/>
  <c r="D23" i="5" l="1"/>
</calcChain>
</file>

<file path=xl/sharedStrings.xml><?xml version="1.0" encoding="utf-8"?>
<sst xmlns="http://schemas.openxmlformats.org/spreadsheetml/2006/main" count="306" uniqueCount="213">
  <si>
    <t>Utility Plant</t>
  </si>
  <si>
    <t>Account</t>
  </si>
  <si>
    <t>301000-Organization</t>
  </si>
  <si>
    <t>302000-Franchises</t>
  </si>
  <si>
    <t>303200-Land &amp; Land Rights-Supply</t>
  </si>
  <si>
    <t>303300-Land &amp; Land Rights-Pumping</t>
  </si>
  <si>
    <t>303400-Land &amp; Land Rights-Treatment</t>
  </si>
  <si>
    <t>303500-Land &amp; Land Rights-T&amp;D</t>
  </si>
  <si>
    <t>304100-Struct &amp; Imp-Supply</t>
  </si>
  <si>
    <t>304200-Struct &amp; Imp-Pumping</t>
  </si>
  <si>
    <t>304300-Struct &amp; Imp-Treatment</t>
  </si>
  <si>
    <t>304400-Struct &amp; Imp-T&amp;D</t>
  </si>
  <si>
    <t>304500-Struct &amp; Imp-General</t>
  </si>
  <si>
    <t>304600-Struct &amp; Imp-Offices</t>
  </si>
  <si>
    <t>304610-Struct &amp; Imp-HVAC</t>
  </si>
  <si>
    <t>304700-Struct &amp; Imp-Store,Shop,Gar</t>
  </si>
  <si>
    <t>304800-Struct &amp; Imp-Misc</t>
  </si>
  <si>
    <t>305000-Collect &amp; Impound Reservoirs</t>
  </si>
  <si>
    <t>306000-Lake, River &amp; Other Intakes</t>
  </si>
  <si>
    <t>309000-Supply Mains</t>
  </si>
  <si>
    <t>310000-Power Generation Equip</t>
  </si>
  <si>
    <t>311200-Pump Eqp Electric</t>
  </si>
  <si>
    <t>311300-Pump Eqp Diesel</t>
  </si>
  <si>
    <t>311400-Pump Eqp Hydraulic</t>
  </si>
  <si>
    <t>311520-Pump Eqp-SOS &amp; Pumping</t>
  </si>
  <si>
    <t>311530-Pump Eqp Wtr Treatment</t>
  </si>
  <si>
    <t>311540-Pumping Equipment TD</t>
  </si>
  <si>
    <t>320100-WT Equip Non-Media</t>
  </si>
  <si>
    <t>320200-WT Equip Filter Media</t>
  </si>
  <si>
    <t>330000-Dist Reservoirs &amp; Standpipes</t>
  </si>
  <si>
    <t>330100-Elevated Tanks &amp; Standpipes</t>
  </si>
  <si>
    <t>330200-Ground Level Tanks</t>
  </si>
  <si>
    <t>330400-Clearwell</t>
  </si>
  <si>
    <t>331001-TD Mains</t>
  </si>
  <si>
    <t>331100-TD Mains 4in &amp; Less</t>
  </si>
  <si>
    <t>331200-TD Mains 6in to 8in</t>
  </si>
  <si>
    <t>331300-TD Mains 10in to 16in</t>
  </si>
  <si>
    <t>331400-TD Mains 18in &amp; Grtr</t>
  </si>
  <si>
    <t>333000-Services</t>
  </si>
  <si>
    <t>334100-Meters</t>
  </si>
  <si>
    <t>334110-Meters Bronze Case</t>
  </si>
  <si>
    <t>334120-Meters Plastic Case</t>
  </si>
  <si>
    <t>334130-Meters Other</t>
  </si>
  <si>
    <t>334131-Meter Reading Units</t>
  </si>
  <si>
    <t>334200-Meter Installations</t>
  </si>
  <si>
    <t>334300-Meter Vaults</t>
  </si>
  <si>
    <t>335000-Hydrants</t>
  </si>
  <si>
    <t>339100-Other P/E-Intangible</t>
  </si>
  <si>
    <t>339600-Other P/E-CPS</t>
  </si>
  <si>
    <t>340100-Office Furniture &amp; Equip</t>
  </si>
  <si>
    <t>340200-Comp &amp; Periph Equip</t>
  </si>
  <si>
    <t>340210-Comp &amp; Periph Mainframe</t>
  </si>
  <si>
    <t>340220-Comp &amp; Periph Personal</t>
  </si>
  <si>
    <t>340230-Comp &amp; Periph Other</t>
  </si>
  <si>
    <t>340300-Computer Software</t>
  </si>
  <si>
    <t>340315-Computer Software - BT</t>
  </si>
  <si>
    <t>340320-Comp Software Personal</t>
  </si>
  <si>
    <t>340325-Comp Software Customized</t>
  </si>
  <si>
    <t>340330-Comp Software Other</t>
  </si>
  <si>
    <t>340500-Other Office Equipment</t>
  </si>
  <si>
    <t>341100-Trans Equip Lt Duty Trks</t>
  </si>
  <si>
    <t>341200-Trans Equip Hvy Duty Trks</t>
  </si>
  <si>
    <t>341300-Trans Equip Autos</t>
  </si>
  <si>
    <t>341400-Trans Equip Other</t>
  </si>
  <si>
    <t>342000-Stores Equipment</t>
  </si>
  <si>
    <t>343000-Tools,Shop,Garage Equip</t>
  </si>
  <si>
    <t>344000-Laboratory Equipment</t>
  </si>
  <si>
    <t>345000-Power Operated Equipment</t>
  </si>
  <si>
    <t>346100-Comm Equip Non-Telephone</t>
  </si>
  <si>
    <t>346190-Remote Control &amp; Instrument</t>
  </si>
  <si>
    <t>346200-Comm Equip Telephone</t>
  </si>
  <si>
    <t>347000-Misc Equipment</t>
  </si>
  <si>
    <t>348000-Other Tangible Property</t>
  </si>
  <si>
    <t>Depreciation</t>
  </si>
  <si>
    <t>Rate</t>
  </si>
  <si>
    <t>UPIS Balance</t>
  </si>
  <si>
    <t>Expense</t>
  </si>
  <si>
    <t>Code</t>
  </si>
  <si>
    <t>Composite Rate</t>
  </si>
  <si>
    <t>Depreciation Rates</t>
  </si>
  <si>
    <t>Kentucky</t>
  </si>
  <si>
    <t>Total</t>
  </si>
  <si>
    <t>B</t>
  </si>
  <si>
    <t>C</t>
  </si>
  <si>
    <t>D</t>
  </si>
  <si>
    <t>F</t>
  </si>
  <si>
    <t>H</t>
  </si>
  <si>
    <t>J</t>
  </si>
  <si>
    <t>Q</t>
  </si>
  <si>
    <t>Cost of Removal</t>
  </si>
  <si>
    <t>Utility Plant in Service</t>
  </si>
  <si>
    <t>Deferred Income Taxes</t>
  </si>
  <si>
    <t>Year 1</t>
  </si>
  <si>
    <t>Year 2</t>
  </si>
  <si>
    <t>Plant Additions</t>
  </si>
  <si>
    <t>Retirements</t>
  </si>
  <si>
    <t>Rate Base Elements</t>
  </si>
  <si>
    <t>Beginning Balance</t>
  </si>
  <si>
    <t>Ending Balance</t>
  </si>
  <si>
    <t>Depreciation Accrual</t>
  </si>
  <si>
    <t>Depreciation Expense</t>
  </si>
  <si>
    <t>Year</t>
  </si>
  <si>
    <t>Additions</t>
  </si>
  <si>
    <t>Tax Depreciation</t>
  </si>
  <si>
    <t>Total Tax Depreciation</t>
  </si>
  <si>
    <t>Book Depreciation</t>
  </si>
  <si>
    <t>Temporary Timing Difference</t>
  </si>
  <si>
    <t>Effective Tax Rate</t>
  </si>
  <si>
    <t>Accumulated Depreciation</t>
  </si>
  <si>
    <t>Tax Repairs Deduction</t>
  </si>
  <si>
    <t>Tax Basis</t>
  </si>
  <si>
    <t>Annual Accrued Tax</t>
  </si>
  <si>
    <t>Net Plant</t>
  </si>
  <si>
    <t>RP Lines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</si>
  <si>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</si>
  <si>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</si>
  <si>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</si>
  <si>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</si>
  <si>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</si>
  <si>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</si>
  <si>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</si>
  <si>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</si>
  <si>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</si>
  <si>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</si>
  <si>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</si>
  <si>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</si>
  <si>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Totals</t>
  </si>
  <si>
    <t>B - mains replaced</t>
  </si>
  <si>
    <t>C - mains unscheduled</t>
  </si>
  <si>
    <t>D -mains relocated</t>
  </si>
  <si>
    <t>F - valves, hydrants and MHs replaced</t>
  </si>
  <si>
    <t>H - services and laterals replaced</t>
  </si>
  <si>
    <t>J - meters replaced</t>
  </si>
  <si>
    <t>L - SCADA</t>
  </si>
  <si>
    <t xml:space="preserve">M - security </t>
  </si>
  <si>
    <t>Q - plant equipment</t>
  </si>
  <si>
    <t>IP Lines</t>
  </si>
  <si>
    <t>Removals</t>
  </si>
  <si>
    <t>Removal Rates</t>
  </si>
  <si>
    <t>Updated June 2017</t>
  </si>
  <si>
    <t>304610</t>
  </si>
  <si>
    <t>July 2020 - 
June 2021</t>
  </si>
  <si>
    <t>Deferred Tax Calculation</t>
  </si>
  <si>
    <t>July - Dec 2020</t>
  </si>
  <si>
    <t>Jan - June 2021</t>
  </si>
  <si>
    <t>July-Dec 2020</t>
  </si>
  <si>
    <t>Jan-June 2021</t>
  </si>
  <si>
    <t>Kentucky American Water Company</t>
  </si>
  <si>
    <t>AMERICAN WATER WORKS COMPANY, INC.</t>
  </si>
  <si>
    <t>REPAIRS SUMMARY FOR 11 YEARS (2008 THROUGH 2018)</t>
  </si>
  <si>
    <t>REPAIRS OVER REPLACEMENT PROPERTY</t>
  </si>
  <si>
    <t>transmission &amp; non-transmission prop</t>
  </si>
  <si>
    <t>transmission &amp; non-transmission prop - starting in 2014</t>
  </si>
  <si>
    <t>INFORMATION PROVIDED BY PWC BASED ON THE STUDIES PERFORMED IN EACH YEAR</t>
  </si>
  <si>
    <t>Company #</t>
  </si>
  <si>
    <t>Company Name</t>
  </si>
  <si>
    <t>11 YR AVG Repair</t>
  </si>
  <si>
    <t>11 YR AVG REPLACEMENT</t>
  </si>
  <si>
    <t>11 YR AVG REPAIR %</t>
  </si>
  <si>
    <t>4 YR AVG Repair</t>
  </si>
  <si>
    <t>4 YR AVG REPLACEMENT</t>
  </si>
  <si>
    <t>4 YR AVG REPAIR %</t>
  </si>
  <si>
    <t>Sum of Repairs</t>
  </si>
  <si>
    <t>Sum of Replacement</t>
  </si>
  <si>
    <t>2018 Repairs</t>
  </si>
  <si>
    <t>2018 Replacements</t>
  </si>
  <si>
    <t>2018 Repair %</t>
  </si>
  <si>
    <t>2017 Repair</t>
  </si>
  <si>
    <t>2017 Replacements</t>
  </si>
  <si>
    <t>2017 Repair %</t>
  </si>
  <si>
    <t>2016 Repair</t>
  </si>
  <si>
    <t>2016 Replacements</t>
  </si>
  <si>
    <t>2016 Repair %</t>
  </si>
  <si>
    <t>2015 Repair</t>
  </si>
  <si>
    <t>2015 Replacements</t>
  </si>
  <si>
    <t>2015 Repair %</t>
  </si>
  <si>
    <t>2015  s481 Adj (Meters)</t>
  </si>
  <si>
    <t>2014 Repair</t>
  </si>
  <si>
    <t>2014 Replacements</t>
  </si>
  <si>
    <t>2014 Repair %</t>
  </si>
  <si>
    <t>2014  s481 Adjustment</t>
  </si>
  <si>
    <t>2013 Repair</t>
  </si>
  <si>
    <t>2013 Replacements</t>
  </si>
  <si>
    <t>2013 Repair %</t>
  </si>
  <si>
    <t>2012 Repair</t>
  </si>
  <si>
    <t>2012 Replacements</t>
  </si>
  <si>
    <t>2012 Repair %</t>
  </si>
  <si>
    <t>2011 Repair</t>
  </si>
  <si>
    <t>2011 Replacements</t>
  </si>
  <si>
    <t>2011 Repair %</t>
  </si>
  <si>
    <t>2010 Repair</t>
  </si>
  <si>
    <t>2010 Replacements</t>
  </si>
  <si>
    <t>2010 Repair %</t>
  </si>
  <si>
    <t>2009 Repair</t>
  </si>
  <si>
    <t>2009 Replacements</t>
  </si>
  <si>
    <t>2009 Repairs %</t>
  </si>
  <si>
    <t>2008 Repair</t>
  </si>
  <si>
    <t>2008 Replacements</t>
  </si>
  <si>
    <t>2008 Repairs %</t>
  </si>
  <si>
    <t>Case No. 2020-00027</t>
  </si>
  <si>
    <t>Depr</t>
  </si>
  <si>
    <t>B - Mains Replaced</t>
  </si>
  <si>
    <t>C - Mains Unscheduled</t>
  </si>
  <si>
    <t>D - Mains Relocated</t>
  </si>
  <si>
    <t>F - Valves, Hydrants and MHs Replaced</t>
  </si>
  <si>
    <t>H - Services and Laterals Replaced</t>
  </si>
  <si>
    <t>J - Meters Replaced</t>
  </si>
  <si>
    <t xml:space="preserve">M - Security </t>
  </si>
  <si>
    <t>Q - Plant Equipment</t>
  </si>
  <si>
    <t>Plant in Service</t>
  </si>
  <si>
    <t>Total RP Lines</t>
  </si>
  <si>
    <t>Cox Street Booster</t>
  </si>
  <si>
    <t>Additons minus Retirements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</si>
</sst>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###,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5" fillId="2" borderId="17" applyNumberFormat="0" applyAlignment="0" applyProtection="0">
      <alignment horizontal="left" vertical="center" indent="1"/>
    </xf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14" fontId="2" fillId="0" borderId="0" xfId="0" applyNumberFormat="1" applyFont="1" applyAlignment="1">
      <alignment horizontal="center"/>
    </xf>
    <xf numFmtId="5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37" fontId="0" fillId="0" borderId="0" xfId="0" applyNumberFormat="1" applyFont="1"/>
    <xf numFmtId="37" fontId="0" fillId="0" borderId="9" xfId="0" applyNumberFormat="1" applyBorder="1"/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10" fontId="0" fillId="0" borderId="9" xfId="1" applyNumberFormat="1" applyFont="1" applyBorder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5" fontId="0" fillId="0" borderId="0" xfId="0" applyNumberForma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37" fontId="0" fillId="0" borderId="0" xfId="0" applyNumberFormat="1" applyFill="1" applyBorder="1"/>
    <xf numFmtId="5" fontId="0" fillId="0" borderId="0" xfId="0" applyNumberFormat="1" applyFill="1" applyBorder="1"/>
    <xf numFmtId="37" fontId="0" fillId="0" borderId="0" xfId="0" applyNumberFormat="1" applyFill="1"/>
    <xf numFmtId="0" fontId="0" fillId="0" borderId="0" xfId="0" applyBorder="1"/>
    <xf numFmtId="10" fontId="0" fillId="0" borderId="0" xfId="1" applyNumberFormat="1" applyFont="1" applyFill="1" applyBorder="1"/>
    <xf numFmtId="37" fontId="0" fillId="0" borderId="0" xfId="0" applyNumberFormat="1" applyFont="1" applyFill="1" applyAlignment="1">
      <alignment horizontal="right"/>
    </xf>
    <xf numFmtId="5" fontId="0" fillId="0" borderId="0" xfId="0" applyNumberFormat="1" applyFont="1" applyFill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5" fontId="0" fillId="0" borderId="14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7" fontId="0" fillId="0" borderId="0" xfId="0" applyNumberFormat="1" applyFill="1" applyBorder="1"/>
    <xf numFmtId="0" fontId="0" fillId="0" borderId="0" xfId="0" applyFill="1"/>
    <xf numFmtId="5" fontId="0" fillId="0" borderId="0" xfId="0" applyNumberFormat="1" applyFill="1"/>
    <xf numFmtId="10" fontId="0" fillId="0" borderId="0" xfId="1" quotePrefix="1" applyNumberFormat="1" applyFont="1" applyFill="1"/>
    <xf numFmtId="37" fontId="0" fillId="0" borderId="0" xfId="0" applyNumberFormat="1" applyFont="1" applyFill="1"/>
    <xf numFmtId="0" fontId="0" fillId="0" borderId="0" xfId="0" applyFont="1" applyFill="1"/>
    <xf numFmtId="0" fontId="4" fillId="0" borderId="0" xfId="0" applyFont="1" applyFill="1" applyBorder="1"/>
    <xf numFmtId="9" fontId="0" fillId="0" borderId="0" xfId="1" applyFont="1" applyFill="1" applyBorder="1"/>
    <xf numFmtId="0" fontId="0" fillId="0" borderId="0" xfId="0" applyFont="1" applyFill="1" applyBorder="1" applyAlignment="1">
      <alignment horizontal="center" wrapText="1"/>
    </xf>
    <xf numFmtId="164" fontId="0" fillId="0" borderId="0" xfId="2" applyNumberFormat="1" applyFont="1" applyFill="1" applyBorder="1"/>
    <xf numFmtId="164" fontId="0" fillId="0" borderId="0" xfId="2" applyNumberFormat="1" applyFont="1" applyFill="1"/>
    <xf numFmtId="0" fontId="2" fillId="0" borderId="0" xfId="0" applyFont="1" applyFill="1"/>
    <xf numFmtId="164" fontId="0" fillId="0" borderId="0" xfId="2" applyNumberFormat="1" applyFont="1" applyFill="1" applyAlignment="1">
      <alignment horizontal="center"/>
    </xf>
    <xf numFmtId="164" fontId="4" fillId="0" borderId="0" xfId="2" applyNumberFormat="1" applyFont="1" applyFill="1" applyBorder="1"/>
    <xf numFmtId="37" fontId="0" fillId="0" borderId="14" xfId="0" applyNumberFormat="1" applyBorder="1"/>
    <xf numFmtId="5" fontId="0" fillId="0" borderId="14" xfId="0" applyNumberFormat="1" applyBorder="1"/>
    <xf numFmtId="37" fontId="2" fillId="0" borderId="0" xfId="0" applyNumberFormat="1" applyFont="1" applyFill="1"/>
    <xf numFmtId="164" fontId="4" fillId="0" borderId="4" xfId="4" applyNumberFormat="1" applyFont="1" applyFill="1" applyBorder="1" applyAlignment="1">
      <alignment horizontal="center" vertical="center"/>
    </xf>
    <xf numFmtId="43" fontId="0" fillId="0" borderId="0" xfId="4" applyFont="1" applyFill="1" applyAlignment="1">
      <alignment horizontal="center" vertical="center"/>
    </xf>
    <xf numFmtId="164" fontId="4" fillId="0" borderId="0" xfId="4" applyNumberFormat="1" applyFont="1" applyFill="1" applyAlignment="1">
      <alignment horizontal="center" vertical="center"/>
    </xf>
    <xf numFmtId="43" fontId="0" fillId="0" borderId="6" xfId="4" applyFont="1" applyFill="1" applyBorder="1" applyAlignment="1">
      <alignment horizontal="center" vertical="center"/>
    </xf>
    <xf numFmtId="164" fontId="0" fillId="0" borderId="4" xfId="4" applyNumberFormat="1" applyFont="1" applyFill="1" applyBorder="1" applyAlignment="1">
      <alignment horizontal="center"/>
    </xf>
    <xf numFmtId="43" fontId="0" fillId="0" borderId="0" xfId="4" applyFont="1" applyFill="1"/>
    <xf numFmtId="164" fontId="4" fillId="0" borderId="7" xfId="4" applyNumberFormat="1" applyFont="1" applyFill="1" applyBorder="1" applyAlignment="1">
      <alignment horizontal="center" vertical="center"/>
    </xf>
    <xf numFmtId="43" fontId="0" fillId="0" borderId="1" xfId="4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43" fontId="0" fillId="0" borderId="13" xfId="4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43" fontId="0" fillId="0" borderId="0" xfId="0" applyNumberFormat="1" applyFont="1" applyFill="1" applyBorder="1"/>
    <xf numFmtId="164" fontId="0" fillId="0" borderId="0" xfId="0" applyNumberFormat="1" applyFont="1" applyFill="1" applyBorder="1"/>
    <xf numFmtId="9" fontId="0" fillId="0" borderId="0" xfId="0" applyNumberFormat="1" applyFont="1" applyFill="1" applyBorder="1"/>
    <xf numFmtId="10" fontId="0" fillId="0" borderId="0" xfId="1" applyNumberFormat="1" applyFont="1" applyFill="1" applyBorder="1" applyAlignment="1">
      <alignment horizontal="center" wrapText="1"/>
    </xf>
    <xf numFmtId="164" fontId="0" fillId="0" borderId="0" xfId="2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center"/>
    </xf>
    <xf numFmtId="9" fontId="0" fillId="0" borderId="0" xfId="1" applyFont="1" applyFill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Alignment="1">
      <alignment horizontal="right"/>
    </xf>
    <xf numFmtId="0" fontId="4" fillId="0" borderId="0" xfId="0" applyFont="1" applyFill="1"/>
    <xf numFmtId="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/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5" applyFont="1" applyFill="1" applyBorder="1" applyAlignment="1">
      <alignment horizontal="center"/>
    </xf>
    <xf numFmtId="0" fontId="0" fillId="0" borderId="0" xfId="5" applyFont="1" applyFill="1" applyAlignment="1">
      <alignment horizontal="center"/>
    </xf>
    <xf numFmtId="0" fontId="0" fillId="0" borderId="6" xfId="5" applyFont="1" applyFill="1" applyBorder="1" applyAlignment="1">
      <alignment horizontal="center"/>
    </xf>
    <xf numFmtId="164" fontId="4" fillId="0" borderId="2" xfId="4" applyNumberFormat="1" applyFont="1" applyFill="1" applyBorder="1" applyAlignment="1">
      <alignment horizontal="center"/>
    </xf>
    <xf numFmtId="164" fontId="4" fillId="0" borderId="3" xfId="4" applyNumberFormat="1" applyFont="1" applyFill="1" applyBorder="1" applyAlignment="1">
      <alignment horizontal="center"/>
    </xf>
    <xf numFmtId="164" fontId="4" fillId="0" borderId="12" xfId="4" applyNumberFormat="1" applyFont="1" applyFill="1" applyBorder="1" applyAlignment="1">
      <alignment horizontal="center"/>
    </xf>
    <xf numFmtId="164" fontId="0" fillId="0" borderId="8" xfId="2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</cellXfs>
  <cellStyles count="7">
    <cellStyle name="Comma" xfId="2" builtinId="3"/>
    <cellStyle name="Comma 3" xfId="4" xr:uid="{294ADF56-3F59-4772-85C8-50143C9AF06F}"/>
    <cellStyle name="Normal" xfId="0" builtinId="0"/>
    <cellStyle name="Normal 2" xfId="3" xr:uid="{00000000-0005-0000-0000-000003000000}"/>
    <cellStyle name="Normal 2 2" xfId="5" xr:uid="{55406ABF-302E-44E4-A9A2-9F2578AAEDB0}"/>
    <cellStyle name="Percent" xfId="1" builtinId="5"/>
    <cellStyle name="SAPMemberCell 3" xfId="6" xr:uid="{4E7AEDF0-32D6-4EDB-B94D-EDDD6AD40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abSelected="1" workbookViewId="0"/>
  </sheetViews>
  <sheetFormatPr defaultColWidth="14.6640625" defaultRowHeight="14.4" x14ac:dyDescent="0.3"/>
  <cols>
    <col min="1" max="1" width="25.21875" bestFit="1" customWidth="1"/>
    <col min="3" max="7" width="14.6640625" style="24"/>
  </cols>
  <sheetData>
    <row r="1" spans="1:7" x14ac:dyDescent="0.3">
      <c r="A1" s="8" t="s">
        <v>147</v>
      </c>
    </row>
    <row r="2" spans="1:7" x14ac:dyDescent="0.3">
      <c r="A2" s="8" t="s">
        <v>199</v>
      </c>
    </row>
    <row r="3" spans="1:7" x14ac:dyDescent="0.3">
      <c r="A3" s="8" t="s">
        <v>100</v>
      </c>
    </row>
    <row r="4" spans="1:7" x14ac:dyDescent="0.3">
      <c r="A4" s="8"/>
    </row>
    <row r="5" spans="1:7" x14ac:dyDescent="0.3">
      <c r="D5" s="82" t="s">
        <v>142</v>
      </c>
      <c r="E5" s="83"/>
    </row>
    <row r="6" spans="1:7" ht="28.8" x14ac:dyDescent="0.3">
      <c r="B6" s="30" t="s">
        <v>141</v>
      </c>
      <c r="C6" s="32"/>
      <c r="D6" s="30" t="s">
        <v>143</v>
      </c>
      <c r="E6" s="30" t="s">
        <v>144</v>
      </c>
      <c r="F6" s="32"/>
      <c r="G6" s="32"/>
    </row>
    <row r="7" spans="1:7" x14ac:dyDescent="0.3">
      <c r="A7" t="s">
        <v>112</v>
      </c>
      <c r="B7" s="6">
        <f>'Net Plant Changes'!B10</f>
        <v>12494447.095676325</v>
      </c>
      <c r="C7" s="18"/>
      <c r="D7" s="18">
        <f>'Net Plant Changes'!D10</f>
        <v>5122816.0668152347</v>
      </c>
      <c r="E7" s="34">
        <f>'Net Plant Changes'!E10-D7</f>
        <v>7371631.0288610905</v>
      </c>
      <c r="F7" s="18"/>
      <c r="G7" s="18"/>
    </row>
    <row r="8" spans="1:7" x14ac:dyDescent="0.3">
      <c r="A8" t="s">
        <v>100</v>
      </c>
      <c r="B8" s="18">
        <f>'Placed in Service'!S42</f>
        <v>277520.71498292731</v>
      </c>
      <c r="C8" s="18"/>
      <c r="D8" s="18">
        <f>SUM('Placed in Service'!AI42:AN42)</f>
        <v>115356.09590188701</v>
      </c>
      <c r="E8" s="18">
        <f>SUM('Placed in Service'!AO42:AT42)</f>
        <v>162164.61908104032</v>
      </c>
      <c r="F8" s="18"/>
      <c r="G8" s="18"/>
    </row>
    <row r="11" spans="1:7" x14ac:dyDescent="0.3">
      <c r="B11" s="6"/>
    </row>
  </sheetData>
  <mergeCells count="1">
    <mergeCell ref="D5:E5"/>
  </mergeCells>
  <printOptions horizontalCentered="1"/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5"/>
  <sheetViews>
    <sheetView zoomScaleNormal="100" workbookViewId="0"/>
  </sheetViews>
  <sheetFormatPr defaultColWidth="14.6640625" defaultRowHeight="14.4" x14ac:dyDescent="0.3"/>
  <cols>
    <col min="1" max="1" width="17.6640625" customWidth="1"/>
  </cols>
  <sheetData>
    <row r="1" spans="1:8" x14ac:dyDescent="0.3">
      <c r="A1" s="8" t="s">
        <v>147</v>
      </c>
    </row>
    <row r="2" spans="1:8" x14ac:dyDescent="0.3">
      <c r="A2" s="8" t="s">
        <v>199</v>
      </c>
    </row>
    <row r="3" spans="1:8" x14ac:dyDescent="0.3">
      <c r="A3" s="8" t="s">
        <v>91</v>
      </c>
    </row>
    <row r="4" spans="1:8" x14ac:dyDescent="0.3">
      <c r="A4" s="8"/>
    </row>
    <row r="6" spans="1:8" x14ac:dyDescent="0.3">
      <c r="B6" s="2" t="s">
        <v>110</v>
      </c>
      <c r="C6" s="84" t="s">
        <v>103</v>
      </c>
      <c r="D6" s="85"/>
    </row>
    <row r="7" spans="1:8" x14ac:dyDescent="0.3">
      <c r="A7" s="11" t="s">
        <v>101</v>
      </c>
      <c r="B7" s="2" t="s">
        <v>102</v>
      </c>
      <c r="C7" s="2" t="s">
        <v>92</v>
      </c>
      <c r="D7" s="2" t="s">
        <v>93</v>
      </c>
    </row>
    <row r="8" spans="1:8" x14ac:dyDescent="0.3">
      <c r="A8" s="3" t="s">
        <v>145</v>
      </c>
      <c r="B8" s="12">
        <f>'Net Plant Changes'!D8-C12</f>
        <v>3231193.6248142016</v>
      </c>
      <c r="C8" s="6">
        <f>B8*0.02</f>
        <v>64623.872496284035</v>
      </c>
      <c r="D8" s="6">
        <f>$B$8*0.04</f>
        <v>129247.74499256807</v>
      </c>
    </row>
    <row r="9" spans="1:8" x14ac:dyDescent="0.3">
      <c r="A9" s="3" t="s">
        <v>146</v>
      </c>
      <c r="B9" s="12">
        <f>'Net Plant Changes'!E8-D12</f>
        <v>4649623.7370760161</v>
      </c>
      <c r="C9" s="7"/>
      <c r="D9" s="7">
        <f>B9*0.02</f>
        <v>92992.474741520331</v>
      </c>
      <c r="E9" s="7"/>
    </row>
    <row r="10" spans="1:8" x14ac:dyDescent="0.3">
      <c r="A10" s="3"/>
      <c r="B10" s="12"/>
      <c r="C10" s="10"/>
      <c r="D10" s="10"/>
      <c r="E10" s="7"/>
      <c r="F10" s="7"/>
      <c r="G10" s="7"/>
      <c r="H10" s="7"/>
    </row>
    <row r="11" spans="1:8" x14ac:dyDescent="0.3">
      <c r="A11" t="s">
        <v>104</v>
      </c>
      <c r="C11" s="7">
        <f>SUM(C8:C10)</f>
        <v>64623.872496284035</v>
      </c>
      <c r="D11" s="7">
        <f>SUM(D8:D10)</f>
        <v>222240.2197340884</v>
      </c>
    </row>
    <row r="12" spans="1:8" x14ac:dyDescent="0.3">
      <c r="A12" t="s">
        <v>109</v>
      </c>
      <c r="C12" s="7">
        <f>'Net Plant Changes'!D8*'Tax Repairs Deduct'!F8</f>
        <v>2291606.3751857984</v>
      </c>
      <c r="D12" s="7">
        <f>'Net Plant Changes'!E8*'Tax Repairs Deduct'!F8</f>
        <v>3297576.2629239839</v>
      </c>
    </row>
    <row r="13" spans="1:8" x14ac:dyDescent="0.3">
      <c r="A13" s="35" t="s">
        <v>89</v>
      </c>
      <c r="B13" s="35"/>
      <c r="C13" s="23">
        <f>'Net Plant Changes'!D18</f>
        <v>586095</v>
      </c>
      <c r="D13" s="23">
        <f>'Net Plant Changes'!E18</f>
        <v>705920</v>
      </c>
    </row>
    <row r="14" spans="1:8" x14ac:dyDescent="0.3">
      <c r="A14" t="s">
        <v>81</v>
      </c>
      <c r="C14" s="10">
        <f>C11+C12+C13</f>
        <v>2942325.2476820825</v>
      </c>
      <c r="D14" s="10">
        <f>D11+D12+D13</f>
        <v>4225736.4826580724</v>
      </c>
    </row>
    <row r="15" spans="1:8" x14ac:dyDescent="0.3">
      <c r="A15" t="s">
        <v>105</v>
      </c>
      <c r="C15" s="10">
        <f>'Depreciation Exp'!D8</f>
        <v>115356.09590188701</v>
      </c>
      <c r="D15" s="10">
        <f>'Depreciation Exp'!E8</f>
        <v>162164.61908104032</v>
      </c>
    </row>
    <row r="16" spans="1:8" x14ac:dyDescent="0.3">
      <c r="A16" t="s">
        <v>106</v>
      </c>
      <c r="C16" s="7">
        <f>C14-C15</f>
        <v>2826969.1517801955</v>
      </c>
      <c r="D16" s="7">
        <f t="shared" ref="D16" si="0">D14-D15</f>
        <v>4063571.863577032</v>
      </c>
    </row>
    <row r="17" spans="1:4" x14ac:dyDescent="0.3">
      <c r="A17" t="s">
        <v>107</v>
      </c>
      <c r="C17" s="13">
        <f>0.05+(1-0.05)*0.21</f>
        <v>0.2495</v>
      </c>
      <c r="D17" s="13">
        <f t="shared" ref="D17" si="1">0.05+(1-0.05)*0.21</f>
        <v>0.2495</v>
      </c>
    </row>
    <row r="18" spans="1:4" ht="15" thickBot="1" x14ac:dyDescent="0.35">
      <c r="A18" t="s">
        <v>91</v>
      </c>
      <c r="C18" s="49">
        <f>C16*C17</f>
        <v>705328.80336915876</v>
      </c>
      <c r="D18" s="49">
        <f t="shared" ref="D18" si="2">D16*D17</f>
        <v>1013861.1799624695</v>
      </c>
    </row>
    <row r="19" spans="1:4" ht="15" thickTop="1" x14ac:dyDescent="0.3"/>
    <row r="20" spans="1:4" x14ac:dyDescent="0.3">
      <c r="A20" s="1" t="s">
        <v>91</v>
      </c>
      <c r="C20" s="7"/>
      <c r="D20" s="7"/>
    </row>
    <row r="21" spans="1:4" x14ac:dyDescent="0.3">
      <c r="A21" s="9" t="s">
        <v>97</v>
      </c>
      <c r="C21" s="6">
        <v>0</v>
      </c>
      <c r="D21" s="6">
        <f>C23</f>
        <v>-705328.80336915876</v>
      </c>
    </row>
    <row r="22" spans="1:4" x14ac:dyDescent="0.3">
      <c r="A22" t="s">
        <v>111</v>
      </c>
      <c r="C22" s="7">
        <f>-C18</f>
        <v>-705328.80336915876</v>
      </c>
      <c r="D22" s="7">
        <f>-D18</f>
        <v>-1013861.1799624695</v>
      </c>
    </row>
    <row r="23" spans="1:4" ht="15" thickBot="1" x14ac:dyDescent="0.35">
      <c r="A23" t="s">
        <v>98</v>
      </c>
      <c r="C23" s="48">
        <f>C21+C22</f>
        <v>-705328.80336915876</v>
      </c>
      <c r="D23" s="48">
        <f>D21+D22</f>
        <v>-1719189.9833316281</v>
      </c>
    </row>
    <row r="24" spans="1:4" ht="15" thickTop="1" x14ac:dyDescent="0.3">
      <c r="C24" s="7"/>
      <c r="D24" s="7"/>
    </row>
    <row r="25" spans="1:4" x14ac:dyDescent="0.3">
      <c r="C25" s="7"/>
      <c r="D25" s="7"/>
    </row>
  </sheetData>
  <mergeCells count="1">
    <mergeCell ref="C6:D6"/>
  </mergeCells>
  <printOptions horizontalCentered="1"/>
  <pageMargins left="0.5" right="0.5" top="0.75" bottom="0.5" header="0.3" footer="0.25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1"/>
  <sheetViews>
    <sheetView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8" sqref="B8"/>
    </sheetView>
  </sheetViews>
  <sheetFormatPr defaultRowHeight="14.4" x14ac:dyDescent="0.3"/>
  <cols>
    <col min="1" max="1" width="2.6640625" customWidth="1"/>
    <col min="2" max="2" width="10.6640625" bestFit="1" customWidth="1"/>
    <col min="3" max="3" width="33.5546875" customWidth="1"/>
    <col min="4" max="6" width="14.6640625" customWidth="1"/>
    <col min="7" max="7" width="8.6640625" style="3" customWidth="1"/>
    <col min="8" max="8" width="14.6640625" style="3" customWidth="1"/>
    <col min="9" max="17" width="14.6640625" customWidth="1"/>
  </cols>
  <sheetData>
    <row r="1" spans="2:9" x14ac:dyDescent="0.3">
      <c r="B1" s="8" t="s">
        <v>147</v>
      </c>
      <c r="D1" s="2" t="s">
        <v>77</v>
      </c>
      <c r="E1" s="2" t="s">
        <v>78</v>
      </c>
    </row>
    <row r="2" spans="2:9" x14ac:dyDescent="0.3">
      <c r="B2" s="8" t="s">
        <v>199</v>
      </c>
      <c r="D2" s="3">
        <v>1</v>
      </c>
      <c r="E2" s="37">
        <f>IFERROR(SUMPRODUCT((D2=$G$8:$G$78)*($F$8:$F$78))/SUMPRODUCT((D2=$G$8:$G$78)*($E$8:$E$78)),"")</f>
        <v>2.2010383062291711E-2</v>
      </c>
    </row>
    <row r="3" spans="2:9" x14ac:dyDescent="0.3">
      <c r="B3" s="1" t="s">
        <v>79</v>
      </c>
    </row>
    <row r="4" spans="2:9" x14ac:dyDescent="0.3">
      <c r="B4" s="1"/>
    </row>
    <row r="6" spans="2:9" x14ac:dyDescent="0.3">
      <c r="B6" s="2" t="s">
        <v>0</v>
      </c>
      <c r="D6" s="2" t="s">
        <v>73</v>
      </c>
      <c r="E6" s="2" t="s">
        <v>75</v>
      </c>
      <c r="F6" s="2" t="s">
        <v>73</v>
      </c>
    </row>
    <row r="7" spans="2:9" x14ac:dyDescent="0.3">
      <c r="B7" s="2" t="s">
        <v>1</v>
      </c>
      <c r="C7" s="2" t="s">
        <v>1</v>
      </c>
      <c r="D7" s="2" t="s">
        <v>74</v>
      </c>
      <c r="E7" s="5">
        <v>43830</v>
      </c>
      <c r="F7" s="2" t="s">
        <v>76</v>
      </c>
      <c r="G7" s="2" t="s">
        <v>77</v>
      </c>
      <c r="H7" s="2"/>
    </row>
    <row r="8" spans="2:9" x14ac:dyDescent="0.3">
      <c r="B8" s="3">
        <v>301000</v>
      </c>
      <c r="C8" t="s">
        <v>2</v>
      </c>
      <c r="D8" s="4">
        <v>0</v>
      </c>
      <c r="E8" s="6">
        <v>37450.43</v>
      </c>
      <c r="F8" s="6">
        <f>D8*E8</f>
        <v>0</v>
      </c>
    </row>
    <row r="9" spans="2:9" x14ac:dyDescent="0.3">
      <c r="B9" s="3">
        <v>302000</v>
      </c>
      <c r="C9" t="s">
        <v>3</v>
      </c>
      <c r="D9" s="4">
        <v>0</v>
      </c>
      <c r="E9" s="7">
        <v>70260.820000000007</v>
      </c>
      <c r="F9" s="7">
        <f>E9*D9</f>
        <v>0</v>
      </c>
    </row>
    <row r="10" spans="2:9" x14ac:dyDescent="0.3">
      <c r="B10" s="3">
        <v>303200</v>
      </c>
      <c r="C10" t="s">
        <v>4</v>
      </c>
      <c r="D10" s="4">
        <v>0</v>
      </c>
      <c r="E10" s="7">
        <v>1119292.57</v>
      </c>
      <c r="F10" s="7">
        <f t="shared" ref="F10:F70" si="0">E10*D10</f>
        <v>0</v>
      </c>
    </row>
    <row r="11" spans="2:9" x14ac:dyDescent="0.3">
      <c r="B11" s="3">
        <v>303300</v>
      </c>
      <c r="C11" t="s">
        <v>5</v>
      </c>
      <c r="D11" s="4">
        <v>0</v>
      </c>
      <c r="E11" s="7">
        <v>277216.12</v>
      </c>
      <c r="F11" s="7">
        <f t="shared" si="0"/>
        <v>0</v>
      </c>
    </row>
    <row r="12" spans="2:9" x14ac:dyDescent="0.3">
      <c r="B12" s="3">
        <v>303400</v>
      </c>
      <c r="C12" t="s">
        <v>6</v>
      </c>
      <c r="D12" s="4">
        <v>0</v>
      </c>
      <c r="E12" s="7">
        <v>800183.34</v>
      </c>
      <c r="F12" s="7">
        <f t="shared" si="0"/>
        <v>0</v>
      </c>
    </row>
    <row r="13" spans="2:9" x14ac:dyDescent="0.3">
      <c r="B13" s="3">
        <v>303500</v>
      </c>
      <c r="C13" t="s">
        <v>7</v>
      </c>
      <c r="D13" s="4">
        <v>0</v>
      </c>
      <c r="E13" s="7">
        <v>7549864.790000001</v>
      </c>
      <c r="F13" s="7">
        <f t="shared" si="0"/>
        <v>0</v>
      </c>
    </row>
    <row r="14" spans="2:9" x14ac:dyDescent="0.3">
      <c r="B14" s="3">
        <v>304100</v>
      </c>
      <c r="C14" t="s">
        <v>8</v>
      </c>
      <c r="D14" s="4">
        <v>2.2400000000000003E-2</v>
      </c>
      <c r="E14" s="7">
        <v>20819801.669999998</v>
      </c>
      <c r="F14" s="7">
        <f t="shared" si="0"/>
        <v>466363.55740800005</v>
      </c>
      <c r="G14" s="3">
        <f t="shared" ref="G14:G52" si="1">IF(D14=0,0,1)</f>
        <v>1</v>
      </c>
    </row>
    <row r="15" spans="2:9" x14ac:dyDescent="0.3">
      <c r="B15" s="3">
        <v>304200</v>
      </c>
      <c r="C15" t="s">
        <v>9</v>
      </c>
      <c r="D15" s="4">
        <v>2.4800000000000003E-2</v>
      </c>
      <c r="E15" s="7">
        <v>10116133.85</v>
      </c>
      <c r="F15" s="7">
        <f t="shared" si="0"/>
        <v>250880.11948000002</v>
      </c>
      <c r="G15" s="3">
        <f t="shared" si="1"/>
        <v>1</v>
      </c>
    </row>
    <row r="16" spans="2:9" x14ac:dyDescent="0.3">
      <c r="B16" s="3">
        <v>304300</v>
      </c>
      <c r="C16" t="s">
        <v>10</v>
      </c>
      <c r="D16" s="4">
        <v>2.7099999999999999E-2</v>
      </c>
      <c r="E16" s="7">
        <v>47854218.459999993</v>
      </c>
      <c r="F16" s="7">
        <f t="shared" si="0"/>
        <v>1296849.3202659998</v>
      </c>
      <c r="G16" s="3">
        <f t="shared" si="1"/>
        <v>1</v>
      </c>
      <c r="I16" s="39"/>
    </row>
    <row r="17" spans="2:9" x14ac:dyDescent="0.3">
      <c r="B17" s="3">
        <v>304400</v>
      </c>
      <c r="C17" t="s">
        <v>11</v>
      </c>
      <c r="D17" s="4">
        <v>1.3899999999999999E-2</v>
      </c>
      <c r="E17" s="7">
        <v>1593420.2100000002</v>
      </c>
      <c r="F17" s="7">
        <f t="shared" si="0"/>
        <v>22148.540919000003</v>
      </c>
      <c r="I17" s="39"/>
    </row>
    <row r="18" spans="2:9" x14ac:dyDescent="0.3">
      <c r="B18" s="3">
        <v>304500</v>
      </c>
      <c r="C18" t="s">
        <v>12</v>
      </c>
      <c r="D18" s="4">
        <v>3.0700000000000002E-2</v>
      </c>
      <c r="E18" s="7">
        <v>8774040.0599999987</v>
      </c>
      <c r="F18" s="7">
        <f t="shared" si="0"/>
        <v>269363.02984199999</v>
      </c>
      <c r="I18" s="39"/>
    </row>
    <row r="19" spans="2:9" x14ac:dyDescent="0.3">
      <c r="B19" s="3">
        <v>304600</v>
      </c>
      <c r="C19" t="s">
        <v>13</v>
      </c>
      <c r="D19" s="4">
        <v>3.0700000000000002E-2</v>
      </c>
      <c r="E19" s="7">
        <v>5803903.3399999999</v>
      </c>
      <c r="F19" s="7">
        <f t="shared" si="0"/>
        <v>178179.83253800002</v>
      </c>
      <c r="I19" s="39"/>
    </row>
    <row r="20" spans="2:9" x14ac:dyDescent="0.3">
      <c r="B20" s="3" t="s">
        <v>140</v>
      </c>
      <c r="C20" t="s">
        <v>14</v>
      </c>
      <c r="D20" s="4">
        <v>0</v>
      </c>
      <c r="E20" s="7">
        <v>0</v>
      </c>
      <c r="F20" s="7">
        <f t="shared" si="0"/>
        <v>0</v>
      </c>
      <c r="I20" s="39"/>
    </row>
    <row r="21" spans="2:9" x14ac:dyDescent="0.3">
      <c r="B21" s="3">
        <v>304700</v>
      </c>
      <c r="C21" t="s">
        <v>15</v>
      </c>
      <c r="D21" s="4">
        <v>1.7600000000000001E-2</v>
      </c>
      <c r="E21" s="7">
        <v>1785137.08</v>
      </c>
      <c r="F21" s="7">
        <f t="shared" si="0"/>
        <v>31418.412608000002</v>
      </c>
    </row>
    <row r="22" spans="2:9" x14ac:dyDescent="0.3">
      <c r="B22" s="3">
        <v>304800</v>
      </c>
      <c r="C22" t="s">
        <v>16</v>
      </c>
      <c r="D22" s="4">
        <v>6.1800000000000001E-2</v>
      </c>
      <c r="E22" s="7">
        <v>1390545.4</v>
      </c>
      <c r="F22" s="7">
        <f t="shared" si="0"/>
        <v>85935.705719999998</v>
      </c>
    </row>
    <row r="23" spans="2:9" x14ac:dyDescent="0.3">
      <c r="B23" s="3">
        <v>305000</v>
      </c>
      <c r="C23" t="s">
        <v>17</v>
      </c>
      <c r="D23" s="4">
        <v>1.5800000000000002E-2</v>
      </c>
      <c r="E23" s="7">
        <v>849851.28</v>
      </c>
      <c r="F23" s="7">
        <f t="shared" si="0"/>
        <v>13427.650224000001</v>
      </c>
      <c r="G23" s="3">
        <f t="shared" si="1"/>
        <v>1</v>
      </c>
    </row>
    <row r="24" spans="2:9" x14ac:dyDescent="0.3">
      <c r="B24" s="3">
        <v>306000</v>
      </c>
      <c r="C24" t="s">
        <v>18</v>
      </c>
      <c r="D24" s="4">
        <v>2.0199999999999999E-2</v>
      </c>
      <c r="E24" s="7">
        <v>1680525.2</v>
      </c>
      <c r="F24" s="7">
        <f t="shared" si="0"/>
        <v>33946.609039999996</v>
      </c>
    </row>
    <row r="25" spans="2:9" x14ac:dyDescent="0.3">
      <c r="B25" s="3">
        <v>309000</v>
      </c>
      <c r="C25" t="s">
        <v>19</v>
      </c>
      <c r="D25" s="4">
        <v>1.5299999999999999E-2</v>
      </c>
      <c r="E25" s="7">
        <v>18567234.07</v>
      </c>
      <c r="F25" s="7">
        <f t="shared" si="0"/>
        <v>284078.68127100001</v>
      </c>
      <c r="G25" s="3">
        <f t="shared" si="1"/>
        <v>1</v>
      </c>
    </row>
    <row r="26" spans="2:9" x14ac:dyDescent="0.3">
      <c r="B26" s="3">
        <v>310000</v>
      </c>
      <c r="C26" t="s">
        <v>20</v>
      </c>
      <c r="D26" s="4">
        <v>3.1200000000000002E-2</v>
      </c>
      <c r="E26" s="7">
        <v>5691161.1600000001</v>
      </c>
      <c r="F26" s="7">
        <f t="shared" si="0"/>
        <v>177564.22819200001</v>
      </c>
      <c r="G26" s="3">
        <f t="shared" si="1"/>
        <v>1</v>
      </c>
    </row>
    <row r="27" spans="2:9" x14ac:dyDescent="0.3">
      <c r="B27" s="3">
        <v>311200</v>
      </c>
      <c r="C27" t="s">
        <v>21</v>
      </c>
      <c r="D27" s="4">
        <v>3.0300000000000001E-2</v>
      </c>
      <c r="E27" s="7">
        <v>20420995.129999999</v>
      </c>
      <c r="F27" s="7">
        <f t="shared" si="0"/>
        <v>618756.15243899997</v>
      </c>
      <c r="G27" s="3">
        <f t="shared" si="1"/>
        <v>1</v>
      </c>
    </row>
    <row r="28" spans="2:9" x14ac:dyDescent="0.3">
      <c r="B28" s="3">
        <v>311300</v>
      </c>
      <c r="C28" t="s">
        <v>22</v>
      </c>
      <c r="D28" s="4">
        <v>3.2300000000000002E-2</v>
      </c>
      <c r="E28" s="7">
        <v>432456.17</v>
      </c>
      <c r="F28" s="7">
        <f t="shared" si="0"/>
        <v>13968.334291000001</v>
      </c>
      <c r="G28" s="3">
        <f t="shared" si="1"/>
        <v>1</v>
      </c>
    </row>
    <row r="29" spans="2:9" x14ac:dyDescent="0.3">
      <c r="B29" s="3">
        <v>311400</v>
      </c>
      <c r="C29" t="s">
        <v>23</v>
      </c>
      <c r="D29" s="4">
        <v>4.0799999999999996E-2</v>
      </c>
      <c r="E29" s="7">
        <v>7727.88</v>
      </c>
      <c r="F29" s="7">
        <f t="shared" si="0"/>
        <v>315.29750399999995</v>
      </c>
      <c r="G29" s="3">
        <f t="shared" si="1"/>
        <v>1</v>
      </c>
    </row>
    <row r="30" spans="2:9" x14ac:dyDescent="0.3">
      <c r="B30" s="3">
        <v>311520</v>
      </c>
      <c r="C30" t="s">
        <v>24</v>
      </c>
      <c r="D30" s="4">
        <v>2.7300000000000001E-2</v>
      </c>
      <c r="E30" s="7">
        <v>17320680.010000002</v>
      </c>
      <c r="F30" s="7">
        <f t="shared" si="0"/>
        <v>472854.56427300005</v>
      </c>
      <c r="G30" s="3">
        <f t="shared" si="1"/>
        <v>1</v>
      </c>
    </row>
    <row r="31" spans="2:9" x14ac:dyDescent="0.3">
      <c r="B31" s="3">
        <v>311530</v>
      </c>
      <c r="C31" t="s">
        <v>25</v>
      </c>
      <c r="D31" s="4">
        <v>2.7300000000000001E-2</v>
      </c>
      <c r="E31" s="7">
        <v>1856416.1800000002</v>
      </c>
      <c r="F31" s="7">
        <f t="shared" si="0"/>
        <v>50680.161714000009</v>
      </c>
      <c r="G31" s="3">
        <f t="shared" si="1"/>
        <v>1</v>
      </c>
    </row>
    <row r="32" spans="2:9" x14ac:dyDescent="0.3">
      <c r="B32" s="3">
        <v>311540</v>
      </c>
      <c r="C32" t="s">
        <v>26</v>
      </c>
      <c r="D32" s="4">
        <v>3.0200000000000001E-2</v>
      </c>
      <c r="E32" s="7">
        <v>2174641.77</v>
      </c>
      <c r="F32" s="7">
        <f t="shared" si="0"/>
        <v>65674.181454000005</v>
      </c>
      <c r="G32" s="3">
        <f t="shared" si="1"/>
        <v>1</v>
      </c>
    </row>
    <row r="33" spans="2:7" x14ac:dyDescent="0.3">
      <c r="B33" s="3">
        <v>320100</v>
      </c>
      <c r="C33" t="s">
        <v>27</v>
      </c>
      <c r="D33" s="4">
        <v>2.7700000000000002E-2</v>
      </c>
      <c r="E33" s="7">
        <v>65522364.180000015</v>
      </c>
      <c r="F33" s="7">
        <f t="shared" si="0"/>
        <v>1814969.4877860006</v>
      </c>
      <c r="G33" s="3">
        <f t="shared" si="1"/>
        <v>1</v>
      </c>
    </row>
    <row r="34" spans="2:7" x14ac:dyDescent="0.3">
      <c r="B34" s="3">
        <v>320200</v>
      </c>
      <c r="C34" t="s">
        <v>28</v>
      </c>
      <c r="D34" s="4">
        <v>2.6499999999999999E-2</v>
      </c>
      <c r="E34" s="7">
        <v>833284.77</v>
      </c>
      <c r="F34" s="7">
        <f t="shared" si="0"/>
        <v>22082.046405000001</v>
      </c>
      <c r="G34" s="3">
        <f t="shared" si="1"/>
        <v>1</v>
      </c>
    </row>
    <row r="35" spans="2:7" x14ac:dyDescent="0.3">
      <c r="B35" s="3">
        <v>330000</v>
      </c>
      <c r="C35" t="s">
        <v>29</v>
      </c>
      <c r="D35" s="4">
        <v>2.0199999999999999E-2</v>
      </c>
      <c r="E35" s="7">
        <v>1777826.19</v>
      </c>
      <c r="F35" s="7">
        <f t="shared" si="0"/>
        <v>35912.089037999998</v>
      </c>
    </row>
    <row r="36" spans="2:7" x14ac:dyDescent="0.3">
      <c r="B36" s="3">
        <v>330100</v>
      </c>
      <c r="C36" t="s">
        <v>30</v>
      </c>
      <c r="D36" s="4">
        <v>1.89E-2</v>
      </c>
      <c r="E36" s="7">
        <v>14353434.300000001</v>
      </c>
      <c r="F36" s="7">
        <f t="shared" si="0"/>
        <v>271279.90827000001</v>
      </c>
    </row>
    <row r="37" spans="2:7" x14ac:dyDescent="0.3">
      <c r="B37" s="3">
        <v>330200</v>
      </c>
      <c r="C37" t="s">
        <v>31</v>
      </c>
      <c r="D37" s="4">
        <v>1.83E-2</v>
      </c>
      <c r="E37" s="7">
        <v>2912613.4900000007</v>
      </c>
      <c r="F37" s="7">
        <f t="shared" si="0"/>
        <v>53300.826867000011</v>
      </c>
    </row>
    <row r="38" spans="2:7" x14ac:dyDescent="0.3">
      <c r="B38" s="3">
        <v>330400</v>
      </c>
      <c r="C38" t="s">
        <v>32</v>
      </c>
      <c r="D38" s="4">
        <v>1.7399999999999999E-2</v>
      </c>
      <c r="E38" s="7">
        <v>1096315.6099999999</v>
      </c>
      <c r="F38" s="7">
        <f t="shared" si="0"/>
        <v>19075.891613999996</v>
      </c>
    </row>
    <row r="39" spans="2:7" x14ac:dyDescent="0.3">
      <c r="B39" s="3">
        <v>331001</v>
      </c>
      <c r="C39" t="s">
        <v>33</v>
      </c>
      <c r="D39" s="4">
        <v>1.5300000000000001E-2</v>
      </c>
      <c r="E39" s="7">
        <v>150685413.66999999</v>
      </c>
      <c r="F39" s="7">
        <f t="shared" si="0"/>
        <v>2305486.8291509999</v>
      </c>
      <c r="G39" s="3">
        <f t="shared" si="1"/>
        <v>1</v>
      </c>
    </row>
    <row r="40" spans="2:7" x14ac:dyDescent="0.3">
      <c r="B40" s="3">
        <v>331100</v>
      </c>
      <c r="C40" t="s">
        <v>34</v>
      </c>
      <c r="D40" s="4">
        <v>1.5300000000000001E-2</v>
      </c>
      <c r="E40" s="7">
        <v>12140392.35</v>
      </c>
      <c r="F40" s="7">
        <f t="shared" si="0"/>
        <v>185748.002955</v>
      </c>
      <c r="G40" s="3">
        <f t="shared" si="1"/>
        <v>1</v>
      </c>
    </row>
    <row r="41" spans="2:7" x14ac:dyDescent="0.3">
      <c r="B41" s="3">
        <v>331200</v>
      </c>
      <c r="C41" t="s">
        <v>35</v>
      </c>
      <c r="D41" s="4">
        <v>1.5300000000000001E-2</v>
      </c>
      <c r="E41" s="7">
        <v>62962588.020000003</v>
      </c>
      <c r="F41" s="7">
        <f t="shared" si="0"/>
        <v>963327.59670600016</v>
      </c>
      <c r="G41" s="3">
        <f t="shared" si="1"/>
        <v>1</v>
      </c>
    </row>
    <row r="42" spans="2:7" x14ac:dyDescent="0.3">
      <c r="B42" s="3">
        <v>331300</v>
      </c>
      <c r="C42" t="s">
        <v>36</v>
      </c>
      <c r="D42" s="4">
        <v>1.5300000000000001E-2</v>
      </c>
      <c r="E42" s="7">
        <v>30625561.959999997</v>
      </c>
      <c r="F42" s="7">
        <f t="shared" si="0"/>
        <v>468571.09798799996</v>
      </c>
      <c r="G42" s="3">
        <f t="shared" si="1"/>
        <v>1</v>
      </c>
    </row>
    <row r="43" spans="2:7" x14ac:dyDescent="0.3">
      <c r="B43" s="3">
        <v>331400</v>
      </c>
      <c r="C43" t="s">
        <v>37</v>
      </c>
      <c r="D43" s="4">
        <v>1.5300000000000001E-2</v>
      </c>
      <c r="E43" s="7">
        <v>81085723.429999992</v>
      </c>
      <c r="F43" s="7">
        <f t="shared" si="0"/>
        <v>1240611.5684789999</v>
      </c>
      <c r="G43" s="3">
        <f t="shared" si="1"/>
        <v>1</v>
      </c>
    </row>
    <row r="44" spans="2:7" x14ac:dyDescent="0.3">
      <c r="B44" s="3">
        <v>333000</v>
      </c>
      <c r="C44" t="s">
        <v>38</v>
      </c>
      <c r="D44" s="4">
        <v>3.2399999999999998E-2</v>
      </c>
      <c r="E44" s="7">
        <v>56714539.889999986</v>
      </c>
      <c r="F44" s="7">
        <f t="shared" si="0"/>
        <v>1837551.0924359995</v>
      </c>
      <c r="G44" s="3">
        <f t="shared" si="1"/>
        <v>1</v>
      </c>
    </row>
    <row r="45" spans="2:7" x14ac:dyDescent="0.3">
      <c r="B45" s="3">
        <v>334100</v>
      </c>
      <c r="C45" t="s">
        <v>39</v>
      </c>
      <c r="D45" s="4">
        <v>3.5000000000000003E-2</v>
      </c>
      <c r="E45" s="7">
        <v>21531572.140000001</v>
      </c>
      <c r="F45" s="7">
        <f t="shared" si="0"/>
        <v>753605.02490000008</v>
      </c>
      <c r="G45" s="3">
        <f t="shared" si="1"/>
        <v>1</v>
      </c>
    </row>
    <row r="46" spans="2:7" x14ac:dyDescent="0.3">
      <c r="B46" s="3">
        <v>334110</v>
      </c>
      <c r="C46" t="s">
        <v>40</v>
      </c>
      <c r="D46" s="4">
        <v>2.8999999999999998E-2</v>
      </c>
      <c r="E46" s="7">
        <v>2427199.84</v>
      </c>
      <c r="F46" s="7">
        <f t="shared" si="0"/>
        <v>70388.795359999989</v>
      </c>
      <c r="G46" s="3">
        <f t="shared" si="1"/>
        <v>1</v>
      </c>
    </row>
    <row r="47" spans="2:7" x14ac:dyDescent="0.3">
      <c r="B47" s="3">
        <v>334120</v>
      </c>
      <c r="C47" t="s">
        <v>41</v>
      </c>
      <c r="D47" s="4">
        <v>4.3900000000000002E-2</v>
      </c>
      <c r="E47" s="7">
        <v>431500.48000000004</v>
      </c>
      <c r="F47" s="7">
        <f t="shared" si="0"/>
        <v>18942.871072000002</v>
      </c>
      <c r="G47" s="3">
        <f t="shared" si="1"/>
        <v>1</v>
      </c>
    </row>
    <row r="48" spans="2:7" x14ac:dyDescent="0.3">
      <c r="B48" s="3">
        <v>334130</v>
      </c>
      <c r="C48" t="s">
        <v>42</v>
      </c>
      <c r="D48" s="4">
        <v>3.6999999999999998E-2</v>
      </c>
      <c r="E48" s="7">
        <v>6686405.3600000003</v>
      </c>
      <c r="F48" s="7">
        <f t="shared" si="0"/>
        <v>247396.99832000001</v>
      </c>
      <c r="G48" s="3">
        <f t="shared" si="1"/>
        <v>1</v>
      </c>
    </row>
    <row r="49" spans="2:7" x14ac:dyDescent="0.3">
      <c r="B49" s="3">
        <v>334131</v>
      </c>
      <c r="C49" t="s">
        <v>43</v>
      </c>
      <c r="D49" s="4">
        <v>3.6999999999999998E-2</v>
      </c>
      <c r="E49" s="7">
        <v>475697.11000000004</v>
      </c>
      <c r="F49" s="7">
        <f t="shared" si="0"/>
        <v>17600.79307</v>
      </c>
      <c r="G49" s="3">
        <f t="shared" si="1"/>
        <v>1</v>
      </c>
    </row>
    <row r="50" spans="2:7" x14ac:dyDescent="0.3">
      <c r="B50" s="3">
        <v>334200</v>
      </c>
      <c r="C50" t="s">
        <v>44</v>
      </c>
      <c r="D50" s="4">
        <v>2.8899999999999999E-2</v>
      </c>
      <c r="E50" s="7">
        <v>28794855.259999998</v>
      </c>
      <c r="F50" s="7">
        <f t="shared" si="0"/>
        <v>832171.31701399991</v>
      </c>
      <c r="G50" s="3">
        <f t="shared" si="1"/>
        <v>1</v>
      </c>
    </row>
    <row r="51" spans="2:7" x14ac:dyDescent="0.3">
      <c r="B51" s="3">
        <v>334300</v>
      </c>
      <c r="C51" t="s">
        <v>45</v>
      </c>
      <c r="D51" s="4">
        <v>3.3099999999999997E-2</v>
      </c>
      <c r="E51" s="7">
        <v>1607157.57</v>
      </c>
      <c r="F51" s="7">
        <f t="shared" si="0"/>
        <v>53196.915566999996</v>
      </c>
      <c r="G51" s="3">
        <f t="shared" si="1"/>
        <v>1</v>
      </c>
    </row>
    <row r="52" spans="2:7" x14ac:dyDescent="0.3">
      <c r="B52" s="3">
        <v>335000</v>
      </c>
      <c r="C52" t="s">
        <v>46</v>
      </c>
      <c r="D52" s="4">
        <v>2.1500000000000002E-2</v>
      </c>
      <c r="E52" s="7">
        <v>24459311.119999997</v>
      </c>
      <c r="F52" s="7">
        <f t="shared" si="0"/>
        <v>525875.18908000004</v>
      </c>
      <c r="G52" s="3">
        <f t="shared" si="1"/>
        <v>1</v>
      </c>
    </row>
    <row r="53" spans="2:7" x14ac:dyDescent="0.3">
      <c r="B53" s="3">
        <v>339100</v>
      </c>
      <c r="C53" t="s">
        <v>47</v>
      </c>
      <c r="D53" s="4">
        <v>0.1</v>
      </c>
      <c r="E53" s="7">
        <v>186140.59</v>
      </c>
      <c r="F53" s="7">
        <f t="shared" si="0"/>
        <v>18614.059000000001</v>
      </c>
    </row>
    <row r="54" spans="2:7" x14ac:dyDescent="0.3">
      <c r="B54" s="3">
        <v>339600</v>
      </c>
      <c r="C54" t="s">
        <v>48</v>
      </c>
      <c r="D54" s="4">
        <v>0.1</v>
      </c>
      <c r="E54" s="7">
        <v>1024518.2800000001</v>
      </c>
      <c r="F54" s="7">
        <f t="shared" si="0"/>
        <v>102451.82800000002</v>
      </c>
    </row>
    <row r="55" spans="2:7" x14ac:dyDescent="0.3">
      <c r="B55" s="3">
        <v>340100</v>
      </c>
      <c r="C55" t="s">
        <v>49</v>
      </c>
      <c r="D55" s="4">
        <v>0.05</v>
      </c>
      <c r="E55" s="7">
        <v>528967.77</v>
      </c>
      <c r="F55" s="7">
        <f t="shared" si="0"/>
        <v>26448.388500000001</v>
      </c>
    </row>
    <row r="56" spans="2:7" x14ac:dyDescent="0.3">
      <c r="B56" s="3">
        <v>340200</v>
      </c>
      <c r="C56" t="s">
        <v>50</v>
      </c>
      <c r="D56" s="4">
        <v>0.1</v>
      </c>
      <c r="E56" s="7">
        <v>35492.980000000003</v>
      </c>
      <c r="F56" s="7">
        <f t="shared" si="0"/>
        <v>3549.2980000000007</v>
      </c>
    </row>
    <row r="57" spans="2:7" x14ac:dyDescent="0.3">
      <c r="B57" s="3">
        <v>340210</v>
      </c>
      <c r="C57" t="s">
        <v>51</v>
      </c>
      <c r="D57" s="4">
        <v>0.2</v>
      </c>
      <c r="E57" s="7">
        <v>70473.11</v>
      </c>
      <c r="F57" s="7">
        <f t="shared" si="0"/>
        <v>14094.622000000001</v>
      </c>
    </row>
    <row r="58" spans="2:7" x14ac:dyDescent="0.3">
      <c r="B58" s="3">
        <v>340220</v>
      </c>
      <c r="C58" t="s">
        <v>52</v>
      </c>
      <c r="D58" s="4">
        <v>0.2</v>
      </c>
      <c r="E58" s="7">
        <v>740853.16</v>
      </c>
      <c r="F58" s="7">
        <f t="shared" si="0"/>
        <v>148170.63200000001</v>
      </c>
    </row>
    <row r="59" spans="2:7" x14ac:dyDescent="0.3">
      <c r="B59" s="3">
        <v>340230</v>
      </c>
      <c r="C59" t="s">
        <v>53</v>
      </c>
      <c r="D59" s="4">
        <v>0.2</v>
      </c>
      <c r="E59" s="7">
        <v>1298650.68</v>
      </c>
      <c r="F59" s="7">
        <f t="shared" si="0"/>
        <v>259730.136</v>
      </c>
    </row>
    <row r="60" spans="2:7" x14ac:dyDescent="0.3">
      <c r="B60" s="3">
        <v>340300</v>
      </c>
      <c r="C60" t="s">
        <v>54</v>
      </c>
      <c r="D60" s="4">
        <v>0.2</v>
      </c>
      <c r="E60" s="7">
        <v>5311311.07</v>
      </c>
      <c r="F60" s="7">
        <f t="shared" si="0"/>
        <v>1062262.2140000002</v>
      </c>
    </row>
    <row r="61" spans="2:7" x14ac:dyDescent="0.3">
      <c r="B61" s="3">
        <v>340315</v>
      </c>
      <c r="C61" t="s">
        <v>55</v>
      </c>
      <c r="D61" s="4">
        <v>0.1</v>
      </c>
      <c r="E61" s="7">
        <v>12026825.220000001</v>
      </c>
      <c r="F61" s="7">
        <f t="shared" si="0"/>
        <v>1202682.5220000001</v>
      </c>
    </row>
    <row r="62" spans="2:7" x14ac:dyDescent="0.3">
      <c r="B62" s="3">
        <v>340320</v>
      </c>
      <c r="C62" t="s">
        <v>56</v>
      </c>
      <c r="D62" s="4">
        <v>0.2</v>
      </c>
      <c r="E62" s="7">
        <v>0</v>
      </c>
      <c r="F62" s="7">
        <f t="shared" si="0"/>
        <v>0</v>
      </c>
    </row>
    <row r="63" spans="2:7" x14ac:dyDescent="0.3">
      <c r="B63" s="3">
        <v>340325</v>
      </c>
      <c r="C63" t="s">
        <v>57</v>
      </c>
      <c r="D63" s="4">
        <v>0.2</v>
      </c>
      <c r="E63" s="7">
        <v>2354470.33</v>
      </c>
      <c r="F63" s="7">
        <f t="shared" si="0"/>
        <v>470894.06600000005</v>
      </c>
    </row>
    <row r="64" spans="2:7" x14ac:dyDescent="0.3">
      <c r="B64" s="3">
        <v>340330</v>
      </c>
      <c r="C64" t="s">
        <v>58</v>
      </c>
      <c r="D64" s="4">
        <v>0.2</v>
      </c>
      <c r="E64" s="7">
        <v>196249.75</v>
      </c>
      <c r="F64" s="7">
        <f t="shared" si="0"/>
        <v>39249.950000000004</v>
      </c>
    </row>
    <row r="65" spans="2:7" x14ac:dyDescent="0.3">
      <c r="B65" s="3">
        <v>340500</v>
      </c>
      <c r="C65" t="s">
        <v>59</v>
      </c>
      <c r="D65" s="4">
        <v>6.6699999999999995E-2</v>
      </c>
      <c r="E65" s="7">
        <v>0</v>
      </c>
      <c r="F65" s="7">
        <f t="shared" si="0"/>
        <v>0</v>
      </c>
    </row>
    <row r="66" spans="2:7" x14ac:dyDescent="0.3">
      <c r="B66" s="3">
        <v>341100</v>
      </c>
      <c r="C66" t="s">
        <v>60</v>
      </c>
      <c r="D66" s="4">
        <v>8.7599999999999997E-2</v>
      </c>
      <c r="E66" s="7">
        <v>4376993.55</v>
      </c>
      <c r="F66" s="7">
        <f t="shared" si="0"/>
        <v>383424.63497999997</v>
      </c>
    </row>
    <row r="67" spans="2:7" x14ac:dyDescent="0.3">
      <c r="B67" s="3">
        <v>341200</v>
      </c>
      <c r="C67" t="s">
        <v>61</v>
      </c>
      <c r="D67" s="4">
        <v>8.1199999999999994E-2</v>
      </c>
      <c r="E67" s="7">
        <v>2486443.1599999997</v>
      </c>
      <c r="F67" s="7">
        <f t="shared" si="0"/>
        <v>201899.18459199995</v>
      </c>
    </row>
    <row r="68" spans="2:7" x14ac:dyDescent="0.3">
      <c r="B68" s="3">
        <v>341300</v>
      </c>
      <c r="C68" t="s">
        <v>62</v>
      </c>
      <c r="D68" s="4">
        <v>0.1011</v>
      </c>
      <c r="E68" s="7">
        <v>31993.49</v>
      </c>
      <c r="F68" s="7">
        <f t="shared" si="0"/>
        <v>3234.541839</v>
      </c>
    </row>
    <row r="69" spans="2:7" x14ac:dyDescent="0.3">
      <c r="B69" s="3">
        <v>341400</v>
      </c>
      <c r="C69" t="s">
        <v>63</v>
      </c>
      <c r="D69" s="4">
        <v>0.10059999999999999</v>
      </c>
      <c r="E69" s="7">
        <v>1491910.14</v>
      </c>
      <c r="F69" s="7">
        <f t="shared" si="0"/>
        <v>150086.16008399997</v>
      </c>
    </row>
    <row r="70" spans="2:7" x14ac:dyDescent="0.3">
      <c r="B70" s="3">
        <v>342000</v>
      </c>
      <c r="C70" t="s">
        <v>64</v>
      </c>
      <c r="D70" s="4">
        <v>0.04</v>
      </c>
      <c r="E70" s="7">
        <v>68094.31</v>
      </c>
      <c r="F70" s="7">
        <f t="shared" si="0"/>
        <v>2723.7723999999998</v>
      </c>
    </row>
    <row r="71" spans="2:7" x14ac:dyDescent="0.3">
      <c r="B71" s="3">
        <v>343000</v>
      </c>
      <c r="C71" t="s">
        <v>65</v>
      </c>
      <c r="D71" s="4">
        <v>0.05</v>
      </c>
      <c r="E71" s="7">
        <v>2663541.7399999998</v>
      </c>
      <c r="F71" s="7">
        <f t="shared" ref="F71:F78" si="2">E71*D71</f>
        <v>133177.087</v>
      </c>
    </row>
    <row r="72" spans="2:7" x14ac:dyDescent="0.3">
      <c r="B72" s="3">
        <v>344000</v>
      </c>
      <c r="C72" t="s">
        <v>66</v>
      </c>
      <c r="D72" s="4">
        <v>6.6699999999999995E-2</v>
      </c>
      <c r="E72" s="7">
        <v>1477588.7400000002</v>
      </c>
      <c r="F72" s="7">
        <f t="shared" si="2"/>
        <v>98555.168958000009</v>
      </c>
    </row>
    <row r="73" spans="2:7" x14ac:dyDescent="0.3">
      <c r="B73" s="3">
        <v>345000</v>
      </c>
      <c r="C73" t="s">
        <v>67</v>
      </c>
      <c r="D73" s="4">
        <v>2.7300000000000001E-2</v>
      </c>
      <c r="E73" s="7">
        <v>1349814.42</v>
      </c>
      <c r="F73" s="7">
        <f t="shared" si="2"/>
        <v>36849.933665999997</v>
      </c>
      <c r="G73" s="3">
        <f t="shared" ref="G73:G76" si="3">IF(D73=0,0,1)</f>
        <v>1</v>
      </c>
    </row>
    <row r="74" spans="2:7" x14ac:dyDescent="0.3">
      <c r="B74" s="3">
        <v>346100</v>
      </c>
      <c r="C74" t="s">
        <v>68</v>
      </c>
      <c r="D74" s="4">
        <v>6.6699999999999995E-2</v>
      </c>
      <c r="E74" s="7">
        <v>447911.58999999997</v>
      </c>
      <c r="F74" s="7">
        <f t="shared" si="2"/>
        <v>29875.703052999997</v>
      </c>
      <c r="G74" s="3">
        <f t="shared" si="3"/>
        <v>1</v>
      </c>
    </row>
    <row r="75" spans="2:7" x14ac:dyDescent="0.3">
      <c r="B75" s="3">
        <v>346190</v>
      </c>
      <c r="C75" t="s">
        <v>69</v>
      </c>
      <c r="D75" s="4">
        <v>6.6699999999999995E-2</v>
      </c>
      <c r="E75" s="7">
        <v>3384475.6900000004</v>
      </c>
      <c r="F75" s="7">
        <f t="shared" si="2"/>
        <v>225744.52852300002</v>
      </c>
      <c r="G75" s="3">
        <f t="shared" si="3"/>
        <v>1</v>
      </c>
    </row>
    <row r="76" spans="2:7" x14ac:dyDescent="0.3">
      <c r="B76" s="3">
        <v>346200</v>
      </c>
      <c r="C76" t="s">
        <v>70</v>
      </c>
      <c r="D76" s="4">
        <v>6.6699999999999995E-2</v>
      </c>
      <c r="E76" s="7">
        <v>177627.77</v>
      </c>
      <c r="F76" s="7">
        <f t="shared" si="2"/>
        <v>11847.772258999998</v>
      </c>
      <c r="G76" s="3">
        <f t="shared" si="3"/>
        <v>1</v>
      </c>
    </row>
    <row r="77" spans="2:7" x14ac:dyDescent="0.3">
      <c r="B77" s="3">
        <v>347000</v>
      </c>
      <c r="C77" t="s">
        <v>71</v>
      </c>
      <c r="D77" s="4">
        <v>0.05</v>
      </c>
      <c r="E77" s="7">
        <v>2117693.9499999997</v>
      </c>
      <c r="F77" s="7">
        <f t="shared" si="2"/>
        <v>105884.69749999999</v>
      </c>
    </row>
    <row r="78" spans="2:7" x14ac:dyDescent="0.3">
      <c r="B78" s="3">
        <v>348000</v>
      </c>
      <c r="C78" t="s">
        <v>72</v>
      </c>
      <c r="D78" s="4">
        <v>0.05</v>
      </c>
      <c r="E78" s="7">
        <v>23213.3</v>
      </c>
      <c r="F78" s="7">
        <f t="shared" si="2"/>
        <v>1160.665</v>
      </c>
    </row>
    <row r="79" spans="2:7" ht="15" thickBot="1" x14ac:dyDescent="0.35">
      <c r="E79" s="49">
        <f>SUM(E8:E78)</f>
        <v>787988168.5200001</v>
      </c>
      <c r="F79" s="49">
        <f>SUM(F8:F78)</f>
        <v>20802110.286615007</v>
      </c>
    </row>
    <row r="80" spans="2:7" ht="15" thickTop="1" x14ac:dyDescent="0.3"/>
    <row r="81" spans="5:5" x14ac:dyDescent="0.3">
      <c r="E81" s="6"/>
    </row>
  </sheetData>
  <printOptions horizontalCentered="1"/>
  <pageMargins left="0.5" right="0.5" top="0.75" bottom="0.5" header="0.3" footer="0.25"/>
  <pageSetup scale="98" fitToHeight="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/>
  </sheetViews>
  <sheetFormatPr defaultRowHeight="14.4" x14ac:dyDescent="0.3"/>
  <cols>
    <col min="1" max="1" width="32" customWidth="1"/>
    <col min="2" max="2" width="14.6640625" customWidth="1"/>
    <col min="3" max="6" width="14.6640625" style="19" customWidth="1"/>
    <col min="7" max="10" width="14.6640625" customWidth="1"/>
  </cols>
  <sheetData>
    <row r="1" spans="1:6" x14ac:dyDescent="0.3">
      <c r="A1" s="8" t="s">
        <v>147</v>
      </c>
    </row>
    <row r="2" spans="1:6" x14ac:dyDescent="0.3">
      <c r="A2" s="8" t="s">
        <v>199</v>
      </c>
    </row>
    <row r="3" spans="1:6" x14ac:dyDescent="0.3">
      <c r="A3" s="8" t="s">
        <v>96</v>
      </c>
    </row>
    <row r="4" spans="1:6" x14ac:dyDescent="0.3">
      <c r="A4" s="8"/>
      <c r="D4" s="82" t="s">
        <v>142</v>
      </c>
      <c r="E4" s="83"/>
      <c r="F4" s="31"/>
    </row>
    <row r="5" spans="1:6" ht="28.8" x14ac:dyDescent="0.3">
      <c r="B5" s="30" t="s">
        <v>141</v>
      </c>
      <c r="C5" s="20"/>
      <c r="D5" s="30" t="s">
        <v>143</v>
      </c>
      <c r="E5" s="30" t="s">
        <v>144</v>
      </c>
      <c r="F5" s="33"/>
    </row>
    <row r="6" spans="1:6" x14ac:dyDescent="0.3">
      <c r="A6" s="8" t="s">
        <v>90</v>
      </c>
      <c r="B6" s="7"/>
      <c r="C6" s="21"/>
      <c r="D6" s="21"/>
      <c r="E6" s="21"/>
      <c r="F6" s="21"/>
    </row>
    <row r="7" spans="1:6" x14ac:dyDescent="0.3">
      <c r="A7" s="9" t="s">
        <v>97</v>
      </c>
      <c r="B7" s="6">
        <v>0</v>
      </c>
      <c r="C7" s="22"/>
      <c r="D7" s="36">
        <v>0</v>
      </c>
      <c r="E7" s="36">
        <f>D10</f>
        <v>5122816.0668152347</v>
      </c>
      <c r="F7" s="22"/>
    </row>
    <row r="8" spans="1:6" x14ac:dyDescent="0.3">
      <c r="A8" t="s">
        <v>94</v>
      </c>
      <c r="B8" s="7">
        <f>'Placed in Service'!P42</f>
        <v>13470000</v>
      </c>
      <c r="C8" s="21"/>
      <c r="D8" s="7">
        <f>SUM('Placed in Service'!D42:I42)</f>
        <v>5522800</v>
      </c>
      <c r="E8" s="7">
        <f>SUM('Placed in Service'!J42:O42)</f>
        <v>7947200</v>
      </c>
      <c r="F8" s="21"/>
    </row>
    <row r="9" spans="1:6" x14ac:dyDescent="0.3">
      <c r="A9" t="s">
        <v>95</v>
      </c>
      <c r="B9" s="23">
        <f>'Placed in Service'!Q42</f>
        <v>-975552.90432367404</v>
      </c>
      <c r="C9" s="21"/>
      <c r="D9" s="23">
        <f>SUM('Placed in Service'!D69:I69)</f>
        <v>-399983.93318476505</v>
      </c>
      <c r="E9" s="23">
        <f>SUM('Placed in Service'!J69:O69)</f>
        <v>-575568.97113890876</v>
      </c>
      <c r="F9" s="21"/>
    </row>
    <row r="10" spans="1:6" ht="15" thickBot="1" x14ac:dyDescent="0.35">
      <c r="A10" t="s">
        <v>98</v>
      </c>
      <c r="B10" s="48">
        <f>SUM(B7:B9)</f>
        <v>12494447.095676325</v>
      </c>
      <c r="C10" s="21"/>
      <c r="D10" s="48">
        <f>SUM(D7:D9)</f>
        <v>5122816.0668152347</v>
      </c>
      <c r="E10" s="48">
        <f>SUM(E7:E9)</f>
        <v>12494447.095676325</v>
      </c>
      <c r="F10" s="21"/>
    </row>
    <row r="11" spans="1:6" ht="15" thickTop="1" x14ac:dyDescent="0.3">
      <c r="B11" s="7"/>
      <c r="C11" s="21"/>
      <c r="D11" s="7"/>
      <c r="E11" s="7"/>
      <c r="F11" s="21"/>
    </row>
    <row r="12" spans="1:6" x14ac:dyDescent="0.3">
      <c r="D12"/>
      <c r="E12"/>
    </row>
    <row r="13" spans="1:6" x14ac:dyDescent="0.3">
      <c r="B13" s="7"/>
      <c r="C13" s="21"/>
      <c r="D13" s="7"/>
      <c r="E13" s="7"/>
      <c r="F13" s="21"/>
    </row>
    <row r="14" spans="1:6" x14ac:dyDescent="0.3">
      <c r="A14" s="1" t="s">
        <v>108</v>
      </c>
      <c r="D14"/>
      <c r="E14"/>
    </row>
    <row r="15" spans="1:6" x14ac:dyDescent="0.3">
      <c r="A15" s="9" t="s">
        <v>97</v>
      </c>
      <c r="B15" s="6">
        <v>0</v>
      </c>
      <c r="C15" s="22"/>
      <c r="D15" s="6">
        <v>0</v>
      </c>
      <c r="E15" s="6">
        <f>D19</f>
        <v>870722.83728287811</v>
      </c>
      <c r="F15" s="22"/>
    </row>
    <row r="16" spans="1:6" x14ac:dyDescent="0.3">
      <c r="A16" t="s">
        <v>99</v>
      </c>
      <c r="B16" s="7">
        <f>-'Depreciation Exp'!B8</f>
        <v>-277520.71498292731</v>
      </c>
      <c r="C16" s="21"/>
      <c r="D16" s="7">
        <f>-'Depreciation Exp'!D8</f>
        <v>-115356.09590188701</v>
      </c>
      <c r="E16" s="7">
        <f>-'Depreciation Exp'!E8</f>
        <v>-162164.61908104032</v>
      </c>
      <c r="F16" s="21"/>
    </row>
    <row r="17" spans="1:6" x14ac:dyDescent="0.3">
      <c r="A17" t="s">
        <v>95</v>
      </c>
      <c r="B17" s="7">
        <f>-B9</f>
        <v>975552.90432367404</v>
      </c>
      <c r="C17" s="21"/>
      <c r="D17" s="7">
        <f>-D9</f>
        <v>399983.93318476505</v>
      </c>
      <c r="E17" s="7">
        <f>-E9</f>
        <v>575568.97113890876</v>
      </c>
      <c r="F17" s="21"/>
    </row>
    <row r="18" spans="1:6" x14ac:dyDescent="0.3">
      <c r="A18" t="s">
        <v>89</v>
      </c>
      <c r="B18" s="7">
        <f>'Placed in Service'!P58</f>
        <v>1292015</v>
      </c>
      <c r="C18" s="21"/>
      <c r="D18" s="7">
        <f>SUM('Placed in Service'!D58:I58)</f>
        <v>586095</v>
      </c>
      <c r="E18" s="7">
        <f>SUM('Placed in Service'!J58:O58)</f>
        <v>705920</v>
      </c>
      <c r="F18" s="21"/>
    </row>
    <row r="19" spans="1:6" ht="15" thickBot="1" x14ac:dyDescent="0.35">
      <c r="A19" t="s">
        <v>98</v>
      </c>
      <c r="B19" s="48">
        <f>SUM(B15:B18)</f>
        <v>1990047.1893407467</v>
      </c>
      <c r="C19" s="21"/>
      <c r="D19" s="48">
        <f>SUM(D15:D18)</f>
        <v>870722.83728287811</v>
      </c>
      <c r="E19" s="48">
        <f>SUM(E15:E18)</f>
        <v>1990047.1893407465</v>
      </c>
      <c r="F19" s="21"/>
    </row>
    <row r="20" spans="1:6" ht="15" thickTop="1" x14ac:dyDescent="0.3">
      <c r="B20" s="7"/>
      <c r="C20" s="21"/>
      <c r="D20" s="21"/>
      <c r="E20" s="21"/>
      <c r="F20" s="21"/>
    </row>
    <row r="21" spans="1:6" x14ac:dyDescent="0.3">
      <c r="B21" s="7"/>
      <c r="C21" s="21"/>
      <c r="D21" s="21"/>
      <c r="E21" s="21"/>
      <c r="F21" s="21"/>
    </row>
    <row r="30" spans="1:6" x14ac:dyDescent="0.3">
      <c r="B30" s="7"/>
      <c r="C30" s="21"/>
      <c r="D30" s="21"/>
      <c r="E30" s="21"/>
      <c r="F30" s="21"/>
    </row>
    <row r="31" spans="1:6" x14ac:dyDescent="0.3">
      <c r="B31" s="7"/>
      <c r="C31" s="21"/>
      <c r="D31" s="21"/>
      <c r="E31" s="21"/>
      <c r="F31" s="21"/>
    </row>
    <row r="32" spans="1:6" x14ac:dyDescent="0.3">
      <c r="B32" s="7"/>
      <c r="C32" s="21"/>
      <c r="D32" s="21"/>
      <c r="E32" s="21"/>
      <c r="F32" s="21"/>
    </row>
    <row r="33" spans="2:6" x14ac:dyDescent="0.3">
      <c r="B33" s="7"/>
      <c r="C33" s="21"/>
      <c r="D33" s="21"/>
      <c r="E33" s="21"/>
      <c r="F33" s="21"/>
    </row>
    <row r="34" spans="2:6" x14ac:dyDescent="0.3">
      <c r="B34" s="7"/>
      <c r="C34" s="21"/>
      <c r="D34" s="21"/>
      <c r="E34" s="21"/>
      <c r="F34" s="21"/>
    </row>
  </sheetData>
  <mergeCells count="1">
    <mergeCell ref="D4:E4"/>
  </mergeCells>
  <printOptions horizontalCentered="1"/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D1E0-B7FC-4949-8190-6CCCA50599C4}">
  <dimension ref="B1:AU69"/>
  <sheetViews>
    <sheetView zoomScale="80" zoomScaleNormal="80" workbookViewId="0"/>
  </sheetViews>
  <sheetFormatPr defaultColWidth="8.88671875" defaultRowHeight="14.4" x14ac:dyDescent="0.3"/>
  <cols>
    <col min="1" max="1" width="2.109375" style="39" customWidth="1"/>
    <col min="2" max="2" width="34.88671875" style="39" bestFit="1" customWidth="1"/>
    <col min="3" max="3" width="5.44140625" style="15" bestFit="1" customWidth="1"/>
    <col min="4" max="16" width="11.77734375" style="15" customWidth="1"/>
    <col min="17" max="17" width="11.6640625" style="15" bestFit="1" customWidth="1"/>
    <col min="18" max="18" width="8.88671875" style="39"/>
    <col min="19" max="19" width="9" style="39" bestFit="1" customWidth="1"/>
    <col min="20" max="20" width="8.88671875" style="39"/>
    <col min="21" max="33" width="10.77734375" style="39" customWidth="1"/>
    <col min="34" max="34" width="8.88671875" style="39"/>
    <col min="35" max="47" width="8.77734375" style="39" customWidth="1"/>
    <col min="48" max="16384" width="8.88671875" style="39"/>
  </cols>
  <sheetData>
    <row r="1" spans="2:47" x14ac:dyDescent="0.3">
      <c r="B1" s="8" t="s">
        <v>147</v>
      </c>
    </row>
    <row r="2" spans="2:47" x14ac:dyDescent="0.3">
      <c r="B2" s="8" t="s">
        <v>199</v>
      </c>
    </row>
    <row r="3" spans="2:47" x14ac:dyDescent="0.3">
      <c r="B3" s="50" t="s">
        <v>209</v>
      </c>
      <c r="U3" s="86" t="s">
        <v>212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8"/>
      <c r="AI3" s="86" t="s">
        <v>73</v>
      </c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</row>
    <row r="4" spans="2:47" x14ac:dyDescent="0.3">
      <c r="Q4" s="79">
        <v>-7.2424120588246016E-2</v>
      </c>
      <c r="R4" s="81"/>
      <c r="S4" s="81"/>
      <c r="T4" s="81"/>
      <c r="U4" s="81">
        <f>1+Q4</f>
        <v>0.92757587941175401</v>
      </c>
    </row>
    <row r="5" spans="2:47" x14ac:dyDescent="0.3">
      <c r="D5" s="86">
        <v>2020</v>
      </c>
      <c r="E5" s="87"/>
      <c r="F5" s="87"/>
      <c r="G5" s="87"/>
      <c r="H5" s="87"/>
      <c r="I5" s="88"/>
      <c r="J5" s="86">
        <v>2021</v>
      </c>
      <c r="K5" s="87"/>
      <c r="L5" s="87"/>
      <c r="M5" s="87"/>
      <c r="N5" s="87"/>
      <c r="O5" s="88"/>
      <c r="R5" s="15" t="s">
        <v>200</v>
      </c>
      <c r="S5" s="15" t="s">
        <v>200</v>
      </c>
      <c r="U5" s="86">
        <v>2020</v>
      </c>
      <c r="V5" s="87"/>
      <c r="W5" s="87"/>
      <c r="X5" s="87"/>
      <c r="Y5" s="87"/>
      <c r="Z5" s="88"/>
      <c r="AA5" s="86">
        <v>2021</v>
      </c>
      <c r="AB5" s="87"/>
      <c r="AC5" s="87"/>
      <c r="AD5" s="87"/>
      <c r="AE5" s="87"/>
      <c r="AF5" s="88"/>
      <c r="AG5" s="15"/>
      <c r="AI5" s="86">
        <v>2020</v>
      </c>
      <c r="AJ5" s="87"/>
      <c r="AK5" s="87"/>
      <c r="AL5" s="87"/>
      <c r="AM5" s="87"/>
      <c r="AN5" s="88"/>
      <c r="AO5" s="86">
        <v>2021</v>
      </c>
      <c r="AP5" s="87"/>
      <c r="AQ5" s="87"/>
      <c r="AR5" s="87"/>
      <c r="AS5" s="87"/>
      <c r="AT5" s="88"/>
      <c r="AU5" s="15"/>
    </row>
    <row r="6" spans="2:47" x14ac:dyDescent="0.3">
      <c r="B6" s="45" t="s">
        <v>113</v>
      </c>
      <c r="D6" s="61" t="s">
        <v>114</v>
      </c>
      <c r="E6" s="61" t="s">
        <v>115</v>
      </c>
      <c r="F6" s="61" t="s">
        <v>116</v>
      </c>
      <c r="G6" s="61" t="s">
        <v>117</v>
      </c>
      <c r="H6" s="61" t="s">
        <v>118</v>
      </c>
      <c r="I6" s="61" t="s">
        <v>119</v>
      </c>
      <c r="J6" s="61" t="s">
        <v>120</v>
      </c>
      <c r="K6" s="61" t="s">
        <v>121</v>
      </c>
      <c r="L6" s="61" t="s">
        <v>122</v>
      </c>
      <c r="M6" s="61" t="s">
        <v>123</v>
      </c>
      <c r="N6" s="61" t="s">
        <v>124</v>
      </c>
      <c r="O6" s="61" t="s">
        <v>125</v>
      </c>
      <c r="P6" s="61" t="s">
        <v>126</v>
      </c>
      <c r="Q6" s="78" t="s">
        <v>95</v>
      </c>
      <c r="R6" s="61" t="s">
        <v>74</v>
      </c>
      <c r="S6" s="61" t="s">
        <v>76</v>
      </c>
      <c r="U6" s="61" t="s">
        <v>114</v>
      </c>
      <c r="V6" s="61" t="s">
        <v>115</v>
      </c>
      <c r="W6" s="61" t="s">
        <v>116</v>
      </c>
      <c r="X6" s="61" t="s">
        <v>117</v>
      </c>
      <c r="Y6" s="61" t="s">
        <v>118</v>
      </c>
      <c r="Z6" s="61" t="s">
        <v>119</v>
      </c>
      <c r="AA6" s="61" t="s">
        <v>120</v>
      </c>
      <c r="AB6" s="61" t="s">
        <v>121</v>
      </c>
      <c r="AC6" s="61" t="s">
        <v>122</v>
      </c>
      <c r="AD6" s="61" t="s">
        <v>123</v>
      </c>
      <c r="AE6" s="61" t="s">
        <v>124</v>
      </c>
      <c r="AF6" s="61" t="s">
        <v>125</v>
      </c>
      <c r="AG6" s="61" t="s">
        <v>126</v>
      </c>
      <c r="AI6" s="61" t="s">
        <v>114</v>
      </c>
      <c r="AJ6" s="61" t="s">
        <v>115</v>
      </c>
      <c r="AK6" s="61" t="s">
        <v>116</v>
      </c>
      <c r="AL6" s="61" t="s">
        <v>117</v>
      </c>
      <c r="AM6" s="61" t="s">
        <v>118</v>
      </c>
      <c r="AN6" s="61" t="s">
        <v>119</v>
      </c>
      <c r="AO6" s="61" t="s">
        <v>120</v>
      </c>
      <c r="AP6" s="61" t="s">
        <v>121</v>
      </c>
      <c r="AQ6" s="61" t="s">
        <v>122</v>
      </c>
      <c r="AR6" s="61" t="s">
        <v>123</v>
      </c>
      <c r="AS6" s="61" t="s">
        <v>124</v>
      </c>
      <c r="AT6" s="61" t="s">
        <v>125</v>
      </c>
      <c r="AU6" s="61" t="s">
        <v>126</v>
      </c>
    </row>
    <row r="7" spans="2:47" x14ac:dyDescent="0.3">
      <c r="B7" s="45" t="s">
        <v>201</v>
      </c>
      <c r="D7" s="71">
        <v>500000</v>
      </c>
      <c r="E7" s="71">
        <v>500000</v>
      </c>
      <c r="F7" s="71">
        <v>400000</v>
      </c>
      <c r="G7" s="71">
        <v>400000</v>
      </c>
      <c r="H7" s="71">
        <v>400000</v>
      </c>
      <c r="I7" s="71">
        <v>600000</v>
      </c>
      <c r="J7" s="71">
        <v>600000</v>
      </c>
      <c r="K7" s="71">
        <v>800000</v>
      </c>
      <c r="L7" s="71">
        <v>800000</v>
      </c>
      <c r="M7" s="71">
        <v>800000</v>
      </c>
      <c r="N7" s="71">
        <v>800000</v>
      </c>
      <c r="O7" s="71">
        <v>700000</v>
      </c>
      <c r="P7" s="71">
        <f>SUM(D7:O7)</f>
        <v>7300000</v>
      </c>
      <c r="Q7" s="71"/>
    </row>
    <row r="8" spans="2:47" x14ac:dyDescent="0.3">
      <c r="B8" t="s">
        <v>33</v>
      </c>
      <c r="C8" s="69">
        <v>0.8</v>
      </c>
      <c r="D8" s="26">
        <f>D$7*$C8</f>
        <v>400000</v>
      </c>
      <c r="E8" s="26">
        <f t="shared" ref="E8:O11" si="0">E$7*$C8</f>
        <v>400000</v>
      </c>
      <c r="F8" s="26">
        <f t="shared" si="0"/>
        <v>320000</v>
      </c>
      <c r="G8" s="26">
        <f t="shared" si="0"/>
        <v>320000</v>
      </c>
      <c r="H8" s="26">
        <f t="shared" si="0"/>
        <v>320000</v>
      </c>
      <c r="I8" s="26">
        <f t="shared" si="0"/>
        <v>480000</v>
      </c>
      <c r="J8" s="26">
        <f t="shared" si="0"/>
        <v>480000</v>
      </c>
      <c r="K8" s="26">
        <f t="shared" si="0"/>
        <v>640000</v>
      </c>
      <c r="L8" s="26">
        <f t="shared" si="0"/>
        <v>640000</v>
      </c>
      <c r="M8" s="26">
        <f t="shared" si="0"/>
        <v>640000</v>
      </c>
      <c r="N8" s="26">
        <f t="shared" si="0"/>
        <v>640000</v>
      </c>
      <c r="O8" s="26">
        <f t="shared" si="0"/>
        <v>560000</v>
      </c>
      <c r="P8" s="26">
        <f t="shared" ref="P8:P35" si="1">SUM(D8:O8)</f>
        <v>5840000</v>
      </c>
      <c r="Q8" s="26">
        <f>P8*$Q$4</f>
        <v>-422956.86423535674</v>
      </c>
      <c r="R8" s="74">
        <f>VLOOKUP(B8,'Depreciation Rates'!C:D,2,FALSE)</f>
        <v>1.5300000000000001E-2</v>
      </c>
      <c r="S8" s="26">
        <f>SUM(P8+Q8)*R8</f>
        <v>82880.75997719905</v>
      </c>
      <c r="U8" s="38">
        <f>D8*$U$4</f>
        <v>371030.3517647016</v>
      </c>
      <c r="V8" s="38">
        <f t="shared" ref="V8:AF11" si="2">E8*$U$4</f>
        <v>371030.3517647016</v>
      </c>
      <c r="W8" s="38">
        <f t="shared" si="2"/>
        <v>296824.2814117613</v>
      </c>
      <c r="X8" s="38">
        <f t="shared" si="2"/>
        <v>296824.2814117613</v>
      </c>
      <c r="Y8" s="38">
        <f t="shared" si="2"/>
        <v>296824.2814117613</v>
      </c>
      <c r="Z8" s="38">
        <f t="shared" si="2"/>
        <v>445236.42211764195</v>
      </c>
      <c r="AA8" s="38">
        <f t="shared" si="2"/>
        <v>445236.42211764195</v>
      </c>
      <c r="AB8" s="38">
        <f t="shared" si="2"/>
        <v>593648.5628235226</v>
      </c>
      <c r="AC8" s="38">
        <f t="shared" si="2"/>
        <v>593648.5628235226</v>
      </c>
      <c r="AD8" s="38">
        <f t="shared" si="2"/>
        <v>593648.5628235226</v>
      </c>
      <c r="AE8" s="38">
        <f t="shared" si="2"/>
        <v>593648.5628235226</v>
      </c>
      <c r="AF8" s="38">
        <f t="shared" si="2"/>
        <v>519442.49247058225</v>
      </c>
      <c r="AG8" s="38">
        <f>SUM(U8:AF8)</f>
        <v>5417043.1357646445</v>
      </c>
      <c r="AI8" s="38">
        <f>U8*$R8</f>
        <v>5676.7643819999348</v>
      </c>
      <c r="AJ8" s="38">
        <f t="shared" ref="AJ8:AT11" si="3">V8*$R8</f>
        <v>5676.7643819999348</v>
      </c>
      <c r="AK8" s="38">
        <f t="shared" si="3"/>
        <v>4541.4115055999482</v>
      </c>
      <c r="AL8" s="38">
        <f t="shared" si="3"/>
        <v>4541.4115055999482</v>
      </c>
      <c r="AM8" s="38">
        <f t="shared" si="3"/>
        <v>4541.4115055999482</v>
      </c>
      <c r="AN8" s="38">
        <f t="shared" si="3"/>
        <v>6812.1172583999223</v>
      </c>
      <c r="AO8" s="38">
        <f t="shared" si="3"/>
        <v>6812.1172583999223</v>
      </c>
      <c r="AP8" s="38">
        <f t="shared" si="3"/>
        <v>9082.8230111998964</v>
      </c>
      <c r="AQ8" s="38">
        <f t="shared" si="3"/>
        <v>9082.8230111998964</v>
      </c>
      <c r="AR8" s="38">
        <f t="shared" si="3"/>
        <v>9082.8230111998964</v>
      </c>
      <c r="AS8" s="38">
        <f t="shared" si="3"/>
        <v>9082.8230111998964</v>
      </c>
      <c r="AT8" s="38">
        <f t="shared" si="3"/>
        <v>7947.4701347999089</v>
      </c>
      <c r="AU8" s="38">
        <f>SUM(AI8:AT8)</f>
        <v>82880.759977199064</v>
      </c>
    </row>
    <row r="9" spans="2:47" x14ac:dyDescent="0.3">
      <c r="B9" t="s">
        <v>38</v>
      </c>
      <c r="C9" s="69">
        <v>0.08</v>
      </c>
      <c r="D9" s="26">
        <f>D$7*$C9</f>
        <v>40000</v>
      </c>
      <c r="E9" s="26">
        <f t="shared" si="0"/>
        <v>40000</v>
      </c>
      <c r="F9" s="26">
        <f t="shared" si="0"/>
        <v>32000</v>
      </c>
      <c r="G9" s="26">
        <f t="shared" si="0"/>
        <v>32000</v>
      </c>
      <c r="H9" s="26">
        <f t="shared" si="0"/>
        <v>32000</v>
      </c>
      <c r="I9" s="26">
        <f t="shared" si="0"/>
        <v>48000</v>
      </c>
      <c r="J9" s="26">
        <f t="shared" si="0"/>
        <v>48000</v>
      </c>
      <c r="K9" s="26">
        <f t="shared" si="0"/>
        <v>64000</v>
      </c>
      <c r="L9" s="26">
        <f t="shared" si="0"/>
        <v>64000</v>
      </c>
      <c r="M9" s="26">
        <f t="shared" si="0"/>
        <v>64000</v>
      </c>
      <c r="N9" s="26">
        <f t="shared" si="0"/>
        <v>64000</v>
      </c>
      <c r="O9" s="26">
        <f t="shared" si="0"/>
        <v>56000</v>
      </c>
      <c r="P9" s="26">
        <f t="shared" si="1"/>
        <v>584000</v>
      </c>
      <c r="Q9" s="26">
        <f t="shared" ref="Q9:Q11" si="4">P9*$Q$4</f>
        <v>-42295.68642353567</v>
      </c>
      <c r="R9" s="74">
        <f>VLOOKUP(B9,'Depreciation Rates'!C:D,2,FALSE)</f>
        <v>3.2399999999999998E-2</v>
      </c>
      <c r="S9" s="26">
        <f t="shared" ref="S9:S33" si="5">SUM(P9+Q9)*R9</f>
        <v>17551.219759877444</v>
      </c>
      <c r="U9" s="38">
        <f t="shared" ref="U9:U11" si="6">D9*$U$4</f>
        <v>37103.035176470163</v>
      </c>
      <c r="V9" s="38">
        <f t="shared" si="2"/>
        <v>37103.035176470163</v>
      </c>
      <c r="W9" s="38">
        <f t="shared" si="2"/>
        <v>29682.428141176129</v>
      </c>
      <c r="X9" s="38">
        <f t="shared" si="2"/>
        <v>29682.428141176129</v>
      </c>
      <c r="Y9" s="38">
        <f t="shared" si="2"/>
        <v>29682.428141176129</v>
      </c>
      <c r="Z9" s="38">
        <f t="shared" si="2"/>
        <v>44523.642211764192</v>
      </c>
      <c r="AA9" s="38">
        <f t="shared" si="2"/>
        <v>44523.642211764192</v>
      </c>
      <c r="AB9" s="38">
        <f t="shared" si="2"/>
        <v>59364.856282352259</v>
      </c>
      <c r="AC9" s="38">
        <f t="shared" si="2"/>
        <v>59364.856282352259</v>
      </c>
      <c r="AD9" s="38">
        <f t="shared" si="2"/>
        <v>59364.856282352259</v>
      </c>
      <c r="AE9" s="38">
        <f t="shared" si="2"/>
        <v>59364.856282352259</v>
      </c>
      <c r="AF9" s="38">
        <f t="shared" si="2"/>
        <v>51944.249247058222</v>
      </c>
      <c r="AG9" s="38">
        <f t="shared" ref="AG9:AG11" si="7">SUM(U9:AF9)</f>
        <v>541704.31357646419</v>
      </c>
      <c r="AI9" s="38">
        <f t="shared" ref="AI9:AI11" si="8">U9*$R9</f>
        <v>1202.1383397176332</v>
      </c>
      <c r="AJ9" s="38">
        <f t="shared" si="3"/>
        <v>1202.1383397176332</v>
      </c>
      <c r="AK9" s="38">
        <f t="shared" si="3"/>
        <v>961.71067177410657</v>
      </c>
      <c r="AL9" s="38">
        <f t="shared" si="3"/>
        <v>961.71067177410657</v>
      </c>
      <c r="AM9" s="38">
        <f t="shared" si="3"/>
        <v>961.71067177410657</v>
      </c>
      <c r="AN9" s="38">
        <f t="shared" si="3"/>
        <v>1442.5660076611598</v>
      </c>
      <c r="AO9" s="38">
        <f t="shared" si="3"/>
        <v>1442.5660076611598</v>
      </c>
      <c r="AP9" s="38">
        <f t="shared" si="3"/>
        <v>1923.4213435482131</v>
      </c>
      <c r="AQ9" s="38">
        <f t="shared" si="3"/>
        <v>1923.4213435482131</v>
      </c>
      <c r="AR9" s="38">
        <f t="shared" si="3"/>
        <v>1923.4213435482131</v>
      </c>
      <c r="AS9" s="38">
        <f t="shared" si="3"/>
        <v>1923.4213435482131</v>
      </c>
      <c r="AT9" s="38">
        <f t="shared" si="3"/>
        <v>1682.9936756046864</v>
      </c>
      <c r="AU9" s="38">
        <f t="shared" ref="AU9:AU11" si="9">SUM(AI9:AT9)</f>
        <v>17551.219759877444</v>
      </c>
    </row>
    <row r="10" spans="2:47" x14ac:dyDescent="0.3">
      <c r="B10" t="s">
        <v>39</v>
      </c>
      <c r="C10" s="69">
        <v>0.06</v>
      </c>
      <c r="D10" s="26">
        <f>D$7*$C10</f>
        <v>30000</v>
      </c>
      <c r="E10" s="26">
        <f t="shared" si="0"/>
        <v>30000</v>
      </c>
      <c r="F10" s="26">
        <f t="shared" si="0"/>
        <v>24000</v>
      </c>
      <c r="G10" s="26">
        <f t="shared" si="0"/>
        <v>24000</v>
      </c>
      <c r="H10" s="26">
        <f t="shared" si="0"/>
        <v>24000</v>
      </c>
      <c r="I10" s="26">
        <f t="shared" si="0"/>
        <v>36000</v>
      </c>
      <c r="J10" s="26">
        <f t="shared" si="0"/>
        <v>36000</v>
      </c>
      <c r="K10" s="26">
        <f t="shared" si="0"/>
        <v>48000</v>
      </c>
      <c r="L10" s="26">
        <f t="shared" si="0"/>
        <v>48000</v>
      </c>
      <c r="M10" s="26">
        <f t="shared" si="0"/>
        <v>48000</v>
      </c>
      <c r="N10" s="26">
        <f t="shared" si="0"/>
        <v>48000</v>
      </c>
      <c r="O10" s="26">
        <f t="shared" si="0"/>
        <v>42000</v>
      </c>
      <c r="P10" s="26">
        <f t="shared" si="1"/>
        <v>438000</v>
      </c>
      <c r="Q10" s="26">
        <f t="shared" si="4"/>
        <v>-31721.764817651754</v>
      </c>
      <c r="R10" s="74">
        <f>VLOOKUP(B10,'Depreciation Rates'!C:D,2,FALSE)</f>
        <v>3.5000000000000003E-2</v>
      </c>
      <c r="S10" s="26">
        <f t="shared" si="5"/>
        <v>14219.738231382189</v>
      </c>
      <c r="U10" s="38">
        <f t="shared" si="6"/>
        <v>27827.276382352622</v>
      </c>
      <c r="V10" s="38">
        <f t="shared" si="2"/>
        <v>27827.276382352622</v>
      </c>
      <c r="W10" s="38">
        <f t="shared" si="2"/>
        <v>22261.821105882096</v>
      </c>
      <c r="X10" s="38">
        <f t="shared" si="2"/>
        <v>22261.821105882096</v>
      </c>
      <c r="Y10" s="38">
        <f t="shared" si="2"/>
        <v>22261.821105882096</v>
      </c>
      <c r="Z10" s="38">
        <f t="shared" si="2"/>
        <v>33392.731658823148</v>
      </c>
      <c r="AA10" s="38">
        <f t="shared" si="2"/>
        <v>33392.731658823148</v>
      </c>
      <c r="AB10" s="38">
        <f t="shared" si="2"/>
        <v>44523.642211764192</v>
      </c>
      <c r="AC10" s="38">
        <f t="shared" si="2"/>
        <v>44523.642211764192</v>
      </c>
      <c r="AD10" s="38">
        <f t="shared" si="2"/>
        <v>44523.642211764192</v>
      </c>
      <c r="AE10" s="38">
        <f t="shared" si="2"/>
        <v>44523.642211764192</v>
      </c>
      <c r="AF10" s="38">
        <f t="shared" si="2"/>
        <v>38958.18693529367</v>
      </c>
      <c r="AG10" s="38">
        <f t="shared" si="7"/>
        <v>406278.23518234823</v>
      </c>
      <c r="AI10" s="38">
        <f t="shared" si="8"/>
        <v>973.95467338234187</v>
      </c>
      <c r="AJ10" s="38">
        <f t="shared" si="3"/>
        <v>973.95467338234187</v>
      </c>
      <c r="AK10" s="38">
        <f t="shared" si="3"/>
        <v>779.16373870587347</v>
      </c>
      <c r="AL10" s="38">
        <f t="shared" si="3"/>
        <v>779.16373870587347</v>
      </c>
      <c r="AM10" s="38">
        <f t="shared" si="3"/>
        <v>779.16373870587347</v>
      </c>
      <c r="AN10" s="38">
        <f t="shared" si="3"/>
        <v>1168.7456080588104</v>
      </c>
      <c r="AO10" s="38">
        <f t="shared" si="3"/>
        <v>1168.7456080588104</v>
      </c>
      <c r="AP10" s="38">
        <f t="shared" si="3"/>
        <v>1558.3274774117469</v>
      </c>
      <c r="AQ10" s="38">
        <f t="shared" si="3"/>
        <v>1558.3274774117469</v>
      </c>
      <c r="AR10" s="38">
        <f t="shared" si="3"/>
        <v>1558.3274774117469</v>
      </c>
      <c r="AS10" s="38">
        <f t="shared" si="3"/>
        <v>1558.3274774117469</v>
      </c>
      <c r="AT10" s="38">
        <f t="shared" si="3"/>
        <v>1363.5365427352785</v>
      </c>
      <c r="AU10" s="38">
        <f t="shared" si="9"/>
        <v>14219.738231382193</v>
      </c>
    </row>
    <row r="11" spans="2:47" x14ac:dyDescent="0.3">
      <c r="B11" t="s">
        <v>46</v>
      </c>
      <c r="C11" s="69">
        <v>0.06</v>
      </c>
      <c r="D11" s="26">
        <f>D$7*$C11</f>
        <v>30000</v>
      </c>
      <c r="E11" s="26">
        <f t="shared" si="0"/>
        <v>30000</v>
      </c>
      <c r="F11" s="26">
        <f t="shared" si="0"/>
        <v>24000</v>
      </c>
      <c r="G11" s="26">
        <f t="shared" si="0"/>
        <v>24000</v>
      </c>
      <c r="H11" s="26">
        <f t="shared" si="0"/>
        <v>24000</v>
      </c>
      <c r="I11" s="26">
        <f t="shared" si="0"/>
        <v>36000</v>
      </c>
      <c r="J11" s="26">
        <f t="shared" si="0"/>
        <v>36000</v>
      </c>
      <c r="K11" s="26">
        <f t="shared" si="0"/>
        <v>48000</v>
      </c>
      <c r="L11" s="26">
        <f t="shared" si="0"/>
        <v>48000</v>
      </c>
      <c r="M11" s="26">
        <f t="shared" si="0"/>
        <v>48000</v>
      </c>
      <c r="N11" s="26">
        <f t="shared" si="0"/>
        <v>48000</v>
      </c>
      <c r="O11" s="26">
        <f t="shared" si="0"/>
        <v>42000</v>
      </c>
      <c r="P11" s="26">
        <f t="shared" si="1"/>
        <v>438000</v>
      </c>
      <c r="Q11" s="26">
        <f t="shared" si="4"/>
        <v>-31721.764817651754</v>
      </c>
      <c r="R11" s="74">
        <f>VLOOKUP(B11,'Depreciation Rates'!C:D,2,FALSE)</f>
        <v>2.1500000000000002E-2</v>
      </c>
      <c r="S11" s="26">
        <f t="shared" si="5"/>
        <v>8734.9820564204874</v>
      </c>
      <c r="U11" s="38">
        <f t="shared" si="6"/>
        <v>27827.276382352622</v>
      </c>
      <c r="V11" s="38">
        <f t="shared" si="2"/>
        <v>27827.276382352622</v>
      </c>
      <c r="W11" s="38">
        <f t="shared" si="2"/>
        <v>22261.821105882096</v>
      </c>
      <c r="X11" s="38">
        <f t="shared" si="2"/>
        <v>22261.821105882096</v>
      </c>
      <c r="Y11" s="38">
        <f t="shared" si="2"/>
        <v>22261.821105882096</v>
      </c>
      <c r="Z11" s="38">
        <f t="shared" si="2"/>
        <v>33392.731658823148</v>
      </c>
      <c r="AA11" s="38">
        <f t="shared" si="2"/>
        <v>33392.731658823148</v>
      </c>
      <c r="AB11" s="38">
        <f t="shared" si="2"/>
        <v>44523.642211764192</v>
      </c>
      <c r="AC11" s="38">
        <f t="shared" si="2"/>
        <v>44523.642211764192</v>
      </c>
      <c r="AD11" s="38">
        <f t="shared" si="2"/>
        <v>44523.642211764192</v>
      </c>
      <c r="AE11" s="38">
        <f t="shared" si="2"/>
        <v>44523.642211764192</v>
      </c>
      <c r="AF11" s="38">
        <f t="shared" si="2"/>
        <v>38958.18693529367</v>
      </c>
      <c r="AG11" s="38">
        <f t="shared" si="7"/>
        <v>406278.23518234823</v>
      </c>
      <c r="AI11" s="38">
        <f t="shared" si="8"/>
        <v>598.28644222058142</v>
      </c>
      <c r="AJ11" s="38">
        <f t="shared" si="3"/>
        <v>598.28644222058142</v>
      </c>
      <c r="AK11" s="38">
        <f t="shared" si="3"/>
        <v>478.6291537764651</v>
      </c>
      <c r="AL11" s="38">
        <f t="shared" si="3"/>
        <v>478.6291537764651</v>
      </c>
      <c r="AM11" s="38">
        <f t="shared" si="3"/>
        <v>478.6291537764651</v>
      </c>
      <c r="AN11" s="38">
        <f t="shared" si="3"/>
        <v>717.94373066469768</v>
      </c>
      <c r="AO11" s="38">
        <f t="shared" si="3"/>
        <v>717.94373066469768</v>
      </c>
      <c r="AP11" s="38">
        <f t="shared" si="3"/>
        <v>957.25830755293021</v>
      </c>
      <c r="AQ11" s="38">
        <f t="shared" si="3"/>
        <v>957.25830755293021</v>
      </c>
      <c r="AR11" s="38">
        <f t="shared" si="3"/>
        <v>957.25830755293021</v>
      </c>
      <c r="AS11" s="38">
        <f t="shared" si="3"/>
        <v>957.25830755293021</v>
      </c>
      <c r="AT11" s="38">
        <f t="shared" si="3"/>
        <v>837.60101910881394</v>
      </c>
      <c r="AU11" s="38">
        <f t="shared" si="9"/>
        <v>8734.9820564204874</v>
      </c>
    </row>
    <row r="12" spans="2:47" x14ac:dyDescent="0.3">
      <c r="B12" s="45" t="s">
        <v>202</v>
      </c>
      <c r="C12" s="69"/>
      <c r="D12" s="72">
        <v>88500</v>
      </c>
      <c r="E12" s="72">
        <v>70000</v>
      </c>
      <c r="F12" s="72">
        <v>70000</v>
      </c>
      <c r="G12" s="72">
        <v>70000</v>
      </c>
      <c r="H12" s="72">
        <v>70000</v>
      </c>
      <c r="I12" s="72">
        <v>80000</v>
      </c>
      <c r="J12" s="72">
        <v>80000</v>
      </c>
      <c r="K12" s="72">
        <v>85000</v>
      </c>
      <c r="L12" s="72">
        <v>85000</v>
      </c>
      <c r="M12" s="72">
        <v>80000</v>
      </c>
      <c r="N12" s="72">
        <v>70000</v>
      </c>
      <c r="O12" s="72">
        <v>70000</v>
      </c>
      <c r="P12" s="72">
        <f t="shared" ref="P12:P30" si="10">SUM(D12:O12)</f>
        <v>918500</v>
      </c>
      <c r="Q12" s="72"/>
      <c r="R12" s="74"/>
      <c r="S12" s="26"/>
    </row>
    <row r="13" spans="2:47" x14ac:dyDescent="0.3">
      <c r="B13" t="s">
        <v>33</v>
      </c>
      <c r="C13" s="69">
        <v>1</v>
      </c>
      <c r="D13" s="26">
        <f>D$12*$C13</f>
        <v>88500</v>
      </c>
      <c r="E13" s="26">
        <f t="shared" ref="E13:O13" si="11">E$12*$C13</f>
        <v>70000</v>
      </c>
      <c r="F13" s="26">
        <f t="shared" si="11"/>
        <v>70000</v>
      </c>
      <c r="G13" s="26">
        <f t="shared" si="11"/>
        <v>70000</v>
      </c>
      <c r="H13" s="26">
        <f t="shared" si="11"/>
        <v>70000</v>
      </c>
      <c r="I13" s="26">
        <f t="shared" si="11"/>
        <v>80000</v>
      </c>
      <c r="J13" s="26">
        <f t="shared" si="11"/>
        <v>80000</v>
      </c>
      <c r="K13" s="26">
        <f t="shared" si="11"/>
        <v>85000</v>
      </c>
      <c r="L13" s="26">
        <f t="shared" si="11"/>
        <v>85000</v>
      </c>
      <c r="M13" s="26">
        <f t="shared" si="11"/>
        <v>80000</v>
      </c>
      <c r="N13" s="26">
        <f t="shared" si="11"/>
        <v>70000</v>
      </c>
      <c r="O13" s="26">
        <f t="shared" si="11"/>
        <v>70000</v>
      </c>
      <c r="P13" s="26">
        <f t="shared" si="1"/>
        <v>918500</v>
      </c>
      <c r="Q13" s="26">
        <f>P13*$Q$4</f>
        <v>-66521.554760303959</v>
      </c>
      <c r="R13" s="74">
        <f>VLOOKUP(B13,'Depreciation Rates'!C:D,2,FALSE)</f>
        <v>1.5300000000000001E-2</v>
      </c>
      <c r="S13" s="26">
        <f t="shared" si="5"/>
        <v>13035.27021216735</v>
      </c>
      <c r="U13" s="38">
        <f t="shared" ref="U13" si="12">D13*$U$4</f>
        <v>82090.465327940226</v>
      </c>
      <c r="V13" s="38">
        <f t="shared" ref="V13" si="13">E13*$U$4</f>
        <v>64930.311558822781</v>
      </c>
      <c r="W13" s="38">
        <f t="shared" ref="W13" si="14">F13*$U$4</f>
        <v>64930.311558822781</v>
      </c>
      <c r="X13" s="38">
        <f t="shared" ref="X13" si="15">G13*$U$4</f>
        <v>64930.311558822781</v>
      </c>
      <c r="Y13" s="38">
        <f t="shared" ref="Y13" si="16">H13*$U$4</f>
        <v>64930.311558822781</v>
      </c>
      <c r="Z13" s="38">
        <f t="shared" ref="Z13" si="17">I13*$U$4</f>
        <v>74206.070352940325</v>
      </c>
      <c r="AA13" s="38">
        <f t="shared" ref="AA13" si="18">J13*$U$4</f>
        <v>74206.070352940325</v>
      </c>
      <c r="AB13" s="38">
        <f t="shared" ref="AB13" si="19">K13*$U$4</f>
        <v>78843.949749999098</v>
      </c>
      <c r="AC13" s="38">
        <f t="shared" ref="AC13" si="20">L13*$U$4</f>
        <v>78843.949749999098</v>
      </c>
      <c r="AD13" s="38">
        <f t="shared" ref="AD13" si="21">M13*$U$4</f>
        <v>74206.070352940325</v>
      </c>
      <c r="AE13" s="38">
        <f t="shared" ref="AE13" si="22">N13*$U$4</f>
        <v>64930.311558822781</v>
      </c>
      <c r="AF13" s="38">
        <f t="shared" ref="AF13" si="23">O13*$U$4</f>
        <v>64930.311558822781</v>
      </c>
      <c r="AG13" s="38">
        <f t="shared" ref="AG13" si="24">SUM(U13:AF13)</f>
        <v>851978.44523969607</v>
      </c>
      <c r="AI13" s="38">
        <f t="shared" ref="AI13" si="25">U13*$R13</f>
        <v>1255.9841195174856</v>
      </c>
      <c r="AJ13" s="38">
        <f t="shared" ref="AJ13" si="26">V13*$R13</f>
        <v>993.43376684998861</v>
      </c>
      <c r="AK13" s="38">
        <f t="shared" ref="AK13" si="27">W13*$R13</f>
        <v>993.43376684998861</v>
      </c>
      <c r="AL13" s="38">
        <f t="shared" ref="AL13" si="28">X13*$R13</f>
        <v>993.43376684998861</v>
      </c>
      <c r="AM13" s="38">
        <f t="shared" ref="AM13" si="29">Y13*$R13</f>
        <v>993.43376684998861</v>
      </c>
      <c r="AN13" s="38">
        <f t="shared" ref="AN13" si="30">Z13*$R13</f>
        <v>1135.3528763999871</v>
      </c>
      <c r="AO13" s="38">
        <f t="shared" ref="AO13" si="31">AA13*$R13</f>
        <v>1135.3528763999871</v>
      </c>
      <c r="AP13" s="38">
        <f t="shared" ref="AP13" si="32">AB13*$R13</f>
        <v>1206.3124311749864</v>
      </c>
      <c r="AQ13" s="38">
        <f t="shared" ref="AQ13" si="33">AC13*$R13</f>
        <v>1206.3124311749864</v>
      </c>
      <c r="AR13" s="38">
        <f t="shared" ref="AR13" si="34">AD13*$R13</f>
        <v>1135.3528763999871</v>
      </c>
      <c r="AS13" s="38">
        <f t="shared" ref="AS13" si="35">AE13*$R13</f>
        <v>993.43376684998861</v>
      </c>
      <c r="AT13" s="38">
        <f t="shared" ref="AT13" si="36">AF13*$R13</f>
        <v>993.43376684998861</v>
      </c>
      <c r="AU13" s="38">
        <f t="shared" ref="AU13" si="37">SUM(AI13:AT13)</f>
        <v>13035.270212167352</v>
      </c>
    </row>
    <row r="14" spans="2:47" x14ac:dyDescent="0.3">
      <c r="B14" s="45" t="s">
        <v>203</v>
      </c>
      <c r="C14" s="69"/>
      <c r="D14" s="72">
        <v>30000</v>
      </c>
      <c r="E14" s="72">
        <v>30000</v>
      </c>
      <c r="F14" s="72">
        <v>38000</v>
      </c>
      <c r="G14" s="72">
        <v>42000</v>
      </c>
      <c r="H14" s="72">
        <v>42000</v>
      </c>
      <c r="I14" s="72">
        <v>42000</v>
      </c>
      <c r="J14" s="72">
        <v>42000</v>
      </c>
      <c r="K14" s="72">
        <v>42000</v>
      </c>
      <c r="L14" s="72">
        <v>42000</v>
      </c>
      <c r="M14" s="72">
        <v>42000</v>
      </c>
      <c r="N14" s="72">
        <v>42000</v>
      </c>
      <c r="O14" s="72">
        <v>42000</v>
      </c>
      <c r="P14" s="72">
        <f t="shared" si="10"/>
        <v>476000</v>
      </c>
      <c r="Q14" s="72"/>
      <c r="R14" s="74"/>
      <c r="S14" s="26"/>
    </row>
    <row r="15" spans="2:47" x14ac:dyDescent="0.3">
      <c r="B15" t="s">
        <v>33</v>
      </c>
      <c r="C15" s="69">
        <v>0.9</v>
      </c>
      <c r="D15" s="26">
        <f>D$14*$C15</f>
        <v>27000</v>
      </c>
      <c r="E15" s="26">
        <f t="shared" ref="E15:O16" si="38">E$14*$C15</f>
        <v>27000</v>
      </c>
      <c r="F15" s="26">
        <f t="shared" si="38"/>
        <v>34200</v>
      </c>
      <c r="G15" s="26">
        <f t="shared" si="38"/>
        <v>37800</v>
      </c>
      <c r="H15" s="26">
        <f t="shared" si="38"/>
        <v>37800</v>
      </c>
      <c r="I15" s="26">
        <f t="shared" si="38"/>
        <v>37800</v>
      </c>
      <c r="J15" s="26">
        <f t="shared" si="38"/>
        <v>37800</v>
      </c>
      <c r="K15" s="26">
        <f t="shared" si="38"/>
        <v>37800</v>
      </c>
      <c r="L15" s="26">
        <f t="shared" si="38"/>
        <v>37800</v>
      </c>
      <c r="M15" s="26">
        <f t="shared" si="38"/>
        <v>37800</v>
      </c>
      <c r="N15" s="26">
        <f t="shared" si="38"/>
        <v>37800</v>
      </c>
      <c r="O15" s="26">
        <f t="shared" si="38"/>
        <v>37800</v>
      </c>
      <c r="P15" s="26">
        <f t="shared" si="1"/>
        <v>428400</v>
      </c>
      <c r="Q15" s="26">
        <f t="shared" ref="Q15:Q16" si="39">P15*$Q$4</f>
        <v>-31026.493260004594</v>
      </c>
      <c r="R15" s="74">
        <f>VLOOKUP(B15,'Depreciation Rates'!C:D,2,FALSE)</f>
        <v>1.5300000000000001E-2</v>
      </c>
      <c r="S15" s="26">
        <f t="shared" si="5"/>
        <v>6079.81465312193</v>
      </c>
      <c r="U15" s="38">
        <f t="shared" ref="U15:U16" si="40">D15*$U$4</f>
        <v>25044.548744117357</v>
      </c>
      <c r="V15" s="38">
        <f t="shared" ref="V15:V16" si="41">E15*$U$4</f>
        <v>25044.548744117357</v>
      </c>
      <c r="W15" s="38">
        <f t="shared" ref="W15:W16" si="42">F15*$U$4</f>
        <v>31723.095075881985</v>
      </c>
      <c r="X15" s="38">
        <f t="shared" ref="X15:X16" si="43">G15*$U$4</f>
        <v>35062.368241764299</v>
      </c>
      <c r="Y15" s="38">
        <f t="shared" ref="Y15:Y16" si="44">H15*$U$4</f>
        <v>35062.368241764299</v>
      </c>
      <c r="Z15" s="38">
        <f t="shared" ref="Z15:Z16" si="45">I15*$U$4</f>
        <v>35062.368241764299</v>
      </c>
      <c r="AA15" s="38">
        <f t="shared" ref="AA15:AA16" si="46">J15*$U$4</f>
        <v>35062.368241764299</v>
      </c>
      <c r="AB15" s="38">
        <f t="shared" ref="AB15:AB16" si="47">K15*$U$4</f>
        <v>35062.368241764299</v>
      </c>
      <c r="AC15" s="38">
        <f t="shared" ref="AC15:AC16" si="48">L15*$U$4</f>
        <v>35062.368241764299</v>
      </c>
      <c r="AD15" s="38">
        <f t="shared" ref="AD15:AD16" si="49">M15*$U$4</f>
        <v>35062.368241764299</v>
      </c>
      <c r="AE15" s="38">
        <f t="shared" ref="AE15:AE16" si="50">N15*$U$4</f>
        <v>35062.368241764299</v>
      </c>
      <c r="AF15" s="38">
        <f t="shared" ref="AF15:AF16" si="51">O15*$U$4</f>
        <v>35062.368241764299</v>
      </c>
      <c r="AG15" s="38">
        <f t="shared" ref="AG15:AG16" si="52">SUM(U15:AF15)</f>
        <v>397373.5067399955</v>
      </c>
      <c r="AI15" s="38">
        <f t="shared" ref="AI15:AI16" si="53">U15*$R15</f>
        <v>383.18159578499558</v>
      </c>
      <c r="AJ15" s="38">
        <f t="shared" ref="AJ15:AJ16" si="54">V15*$R15</f>
        <v>383.18159578499558</v>
      </c>
      <c r="AK15" s="38">
        <f t="shared" ref="AK15:AK16" si="55">W15*$R15</f>
        <v>485.36335466099439</v>
      </c>
      <c r="AL15" s="38">
        <f t="shared" ref="AL15:AL16" si="56">X15*$R15</f>
        <v>536.45423409899377</v>
      </c>
      <c r="AM15" s="38">
        <f t="shared" ref="AM15:AM16" si="57">Y15*$R15</f>
        <v>536.45423409899377</v>
      </c>
      <c r="AN15" s="38">
        <f t="shared" ref="AN15:AN16" si="58">Z15*$R15</f>
        <v>536.45423409899377</v>
      </c>
      <c r="AO15" s="38">
        <f t="shared" ref="AO15:AO16" si="59">AA15*$R15</f>
        <v>536.45423409899377</v>
      </c>
      <c r="AP15" s="38">
        <f t="shared" ref="AP15:AP16" si="60">AB15*$R15</f>
        <v>536.45423409899377</v>
      </c>
      <c r="AQ15" s="38">
        <f t="shared" ref="AQ15:AQ16" si="61">AC15*$R15</f>
        <v>536.45423409899377</v>
      </c>
      <c r="AR15" s="38">
        <f t="shared" ref="AR15:AR16" si="62">AD15*$R15</f>
        <v>536.45423409899377</v>
      </c>
      <c r="AS15" s="38">
        <f t="shared" ref="AS15:AS16" si="63">AE15*$R15</f>
        <v>536.45423409899377</v>
      </c>
      <c r="AT15" s="38">
        <f t="shared" ref="AT15:AT16" si="64">AF15*$R15</f>
        <v>536.45423409899377</v>
      </c>
      <c r="AU15" s="38">
        <f t="shared" ref="AU15:AU16" si="65">SUM(AI15:AT15)</f>
        <v>6079.81465312193</v>
      </c>
    </row>
    <row r="16" spans="2:47" x14ac:dyDescent="0.3">
      <c r="B16" t="s">
        <v>46</v>
      </c>
      <c r="C16" s="69">
        <v>0.1</v>
      </c>
      <c r="D16" s="26">
        <f>D$14*$C16</f>
        <v>3000</v>
      </c>
      <c r="E16" s="26">
        <f t="shared" si="38"/>
        <v>3000</v>
      </c>
      <c r="F16" s="26">
        <f t="shared" si="38"/>
        <v>3800</v>
      </c>
      <c r="G16" s="26">
        <f t="shared" si="38"/>
        <v>4200</v>
      </c>
      <c r="H16" s="26">
        <f t="shared" si="38"/>
        <v>4200</v>
      </c>
      <c r="I16" s="26">
        <f t="shared" si="38"/>
        <v>4200</v>
      </c>
      <c r="J16" s="26">
        <f t="shared" si="38"/>
        <v>4200</v>
      </c>
      <c r="K16" s="26">
        <f t="shared" si="38"/>
        <v>4200</v>
      </c>
      <c r="L16" s="26">
        <f t="shared" si="38"/>
        <v>4200</v>
      </c>
      <c r="M16" s="26">
        <f t="shared" si="38"/>
        <v>4200</v>
      </c>
      <c r="N16" s="26">
        <f t="shared" si="38"/>
        <v>4200</v>
      </c>
      <c r="O16" s="26">
        <f t="shared" si="38"/>
        <v>4200</v>
      </c>
      <c r="P16" s="26">
        <f t="shared" si="1"/>
        <v>47600</v>
      </c>
      <c r="Q16" s="26">
        <f t="shared" si="39"/>
        <v>-3447.3881400005102</v>
      </c>
      <c r="R16" s="74">
        <f>VLOOKUP(B16,'Depreciation Rates'!C:D,2,FALSE)</f>
        <v>2.1500000000000002E-2</v>
      </c>
      <c r="S16" s="26">
        <f t="shared" si="5"/>
        <v>949.28115498998909</v>
      </c>
      <c r="U16" s="38">
        <f t="shared" si="40"/>
        <v>2782.727638235262</v>
      </c>
      <c r="V16" s="38">
        <f t="shared" si="41"/>
        <v>2782.727638235262</v>
      </c>
      <c r="W16" s="38">
        <f t="shared" si="42"/>
        <v>3524.7883417646653</v>
      </c>
      <c r="X16" s="38">
        <f t="shared" si="43"/>
        <v>3895.818693529367</v>
      </c>
      <c r="Y16" s="38">
        <f t="shared" si="44"/>
        <v>3895.818693529367</v>
      </c>
      <c r="Z16" s="38">
        <f t="shared" si="45"/>
        <v>3895.818693529367</v>
      </c>
      <c r="AA16" s="38">
        <f t="shared" si="46"/>
        <v>3895.818693529367</v>
      </c>
      <c r="AB16" s="38">
        <f t="shared" si="47"/>
        <v>3895.818693529367</v>
      </c>
      <c r="AC16" s="38">
        <f t="shared" si="48"/>
        <v>3895.818693529367</v>
      </c>
      <c r="AD16" s="38">
        <f t="shared" si="49"/>
        <v>3895.818693529367</v>
      </c>
      <c r="AE16" s="38">
        <f t="shared" si="50"/>
        <v>3895.818693529367</v>
      </c>
      <c r="AF16" s="38">
        <f t="shared" si="51"/>
        <v>3895.818693529367</v>
      </c>
      <c r="AG16" s="38">
        <f t="shared" si="52"/>
        <v>44152.611859999481</v>
      </c>
      <c r="AI16" s="38">
        <f t="shared" si="53"/>
        <v>59.828644222058138</v>
      </c>
      <c r="AJ16" s="38">
        <f t="shared" si="54"/>
        <v>59.828644222058138</v>
      </c>
      <c r="AK16" s="38">
        <f t="shared" si="55"/>
        <v>75.782949347940317</v>
      </c>
      <c r="AL16" s="38">
        <f t="shared" si="56"/>
        <v>83.760101910881403</v>
      </c>
      <c r="AM16" s="38">
        <f t="shared" si="57"/>
        <v>83.760101910881403</v>
      </c>
      <c r="AN16" s="38">
        <f t="shared" si="58"/>
        <v>83.760101910881403</v>
      </c>
      <c r="AO16" s="38">
        <f t="shared" si="59"/>
        <v>83.760101910881403</v>
      </c>
      <c r="AP16" s="38">
        <f t="shared" si="60"/>
        <v>83.760101910881403</v>
      </c>
      <c r="AQ16" s="38">
        <f t="shared" si="61"/>
        <v>83.760101910881403</v>
      </c>
      <c r="AR16" s="38">
        <f t="shared" si="62"/>
        <v>83.760101910881403</v>
      </c>
      <c r="AS16" s="38">
        <f t="shared" si="63"/>
        <v>83.760101910881403</v>
      </c>
      <c r="AT16" s="38">
        <f t="shared" si="64"/>
        <v>83.760101910881403</v>
      </c>
      <c r="AU16" s="38">
        <f t="shared" si="65"/>
        <v>949.28115498998932</v>
      </c>
    </row>
    <row r="17" spans="2:47" x14ac:dyDescent="0.3">
      <c r="B17" s="45" t="s">
        <v>204</v>
      </c>
      <c r="C17" s="69"/>
      <c r="D17" s="72">
        <v>57500</v>
      </c>
      <c r="E17" s="72">
        <v>38000</v>
      </c>
      <c r="F17" s="72">
        <v>42000</v>
      </c>
      <c r="G17" s="72">
        <v>42000</v>
      </c>
      <c r="H17" s="72">
        <v>42000</v>
      </c>
      <c r="I17" s="72">
        <v>42000</v>
      </c>
      <c r="J17" s="72">
        <v>42000</v>
      </c>
      <c r="K17" s="72">
        <v>42000</v>
      </c>
      <c r="L17" s="72">
        <v>42000</v>
      </c>
      <c r="M17" s="72">
        <v>42000</v>
      </c>
      <c r="N17" s="72">
        <v>42000</v>
      </c>
      <c r="O17" s="72">
        <v>42000</v>
      </c>
      <c r="P17" s="72">
        <f t="shared" si="10"/>
        <v>515500</v>
      </c>
      <c r="Q17" s="72"/>
      <c r="R17" s="74"/>
      <c r="S17" s="26"/>
    </row>
    <row r="18" spans="2:47" x14ac:dyDescent="0.3">
      <c r="B18" t="s">
        <v>46</v>
      </c>
      <c r="C18" s="69">
        <v>0.35</v>
      </c>
      <c r="D18" s="26">
        <f>D$17*$C18</f>
        <v>20125</v>
      </c>
      <c r="E18" s="26">
        <f t="shared" ref="E18:O19" si="66">E$17*$C18</f>
        <v>13300</v>
      </c>
      <c r="F18" s="26">
        <f t="shared" si="66"/>
        <v>14699.999999999998</v>
      </c>
      <c r="G18" s="26">
        <f t="shared" si="66"/>
        <v>14699.999999999998</v>
      </c>
      <c r="H18" s="26">
        <f t="shared" si="66"/>
        <v>14699.999999999998</v>
      </c>
      <c r="I18" s="26">
        <f t="shared" si="66"/>
        <v>14699.999999999998</v>
      </c>
      <c r="J18" s="26">
        <f t="shared" si="66"/>
        <v>14699.999999999998</v>
      </c>
      <c r="K18" s="26">
        <f t="shared" si="66"/>
        <v>14699.999999999998</v>
      </c>
      <c r="L18" s="26">
        <f t="shared" si="66"/>
        <v>14699.999999999998</v>
      </c>
      <c r="M18" s="26">
        <f t="shared" si="66"/>
        <v>14699.999999999998</v>
      </c>
      <c r="N18" s="26">
        <f t="shared" si="66"/>
        <v>14699.999999999998</v>
      </c>
      <c r="O18" s="26">
        <f t="shared" si="66"/>
        <v>14699.999999999998</v>
      </c>
      <c r="P18" s="26">
        <f t="shared" si="1"/>
        <v>180425</v>
      </c>
      <c r="Q18" s="26">
        <f t="shared" ref="Q18:Q19" si="67">P18*$Q$4</f>
        <v>-13067.121957134288</v>
      </c>
      <c r="R18" s="74">
        <f>VLOOKUP(B18,'Depreciation Rates'!C:D,2,FALSE)</f>
        <v>2.1500000000000002E-2</v>
      </c>
      <c r="S18" s="26">
        <f t="shared" si="5"/>
        <v>3598.1943779216131</v>
      </c>
      <c r="U18" s="38">
        <f t="shared" ref="U18:U19" si="68">D18*$U$4</f>
        <v>18667.464573161549</v>
      </c>
      <c r="V18" s="38">
        <f t="shared" ref="V18:V19" si="69">E18*$U$4</f>
        <v>12336.759196176328</v>
      </c>
      <c r="W18" s="38">
        <f t="shared" ref="W18:W19" si="70">F18*$U$4</f>
        <v>13635.365427352783</v>
      </c>
      <c r="X18" s="38">
        <f t="shared" ref="X18:X19" si="71">G18*$U$4</f>
        <v>13635.365427352783</v>
      </c>
      <c r="Y18" s="38">
        <f t="shared" ref="Y18:Y19" si="72">H18*$U$4</f>
        <v>13635.365427352783</v>
      </c>
      <c r="Z18" s="38">
        <f t="shared" ref="Z18:Z19" si="73">I18*$U$4</f>
        <v>13635.365427352783</v>
      </c>
      <c r="AA18" s="38">
        <f t="shared" ref="AA18:AA19" si="74">J18*$U$4</f>
        <v>13635.365427352783</v>
      </c>
      <c r="AB18" s="38">
        <f t="shared" ref="AB18:AB19" si="75">K18*$U$4</f>
        <v>13635.365427352783</v>
      </c>
      <c r="AC18" s="38">
        <f t="shared" ref="AC18:AC19" si="76">L18*$U$4</f>
        <v>13635.365427352783</v>
      </c>
      <c r="AD18" s="38">
        <f t="shared" ref="AD18:AD19" si="77">M18*$U$4</f>
        <v>13635.365427352783</v>
      </c>
      <c r="AE18" s="38">
        <f t="shared" ref="AE18:AE19" si="78">N18*$U$4</f>
        <v>13635.365427352783</v>
      </c>
      <c r="AF18" s="38">
        <f t="shared" ref="AF18:AF19" si="79">O18*$U$4</f>
        <v>13635.365427352783</v>
      </c>
      <c r="AG18" s="38">
        <f t="shared" ref="AG18:AG19" si="80">SUM(U18:AF18)</f>
        <v>167357.87804286569</v>
      </c>
      <c r="AI18" s="38">
        <f t="shared" ref="AI18:AI19" si="81">U18*$R18</f>
        <v>401.35048832297332</v>
      </c>
      <c r="AJ18" s="38">
        <f t="shared" ref="AJ18:AJ19" si="82">V18*$R18</f>
        <v>265.24032271779106</v>
      </c>
      <c r="AK18" s="38">
        <f t="shared" ref="AK18:AK19" si="83">W18*$R18</f>
        <v>293.16035668808485</v>
      </c>
      <c r="AL18" s="38">
        <f t="shared" ref="AL18:AL19" si="84">X18*$R18</f>
        <v>293.16035668808485</v>
      </c>
      <c r="AM18" s="38">
        <f t="shared" ref="AM18:AM19" si="85">Y18*$R18</f>
        <v>293.16035668808485</v>
      </c>
      <c r="AN18" s="38">
        <f t="shared" ref="AN18:AN19" si="86">Z18*$R18</f>
        <v>293.16035668808485</v>
      </c>
      <c r="AO18" s="38">
        <f t="shared" ref="AO18:AO19" si="87">AA18*$R18</f>
        <v>293.16035668808485</v>
      </c>
      <c r="AP18" s="38">
        <f t="shared" ref="AP18:AP19" si="88">AB18*$R18</f>
        <v>293.16035668808485</v>
      </c>
      <c r="AQ18" s="38">
        <f t="shared" ref="AQ18:AQ19" si="89">AC18*$R18</f>
        <v>293.16035668808485</v>
      </c>
      <c r="AR18" s="38">
        <f t="shared" ref="AR18:AR19" si="90">AD18*$R18</f>
        <v>293.16035668808485</v>
      </c>
      <c r="AS18" s="38">
        <f t="shared" ref="AS18:AS19" si="91">AE18*$R18</f>
        <v>293.16035668808485</v>
      </c>
      <c r="AT18" s="38">
        <f t="shared" ref="AT18:AT19" si="92">AF18*$R18</f>
        <v>293.16035668808485</v>
      </c>
      <c r="AU18" s="38">
        <f t="shared" ref="AU18:AU19" si="93">SUM(AI18:AT18)</f>
        <v>3598.1943779216131</v>
      </c>
    </row>
    <row r="19" spans="2:47" x14ac:dyDescent="0.3">
      <c r="B19" t="s">
        <v>33</v>
      </c>
      <c r="C19" s="69">
        <v>0.65</v>
      </c>
      <c r="D19" s="26">
        <f>D$17*$C19</f>
        <v>37375</v>
      </c>
      <c r="E19" s="26">
        <f t="shared" si="66"/>
        <v>24700</v>
      </c>
      <c r="F19" s="26">
        <f t="shared" si="66"/>
        <v>27300</v>
      </c>
      <c r="G19" s="26">
        <f t="shared" si="66"/>
        <v>27300</v>
      </c>
      <c r="H19" s="26">
        <f t="shared" si="66"/>
        <v>27300</v>
      </c>
      <c r="I19" s="26">
        <f t="shared" si="66"/>
        <v>27300</v>
      </c>
      <c r="J19" s="26">
        <f t="shared" si="66"/>
        <v>27300</v>
      </c>
      <c r="K19" s="26">
        <f t="shared" si="66"/>
        <v>27300</v>
      </c>
      <c r="L19" s="26">
        <f t="shared" si="66"/>
        <v>27300</v>
      </c>
      <c r="M19" s="26">
        <f t="shared" si="66"/>
        <v>27300</v>
      </c>
      <c r="N19" s="26">
        <f t="shared" si="66"/>
        <v>27300</v>
      </c>
      <c r="O19" s="26">
        <f t="shared" si="66"/>
        <v>27300</v>
      </c>
      <c r="P19" s="26">
        <f t="shared" si="1"/>
        <v>335075</v>
      </c>
      <c r="Q19" s="26">
        <f t="shared" si="67"/>
        <v>-24267.512206106534</v>
      </c>
      <c r="R19" s="74">
        <f>VLOOKUP(B19,'Depreciation Rates'!C:D,2,FALSE)</f>
        <v>1.5300000000000001E-2</v>
      </c>
      <c r="S19" s="26">
        <f t="shared" si="5"/>
        <v>4755.3545632465703</v>
      </c>
      <c r="U19" s="38">
        <f t="shared" si="68"/>
        <v>34668.148493014305</v>
      </c>
      <c r="V19" s="38">
        <f t="shared" si="69"/>
        <v>22911.124221470323</v>
      </c>
      <c r="W19" s="38">
        <f t="shared" si="70"/>
        <v>25322.821507940884</v>
      </c>
      <c r="X19" s="38">
        <f t="shared" si="71"/>
        <v>25322.821507940884</v>
      </c>
      <c r="Y19" s="38">
        <f t="shared" si="72"/>
        <v>25322.821507940884</v>
      </c>
      <c r="Z19" s="38">
        <f t="shared" si="73"/>
        <v>25322.821507940884</v>
      </c>
      <c r="AA19" s="38">
        <f t="shared" si="74"/>
        <v>25322.821507940884</v>
      </c>
      <c r="AB19" s="38">
        <f t="shared" si="75"/>
        <v>25322.821507940884</v>
      </c>
      <c r="AC19" s="38">
        <f t="shared" si="76"/>
        <v>25322.821507940884</v>
      </c>
      <c r="AD19" s="38">
        <f t="shared" si="77"/>
        <v>25322.821507940884</v>
      </c>
      <c r="AE19" s="38">
        <f t="shared" si="78"/>
        <v>25322.821507940884</v>
      </c>
      <c r="AF19" s="38">
        <f t="shared" si="79"/>
        <v>25322.821507940884</v>
      </c>
      <c r="AG19" s="38">
        <f t="shared" si="80"/>
        <v>310807.48779389344</v>
      </c>
      <c r="AI19" s="38">
        <f t="shared" si="81"/>
        <v>530.42267194311887</v>
      </c>
      <c r="AJ19" s="38">
        <f t="shared" si="82"/>
        <v>350.54020058849596</v>
      </c>
      <c r="AK19" s="38">
        <f t="shared" si="83"/>
        <v>387.43916907149554</v>
      </c>
      <c r="AL19" s="38">
        <f t="shared" si="84"/>
        <v>387.43916907149554</v>
      </c>
      <c r="AM19" s="38">
        <f t="shared" si="85"/>
        <v>387.43916907149554</v>
      </c>
      <c r="AN19" s="38">
        <f t="shared" si="86"/>
        <v>387.43916907149554</v>
      </c>
      <c r="AO19" s="38">
        <f t="shared" si="87"/>
        <v>387.43916907149554</v>
      </c>
      <c r="AP19" s="38">
        <f t="shared" si="88"/>
        <v>387.43916907149554</v>
      </c>
      <c r="AQ19" s="38">
        <f t="shared" si="89"/>
        <v>387.43916907149554</v>
      </c>
      <c r="AR19" s="38">
        <f t="shared" si="90"/>
        <v>387.43916907149554</v>
      </c>
      <c r="AS19" s="38">
        <f t="shared" si="91"/>
        <v>387.43916907149554</v>
      </c>
      <c r="AT19" s="38">
        <f t="shared" si="92"/>
        <v>387.43916907149554</v>
      </c>
      <c r="AU19" s="38">
        <f t="shared" si="93"/>
        <v>4755.3545632465703</v>
      </c>
    </row>
    <row r="20" spans="2:47" x14ac:dyDescent="0.3">
      <c r="B20" s="45" t="s">
        <v>205</v>
      </c>
      <c r="C20" s="69"/>
      <c r="D20" s="72">
        <v>69000</v>
      </c>
      <c r="E20" s="72">
        <v>40000</v>
      </c>
      <c r="F20" s="72">
        <v>45000</v>
      </c>
      <c r="G20" s="72">
        <v>45000</v>
      </c>
      <c r="H20" s="72">
        <v>45000</v>
      </c>
      <c r="I20" s="72">
        <v>45000</v>
      </c>
      <c r="J20" s="72">
        <v>45000</v>
      </c>
      <c r="K20" s="72">
        <v>45000</v>
      </c>
      <c r="L20" s="72">
        <v>45000</v>
      </c>
      <c r="M20" s="72">
        <v>45000</v>
      </c>
      <c r="N20" s="72">
        <v>45000</v>
      </c>
      <c r="O20" s="72">
        <v>45000</v>
      </c>
      <c r="P20" s="72">
        <f t="shared" si="10"/>
        <v>559000</v>
      </c>
      <c r="Q20" s="72"/>
      <c r="R20" s="74"/>
      <c r="S20" s="26"/>
    </row>
    <row r="21" spans="2:47" x14ac:dyDescent="0.3">
      <c r="B21" t="s">
        <v>38</v>
      </c>
      <c r="C21" s="69">
        <v>1</v>
      </c>
      <c r="D21" s="26">
        <f>D$20*$C21</f>
        <v>69000</v>
      </c>
      <c r="E21" s="26">
        <f t="shared" ref="E21:O21" si="94">E$20*$C21</f>
        <v>40000</v>
      </c>
      <c r="F21" s="26">
        <f t="shared" si="94"/>
        <v>45000</v>
      </c>
      <c r="G21" s="26">
        <f t="shared" si="94"/>
        <v>45000</v>
      </c>
      <c r="H21" s="26">
        <f t="shared" si="94"/>
        <v>45000</v>
      </c>
      <c r="I21" s="26">
        <f t="shared" si="94"/>
        <v>45000</v>
      </c>
      <c r="J21" s="26">
        <f t="shared" si="94"/>
        <v>45000</v>
      </c>
      <c r="K21" s="26">
        <f t="shared" si="94"/>
        <v>45000</v>
      </c>
      <c r="L21" s="26">
        <f t="shared" si="94"/>
        <v>45000</v>
      </c>
      <c r="M21" s="26">
        <f t="shared" si="94"/>
        <v>45000</v>
      </c>
      <c r="N21" s="26">
        <f t="shared" si="94"/>
        <v>45000</v>
      </c>
      <c r="O21" s="26">
        <f t="shared" si="94"/>
        <v>45000</v>
      </c>
      <c r="P21" s="26">
        <f t="shared" si="1"/>
        <v>559000</v>
      </c>
      <c r="Q21" s="26">
        <f>P21*$Q$4</f>
        <v>-40485.083408829523</v>
      </c>
      <c r="R21" s="74">
        <f>VLOOKUP(B21,'Depreciation Rates'!C:D,2,FALSE)</f>
        <v>3.2399999999999998E-2</v>
      </c>
      <c r="S21" s="26">
        <f t="shared" si="5"/>
        <v>16799.883297553923</v>
      </c>
      <c r="U21" s="38">
        <f t="shared" ref="U21" si="95">D21*$U$4</f>
        <v>64002.735679411024</v>
      </c>
      <c r="V21" s="38">
        <f t="shared" ref="V21" si="96">E21*$U$4</f>
        <v>37103.035176470163</v>
      </c>
      <c r="W21" s="38">
        <f t="shared" ref="W21" si="97">F21*$U$4</f>
        <v>41740.914573528928</v>
      </c>
      <c r="X21" s="38">
        <f t="shared" ref="X21" si="98">G21*$U$4</f>
        <v>41740.914573528928</v>
      </c>
      <c r="Y21" s="38">
        <f t="shared" ref="Y21" si="99">H21*$U$4</f>
        <v>41740.914573528928</v>
      </c>
      <c r="Z21" s="38">
        <f t="shared" ref="Z21" si="100">I21*$U$4</f>
        <v>41740.914573528928</v>
      </c>
      <c r="AA21" s="38">
        <f t="shared" ref="AA21" si="101">J21*$U$4</f>
        <v>41740.914573528928</v>
      </c>
      <c r="AB21" s="38">
        <f t="shared" ref="AB21" si="102">K21*$U$4</f>
        <v>41740.914573528928</v>
      </c>
      <c r="AC21" s="38">
        <f t="shared" ref="AC21" si="103">L21*$U$4</f>
        <v>41740.914573528928</v>
      </c>
      <c r="AD21" s="38">
        <f t="shared" ref="AD21" si="104">M21*$U$4</f>
        <v>41740.914573528928</v>
      </c>
      <c r="AE21" s="38">
        <f t="shared" ref="AE21" si="105">N21*$U$4</f>
        <v>41740.914573528928</v>
      </c>
      <c r="AF21" s="38">
        <f t="shared" ref="AF21" si="106">O21*$U$4</f>
        <v>41740.914573528928</v>
      </c>
      <c r="AG21" s="38">
        <f t="shared" ref="AG21" si="107">SUM(U21:AF21)</f>
        <v>518514.91659117042</v>
      </c>
      <c r="AI21" s="38">
        <f t="shared" ref="AI21" si="108">U21*$R21</f>
        <v>2073.688636012917</v>
      </c>
      <c r="AJ21" s="38">
        <f t="shared" ref="AJ21" si="109">V21*$R21</f>
        <v>1202.1383397176332</v>
      </c>
      <c r="AK21" s="38">
        <f t="shared" ref="AK21" si="110">W21*$R21</f>
        <v>1352.4056321823373</v>
      </c>
      <c r="AL21" s="38">
        <f t="shared" ref="AL21" si="111">X21*$R21</f>
        <v>1352.4056321823373</v>
      </c>
      <c r="AM21" s="38">
        <f t="shared" ref="AM21" si="112">Y21*$R21</f>
        <v>1352.4056321823373</v>
      </c>
      <c r="AN21" s="38">
        <f t="shared" ref="AN21" si="113">Z21*$R21</f>
        <v>1352.4056321823373</v>
      </c>
      <c r="AO21" s="38">
        <f t="shared" ref="AO21" si="114">AA21*$R21</f>
        <v>1352.4056321823373</v>
      </c>
      <c r="AP21" s="38">
        <f t="shared" ref="AP21" si="115">AB21*$R21</f>
        <v>1352.4056321823373</v>
      </c>
      <c r="AQ21" s="38">
        <f t="shared" ref="AQ21" si="116">AC21*$R21</f>
        <v>1352.4056321823373</v>
      </c>
      <c r="AR21" s="38">
        <f t="shared" ref="AR21" si="117">AD21*$R21</f>
        <v>1352.4056321823373</v>
      </c>
      <c r="AS21" s="38">
        <f t="shared" ref="AS21" si="118">AE21*$R21</f>
        <v>1352.4056321823373</v>
      </c>
      <c r="AT21" s="38">
        <f t="shared" ref="AT21" si="119">AF21*$R21</f>
        <v>1352.4056321823373</v>
      </c>
      <c r="AU21" s="38">
        <f t="shared" ref="AU21" si="120">SUM(AI21:AT21)</f>
        <v>16799.883297553923</v>
      </c>
    </row>
    <row r="22" spans="2:47" x14ac:dyDescent="0.3">
      <c r="B22" s="45" t="s">
        <v>206</v>
      </c>
      <c r="C22" s="69"/>
      <c r="D22" s="72">
        <v>125000</v>
      </c>
      <c r="E22" s="72">
        <v>100000</v>
      </c>
      <c r="F22" s="72">
        <v>100000</v>
      </c>
      <c r="G22" s="72">
        <v>100000</v>
      </c>
      <c r="H22" s="72">
        <v>100000</v>
      </c>
      <c r="I22" s="72">
        <v>100000</v>
      </c>
      <c r="J22" s="72">
        <v>100000</v>
      </c>
      <c r="K22" s="72">
        <v>100000</v>
      </c>
      <c r="L22" s="72">
        <v>100000</v>
      </c>
      <c r="M22" s="72">
        <v>100000</v>
      </c>
      <c r="N22" s="72">
        <v>100000</v>
      </c>
      <c r="O22" s="72">
        <v>100000</v>
      </c>
      <c r="P22" s="72">
        <f t="shared" si="10"/>
        <v>1225000</v>
      </c>
      <c r="Q22" s="72"/>
      <c r="R22" s="74"/>
      <c r="S22" s="26"/>
    </row>
    <row r="23" spans="2:47" x14ac:dyDescent="0.3">
      <c r="B23" t="s">
        <v>39</v>
      </c>
      <c r="C23" s="69">
        <v>1</v>
      </c>
      <c r="D23" s="26">
        <f>D$22*$C23</f>
        <v>125000</v>
      </c>
      <c r="E23" s="26">
        <f t="shared" ref="E23:O23" si="121">E$22*$C23</f>
        <v>100000</v>
      </c>
      <c r="F23" s="26">
        <f t="shared" si="121"/>
        <v>100000</v>
      </c>
      <c r="G23" s="26">
        <f t="shared" si="121"/>
        <v>100000</v>
      </c>
      <c r="H23" s="26">
        <f t="shared" si="121"/>
        <v>100000</v>
      </c>
      <c r="I23" s="26">
        <f t="shared" si="121"/>
        <v>100000</v>
      </c>
      <c r="J23" s="26">
        <f t="shared" si="121"/>
        <v>100000</v>
      </c>
      <c r="K23" s="26">
        <f t="shared" si="121"/>
        <v>100000</v>
      </c>
      <c r="L23" s="26">
        <f t="shared" si="121"/>
        <v>100000</v>
      </c>
      <c r="M23" s="26">
        <f t="shared" si="121"/>
        <v>100000</v>
      </c>
      <c r="N23" s="26">
        <f t="shared" si="121"/>
        <v>100000</v>
      </c>
      <c r="O23" s="26">
        <f t="shared" si="121"/>
        <v>100000</v>
      </c>
      <c r="P23" s="26">
        <f t="shared" si="1"/>
        <v>1225000</v>
      </c>
      <c r="Q23" s="26">
        <f>P23*$Q$4</f>
        <v>-88719.547720601375</v>
      </c>
      <c r="R23" s="74">
        <f>VLOOKUP(B23,'Depreciation Rates'!C:D,2,FALSE)</f>
        <v>3.5000000000000003E-2</v>
      </c>
      <c r="S23" s="26">
        <f t="shared" si="5"/>
        <v>39769.815829778956</v>
      </c>
      <c r="U23" s="38">
        <f t="shared" ref="U23" si="122">D23*$U$4</f>
        <v>115946.98492646925</v>
      </c>
      <c r="V23" s="38">
        <f t="shared" ref="V23" si="123">E23*$U$4</f>
        <v>92757.587941175399</v>
      </c>
      <c r="W23" s="38">
        <f t="shared" ref="W23" si="124">F23*$U$4</f>
        <v>92757.587941175399</v>
      </c>
      <c r="X23" s="38">
        <f t="shared" ref="X23" si="125">G23*$U$4</f>
        <v>92757.587941175399</v>
      </c>
      <c r="Y23" s="38">
        <f t="shared" ref="Y23" si="126">H23*$U$4</f>
        <v>92757.587941175399</v>
      </c>
      <c r="Z23" s="38">
        <f t="shared" ref="Z23" si="127">I23*$U$4</f>
        <v>92757.587941175399</v>
      </c>
      <c r="AA23" s="38">
        <f t="shared" ref="AA23" si="128">J23*$U$4</f>
        <v>92757.587941175399</v>
      </c>
      <c r="AB23" s="38">
        <f t="shared" ref="AB23" si="129">K23*$U$4</f>
        <v>92757.587941175399</v>
      </c>
      <c r="AC23" s="38">
        <f t="shared" ref="AC23" si="130">L23*$U$4</f>
        <v>92757.587941175399</v>
      </c>
      <c r="AD23" s="38">
        <f t="shared" ref="AD23" si="131">M23*$U$4</f>
        <v>92757.587941175399</v>
      </c>
      <c r="AE23" s="38">
        <f t="shared" ref="AE23" si="132">N23*$U$4</f>
        <v>92757.587941175399</v>
      </c>
      <c r="AF23" s="38">
        <f t="shared" ref="AF23" si="133">O23*$U$4</f>
        <v>92757.587941175399</v>
      </c>
      <c r="AG23" s="38">
        <f t="shared" ref="AG23" si="134">SUM(U23:AF23)</f>
        <v>1136280.4522793989</v>
      </c>
      <c r="AI23" s="38">
        <f t="shared" ref="AI23" si="135">U23*$R23</f>
        <v>4058.1444724264238</v>
      </c>
      <c r="AJ23" s="38">
        <f t="shared" ref="AJ23" si="136">V23*$R23</f>
        <v>3246.5155779411393</v>
      </c>
      <c r="AK23" s="38">
        <f t="shared" ref="AK23" si="137">W23*$R23</f>
        <v>3246.5155779411393</v>
      </c>
      <c r="AL23" s="38">
        <f t="shared" ref="AL23" si="138">X23*$R23</f>
        <v>3246.5155779411393</v>
      </c>
      <c r="AM23" s="38">
        <f t="shared" ref="AM23" si="139">Y23*$R23</f>
        <v>3246.5155779411393</v>
      </c>
      <c r="AN23" s="38">
        <f t="shared" ref="AN23" si="140">Z23*$R23</f>
        <v>3246.5155779411393</v>
      </c>
      <c r="AO23" s="38">
        <f t="shared" ref="AO23" si="141">AA23*$R23</f>
        <v>3246.5155779411393</v>
      </c>
      <c r="AP23" s="38">
        <f t="shared" ref="AP23" si="142">AB23*$R23</f>
        <v>3246.5155779411393</v>
      </c>
      <c r="AQ23" s="38">
        <f t="shared" ref="AQ23" si="143">AC23*$R23</f>
        <v>3246.5155779411393</v>
      </c>
      <c r="AR23" s="38">
        <f t="shared" ref="AR23" si="144">AD23*$R23</f>
        <v>3246.5155779411393</v>
      </c>
      <c r="AS23" s="38">
        <f t="shared" ref="AS23" si="145">AE23*$R23</f>
        <v>3246.5155779411393</v>
      </c>
      <c r="AT23" s="38">
        <f t="shared" ref="AT23" si="146">AF23*$R23</f>
        <v>3246.5155779411393</v>
      </c>
      <c r="AU23" s="38">
        <f t="shared" ref="AU23" si="147">SUM(AI23:AT23)</f>
        <v>39769.815829778949</v>
      </c>
    </row>
    <row r="24" spans="2:47" x14ac:dyDescent="0.3">
      <c r="B24" s="45" t="s">
        <v>133</v>
      </c>
      <c r="C24" s="69"/>
      <c r="D24" s="72">
        <v>4500</v>
      </c>
      <c r="E24" s="72">
        <v>4300</v>
      </c>
      <c r="F24" s="72">
        <v>10000</v>
      </c>
      <c r="G24" s="72">
        <v>20000</v>
      </c>
      <c r="H24" s="72">
        <v>25000</v>
      </c>
      <c r="I24" s="72">
        <v>25000</v>
      </c>
      <c r="J24" s="72">
        <v>27000</v>
      </c>
      <c r="K24" s="72">
        <v>27000</v>
      </c>
      <c r="L24" s="72">
        <v>27000</v>
      </c>
      <c r="M24" s="72">
        <v>27000</v>
      </c>
      <c r="N24" s="72">
        <v>27000</v>
      </c>
      <c r="O24" s="72">
        <v>28000</v>
      </c>
      <c r="P24" s="72">
        <f t="shared" si="10"/>
        <v>251800</v>
      </c>
      <c r="Q24" s="72"/>
      <c r="R24" s="74"/>
      <c r="S24" s="26"/>
    </row>
    <row r="25" spans="2:47" x14ac:dyDescent="0.3">
      <c r="B25" s="39" t="s">
        <v>69</v>
      </c>
      <c r="C25" s="69">
        <v>1</v>
      </c>
      <c r="D25" s="26">
        <f>D$24*$C25</f>
        <v>4500</v>
      </c>
      <c r="E25" s="26">
        <f t="shared" ref="E25:O25" si="148">E$24*$C25</f>
        <v>4300</v>
      </c>
      <c r="F25" s="26">
        <f t="shared" si="148"/>
        <v>10000</v>
      </c>
      <c r="G25" s="26">
        <f t="shared" si="148"/>
        <v>20000</v>
      </c>
      <c r="H25" s="26">
        <f t="shared" si="148"/>
        <v>25000</v>
      </c>
      <c r="I25" s="26">
        <f t="shared" si="148"/>
        <v>25000</v>
      </c>
      <c r="J25" s="26">
        <f t="shared" si="148"/>
        <v>27000</v>
      </c>
      <c r="K25" s="26">
        <f t="shared" si="148"/>
        <v>27000</v>
      </c>
      <c r="L25" s="26">
        <f t="shared" si="148"/>
        <v>27000</v>
      </c>
      <c r="M25" s="26">
        <f t="shared" si="148"/>
        <v>27000</v>
      </c>
      <c r="N25" s="26">
        <f t="shared" si="148"/>
        <v>27000</v>
      </c>
      <c r="O25" s="26">
        <f t="shared" si="148"/>
        <v>28000</v>
      </c>
      <c r="P25" s="26">
        <f t="shared" si="1"/>
        <v>251800</v>
      </c>
      <c r="Q25" s="26">
        <f>P25*$Q$4</f>
        <v>-18236.393564120346</v>
      </c>
      <c r="R25" s="74">
        <f>VLOOKUP(B25,'Depreciation Rates'!C:D,2,FALSE)</f>
        <v>6.6699999999999995E-2</v>
      </c>
      <c r="S25" s="26">
        <f t="shared" si="5"/>
        <v>15578.692549273172</v>
      </c>
      <c r="U25" s="38">
        <f t="shared" ref="U25" si="149">D25*$U$4</f>
        <v>4174.0914573528935</v>
      </c>
      <c r="V25" s="38">
        <f t="shared" ref="V25" si="150">E25*$U$4</f>
        <v>3988.5762814705422</v>
      </c>
      <c r="W25" s="38">
        <f t="shared" ref="W25" si="151">F25*$U$4</f>
        <v>9275.7587941175407</v>
      </c>
      <c r="X25" s="38">
        <f t="shared" ref="X25" si="152">G25*$U$4</f>
        <v>18551.517588235081</v>
      </c>
      <c r="Y25" s="38">
        <f t="shared" ref="Y25" si="153">H25*$U$4</f>
        <v>23189.39698529385</v>
      </c>
      <c r="Z25" s="38">
        <f t="shared" ref="Z25" si="154">I25*$U$4</f>
        <v>23189.39698529385</v>
      </c>
      <c r="AA25" s="38">
        <f t="shared" ref="AA25" si="155">J25*$U$4</f>
        <v>25044.548744117357</v>
      </c>
      <c r="AB25" s="38">
        <f t="shared" ref="AB25" si="156">K25*$U$4</f>
        <v>25044.548744117357</v>
      </c>
      <c r="AC25" s="38">
        <f t="shared" ref="AC25" si="157">L25*$U$4</f>
        <v>25044.548744117357</v>
      </c>
      <c r="AD25" s="38">
        <f t="shared" ref="AD25" si="158">M25*$U$4</f>
        <v>25044.548744117357</v>
      </c>
      <c r="AE25" s="38">
        <f t="shared" ref="AE25" si="159">N25*$U$4</f>
        <v>25044.548744117357</v>
      </c>
      <c r="AF25" s="38">
        <f t="shared" ref="AF25" si="160">O25*$U$4</f>
        <v>25972.124623529111</v>
      </c>
      <c r="AG25" s="38">
        <f t="shared" ref="AG25" si="161">SUM(U25:AF25)</f>
        <v>233563.60643587963</v>
      </c>
      <c r="AI25" s="38">
        <f t="shared" ref="AI25" si="162">U25*$R25</f>
        <v>278.41190020543797</v>
      </c>
      <c r="AJ25" s="38">
        <f t="shared" ref="AJ25" si="163">V25*$R25</f>
        <v>266.03803797408517</v>
      </c>
      <c r="AK25" s="38">
        <f t="shared" ref="AK25" si="164">W25*$R25</f>
        <v>618.6931115676399</v>
      </c>
      <c r="AL25" s="38">
        <f t="shared" ref="AL25" si="165">X25*$R25</f>
        <v>1237.3862231352798</v>
      </c>
      <c r="AM25" s="38">
        <f t="shared" ref="AM25" si="166">Y25*$R25</f>
        <v>1546.7327789190997</v>
      </c>
      <c r="AN25" s="38">
        <f t="shared" ref="AN25" si="167">Z25*$R25</f>
        <v>1546.7327789190997</v>
      </c>
      <c r="AO25" s="38">
        <f t="shared" ref="AO25" si="168">AA25*$R25</f>
        <v>1670.4714012326276</v>
      </c>
      <c r="AP25" s="38">
        <f t="shared" ref="AP25" si="169">AB25*$R25</f>
        <v>1670.4714012326276</v>
      </c>
      <c r="AQ25" s="38">
        <f t="shared" ref="AQ25" si="170">AC25*$R25</f>
        <v>1670.4714012326276</v>
      </c>
      <c r="AR25" s="38">
        <f t="shared" ref="AR25" si="171">AD25*$R25</f>
        <v>1670.4714012326276</v>
      </c>
      <c r="AS25" s="38">
        <f t="shared" ref="AS25" si="172">AE25*$R25</f>
        <v>1670.4714012326276</v>
      </c>
      <c r="AT25" s="38">
        <f t="shared" ref="AT25" si="173">AF25*$R25</f>
        <v>1732.3407123893917</v>
      </c>
      <c r="AU25" s="38">
        <f t="shared" ref="AU25" si="174">SUM(AI25:AT25)</f>
        <v>15578.692549273172</v>
      </c>
    </row>
    <row r="26" spans="2:47" x14ac:dyDescent="0.3">
      <c r="B26" s="45" t="s">
        <v>207</v>
      </c>
      <c r="C26" s="69"/>
      <c r="D26" s="72">
        <v>5000</v>
      </c>
      <c r="E26" s="72">
        <v>10800</v>
      </c>
      <c r="F26" s="72">
        <v>10800</v>
      </c>
      <c r="G26" s="72">
        <v>10800</v>
      </c>
      <c r="H26" s="72">
        <v>10800</v>
      </c>
      <c r="I26" s="72">
        <v>10800</v>
      </c>
      <c r="J26" s="72">
        <v>11200</v>
      </c>
      <c r="K26" s="72">
        <v>10800</v>
      </c>
      <c r="L26" s="72">
        <v>10800</v>
      </c>
      <c r="M26" s="72">
        <v>10800</v>
      </c>
      <c r="N26" s="72">
        <v>10800</v>
      </c>
      <c r="O26" s="72">
        <v>10800</v>
      </c>
      <c r="P26" s="72">
        <f t="shared" si="10"/>
        <v>124200</v>
      </c>
      <c r="Q26" s="72"/>
      <c r="R26" s="74"/>
      <c r="S26" s="26"/>
    </row>
    <row r="27" spans="2:47" x14ac:dyDescent="0.3">
      <c r="B27" s="39" t="s">
        <v>8</v>
      </c>
      <c r="C27" s="69">
        <v>0.05</v>
      </c>
      <c r="D27" s="26">
        <f>D$26*$C27</f>
        <v>250</v>
      </c>
      <c r="E27" s="26">
        <f t="shared" ref="E27:O29" si="175">E$26*$C27</f>
        <v>540</v>
      </c>
      <c r="F27" s="26">
        <f t="shared" si="175"/>
        <v>540</v>
      </c>
      <c r="G27" s="26">
        <f t="shared" si="175"/>
        <v>540</v>
      </c>
      <c r="H27" s="26">
        <f t="shared" si="175"/>
        <v>540</v>
      </c>
      <c r="I27" s="26">
        <f t="shared" si="175"/>
        <v>540</v>
      </c>
      <c r="J27" s="26">
        <f t="shared" si="175"/>
        <v>560</v>
      </c>
      <c r="K27" s="26">
        <f t="shared" si="175"/>
        <v>540</v>
      </c>
      <c r="L27" s="26">
        <f t="shared" si="175"/>
        <v>540</v>
      </c>
      <c r="M27" s="26">
        <f t="shared" si="175"/>
        <v>540</v>
      </c>
      <c r="N27" s="26">
        <f t="shared" si="175"/>
        <v>540</v>
      </c>
      <c r="O27" s="26">
        <f t="shared" si="175"/>
        <v>540</v>
      </c>
      <c r="P27" s="26">
        <f t="shared" si="10"/>
        <v>6210</v>
      </c>
      <c r="Q27" s="26">
        <f t="shared" ref="Q27:Q29" si="176">P27*$Q$4</f>
        <v>-449.75378885300773</v>
      </c>
      <c r="R27" s="74">
        <f>VLOOKUP(B27,'Depreciation Rates'!C:D,2,FALSE)</f>
        <v>2.2400000000000003E-2</v>
      </c>
      <c r="S27" s="26">
        <f t="shared" si="5"/>
        <v>129.02951512969264</v>
      </c>
      <c r="U27" s="38">
        <f t="shared" ref="U27:U29" si="177">D27*$U$4</f>
        <v>231.89396985293851</v>
      </c>
      <c r="V27" s="38">
        <f t="shared" ref="V27:V29" si="178">E27*$U$4</f>
        <v>500.89097488234717</v>
      </c>
      <c r="W27" s="38">
        <f t="shared" ref="W27:W29" si="179">F27*$U$4</f>
        <v>500.89097488234717</v>
      </c>
      <c r="X27" s="38">
        <f t="shared" ref="X27:X29" si="180">G27*$U$4</f>
        <v>500.89097488234717</v>
      </c>
      <c r="Y27" s="38">
        <f t="shared" ref="Y27:Y29" si="181">H27*$U$4</f>
        <v>500.89097488234717</v>
      </c>
      <c r="Z27" s="38">
        <f t="shared" ref="Z27:Z29" si="182">I27*$U$4</f>
        <v>500.89097488234717</v>
      </c>
      <c r="AA27" s="38">
        <f t="shared" ref="AA27:AA29" si="183">J27*$U$4</f>
        <v>519.44249247058224</v>
      </c>
      <c r="AB27" s="38">
        <f t="shared" ref="AB27:AB29" si="184">K27*$U$4</f>
        <v>500.89097488234717</v>
      </c>
      <c r="AC27" s="38">
        <f t="shared" ref="AC27:AC29" si="185">L27*$U$4</f>
        <v>500.89097488234717</v>
      </c>
      <c r="AD27" s="38">
        <f t="shared" ref="AD27:AD29" si="186">M27*$U$4</f>
        <v>500.89097488234717</v>
      </c>
      <c r="AE27" s="38">
        <f t="shared" ref="AE27:AE29" si="187">N27*$U$4</f>
        <v>500.89097488234717</v>
      </c>
      <c r="AF27" s="38">
        <f t="shared" ref="AF27:AF29" si="188">O27*$U$4</f>
        <v>500.89097488234717</v>
      </c>
      <c r="AG27" s="38">
        <f t="shared" ref="AG27:AG29" si="189">SUM(U27:AF27)</f>
        <v>5760.2462111469922</v>
      </c>
      <c r="AI27" s="38">
        <f t="shared" ref="AI27:AI29" si="190">U27*$R27</f>
        <v>5.1944249247058236</v>
      </c>
      <c r="AJ27" s="38">
        <f t="shared" ref="AJ27:AJ29" si="191">V27*$R27</f>
        <v>11.219957837364579</v>
      </c>
      <c r="AK27" s="38">
        <f t="shared" ref="AK27:AK29" si="192">W27*$R27</f>
        <v>11.219957837364579</v>
      </c>
      <c r="AL27" s="38">
        <f t="shared" ref="AL27:AL29" si="193">X27*$R27</f>
        <v>11.219957837364579</v>
      </c>
      <c r="AM27" s="38">
        <f t="shared" ref="AM27:AM29" si="194">Y27*$R27</f>
        <v>11.219957837364579</v>
      </c>
      <c r="AN27" s="38">
        <f t="shared" ref="AN27:AN29" si="195">Z27*$R27</f>
        <v>11.219957837364579</v>
      </c>
      <c r="AO27" s="38">
        <f t="shared" ref="AO27:AO29" si="196">AA27*$R27</f>
        <v>11.635511831341043</v>
      </c>
      <c r="AP27" s="38">
        <f t="shared" ref="AP27:AP29" si="197">AB27*$R27</f>
        <v>11.219957837364579</v>
      </c>
      <c r="AQ27" s="38">
        <f t="shared" ref="AQ27:AQ29" si="198">AC27*$R27</f>
        <v>11.219957837364579</v>
      </c>
      <c r="AR27" s="38">
        <f t="shared" ref="AR27:AR29" si="199">AD27*$R27</f>
        <v>11.219957837364579</v>
      </c>
      <c r="AS27" s="38">
        <f t="shared" ref="AS27:AS29" si="200">AE27*$R27</f>
        <v>11.219957837364579</v>
      </c>
      <c r="AT27" s="38">
        <f t="shared" ref="AT27:AT29" si="201">AF27*$R27</f>
        <v>11.219957837364579</v>
      </c>
      <c r="AU27" s="38">
        <f t="shared" ref="AU27:AU29" si="202">SUM(AI27:AT27)</f>
        <v>129.02951512969264</v>
      </c>
    </row>
    <row r="28" spans="2:47" x14ac:dyDescent="0.3">
      <c r="B28" s="75" t="s">
        <v>10</v>
      </c>
      <c r="C28" s="69">
        <v>0.8</v>
      </c>
      <c r="D28" s="26">
        <f>D$26*$C28</f>
        <v>4000</v>
      </c>
      <c r="E28" s="26">
        <f t="shared" si="175"/>
        <v>8640</v>
      </c>
      <c r="F28" s="26">
        <f t="shared" si="175"/>
        <v>8640</v>
      </c>
      <c r="G28" s="26">
        <f t="shared" si="175"/>
        <v>8640</v>
      </c>
      <c r="H28" s="26">
        <f t="shared" si="175"/>
        <v>8640</v>
      </c>
      <c r="I28" s="26">
        <f t="shared" si="175"/>
        <v>8640</v>
      </c>
      <c r="J28" s="26">
        <f t="shared" si="175"/>
        <v>8960</v>
      </c>
      <c r="K28" s="26">
        <f t="shared" si="175"/>
        <v>8640</v>
      </c>
      <c r="L28" s="26">
        <f t="shared" si="175"/>
        <v>8640</v>
      </c>
      <c r="M28" s="26">
        <f t="shared" si="175"/>
        <v>8640</v>
      </c>
      <c r="N28" s="26">
        <f t="shared" si="175"/>
        <v>8640</v>
      </c>
      <c r="O28" s="26">
        <f t="shared" si="175"/>
        <v>8640</v>
      </c>
      <c r="P28" s="26">
        <f t="shared" si="1"/>
        <v>99360</v>
      </c>
      <c r="Q28" s="26">
        <f t="shared" si="176"/>
        <v>-7196.0606216481237</v>
      </c>
      <c r="R28" s="74">
        <f>VLOOKUP(B28,'Depreciation Rates'!C:D,2,FALSE)</f>
        <v>2.7099999999999999E-2</v>
      </c>
      <c r="S28" s="26">
        <f t="shared" si="5"/>
        <v>2497.6427571533359</v>
      </c>
      <c r="U28" s="38">
        <f t="shared" si="177"/>
        <v>3710.3035176470162</v>
      </c>
      <c r="V28" s="38">
        <f t="shared" si="178"/>
        <v>8014.2555981175547</v>
      </c>
      <c r="W28" s="38">
        <f t="shared" si="179"/>
        <v>8014.2555981175547</v>
      </c>
      <c r="X28" s="38">
        <f t="shared" si="180"/>
        <v>8014.2555981175547</v>
      </c>
      <c r="Y28" s="38">
        <f t="shared" si="181"/>
        <v>8014.2555981175547</v>
      </c>
      <c r="Z28" s="38">
        <f t="shared" si="182"/>
        <v>8014.2555981175547</v>
      </c>
      <c r="AA28" s="38">
        <f t="shared" si="183"/>
        <v>8311.0798795293158</v>
      </c>
      <c r="AB28" s="38">
        <f t="shared" si="184"/>
        <v>8014.2555981175547</v>
      </c>
      <c r="AC28" s="38">
        <f t="shared" si="185"/>
        <v>8014.2555981175547</v>
      </c>
      <c r="AD28" s="38">
        <f t="shared" si="186"/>
        <v>8014.2555981175547</v>
      </c>
      <c r="AE28" s="38">
        <f t="shared" si="187"/>
        <v>8014.2555981175547</v>
      </c>
      <c r="AF28" s="38">
        <f t="shared" si="188"/>
        <v>8014.2555981175547</v>
      </c>
      <c r="AG28" s="38">
        <f t="shared" si="189"/>
        <v>92163.939378351875</v>
      </c>
      <c r="AI28" s="38">
        <f t="shared" si="190"/>
        <v>100.54922532823413</v>
      </c>
      <c r="AJ28" s="38">
        <f t="shared" si="191"/>
        <v>217.18632670898572</v>
      </c>
      <c r="AK28" s="38">
        <f t="shared" si="192"/>
        <v>217.18632670898572</v>
      </c>
      <c r="AL28" s="38">
        <f t="shared" si="193"/>
        <v>217.18632670898572</v>
      </c>
      <c r="AM28" s="38">
        <f t="shared" si="194"/>
        <v>217.18632670898572</v>
      </c>
      <c r="AN28" s="38">
        <f t="shared" si="195"/>
        <v>217.18632670898572</v>
      </c>
      <c r="AO28" s="38">
        <f t="shared" si="196"/>
        <v>225.23026473524445</v>
      </c>
      <c r="AP28" s="38">
        <f t="shared" si="197"/>
        <v>217.18632670898572</v>
      </c>
      <c r="AQ28" s="38">
        <f t="shared" si="198"/>
        <v>217.18632670898572</v>
      </c>
      <c r="AR28" s="38">
        <f t="shared" si="199"/>
        <v>217.18632670898572</v>
      </c>
      <c r="AS28" s="38">
        <f t="shared" si="200"/>
        <v>217.18632670898572</v>
      </c>
      <c r="AT28" s="38">
        <f t="shared" si="201"/>
        <v>217.18632670898572</v>
      </c>
      <c r="AU28" s="38">
        <f t="shared" si="202"/>
        <v>2497.6427571533359</v>
      </c>
    </row>
    <row r="29" spans="2:47" x14ac:dyDescent="0.3">
      <c r="B29" s="75" t="s">
        <v>11</v>
      </c>
      <c r="C29" s="69">
        <v>0.15</v>
      </c>
      <c r="D29" s="26">
        <f>D$26*$C29</f>
        <v>750</v>
      </c>
      <c r="E29" s="26">
        <f t="shared" si="175"/>
        <v>1620</v>
      </c>
      <c r="F29" s="26">
        <f t="shared" si="175"/>
        <v>1620</v>
      </c>
      <c r="G29" s="26">
        <f t="shared" si="175"/>
        <v>1620</v>
      </c>
      <c r="H29" s="26">
        <f t="shared" si="175"/>
        <v>1620</v>
      </c>
      <c r="I29" s="26">
        <f t="shared" si="175"/>
        <v>1620</v>
      </c>
      <c r="J29" s="26">
        <f t="shared" si="175"/>
        <v>1680</v>
      </c>
      <c r="K29" s="26">
        <f t="shared" si="175"/>
        <v>1620</v>
      </c>
      <c r="L29" s="26">
        <f t="shared" si="175"/>
        <v>1620</v>
      </c>
      <c r="M29" s="26">
        <f t="shared" si="175"/>
        <v>1620</v>
      </c>
      <c r="N29" s="26">
        <f t="shared" si="175"/>
        <v>1620</v>
      </c>
      <c r="O29" s="26">
        <f t="shared" si="175"/>
        <v>1620</v>
      </c>
      <c r="P29" s="26">
        <f t="shared" ref="P29" si="203">SUM(D29:O29)</f>
        <v>18630</v>
      </c>
      <c r="Q29" s="26">
        <f t="shared" si="176"/>
        <v>-1349.2613665590234</v>
      </c>
      <c r="R29" s="74">
        <f>VLOOKUP(B29,'Depreciation Rates'!C:D,2,FALSE)</f>
        <v>1.3899999999999999E-2</v>
      </c>
      <c r="S29" s="26">
        <f t="shared" si="5"/>
        <v>240.20226700482954</v>
      </c>
      <c r="U29" s="38">
        <f t="shared" si="177"/>
        <v>695.68190955881551</v>
      </c>
      <c r="V29" s="38">
        <f t="shared" si="178"/>
        <v>1502.6729246470416</v>
      </c>
      <c r="W29" s="38">
        <f t="shared" si="179"/>
        <v>1502.6729246470416</v>
      </c>
      <c r="X29" s="38">
        <f t="shared" si="180"/>
        <v>1502.6729246470416</v>
      </c>
      <c r="Y29" s="38">
        <f t="shared" si="181"/>
        <v>1502.6729246470416</v>
      </c>
      <c r="Z29" s="38">
        <f t="shared" si="182"/>
        <v>1502.6729246470416</v>
      </c>
      <c r="AA29" s="38">
        <f t="shared" si="183"/>
        <v>1558.3274774117467</v>
      </c>
      <c r="AB29" s="38">
        <f t="shared" si="184"/>
        <v>1502.6729246470416</v>
      </c>
      <c r="AC29" s="38">
        <f t="shared" si="185"/>
        <v>1502.6729246470416</v>
      </c>
      <c r="AD29" s="38">
        <f t="shared" si="186"/>
        <v>1502.6729246470416</v>
      </c>
      <c r="AE29" s="38">
        <f t="shared" si="187"/>
        <v>1502.6729246470416</v>
      </c>
      <c r="AF29" s="38">
        <f t="shared" si="188"/>
        <v>1502.6729246470416</v>
      </c>
      <c r="AG29" s="38">
        <f t="shared" si="189"/>
        <v>17280.738633440982</v>
      </c>
      <c r="AI29" s="38">
        <f t="shared" si="190"/>
        <v>9.6699785428675344</v>
      </c>
      <c r="AJ29" s="38">
        <f t="shared" si="191"/>
        <v>20.887153652593877</v>
      </c>
      <c r="AK29" s="38">
        <f t="shared" si="192"/>
        <v>20.887153652593877</v>
      </c>
      <c r="AL29" s="38">
        <f t="shared" si="193"/>
        <v>20.887153652593877</v>
      </c>
      <c r="AM29" s="38">
        <f t="shared" si="194"/>
        <v>20.887153652593877</v>
      </c>
      <c r="AN29" s="38">
        <f t="shared" si="195"/>
        <v>20.887153652593877</v>
      </c>
      <c r="AO29" s="38">
        <f t="shared" si="196"/>
        <v>21.660751936023278</v>
      </c>
      <c r="AP29" s="38">
        <f t="shared" si="197"/>
        <v>20.887153652593877</v>
      </c>
      <c r="AQ29" s="38">
        <f t="shared" si="198"/>
        <v>20.887153652593877</v>
      </c>
      <c r="AR29" s="38">
        <f t="shared" si="199"/>
        <v>20.887153652593877</v>
      </c>
      <c r="AS29" s="38">
        <f t="shared" si="200"/>
        <v>20.887153652593877</v>
      </c>
      <c r="AT29" s="38">
        <f t="shared" si="201"/>
        <v>20.887153652593877</v>
      </c>
      <c r="AU29" s="38">
        <f t="shared" si="202"/>
        <v>240.20226700482954</v>
      </c>
    </row>
    <row r="30" spans="2:47" x14ac:dyDescent="0.3">
      <c r="B30" s="45" t="s">
        <v>208</v>
      </c>
      <c r="C30" s="69"/>
      <c r="D30" s="73">
        <v>195000</v>
      </c>
      <c r="E30" s="73">
        <v>280000</v>
      </c>
      <c r="F30" s="73">
        <v>62500</v>
      </c>
      <c r="G30" s="73">
        <v>62500</v>
      </c>
      <c r="H30" s="73">
        <v>62500</v>
      </c>
      <c r="I30" s="73">
        <v>62500</v>
      </c>
      <c r="J30" s="73">
        <v>62500</v>
      </c>
      <c r="K30" s="73">
        <v>62500</v>
      </c>
      <c r="L30" s="73">
        <v>62500</v>
      </c>
      <c r="M30" s="73">
        <v>62500</v>
      </c>
      <c r="N30" s="73">
        <v>62500</v>
      </c>
      <c r="O30" s="73">
        <v>62500</v>
      </c>
      <c r="P30" s="73">
        <f t="shared" si="10"/>
        <v>1100000</v>
      </c>
      <c r="Q30" s="73"/>
      <c r="R30" s="74"/>
      <c r="S30" s="26"/>
    </row>
    <row r="31" spans="2:47" x14ac:dyDescent="0.3">
      <c r="B31" s="39" t="s">
        <v>9</v>
      </c>
      <c r="C31" s="69">
        <v>0.15</v>
      </c>
      <c r="D31" s="26">
        <f>D$30*$C31</f>
        <v>29250</v>
      </c>
      <c r="E31" s="26">
        <f t="shared" ref="E31:O31" si="204">E$30*$C31</f>
        <v>42000</v>
      </c>
      <c r="F31" s="26">
        <f t="shared" si="204"/>
        <v>9375</v>
      </c>
      <c r="G31" s="26">
        <f t="shared" si="204"/>
        <v>9375</v>
      </c>
      <c r="H31" s="26">
        <f t="shared" si="204"/>
        <v>9375</v>
      </c>
      <c r="I31" s="26">
        <f t="shared" si="204"/>
        <v>9375</v>
      </c>
      <c r="J31" s="26">
        <f t="shared" si="204"/>
        <v>9375</v>
      </c>
      <c r="K31" s="26">
        <f t="shared" si="204"/>
        <v>9375</v>
      </c>
      <c r="L31" s="26">
        <f t="shared" si="204"/>
        <v>9375</v>
      </c>
      <c r="M31" s="26">
        <f t="shared" si="204"/>
        <v>9375</v>
      </c>
      <c r="N31" s="26">
        <f t="shared" si="204"/>
        <v>9375</v>
      </c>
      <c r="O31" s="26">
        <f t="shared" si="204"/>
        <v>9375</v>
      </c>
      <c r="P31" s="26">
        <f t="shared" si="1"/>
        <v>165000</v>
      </c>
      <c r="Q31" s="26">
        <f t="shared" ref="Q31:Q33" si="205">P31*$Q$4</f>
        <v>-11949.979897060593</v>
      </c>
      <c r="R31" s="74">
        <f>VLOOKUP(B31,'Depreciation Rates'!C:D,2,FALSE)</f>
        <v>2.4800000000000003E-2</v>
      </c>
      <c r="S31" s="26">
        <f t="shared" si="5"/>
        <v>3795.6404985528975</v>
      </c>
      <c r="U31" s="38">
        <f t="shared" ref="U31:U33" si="206">D31*$U$4</f>
        <v>27131.594472793804</v>
      </c>
      <c r="V31" s="38">
        <f t="shared" ref="V31:V33" si="207">E31*$U$4</f>
        <v>38958.18693529367</v>
      </c>
      <c r="W31" s="38">
        <f t="shared" ref="W31:W33" si="208">F31*$U$4</f>
        <v>8696.0238694851942</v>
      </c>
      <c r="X31" s="38">
        <f t="shared" ref="X31:X33" si="209">G31*$U$4</f>
        <v>8696.0238694851942</v>
      </c>
      <c r="Y31" s="38">
        <f t="shared" ref="Y31:Y33" si="210">H31*$U$4</f>
        <v>8696.0238694851942</v>
      </c>
      <c r="Z31" s="38">
        <f t="shared" ref="Z31:Z33" si="211">I31*$U$4</f>
        <v>8696.0238694851942</v>
      </c>
      <c r="AA31" s="38">
        <f t="shared" ref="AA31:AA33" si="212">J31*$U$4</f>
        <v>8696.0238694851942</v>
      </c>
      <c r="AB31" s="38">
        <f t="shared" ref="AB31:AB33" si="213">K31*$U$4</f>
        <v>8696.0238694851942</v>
      </c>
      <c r="AC31" s="38">
        <f t="shared" ref="AC31:AC33" si="214">L31*$U$4</f>
        <v>8696.0238694851942</v>
      </c>
      <c r="AD31" s="38">
        <f t="shared" ref="AD31:AD33" si="215">M31*$U$4</f>
        <v>8696.0238694851942</v>
      </c>
      <c r="AE31" s="38">
        <f t="shared" ref="AE31:AE33" si="216">N31*$U$4</f>
        <v>8696.0238694851942</v>
      </c>
      <c r="AF31" s="38">
        <f t="shared" ref="AF31:AF33" si="217">O31*$U$4</f>
        <v>8696.0238694851942</v>
      </c>
      <c r="AG31" s="38">
        <f t="shared" ref="AG31:AG33" si="218">SUM(U31:AF31)</f>
        <v>153050.02010293934</v>
      </c>
      <c r="AI31" s="38">
        <f t="shared" ref="AI31:AI33" si="219">U31*$R31</f>
        <v>672.86354292528642</v>
      </c>
      <c r="AJ31" s="38">
        <f t="shared" ref="AJ31:AJ33" si="220">V31*$R31</f>
        <v>966.16303599528317</v>
      </c>
      <c r="AK31" s="38">
        <f t="shared" ref="AK31:AK33" si="221">W31*$R31</f>
        <v>215.66139196323283</v>
      </c>
      <c r="AL31" s="38">
        <f t="shared" ref="AL31:AL33" si="222">X31*$R31</f>
        <v>215.66139196323283</v>
      </c>
      <c r="AM31" s="38">
        <f t="shared" ref="AM31:AM33" si="223">Y31*$R31</f>
        <v>215.66139196323283</v>
      </c>
      <c r="AN31" s="38">
        <f t="shared" ref="AN31:AN33" si="224">Z31*$R31</f>
        <v>215.66139196323283</v>
      </c>
      <c r="AO31" s="38">
        <f t="shared" ref="AO31:AO33" si="225">AA31*$R31</f>
        <v>215.66139196323283</v>
      </c>
      <c r="AP31" s="38">
        <f t="shared" ref="AP31:AP33" si="226">AB31*$R31</f>
        <v>215.66139196323283</v>
      </c>
      <c r="AQ31" s="38">
        <f t="shared" ref="AQ31:AQ33" si="227">AC31*$R31</f>
        <v>215.66139196323283</v>
      </c>
      <c r="AR31" s="38">
        <f t="shared" ref="AR31:AR33" si="228">AD31*$R31</f>
        <v>215.66139196323283</v>
      </c>
      <c r="AS31" s="38">
        <f t="shared" ref="AS31:AS33" si="229">AE31*$R31</f>
        <v>215.66139196323283</v>
      </c>
      <c r="AT31" s="38">
        <f t="shared" ref="AT31:AT33" si="230">AF31*$R31</f>
        <v>215.66139196323283</v>
      </c>
      <c r="AU31" s="38">
        <f t="shared" ref="AU31:AU33" si="231">SUM(AI31:AT31)</f>
        <v>3795.640498552897</v>
      </c>
    </row>
    <row r="32" spans="2:47" x14ac:dyDescent="0.3">
      <c r="B32" s="39" t="s">
        <v>24</v>
      </c>
      <c r="C32" s="69">
        <v>0.3</v>
      </c>
      <c r="D32" s="26">
        <f t="shared" ref="D32:O33" si="232">D$30*$C32</f>
        <v>58500</v>
      </c>
      <c r="E32" s="26">
        <f t="shared" si="232"/>
        <v>84000</v>
      </c>
      <c r="F32" s="26">
        <f t="shared" si="232"/>
        <v>18750</v>
      </c>
      <c r="G32" s="26">
        <f t="shared" si="232"/>
        <v>18750</v>
      </c>
      <c r="H32" s="26">
        <f t="shared" si="232"/>
        <v>18750</v>
      </c>
      <c r="I32" s="26">
        <f t="shared" si="232"/>
        <v>18750</v>
      </c>
      <c r="J32" s="26">
        <f t="shared" si="232"/>
        <v>18750</v>
      </c>
      <c r="K32" s="26">
        <f t="shared" si="232"/>
        <v>18750</v>
      </c>
      <c r="L32" s="26">
        <f t="shared" si="232"/>
        <v>18750</v>
      </c>
      <c r="M32" s="26">
        <f t="shared" si="232"/>
        <v>18750</v>
      </c>
      <c r="N32" s="26">
        <f t="shared" si="232"/>
        <v>18750</v>
      </c>
      <c r="O32" s="26">
        <f t="shared" si="232"/>
        <v>18750</v>
      </c>
      <c r="P32" s="26">
        <f t="shared" si="1"/>
        <v>330000</v>
      </c>
      <c r="Q32" s="26">
        <f t="shared" si="205"/>
        <v>-23899.959794121187</v>
      </c>
      <c r="R32" s="74">
        <f>VLOOKUP(B32,'Depreciation Rates'!C:D,2,FALSE)</f>
        <v>2.7300000000000001E-2</v>
      </c>
      <c r="S32" s="26">
        <f t="shared" si="5"/>
        <v>8356.531097620491</v>
      </c>
      <c r="U32" s="38">
        <f t="shared" si="206"/>
        <v>54263.188945587608</v>
      </c>
      <c r="V32" s="38">
        <f t="shared" si="207"/>
        <v>77916.37387058734</v>
      </c>
      <c r="W32" s="38">
        <f t="shared" si="208"/>
        <v>17392.047738970388</v>
      </c>
      <c r="X32" s="38">
        <f t="shared" si="209"/>
        <v>17392.047738970388</v>
      </c>
      <c r="Y32" s="38">
        <f t="shared" si="210"/>
        <v>17392.047738970388</v>
      </c>
      <c r="Z32" s="38">
        <f t="shared" si="211"/>
        <v>17392.047738970388</v>
      </c>
      <c r="AA32" s="38">
        <f t="shared" si="212"/>
        <v>17392.047738970388</v>
      </c>
      <c r="AB32" s="38">
        <f t="shared" si="213"/>
        <v>17392.047738970388</v>
      </c>
      <c r="AC32" s="38">
        <f t="shared" si="214"/>
        <v>17392.047738970388</v>
      </c>
      <c r="AD32" s="38">
        <f t="shared" si="215"/>
        <v>17392.047738970388</v>
      </c>
      <c r="AE32" s="38">
        <f t="shared" si="216"/>
        <v>17392.047738970388</v>
      </c>
      <c r="AF32" s="38">
        <f t="shared" si="217"/>
        <v>17392.047738970388</v>
      </c>
      <c r="AG32" s="38">
        <f t="shared" si="218"/>
        <v>306100.04020587867</v>
      </c>
      <c r="AI32" s="38">
        <f t="shared" si="219"/>
        <v>1481.3850582145417</v>
      </c>
      <c r="AJ32" s="38">
        <f t="shared" si="220"/>
        <v>2127.1170066670343</v>
      </c>
      <c r="AK32" s="38">
        <f t="shared" si="221"/>
        <v>474.80290327389162</v>
      </c>
      <c r="AL32" s="38">
        <f t="shared" si="222"/>
        <v>474.80290327389162</v>
      </c>
      <c r="AM32" s="38">
        <f t="shared" si="223"/>
        <v>474.80290327389162</v>
      </c>
      <c r="AN32" s="38">
        <f t="shared" si="224"/>
        <v>474.80290327389162</v>
      </c>
      <c r="AO32" s="38">
        <f t="shared" si="225"/>
        <v>474.80290327389162</v>
      </c>
      <c r="AP32" s="38">
        <f t="shared" si="226"/>
        <v>474.80290327389162</v>
      </c>
      <c r="AQ32" s="38">
        <f t="shared" si="227"/>
        <v>474.80290327389162</v>
      </c>
      <c r="AR32" s="38">
        <f t="shared" si="228"/>
        <v>474.80290327389162</v>
      </c>
      <c r="AS32" s="38">
        <f t="shared" si="229"/>
        <v>474.80290327389162</v>
      </c>
      <c r="AT32" s="38">
        <f t="shared" si="230"/>
        <v>474.80290327389162</v>
      </c>
      <c r="AU32" s="38">
        <f t="shared" si="231"/>
        <v>8356.531097620491</v>
      </c>
    </row>
    <row r="33" spans="2:47" x14ac:dyDescent="0.3">
      <c r="B33" s="39" t="s">
        <v>27</v>
      </c>
      <c r="C33" s="69">
        <v>0.55000000000000004</v>
      </c>
      <c r="D33" s="26">
        <f t="shared" si="232"/>
        <v>107250.00000000001</v>
      </c>
      <c r="E33" s="26">
        <f t="shared" si="232"/>
        <v>154000</v>
      </c>
      <c r="F33" s="26">
        <f t="shared" si="232"/>
        <v>34375</v>
      </c>
      <c r="G33" s="26">
        <f t="shared" si="232"/>
        <v>34375</v>
      </c>
      <c r="H33" s="26">
        <f t="shared" si="232"/>
        <v>34375</v>
      </c>
      <c r="I33" s="26">
        <f t="shared" si="232"/>
        <v>34375</v>
      </c>
      <c r="J33" s="26">
        <f t="shared" si="232"/>
        <v>34375</v>
      </c>
      <c r="K33" s="26">
        <f t="shared" si="232"/>
        <v>34375</v>
      </c>
      <c r="L33" s="26">
        <f t="shared" si="232"/>
        <v>34375</v>
      </c>
      <c r="M33" s="26">
        <f t="shared" si="232"/>
        <v>34375</v>
      </c>
      <c r="N33" s="26">
        <f t="shared" si="232"/>
        <v>34375</v>
      </c>
      <c r="O33" s="26">
        <f t="shared" si="232"/>
        <v>34375</v>
      </c>
      <c r="P33" s="26">
        <f t="shared" si="1"/>
        <v>605000</v>
      </c>
      <c r="Q33" s="26">
        <f t="shared" si="205"/>
        <v>-43816.592955888838</v>
      </c>
      <c r="R33" s="74">
        <f>VLOOKUP(B33,'Depreciation Rates'!C:D,2,FALSE)</f>
        <v>2.7700000000000002E-2</v>
      </c>
      <c r="S33" s="26">
        <f t="shared" si="5"/>
        <v>15544.78037512188</v>
      </c>
      <c r="U33" s="38">
        <f t="shared" si="206"/>
        <v>99482.513066910629</v>
      </c>
      <c r="V33" s="38">
        <f t="shared" si="207"/>
        <v>142846.68542941011</v>
      </c>
      <c r="W33" s="38">
        <f t="shared" si="208"/>
        <v>31885.420854779044</v>
      </c>
      <c r="X33" s="38">
        <f t="shared" si="209"/>
        <v>31885.420854779044</v>
      </c>
      <c r="Y33" s="38">
        <f t="shared" si="210"/>
        <v>31885.420854779044</v>
      </c>
      <c r="Z33" s="38">
        <f t="shared" si="211"/>
        <v>31885.420854779044</v>
      </c>
      <c r="AA33" s="38">
        <f t="shared" si="212"/>
        <v>31885.420854779044</v>
      </c>
      <c r="AB33" s="38">
        <f t="shared" si="213"/>
        <v>31885.420854779044</v>
      </c>
      <c r="AC33" s="38">
        <f t="shared" si="214"/>
        <v>31885.420854779044</v>
      </c>
      <c r="AD33" s="38">
        <f t="shared" si="215"/>
        <v>31885.420854779044</v>
      </c>
      <c r="AE33" s="38">
        <f t="shared" si="216"/>
        <v>31885.420854779044</v>
      </c>
      <c r="AF33" s="38">
        <f t="shared" si="217"/>
        <v>31885.420854779044</v>
      </c>
      <c r="AG33" s="38">
        <f t="shared" si="218"/>
        <v>561183.40704411105</v>
      </c>
      <c r="AI33" s="38">
        <f t="shared" si="219"/>
        <v>2755.6656119534246</v>
      </c>
      <c r="AJ33" s="38">
        <f t="shared" si="220"/>
        <v>3956.8531863946605</v>
      </c>
      <c r="AK33" s="38">
        <f t="shared" si="221"/>
        <v>883.22615767737955</v>
      </c>
      <c r="AL33" s="38">
        <f t="shared" si="222"/>
        <v>883.22615767737955</v>
      </c>
      <c r="AM33" s="38">
        <f t="shared" si="223"/>
        <v>883.22615767737955</v>
      </c>
      <c r="AN33" s="38">
        <f t="shared" si="224"/>
        <v>883.22615767737955</v>
      </c>
      <c r="AO33" s="38">
        <f t="shared" si="225"/>
        <v>883.22615767737955</v>
      </c>
      <c r="AP33" s="38">
        <f t="shared" si="226"/>
        <v>883.22615767737955</v>
      </c>
      <c r="AQ33" s="38">
        <f t="shared" si="227"/>
        <v>883.22615767737955</v>
      </c>
      <c r="AR33" s="38">
        <f t="shared" si="228"/>
        <v>883.22615767737955</v>
      </c>
      <c r="AS33" s="38">
        <f t="shared" si="229"/>
        <v>883.22615767737955</v>
      </c>
      <c r="AT33" s="38">
        <f t="shared" si="230"/>
        <v>883.22615767737955</v>
      </c>
      <c r="AU33" s="38">
        <f t="shared" si="231"/>
        <v>15544.780375121883</v>
      </c>
    </row>
    <row r="34" spans="2:47" x14ac:dyDescent="0.3">
      <c r="B34" s="45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47" x14ac:dyDescent="0.3">
      <c r="B35" s="39" t="s">
        <v>210</v>
      </c>
      <c r="C35" s="69"/>
      <c r="D35" s="26">
        <f t="shared" ref="D35:O35" si="233">SUM(D8:D11,D13,D15:D16,D18:D19,D21,D23,D25,D27:D29,D31:D33)</f>
        <v>1074500</v>
      </c>
      <c r="E35" s="26">
        <f t="shared" si="233"/>
        <v>1073100</v>
      </c>
      <c r="F35" s="26">
        <f t="shared" si="233"/>
        <v>778300</v>
      </c>
      <c r="G35" s="26">
        <f t="shared" si="233"/>
        <v>792300</v>
      </c>
      <c r="H35" s="26">
        <f t="shared" si="233"/>
        <v>797300</v>
      </c>
      <c r="I35" s="26">
        <f t="shared" si="233"/>
        <v>1007300</v>
      </c>
      <c r="J35" s="26">
        <f t="shared" si="233"/>
        <v>1009700</v>
      </c>
      <c r="K35" s="26">
        <f t="shared" si="233"/>
        <v>1214300</v>
      </c>
      <c r="L35" s="26">
        <f t="shared" si="233"/>
        <v>1214300</v>
      </c>
      <c r="M35" s="26">
        <f t="shared" si="233"/>
        <v>1209300</v>
      </c>
      <c r="N35" s="26">
        <f t="shared" si="233"/>
        <v>1199300</v>
      </c>
      <c r="O35" s="26">
        <f t="shared" si="233"/>
        <v>1100300</v>
      </c>
      <c r="P35" s="26">
        <f t="shared" si="1"/>
        <v>12470000</v>
      </c>
      <c r="Q35" s="26">
        <f>SUM(Q7:Q33)</f>
        <v>-903128.78373542801</v>
      </c>
      <c r="S35" s="26">
        <f>SUM(S8:S11,S13,S15:S16,S18:S19,S21,S23,S25,S27:S29,S31:S33)</f>
        <v>254516.83317351583</v>
      </c>
      <c r="U35" s="26">
        <f t="shared" ref="U35:AU35" si="234">SUM(U7:U33)</f>
        <v>996680.28242792969</v>
      </c>
      <c r="V35" s="26">
        <f t="shared" si="234"/>
        <v>995381.6761967534</v>
      </c>
      <c r="W35" s="26">
        <f t="shared" si="234"/>
        <v>721932.30694616819</v>
      </c>
      <c r="X35" s="26">
        <f t="shared" si="234"/>
        <v>734918.36925793276</v>
      </c>
      <c r="Y35" s="26">
        <f t="shared" si="234"/>
        <v>739556.2486549915</v>
      </c>
      <c r="Z35" s="26">
        <f t="shared" si="234"/>
        <v>934347.18333145988</v>
      </c>
      <c r="AA35" s="26">
        <f t="shared" si="234"/>
        <v>936573.36544204818</v>
      </c>
      <c r="AB35" s="26">
        <f t="shared" si="234"/>
        <v>1126355.3903696931</v>
      </c>
      <c r="AC35" s="26">
        <f t="shared" si="234"/>
        <v>1126355.3903696931</v>
      </c>
      <c r="AD35" s="26">
        <f t="shared" si="234"/>
        <v>1121717.5109726342</v>
      </c>
      <c r="AE35" s="26">
        <f t="shared" si="234"/>
        <v>1112441.7521785167</v>
      </c>
      <c r="AF35" s="26">
        <f t="shared" si="234"/>
        <v>1020611.740116753</v>
      </c>
      <c r="AG35" s="26">
        <f t="shared" si="234"/>
        <v>11566871.216264572</v>
      </c>
      <c r="AI35" s="26">
        <f t="shared" si="234"/>
        <v>22517.484207644964</v>
      </c>
      <c r="AJ35" s="26">
        <f t="shared" si="234"/>
        <v>22517.486990372599</v>
      </c>
      <c r="AK35" s="26">
        <f t="shared" si="234"/>
        <v>16036.692879279461</v>
      </c>
      <c r="AL35" s="26">
        <f t="shared" si="234"/>
        <v>16714.45402284804</v>
      </c>
      <c r="AM35" s="26">
        <f t="shared" si="234"/>
        <v>17023.800578631861</v>
      </c>
      <c r="AN35" s="26">
        <f t="shared" si="234"/>
        <v>20546.177223110059</v>
      </c>
      <c r="AO35" s="26">
        <f t="shared" si="234"/>
        <v>20679.148935727248</v>
      </c>
      <c r="AP35" s="26">
        <f t="shared" si="234"/>
        <v>24121.332935126782</v>
      </c>
      <c r="AQ35" s="26">
        <f t="shared" si="234"/>
        <v>24121.332935126782</v>
      </c>
      <c r="AR35" s="26">
        <f t="shared" si="234"/>
        <v>24050.373380351783</v>
      </c>
      <c r="AS35" s="26">
        <f t="shared" si="234"/>
        <v>23908.454270801783</v>
      </c>
      <c r="AT35" s="26">
        <f t="shared" si="234"/>
        <v>22280.094814494449</v>
      </c>
      <c r="AU35" s="26">
        <f t="shared" si="234"/>
        <v>254516.8331735158</v>
      </c>
    </row>
    <row r="36" spans="2:47" x14ac:dyDescent="0.3">
      <c r="C36" s="6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S36" s="26"/>
    </row>
    <row r="37" spans="2:47" x14ac:dyDescent="0.3">
      <c r="B37" s="45" t="s">
        <v>136</v>
      </c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2:47" x14ac:dyDescent="0.3">
      <c r="B38" s="1" t="s">
        <v>211</v>
      </c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3">
        <v>945000</v>
      </c>
      <c r="O38" s="73">
        <v>55000</v>
      </c>
      <c r="P38" s="73">
        <f t="shared" ref="P38:P39" si="235">SUM(D38:O38)</f>
        <v>1000000</v>
      </c>
      <c r="Q38" s="70"/>
      <c r="U38" s="38">
        <f t="shared" ref="U38:U39" si="236">D38*$U$4</f>
        <v>0</v>
      </c>
      <c r="V38" s="38">
        <f t="shared" ref="V38:V39" si="237">E38*$U$4</f>
        <v>0</v>
      </c>
      <c r="W38" s="38">
        <f t="shared" ref="W38:W39" si="238">F38*$U$4</f>
        <v>0</v>
      </c>
      <c r="X38" s="38">
        <f t="shared" ref="X38:X39" si="239">G38*$U$4</f>
        <v>0</v>
      </c>
      <c r="Y38" s="38">
        <f t="shared" ref="Y38:Y39" si="240">H38*$U$4</f>
        <v>0</v>
      </c>
      <c r="Z38" s="38">
        <f t="shared" ref="Z38:Z39" si="241">I38*$U$4</f>
        <v>0</v>
      </c>
      <c r="AA38" s="38">
        <f t="shared" ref="AA38:AA39" si="242">J38*$U$4</f>
        <v>0</v>
      </c>
      <c r="AB38" s="38">
        <f t="shared" ref="AB38:AB39" si="243">K38*$U$4</f>
        <v>0</v>
      </c>
      <c r="AC38" s="38">
        <f t="shared" ref="AC38:AC39" si="244">L38*$U$4</f>
        <v>0</v>
      </c>
      <c r="AD38" s="38">
        <f t="shared" ref="AD38:AD39" si="245">M38*$U$4</f>
        <v>0</v>
      </c>
      <c r="AE38" s="38">
        <f t="shared" ref="AE38:AE39" si="246">N38*$U$4</f>
        <v>876559.20604410756</v>
      </c>
      <c r="AF38" s="38">
        <f t="shared" ref="AF38:AF39" si="247">O38*$U$4</f>
        <v>51016.673367646472</v>
      </c>
      <c r="AG38" s="38">
        <f t="shared" ref="AG38:AG39" si="248">SUM(U38:AF38)</f>
        <v>927575.87941175408</v>
      </c>
    </row>
    <row r="39" spans="2:47" x14ac:dyDescent="0.3">
      <c r="B39" t="s">
        <v>9</v>
      </c>
      <c r="C39" s="69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>
        <f>N$38*$C39</f>
        <v>945000</v>
      </c>
      <c r="O39" s="26">
        <f>O$38*$C39</f>
        <v>55000</v>
      </c>
      <c r="P39" s="70">
        <f t="shared" si="235"/>
        <v>1000000</v>
      </c>
      <c r="Q39" s="26">
        <f>P39*$Q$4</f>
        <v>-72424.12058824602</v>
      </c>
      <c r="R39" s="74">
        <f>VLOOKUP(B39,'Depreciation Rates'!C:D,2,FALSE)</f>
        <v>2.4800000000000003E-2</v>
      </c>
      <c r="S39" s="26">
        <f t="shared" ref="S39" si="249">SUM(P39+Q39)*R39</f>
        <v>23003.881809411501</v>
      </c>
      <c r="U39" s="38">
        <f t="shared" si="236"/>
        <v>0</v>
      </c>
      <c r="V39" s="38">
        <f t="shared" si="237"/>
        <v>0</v>
      </c>
      <c r="W39" s="38">
        <f t="shared" si="238"/>
        <v>0</v>
      </c>
      <c r="X39" s="38">
        <f t="shared" si="239"/>
        <v>0</v>
      </c>
      <c r="Y39" s="38">
        <f t="shared" si="240"/>
        <v>0</v>
      </c>
      <c r="Z39" s="38">
        <f t="shared" si="241"/>
        <v>0</v>
      </c>
      <c r="AA39" s="38">
        <f t="shared" si="242"/>
        <v>0</v>
      </c>
      <c r="AB39" s="38">
        <f t="shared" si="243"/>
        <v>0</v>
      </c>
      <c r="AC39" s="38">
        <f t="shared" si="244"/>
        <v>0</v>
      </c>
      <c r="AD39" s="38">
        <f t="shared" si="245"/>
        <v>0</v>
      </c>
      <c r="AE39" s="38">
        <f t="shared" si="246"/>
        <v>876559.20604410756</v>
      </c>
      <c r="AF39" s="38">
        <f t="shared" si="247"/>
        <v>51016.673367646472</v>
      </c>
      <c r="AG39" s="38">
        <f t="shared" si="248"/>
        <v>927575.87941175408</v>
      </c>
      <c r="AI39" s="38">
        <f t="shared" ref="AI39" si="250">U39*$R39</f>
        <v>0</v>
      </c>
      <c r="AJ39" s="38">
        <f t="shared" ref="AJ39" si="251">V39*$R39</f>
        <v>0</v>
      </c>
      <c r="AK39" s="38">
        <f t="shared" ref="AK39" si="252">W39*$R39</f>
        <v>0</v>
      </c>
      <c r="AL39" s="38">
        <f t="shared" ref="AL39" si="253">X39*$R39</f>
        <v>0</v>
      </c>
      <c r="AM39" s="38">
        <f t="shared" ref="AM39" si="254">Y39*$R39</f>
        <v>0</v>
      </c>
      <c r="AN39" s="38">
        <f t="shared" ref="AN39" si="255">Z39*$R39</f>
        <v>0</v>
      </c>
      <c r="AO39" s="38">
        <f t="shared" ref="AO39" si="256">AA39*$R39</f>
        <v>0</v>
      </c>
      <c r="AP39" s="38">
        <f t="shared" ref="AP39" si="257">AB39*$R39</f>
        <v>0</v>
      </c>
      <c r="AQ39" s="38">
        <f t="shared" ref="AQ39" si="258">AC39*$R39</f>
        <v>0</v>
      </c>
      <c r="AR39" s="38">
        <f t="shared" ref="AR39" si="259">AD39*$R39</f>
        <v>0</v>
      </c>
      <c r="AS39" s="38">
        <f t="shared" ref="AS39" si="260">AE39*$R39</f>
        <v>21738.66830989387</v>
      </c>
      <c r="AT39" s="38">
        <f t="shared" ref="AT39" si="261">AF39*$R39</f>
        <v>1265.2134995176327</v>
      </c>
      <c r="AU39" s="38">
        <f t="shared" ref="AU39" si="262">SUM(AI39:AT39)</f>
        <v>23003.881809411501</v>
      </c>
    </row>
    <row r="40" spans="2:47" x14ac:dyDescent="0.3">
      <c r="B40" s="45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2:47" x14ac:dyDescent="0.3">
      <c r="C41" s="6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2:47" ht="15" thickBot="1" x14ac:dyDescent="0.35">
      <c r="C42" s="69"/>
      <c r="D42" s="29">
        <f>D35+D39</f>
        <v>1074500</v>
      </c>
      <c r="E42" s="29">
        <f t="shared" ref="E42:AU42" si="263">E35+E39</f>
        <v>1073100</v>
      </c>
      <c r="F42" s="29">
        <f t="shared" si="263"/>
        <v>778300</v>
      </c>
      <c r="G42" s="29">
        <f t="shared" si="263"/>
        <v>792300</v>
      </c>
      <c r="H42" s="29">
        <f t="shared" si="263"/>
        <v>797300</v>
      </c>
      <c r="I42" s="29">
        <f t="shared" si="263"/>
        <v>1007300</v>
      </c>
      <c r="J42" s="29">
        <f t="shared" si="263"/>
        <v>1009700</v>
      </c>
      <c r="K42" s="29">
        <f t="shared" si="263"/>
        <v>1214300</v>
      </c>
      <c r="L42" s="29">
        <f t="shared" si="263"/>
        <v>1214300</v>
      </c>
      <c r="M42" s="29">
        <f t="shared" si="263"/>
        <v>1209300</v>
      </c>
      <c r="N42" s="29">
        <f t="shared" si="263"/>
        <v>2144300</v>
      </c>
      <c r="O42" s="29">
        <f t="shared" si="263"/>
        <v>1155300</v>
      </c>
      <c r="P42" s="29">
        <f t="shared" si="263"/>
        <v>13470000</v>
      </c>
      <c r="Q42" s="29">
        <f>Q35+Q39</f>
        <v>-975552.90432367404</v>
      </c>
      <c r="S42" s="29">
        <f t="shared" si="263"/>
        <v>277520.71498292731</v>
      </c>
      <c r="U42" s="29">
        <f t="shared" si="263"/>
        <v>996680.28242792969</v>
      </c>
      <c r="V42" s="29">
        <f t="shared" si="263"/>
        <v>995381.6761967534</v>
      </c>
      <c r="W42" s="29">
        <f t="shared" si="263"/>
        <v>721932.30694616819</v>
      </c>
      <c r="X42" s="29">
        <f t="shared" si="263"/>
        <v>734918.36925793276</v>
      </c>
      <c r="Y42" s="29">
        <f t="shared" si="263"/>
        <v>739556.2486549915</v>
      </c>
      <c r="Z42" s="29">
        <f t="shared" si="263"/>
        <v>934347.18333145988</v>
      </c>
      <c r="AA42" s="29">
        <f t="shared" si="263"/>
        <v>936573.36544204818</v>
      </c>
      <c r="AB42" s="29">
        <f t="shared" si="263"/>
        <v>1126355.3903696931</v>
      </c>
      <c r="AC42" s="29">
        <f t="shared" si="263"/>
        <v>1126355.3903696931</v>
      </c>
      <c r="AD42" s="29">
        <f t="shared" si="263"/>
        <v>1121717.5109726342</v>
      </c>
      <c r="AE42" s="29">
        <f t="shared" si="263"/>
        <v>1989000.9582226244</v>
      </c>
      <c r="AF42" s="29">
        <f t="shared" si="263"/>
        <v>1071628.4134843994</v>
      </c>
      <c r="AG42" s="29">
        <f t="shared" si="263"/>
        <v>12494447.095676325</v>
      </c>
      <c r="AI42" s="29">
        <f t="shared" si="263"/>
        <v>22517.484207644964</v>
      </c>
      <c r="AJ42" s="29">
        <f t="shared" si="263"/>
        <v>22517.486990372599</v>
      </c>
      <c r="AK42" s="29">
        <f t="shared" si="263"/>
        <v>16036.692879279461</v>
      </c>
      <c r="AL42" s="29">
        <f t="shared" si="263"/>
        <v>16714.45402284804</v>
      </c>
      <c r="AM42" s="29">
        <f t="shared" si="263"/>
        <v>17023.800578631861</v>
      </c>
      <c r="AN42" s="29">
        <f t="shared" si="263"/>
        <v>20546.177223110059</v>
      </c>
      <c r="AO42" s="29">
        <f t="shared" si="263"/>
        <v>20679.148935727248</v>
      </c>
      <c r="AP42" s="29">
        <f t="shared" si="263"/>
        <v>24121.332935126782</v>
      </c>
      <c r="AQ42" s="29">
        <f t="shared" si="263"/>
        <v>24121.332935126782</v>
      </c>
      <c r="AR42" s="29">
        <f t="shared" si="263"/>
        <v>24050.373380351783</v>
      </c>
      <c r="AS42" s="29">
        <f t="shared" si="263"/>
        <v>45647.12258069565</v>
      </c>
      <c r="AT42" s="29">
        <f t="shared" si="263"/>
        <v>23545.30831401208</v>
      </c>
      <c r="AU42" s="29">
        <f t="shared" si="263"/>
        <v>277520.71498292731</v>
      </c>
    </row>
    <row r="43" spans="2:47" ht="15" thickTop="1" x14ac:dyDescent="0.3">
      <c r="C43" s="69"/>
    </row>
    <row r="44" spans="2:47" x14ac:dyDescent="0.3">
      <c r="C44" s="69"/>
      <c r="D44" s="86">
        <v>2020</v>
      </c>
      <c r="E44" s="87"/>
      <c r="F44" s="87"/>
      <c r="G44" s="87"/>
      <c r="H44" s="87"/>
      <c r="I44" s="88"/>
      <c r="J44" s="86">
        <v>2021</v>
      </c>
      <c r="K44" s="87"/>
      <c r="L44" s="87"/>
      <c r="M44" s="87"/>
      <c r="N44" s="87"/>
      <c r="O44" s="88"/>
    </row>
    <row r="45" spans="2:47" x14ac:dyDescent="0.3">
      <c r="B45" s="45" t="s">
        <v>137</v>
      </c>
      <c r="C45" s="69"/>
      <c r="D45" s="61" t="s">
        <v>114</v>
      </c>
      <c r="E45" s="61" t="s">
        <v>115</v>
      </c>
      <c r="F45" s="61" t="s">
        <v>116</v>
      </c>
      <c r="G45" s="61" t="s">
        <v>117</v>
      </c>
      <c r="H45" s="61" t="s">
        <v>118</v>
      </c>
      <c r="I45" s="61" t="s">
        <v>119</v>
      </c>
      <c r="J45" s="61" t="s">
        <v>120</v>
      </c>
      <c r="K45" s="61" t="s">
        <v>121</v>
      </c>
      <c r="L45" s="61" t="s">
        <v>122</v>
      </c>
      <c r="M45" s="61" t="s">
        <v>123</v>
      </c>
      <c r="N45" s="61" t="s">
        <v>124</v>
      </c>
      <c r="O45" s="61" t="s">
        <v>125</v>
      </c>
      <c r="P45" s="61" t="s">
        <v>126</v>
      </c>
      <c r="Q45" s="77"/>
    </row>
    <row r="46" spans="2:47" s="17" customFormat="1" x14ac:dyDescent="0.3">
      <c r="B46" s="17" t="s">
        <v>127</v>
      </c>
      <c r="C46" s="69"/>
      <c r="D46" s="27">
        <f t="shared" ref="D46:O46" si="264">D7*$E$62</f>
        <v>25000</v>
      </c>
      <c r="E46" s="27">
        <f t="shared" si="264"/>
        <v>25000</v>
      </c>
      <c r="F46" s="27">
        <f t="shared" si="264"/>
        <v>20000</v>
      </c>
      <c r="G46" s="27">
        <f t="shared" si="264"/>
        <v>20000</v>
      </c>
      <c r="H46" s="27">
        <f t="shared" si="264"/>
        <v>20000</v>
      </c>
      <c r="I46" s="27">
        <f t="shared" si="264"/>
        <v>30000</v>
      </c>
      <c r="J46" s="27">
        <f t="shared" si="264"/>
        <v>30000</v>
      </c>
      <c r="K46" s="27">
        <f t="shared" si="264"/>
        <v>40000</v>
      </c>
      <c r="L46" s="27">
        <f t="shared" si="264"/>
        <v>40000</v>
      </c>
      <c r="M46" s="27">
        <f t="shared" si="264"/>
        <v>40000</v>
      </c>
      <c r="N46" s="27">
        <f t="shared" si="264"/>
        <v>40000</v>
      </c>
      <c r="O46" s="27">
        <f t="shared" si="264"/>
        <v>35000</v>
      </c>
      <c r="P46" s="27">
        <f>SUM(D46:O46)</f>
        <v>365000</v>
      </c>
      <c r="Q46" s="27"/>
    </row>
    <row r="47" spans="2:47" s="17" customFormat="1" x14ac:dyDescent="0.3">
      <c r="B47" s="17" t="s">
        <v>128</v>
      </c>
      <c r="C47" s="69"/>
      <c r="D47" s="26">
        <f t="shared" ref="D47:O47" si="265">D12*$E$63</f>
        <v>19470</v>
      </c>
      <c r="E47" s="26">
        <f t="shared" si="265"/>
        <v>15400</v>
      </c>
      <c r="F47" s="26">
        <f t="shared" si="265"/>
        <v>15400</v>
      </c>
      <c r="G47" s="26">
        <f t="shared" si="265"/>
        <v>15400</v>
      </c>
      <c r="H47" s="26">
        <f t="shared" si="265"/>
        <v>15400</v>
      </c>
      <c r="I47" s="26">
        <f t="shared" si="265"/>
        <v>17600</v>
      </c>
      <c r="J47" s="26">
        <f t="shared" si="265"/>
        <v>17600</v>
      </c>
      <c r="K47" s="26">
        <f t="shared" si="265"/>
        <v>18700</v>
      </c>
      <c r="L47" s="26">
        <f t="shared" si="265"/>
        <v>18700</v>
      </c>
      <c r="M47" s="26">
        <f t="shared" si="265"/>
        <v>17600</v>
      </c>
      <c r="N47" s="26">
        <f t="shared" si="265"/>
        <v>15400</v>
      </c>
      <c r="O47" s="26">
        <f t="shared" si="265"/>
        <v>15400</v>
      </c>
      <c r="P47" s="26">
        <f t="shared" ref="P47:P51" si="266">SUM(D47:O47)</f>
        <v>202070</v>
      </c>
      <c r="Q47" s="26"/>
    </row>
    <row r="48" spans="2:47" s="17" customFormat="1" x14ac:dyDescent="0.3">
      <c r="B48" s="17" t="s">
        <v>129</v>
      </c>
      <c r="C48" s="69"/>
      <c r="D48" s="26">
        <f t="shared" ref="D48:O48" si="267">D14*$E$64</f>
        <v>3000</v>
      </c>
      <c r="E48" s="26">
        <f t="shared" si="267"/>
        <v>3000</v>
      </c>
      <c r="F48" s="26">
        <f t="shared" si="267"/>
        <v>3800</v>
      </c>
      <c r="G48" s="26">
        <f t="shared" si="267"/>
        <v>4200</v>
      </c>
      <c r="H48" s="26">
        <f t="shared" si="267"/>
        <v>4200</v>
      </c>
      <c r="I48" s="26">
        <f t="shared" si="267"/>
        <v>4200</v>
      </c>
      <c r="J48" s="26">
        <f t="shared" si="267"/>
        <v>4200</v>
      </c>
      <c r="K48" s="26">
        <f t="shared" si="267"/>
        <v>4200</v>
      </c>
      <c r="L48" s="26">
        <f t="shared" si="267"/>
        <v>4200</v>
      </c>
      <c r="M48" s="26">
        <f t="shared" si="267"/>
        <v>4200</v>
      </c>
      <c r="N48" s="26">
        <f t="shared" si="267"/>
        <v>4200</v>
      </c>
      <c r="O48" s="26">
        <f t="shared" si="267"/>
        <v>4200</v>
      </c>
      <c r="P48" s="26">
        <f t="shared" si="266"/>
        <v>47600</v>
      </c>
      <c r="Q48" s="26"/>
    </row>
    <row r="49" spans="2:17" s="17" customFormat="1" x14ac:dyDescent="0.3">
      <c r="B49" s="17" t="s">
        <v>130</v>
      </c>
      <c r="C49" s="69"/>
      <c r="D49" s="26">
        <f t="shared" ref="D49:O49" si="268">D17*$E$65</f>
        <v>17825</v>
      </c>
      <c r="E49" s="26">
        <f t="shared" si="268"/>
        <v>11780</v>
      </c>
      <c r="F49" s="26">
        <f t="shared" si="268"/>
        <v>13020</v>
      </c>
      <c r="G49" s="26">
        <f t="shared" si="268"/>
        <v>13020</v>
      </c>
      <c r="H49" s="26">
        <f t="shared" si="268"/>
        <v>13020</v>
      </c>
      <c r="I49" s="26">
        <f t="shared" si="268"/>
        <v>13020</v>
      </c>
      <c r="J49" s="26">
        <f t="shared" si="268"/>
        <v>13020</v>
      </c>
      <c r="K49" s="26">
        <f t="shared" si="268"/>
        <v>13020</v>
      </c>
      <c r="L49" s="26">
        <f t="shared" si="268"/>
        <v>13020</v>
      </c>
      <c r="M49" s="26">
        <f t="shared" si="268"/>
        <v>13020</v>
      </c>
      <c r="N49" s="26">
        <f t="shared" si="268"/>
        <v>13020</v>
      </c>
      <c r="O49" s="26">
        <f t="shared" si="268"/>
        <v>13020</v>
      </c>
      <c r="P49" s="26">
        <f t="shared" si="266"/>
        <v>159805</v>
      </c>
      <c r="Q49" s="26"/>
    </row>
    <row r="50" spans="2:17" s="17" customFormat="1" x14ac:dyDescent="0.3">
      <c r="B50" s="17" t="s">
        <v>131</v>
      </c>
      <c r="C50" s="69"/>
      <c r="D50" s="26">
        <f t="shared" ref="D50:O50" si="269">D20*$G$62</f>
        <v>21390</v>
      </c>
      <c r="E50" s="26">
        <f t="shared" si="269"/>
        <v>12400</v>
      </c>
      <c r="F50" s="26">
        <f t="shared" si="269"/>
        <v>13950</v>
      </c>
      <c r="G50" s="26">
        <f t="shared" si="269"/>
        <v>13950</v>
      </c>
      <c r="H50" s="26">
        <f t="shared" si="269"/>
        <v>13950</v>
      </c>
      <c r="I50" s="26">
        <f t="shared" si="269"/>
        <v>13950</v>
      </c>
      <c r="J50" s="26">
        <f t="shared" si="269"/>
        <v>13950</v>
      </c>
      <c r="K50" s="26">
        <f t="shared" si="269"/>
        <v>13950</v>
      </c>
      <c r="L50" s="26">
        <f t="shared" si="269"/>
        <v>13950</v>
      </c>
      <c r="M50" s="26">
        <f t="shared" si="269"/>
        <v>13950</v>
      </c>
      <c r="N50" s="26">
        <f t="shared" si="269"/>
        <v>13950</v>
      </c>
      <c r="O50" s="26">
        <f t="shared" si="269"/>
        <v>13950</v>
      </c>
      <c r="P50" s="26">
        <f t="shared" si="266"/>
        <v>173290</v>
      </c>
      <c r="Q50" s="26"/>
    </row>
    <row r="51" spans="2:17" s="17" customFormat="1" x14ac:dyDescent="0.3">
      <c r="B51" s="17" t="s">
        <v>132</v>
      </c>
      <c r="C51" s="69"/>
      <c r="D51" s="26">
        <f t="shared" ref="D51:O51" si="270">D22*$G$63</f>
        <v>16250</v>
      </c>
      <c r="E51" s="26">
        <f t="shared" si="270"/>
        <v>13000</v>
      </c>
      <c r="F51" s="26">
        <f t="shared" si="270"/>
        <v>13000</v>
      </c>
      <c r="G51" s="26">
        <f t="shared" si="270"/>
        <v>13000</v>
      </c>
      <c r="H51" s="26">
        <f t="shared" si="270"/>
        <v>13000</v>
      </c>
      <c r="I51" s="26">
        <f t="shared" si="270"/>
        <v>13000</v>
      </c>
      <c r="J51" s="26">
        <f t="shared" si="270"/>
        <v>13000</v>
      </c>
      <c r="K51" s="26">
        <f t="shared" si="270"/>
        <v>13000</v>
      </c>
      <c r="L51" s="26">
        <f t="shared" si="270"/>
        <v>13000</v>
      </c>
      <c r="M51" s="26">
        <f t="shared" si="270"/>
        <v>13000</v>
      </c>
      <c r="N51" s="26">
        <f t="shared" si="270"/>
        <v>13000</v>
      </c>
      <c r="O51" s="26">
        <f t="shared" si="270"/>
        <v>13000</v>
      </c>
      <c r="P51" s="26">
        <f t="shared" si="266"/>
        <v>159250</v>
      </c>
      <c r="Q51" s="26"/>
    </row>
    <row r="52" spans="2:17" s="17" customFormat="1" x14ac:dyDescent="0.3">
      <c r="B52" s="17" t="s">
        <v>133</v>
      </c>
      <c r="C52" s="6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2:17" s="17" customFormat="1" x14ac:dyDescent="0.3">
      <c r="B53" s="17" t="s">
        <v>134</v>
      </c>
      <c r="C53" s="6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2:17" s="17" customFormat="1" x14ac:dyDescent="0.3">
      <c r="B54" s="17" t="s">
        <v>135</v>
      </c>
      <c r="C54" s="16"/>
      <c r="D54" s="28">
        <f t="shared" ref="D54:O54" si="271">D30*$G$64</f>
        <v>19500</v>
      </c>
      <c r="E54" s="28">
        <f t="shared" si="271"/>
        <v>28000</v>
      </c>
      <c r="F54" s="28">
        <f t="shared" si="271"/>
        <v>6250</v>
      </c>
      <c r="G54" s="28">
        <f t="shared" si="271"/>
        <v>6250</v>
      </c>
      <c r="H54" s="28">
        <f t="shared" si="271"/>
        <v>6250</v>
      </c>
      <c r="I54" s="28">
        <f t="shared" si="271"/>
        <v>6250</v>
      </c>
      <c r="J54" s="28">
        <f t="shared" si="271"/>
        <v>6250</v>
      </c>
      <c r="K54" s="28">
        <f t="shared" si="271"/>
        <v>6250</v>
      </c>
      <c r="L54" s="28">
        <f t="shared" si="271"/>
        <v>6250</v>
      </c>
      <c r="M54" s="28">
        <f t="shared" si="271"/>
        <v>6250</v>
      </c>
      <c r="N54" s="28">
        <f t="shared" si="271"/>
        <v>6250</v>
      </c>
      <c r="O54" s="28">
        <f t="shared" si="271"/>
        <v>6250</v>
      </c>
      <c r="P54" s="28">
        <f t="shared" ref="P54" si="272">SUM(D54:O54)</f>
        <v>110000</v>
      </c>
      <c r="Q54" s="70"/>
    </row>
    <row r="55" spans="2:17" s="17" customFormat="1" x14ac:dyDescent="0.3">
      <c r="C55" s="16"/>
      <c r="D55" s="26">
        <f>SUM(D46:D54)</f>
        <v>122435</v>
      </c>
      <c r="E55" s="26">
        <f t="shared" ref="E55:P55" si="273">SUM(E46:E54)</f>
        <v>108580</v>
      </c>
      <c r="F55" s="26">
        <f t="shared" si="273"/>
        <v>85420</v>
      </c>
      <c r="G55" s="26">
        <f t="shared" si="273"/>
        <v>85820</v>
      </c>
      <c r="H55" s="26">
        <f t="shared" si="273"/>
        <v>85820</v>
      </c>
      <c r="I55" s="26">
        <f t="shared" si="273"/>
        <v>98020</v>
      </c>
      <c r="J55" s="26">
        <f t="shared" si="273"/>
        <v>98020</v>
      </c>
      <c r="K55" s="26">
        <f t="shared" si="273"/>
        <v>109120</v>
      </c>
      <c r="L55" s="26">
        <f t="shared" si="273"/>
        <v>109120</v>
      </c>
      <c r="M55" s="26">
        <f t="shared" si="273"/>
        <v>108020</v>
      </c>
      <c r="N55" s="26">
        <f t="shared" si="273"/>
        <v>105820</v>
      </c>
      <c r="O55" s="26">
        <f t="shared" si="273"/>
        <v>100820</v>
      </c>
      <c r="P55" s="26">
        <f t="shared" si="273"/>
        <v>1217015</v>
      </c>
      <c r="Q55" s="26"/>
    </row>
    <row r="56" spans="2:17" s="17" customFormat="1" x14ac:dyDescent="0.3">
      <c r="C56" s="1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2:17" s="17" customFormat="1" x14ac:dyDescent="0.3">
      <c r="B57" s="14" t="s">
        <v>211</v>
      </c>
      <c r="C57" s="1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>
        <v>75000</v>
      </c>
      <c r="O57" s="26"/>
      <c r="P57" s="26">
        <f t="shared" ref="P57" si="274">SUM(D57:O57)</f>
        <v>75000</v>
      </c>
      <c r="Q57" s="26"/>
    </row>
    <row r="58" spans="2:17" ht="15" thickBot="1" x14ac:dyDescent="0.35">
      <c r="D58" s="29">
        <f>SUM(D55:D57)</f>
        <v>122435</v>
      </c>
      <c r="E58" s="29">
        <f t="shared" ref="E58:P58" si="275">SUM(E55:E57)</f>
        <v>108580</v>
      </c>
      <c r="F58" s="29">
        <f t="shared" si="275"/>
        <v>85420</v>
      </c>
      <c r="G58" s="29">
        <f t="shared" si="275"/>
        <v>85820</v>
      </c>
      <c r="H58" s="29">
        <f t="shared" si="275"/>
        <v>85820</v>
      </c>
      <c r="I58" s="29">
        <f t="shared" si="275"/>
        <v>98020</v>
      </c>
      <c r="J58" s="29">
        <f t="shared" si="275"/>
        <v>98020</v>
      </c>
      <c r="K58" s="29">
        <f t="shared" si="275"/>
        <v>109120</v>
      </c>
      <c r="L58" s="29">
        <f t="shared" si="275"/>
        <v>109120</v>
      </c>
      <c r="M58" s="29">
        <f t="shared" si="275"/>
        <v>108020</v>
      </c>
      <c r="N58" s="29">
        <f t="shared" si="275"/>
        <v>180820</v>
      </c>
      <c r="O58" s="29">
        <f t="shared" si="275"/>
        <v>100820</v>
      </c>
      <c r="P58" s="29">
        <f t="shared" si="275"/>
        <v>1292015</v>
      </c>
      <c r="Q58" s="76"/>
    </row>
    <row r="59" spans="2:17" ht="15.6" thickTop="1" thickBot="1" x14ac:dyDescent="0.35"/>
    <row r="60" spans="2:17" x14ac:dyDescent="0.3">
      <c r="D60" s="92" t="s">
        <v>138</v>
      </c>
      <c r="E60" s="93"/>
      <c r="F60" s="93"/>
      <c r="G60" s="94"/>
    </row>
    <row r="61" spans="2:17" x14ac:dyDescent="0.3">
      <c r="D61" s="89" t="s">
        <v>139</v>
      </c>
      <c r="E61" s="90"/>
      <c r="F61" s="90"/>
      <c r="G61" s="91"/>
    </row>
    <row r="62" spans="2:17" x14ac:dyDescent="0.3">
      <c r="D62" s="51" t="s">
        <v>82</v>
      </c>
      <c r="E62" s="52">
        <v>0.05</v>
      </c>
      <c r="F62" s="53" t="s">
        <v>86</v>
      </c>
      <c r="G62" s="54">
        <v>0.31</v>
      </c>
    </row>
    <row r="63" spans="2:17" x14ac:dyDescent="0.3">
      <c r="D63" s="51" t="s">
        <v>83</v>
      </c>
      <c r="E63" s="52">
        <v>0.22</v>
      </c>
      <c r="F63" s="53" t="s">
        <v>87</v>
      </c>
      <c r="G63" s="54">
        <v>0.13</v>
      </c>
    </row>
    <row r="64" spans="2:17" x14ac:dyDescent="0.3">
      <c r="D64" s="55" t="s">
        <v>84</v>
      </c>
      <c r="E64" s="56">
        <v>0.1</v>
      </c>
      <c r="F64" s="53" t="s">
        <v>88</v>
      </c>
      <c r="G64" s="54">
        <v>0.1</v>
      </c>
    </row>
    <row r="65" spans="2:16" ht="15" thickBot="1" x14ac:dyDescent="0.35">
      <c r="D65" s="57" t="s">
        <v>85</v>
      </c>
      <c r="E65" s="58">
        <v>0.31</v>
      </c>
      <c r="F65" s="59"/>
      <c r="G65" s="60"/>
    </row>
    <row r="69" spans="2:16" x14ac:dyDescent="0.3">
      <c r="B69" s="45" t="s">
        <v>95</v>
      </c>
      <c r="D69" s="27">
        <f>D42*$Q$4</f>
        <v>-77819.717572070338</v>
      </c>
      <c r="E69" s="27">
        <f t="shared" ref="E69:O69" si="276">E42*$Q$4</f>
        <v>-77718.323803246793</v>
      </c>
      <c r="F69" s="27">
        <f t="shared" si="276"/>
        <v>-56367.693053831877</v>
      </c>
      <c r="G69" s="27">
        <f t="shared" si="276"/>
        <v>-57381.630742067318</v>
      </c>
      <c r="H69" s="27">
        <f t="shared" si="276"/>
        <v>-57743.751345008546</v>
      </c>
      <c r="I69" s="27">
        <f t="shared" si="276"/>
        <v>-72952.81666854021</v>
      </c>
      <c r="J69" s="27">
        <f t="shared" si="276"/>
        <v>-73126.634557951998</v>
      </c>
      <c r="K69" s="27">
        <f t="shared" si="276"/>
        <v>-87944.609630307139</v>
      </c>
      <c r="L69" s="27">
        <f t="shared" si="276"/>
        <v>-87944.609630307139</v>
      </c>
      <c r="M69" s="27">
        <f t="shared" si="276"/>
        <v>-87582.489027365911</v>
      </c>
      <c r="N69" s="27">
        <f t="shared" si="276"/>
        <v>-155299.04177737594</v>
      </c>
      <c r="O69" s="27">
        <f t="shared" si="276"/>
        <v>-83671.586515600618</v>
      </c>
      <c r="P69" s="80">
        <f>SUM(D69:O69)</f>
        <v>-975552.90432367381</v>
      </c>
    </row>
  </sheetData>
  <mergeCells count="12">
    <mergeCell ref="AI3:AU3"/>
    <mergeCell ref="U3:AG3"/>
    <mergeCell ref="D61:G61"/>
    <mergeCell ref="U5:Z5"/>
    <mergeCell ref="AA5:AF5"/>
    <mergeCell ref="AI5:AN5"/>
    <mergeCell ref="AO5:AT5"/>
    <mergeCell ref="D5:I5"/>
    <mergeCell ref="J5:O5"/>
    <mergeCell ref="D44:I44"/>
    <mergeCell ref="J44:O44"/>
    <mergeCell ref="D60:G60"/>
  </mergeCells>
  <pageMargins left="0.7" right="0.7" top="0.75" bottom="0.75" header="0.3" footer="0.3"/>
  <pageSetup scale="54" fitToWidth="3" fitToHeight="2" orientation="landscape" verticalDpi="0" r:id="rId1"/>
  <rowBreaks count="1" manualBreakCount="1">
    <brk id="43" max="46" man="1"/>
  </rowBreaks>
  <colBreaks count="2" manualBreakCount="2">
    <brk id="19" max="64" man="1"/>
    <brk id="33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C7465-7721-45C4-BCF5-B5B31E8F1423}">
  <sheetPr>
    <pageSetUpPr fitToPage="1"/>
  </sheetPr>
  <dimension ref="A1:BK8"/>
  <sheetViews>
    <sheetView zoomScale="80" zoomScaleNormal="80" workbookViewId="0"/>
  </sheetViews>
  <sheetFormatPr defaultColWidth="8.88671875" defaultRowHeight="14.4" x14ac:dyDescent="0.3"/>
  <cols>
    <col min="1" max="2" width="8.88671875" style="39"/>
    <col min="3" max="3" width="1.6640625" style="39" customWidth="1"/>
    <col min="4" max="4" width="12.44140625" style="39" bestFit="1" customWidth="1"/>
    <col min="5" max="5" width="14.109375" style="39" customWidth="1"/>
    <col min="6" max="6" width="7.6640625" style="39" bestFit="1" customWidth="1"/>
    <col min="7" max="7" width="1.6640625" style="39" customWidth="1"/>
    <col min="8" max="8" width="12.44140625" style="39" bestFit="1" customWidth="1"/>
    <col min="9" max="9" width="13.109375" style="39" customWidth="1"/>
    <col min="10" max="10" width="7.6640625" style="39" bestFit="1" customWidth="1"/>
    <col min="11" max="11" width="1.6640625" style="39" customWidth="1"/>
    <col min="12" max="13" width="14.109375" style="39" bestFit="1" customWidth="1"/>
    <col min="14" max="14" width="1.6640625" style="39" customWidth="1"/>
    <col min="15" max="15" width="12.44140625" style="39" bestFit="1" customWidth="1"/>
    <col min="16" max="16" width="13" style="39" customWidth="1"/>
    <col min="17" max="17" width="6.6640625" style="39" bestFit="1" customWidth="1"/>
    <col min="18" max="18" width="1.6640625" style="39" customWidth="1"/>
    <col min="19" max="19" width="12.44140625" style="39" bestFit="1" customWidth="1"/>
    <col min="20" max="20" width="13" style="39" customWidth="1"/>
    <col min="21" max="21" width="6.6640625" style="39" bestFit="1" customWidth="1"/>
    <col min="22" max="22" width="1.6640625" style="39" customWidth="1"/>
    <col min="23" max="23" width="12.44140625" style="39" bestFit="1" customWidth="1"/>
    <col min="24" max="24" width="13" style="39" customWidth="1"/>
    <col min="25" max="25" width="6.6640625" style="39" bestFit="1" customWidth="1"/>
    <col min="26" max="26" width="1.6640625" style="39" customWidth="1"/>
    <col min="27" max="27" width="12.44140625" style="39" bestFit="1" customWidth="1"/>
    <col min="28" max="28" width="13" style="39" customWidth="1"/>
    <col min="29" max="29" width="6.6640625" style="39" bestFit="1" customWidth="1"/>
    <col min="30" max="30" width="1.6640625" style="39" customWidth="1"/>
    <col min="31" max="31" width="13.33203125" style="39" bestFit="1" customWidth="1"/>
    <col min="32" max="32" width="1.6640625" style="39" customWidth="1"/>
    <col min="33" max="33" width="12.44140625" style="39" bestFit="1" customWidth="1"/>
    <col min="34" max="34" width="13" style="39" customWidth="1"/>
    <col min="35" max="35" width="6.6640625" style="39" bestFit="1" customWidth="1"/>
    <col min="36" max="36" width="1.6640625" style="39" customWidth="1"/>
    <col min="37" max="37" width="11.44140625" style="39" bestFit="1" customWidth="1"/>
    <col min="38" max="38" width="1.6640625" style="39" customWidth="1"/>
    <col min="39" max="39" width="12.44140625" style="39" bestFit="1" customWidth="1"/>
    <col min="40" max="40" width="13" style="39" customWidth="1"/>
    <col min="41" max="41" width="6.6640625" style="39" bestFit="1" customWidth="1"/>
    <col min="42" max="42" width="1.6640625" style="39" customWidth="1"/>
    <col min="43" max="43" width="12.44140625" style="39" bestFit="1" customWidth="1"/>
    <col min="44" max="44" width="13" style="39" customWidth="1"/>
    <col min="45" max="45" width="6.6640625" style="39" bestFit="1" customWidth="1"/>
    <col min="46" max="46" width="1.6640625" style="39" customWidth="1"/>
    <col min="47" max="47" width="12.44140625" style="39" bestFit="1" customWidth="1"/>
    <col min="48" max="48" width="13" style="39" customWidth="1"/>
    <col min="49" max="49" width="6.6640625" style="39" bestFit="1" customWidth="1"/>
    <col min="50" max="50" width="1.6640625" style="39" customWidth="1"/>
    <col min="51" max="51" width="12.44140625" style="39" bestFit="1" customWidth="1"/>
    <col min="52" max="52" width="13" style="39" customWidth="1"/>
    <col min="53" max="53" width="6.6640625" style="39" bestFit="1" customWidth="1"/>
    <col min="54" max="54" width="1.6640625" style="39" customWidth="1"/>
    <col min="55" max="55" width="12.44140625" style="39" bestFit="1" customWidth="1"/>
    <col min="56" max="56" width="13" style="39" customWidth="1"/>
    <col min="57" max="57" width="7.6640625" style="39" bestFit="1" customWidth="1"/>
    <col min="58" max="58" width="1.6640625" style="39" customWidth="1"/>
    <col min="59" max="59" width="12.44140625" style="39" bestFit="1" customWidth="1"/>
    <col min="60" max="60" width="13" style="39" customWidth="1"/>
    <col min="61" max="61" width="7.6640625" style="39" bestFit="1" customWidth="1"/>
    <col min="62" max="62" width="1.6640625" style="39" customWidth="1"/>
    <col min="63" max="16384" width="8.88671875" style="39"/>
  </cols>
  <sheetData>
    <row r="1" spans="1:63" x14ac:dyDescent="0.3">
      <c r="A1" s="45" t="s">
        <v>148</v>
      </c>
      <c r="C1" s="17"/>
      <c r="D1" s="17"/>
      <c r="E1" s="17"/>
      <c r="F1" s="25"/>
      <c r="G1" s="17"/>
      <c r="H1" s="17"/>
      <c r="I1" s="17"/>
      <c r="J1" s="25"/>
      <c r="K1" s="25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44"/>
      <c r="AL1" s="17"/>
      <c r="AM1" s="44"/>
      <c r="AP1" s="17"/>
      <c r="AQ1" s="44"/>
      <c r="AT1" s="17"/>
      <c r="AU1" s="44"/>
      <c r="AY1" s="44"/>
      <c r="BC1" s="44"/>
    </row>
    <row r="2" spans="1:63" x14ac:dyDescent="0.3">
      <c r="A2" s="45" t="s">
        <v>149</v>
      </c>
      <c r="C2" s="17"/>
      <c r="D2" s="17"/>
      <c r="E2" s="17"/>
      <c r="F2" s="25"/>
      <c r="G2" s="17"/>
      <c r="H2" s="17"/>
      <c r="I2" s="17"/>
      <c r="J2" s="25"/>
      <c r="K2" s="2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44"/>
      <c r="AH2" s="43"/>
      <c r="AL2" s="17"/>
      <c r="AM2" s="44"/>
      <c r="AN2" s="43"/>
      <c r="AP2" s="17"/>
      <c r="AQ2" s="44"/>
      <c r="AT2" s="17"/>
      <c r="AU2" s="44"/>
      <c r="AY2" s="44"/>
      <c r="BC2" s="44"/>
    </row>
    <row r="3" spans="1:63" x14ac:dyDescent="0.3">
      <c r="A3" s="45" t="s">
        <v>150</v>
      </c>
      <c r="C3" s="17"/>
      <c r="D3" s="17"/>
      <c r="E3" s="17"/>
      <c r="F3" s="25"/>
      <c r="G3" s="17"/>
      <c r="H3" s="17"/>
      <c r="I3" s="17"/>
      <c r="J3" s="25"/>
      <c r="K3" s="2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44"/>
      <c r="AL3" s="17"/>
      <c r="AM3" s="44"/>
      <c r="AP3" s="17"/>
      <c r="AQ3" s="44"/>
      <c r="AT3" s="17"/>
      <c r="AU3" s="44"/>
      <c r="AY3" s="44"/>
      <c r="BC3" s="44"/>
    </row>
    <row r="4" spans="1:63" ht="14.4" customHeight="1" x14ac:dyDescent="0.3">
      <c r="C4" s="17"/>
      <c r="D4" s="17"/>
      <c r="E4" s="17"/>
      <c r="F4" s="25"/>
      <c r="G4" s="17"/>
      <c r="H4" s="17"/>
      <c r="I4" s="17"/>
      <c r="J4" s="25"/>
      <c r="K4" s="25"/>
      <c r="N4" s="17"/>
      <c r="O4" s="98" t="s">
        <v>151</v>
      </c>
      <c r="P4" s="99"/>
      <c r="Q4" s="100"/>
      <c r="R4" s="17"/>
      <c r="S4" s="98" t="s">
        <v>151</v>
      </c>
      <c r="T4" s="99"/>
      <c r="U4" s="100"/>
      <c r="V4" s="17"/>
      <c r="W4" s="98" t="s">
        <v>151</v>
      </c>
      <c r="X4" s="99"/>
      <c r="Y4" s="100"/>
      <c r="Z4" s="17"/>
      <c r="AA4" s="98" t="s">
        <v>151</v>
      </c>
      <c r="AB4" s="99"/>
      <c r="AC4" s="100"/>
      <c r="AD4" s="17"/>
      <c r="AE4" s="17"/>
      <c r="AF4" s="17"/>
      <c r="AG4" s="101" t="s">
        <v>152</v>
      </c>
      <c r="AH4" s="102"/>
      <c r="AI4" s="103"/>
      <c r="AL4" s="17"/>
      <c r="AM4" s="44"/>
      <c r="AP4" s="17"/>
      <c r="AQ4" s="44"/>
      <c r="AT4" s="17"/>
      <c r="AU4" s="44"/>
      <c r="AY4" s="44"/>
      <c r="BC4" s="44"/>
    </row>
    <row r="5" spans="1:63" ht="15" customHeight="1" x14ac:dyDescent="0.3">
      <c r="C5" s="17"/>
      <c r="D5" s="17"/>
      <c r="E5" s="17"/>
      <c r="F5" s="25"/>
      <c r="G5" s="17"/>
      <c r="H5" s="17"/>
      <c r="I5" s="17"/>
      <c r="J5" s="25"/>
      <c r="K5" s="2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95" t="s">
        <v>153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7"/>
      <c r="BJ5" s="40"/>
    </row>
    <row r="6" spans="1:63" x14ac:dyDescent="0.3">
      <c r="C6" s="17"/>
      <c r="D6" s="17"/>
      <c r="E6" s="17"/>
      <c r="F6" s="25"/>
      <c r="G6" s="17"/>
      <c r="H6" s="17"/>
      <c r="I6" s="17"/>
      <c r="J6" s="25"/>
      <c r="K6" s="2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46"/>
      <c r="AL6" s="17"/>
      <c r="AM6" s="46"/>
      <c r="AP6" s="17"/>
      <c r="AQ6" s="44"/>
      <c r="AT6" s="17"/>
      <c r="AU6" s="44"/>
      <c r="AY6" s="44"/>
      <c r="BC6" s="44"/>
    </row>
    <row r="7" spans="1:63" s="42" customFormat="1" ht="57.6" x14ac:dyDescent="0.3">
      <c r="A7" s="42" t="s">
        <v>154</v>
      </c>
      <c r="B7" s="42" t="s">
        <v>155</v>
      </c>
      <c r="D7" s="42" t="s">
        <v>156</v>
      </c>
      <c r="E7" s="42" t="s">
        <v>157</v>
      </c>
      <c r="F7" s="65" t="s">
        <v>158</v>
      </c>
      <c r="H7" s="42" t="s">
        <v>159</v>
      </c>
      <c r="I7" s="42" t="s">
        <v>160</v>
      </c>
      <c r="J7" s="65" t="s">
        <v>161</v>
      </c>
      <c r="L7" s="42" t="s">
        <v>162</v>
      </c>
      <c r="M7" s="42" t="s">
        <v>163</v>
      </c>
      <c r="O7" s="66" t="s">
        <v>164</v>
      </c>
      <c r="P7" s="67" t="s">
        <v>165</v>
      </c>
      <c r="Q7" s="42" t="s">
        <v>166</v>
      </c>
      <c r="S7" s="66" t="s">
        <v>167</v>
      </c>
      <c r="T7" s="67" t="s">
        <v>168</v>
      </c>
      <c r="U7" s="42" t="s">
        <v>169</v>
      </c>
      <c r="W7" s="66" t="s">
        <v>170</v>
      </c>
      <c r="X7" s="67" t="s">
        <v>171</v>
      </c>
      <c r="Y7" s="42" t="s">
        <v>172</v>
      </c>
      <c r="AA7" s="66" t="s">
        <v>173</v>
      </c>
      <c r="AB7" s="67" t="s">
        <v>174</v>
      </c>
      <c r="AC7" s="42" t="s">
        <v>175</v>
      </c>
      <c r="AE7" s="42" t="s">
        <v>176</v>
      </c>
      <c r="AG7" s="66" t="s">
        <v>177</v>
      </c>
      <c r="AH7" s="67" t="s">
        <v>178</v>
      </c>
      <c r="AI7" s="42" t="s">
        <v>179</v>
      </c>
      <c r="AK7" s="42" t="s">
        <v>180</v>
      </c>
      <c r="AM7" s="66" t="s">
        <v>181</v>
      </c>
      <c r="AN7" s="67" t="s">
        <v>182</v>
      </c>
      <c r="AO7" s="42" t="s">
        <v>183</v>
      </c>
      <c r="AQ7" s="66" t="s">
        <v>184</v>
      </c>
      <c r="AR7" s="67" t="s">
        <v>185</v>
      </c>
      <c r="AS7" s="42" t="s">
        <v>186</v>
      </c>
      <c r="AU7" s="66" t="s">
        <v>187</v>
      </c>
      <c r="AV7" s="67" t="s">
        <v>188</v>
      </c>
      <c r="AW7" s="42" t="s">
        <v>189</v>
      </c>
      <c r="AY7" s="66" t="s">
        <v>190</v>
      </c>
      <c r="AZ7" s="67" t="s">
        <v>191</v>
      </c>
      <c r="BA7" s="42" t="s">
        <v>192</v>
      </c>
      <c r="BC7" s="66" t="s">
        <v>193</v>
      </c>
      <c r="BD7" s="42" t="s">
        <v>194</v>
      </c>
      <c r="BE7" s="42" t="s">
        <v>195</v>
      </c>
      <c r="BG7" s="66" t="s">
        <v>196</v>
      </c>
      <c r="BH7" s="42" t="s">
        <v>197</v>
      </c>
      <c r="BI7" s="42" t="s">
        <v>198</v>
      </c>
    </row>
    <row r="8" spans="1:63" s="17" customFormat="1" x14ac:dyDescent="0.3">
      <c r="A8" s="16">
        <v>1012</v>
      </c>
      <c r="B8" s="17" t="s">
        <v>80</v>
      </c>
      <c r="C8" s="62"/>
      <c r="D8" s="63">
        <f t="shared" ref="D8:E8" si="0">+L8/11</f>
        <v>4931869.6917219292</v>
      </c>
      <c r="E8" s="43">
        <f t="shared" si="0"/>
        <v>11885867.585454546</v>
      </c>
      <c r="F8" s="25">
        <f t="shared" ref="F8" si="1">+D8/E8</f>
        <v>0.4149356078774894</v>
      </c>
      <c r="G8" s="62"/>
      <c r="H8" s="63">
        <f t="shared" ref="H8:I8" si="2">(O8+S8+W8+AA8)/4</f>
        <v>7355048.9765175637</v>
      </c>
      <c r="I8" s="63">
        <f t="shared" si="2"/>
        <v>18358636.194999997</v>
      </c>
      <c r="J8" s="25">
        <f t="shared" ref="J8" si="3">+H8/I8</f>
        <v>0.40063155554663277</v>
      </c>
      <c r="K8" s="62"/>
      <c r="L8" s="63">
        <f t="shared" ref="L8" si="4">(+AG8+AM8+AQ8+AU8+AY8+BC8+BG8+AA8+AE8+W8+S8+O8)</f>
        <v>54250566.60894122</v>
      </c>
      <c r="M8" s="63">
        <f t="shared" ref="M8" si="5">(+AH8+AN8+AR8+AV8+AZ8+BD8+BH8+AB8+X8+T8+P8)</f>
        <v>130744543.44000001</v>
      </c>
      <c r="N8" s="41"/>
      <c r="O8" s="47">
        <v>8599267.032461226</v>
      </c>
      <c r="P8" s="43">
        <v>16980974.480000004</v>
      </c>
      <c r="Q8" s="41">
        <f t="shared" ref="Q8" si="6">O8/P8</f>
        <v>0.50640598056309094</v>
      </c>
      <c r="R8" s="41"/>
      <c r="S8" s="47">
        <v>5736414.8736090278</v>
      </c>
      <c r="T8" s="43">
        <v>13936390.54999999</v>
      </c>
      <c r="U8" s="41">
        <f t="shared" ref="U8" si="7">S8/T8</f>
        <v>0.41161410144386573</v>
      </c>
      <c r="V8" s="41"/>
      <c r="W8" s="47">
        <v>10604200</v>
      </c>
      <c r="X8" s="47">
        <v>34623455</v>
      </c>
      <c r="Y8" s="41">
        <f t="shared" ref="Y8" si="8">W8/X8</f>
        <v>0.30627214990531709</v>
      </c>
      <c r="Z8" s="41"/>
      <c r="AA8" s="43">
        <v>4480314</v>
      </c>
      <c r="AB8" s="47">
        <v>7893724.7499999935</v>
      </c>
      <c r="AC8" s="41">
        <f t="shared" ref="AC8" si="9">AA8/AB8</f>
        <v>0.56757920270782225</v>
      </c>
      <c r="AD8" s="41"/>
      <c r="AE8" s="43">
        <v>-9505626.879999999</v>
      </c>
      <c r="AF8" s="41"/>
      <c r="AG8" s="47">
        <v>3766011</v>
      </c>
      <c r="AH8" s="47">
        <v>11292451</v>
      </c>
      <c r="AI8" s="41">
        <f t="shared" ref="AI8" si="10">AG8/AH8</f>
        <v>0.33349810417596676</v>
      </c>
      <c r="AJ8" s="41"/>
      <c r="AK8" s="43">
        <v>2057017</v>
      </c>
      <c r="AL8" s="41"/>
      <c r="AM8" s="43">
        <v>2667027</v>
      </c>
      <c r="AN8" s="43">
        <v>4998098.8099999977</v>
      </c>
      <c r="AO8" s="41">
        <f t="shared" ref="AO8" si="11">AM8/AN8</f>
        <v>0.533608298152073</v>
      </c>
      <c r="AP8" s="41"/>
      <c r="AQ8" s="43">
        <v>6270722</v>
      </c>
      <c r="AR8" s="43">
        <v>8975329.6599999964</v>
      </c>
      <c r="AS8" s="41">
        <f t="shared" ref="AS8" si="12">AQ8/AR8</f>
        <v>0.69866202552386281</v>
      </c>
      <c r="AT8" s="41"/>
      <c r="AU8" s="43">
        <v>2858256</v>
      </c>
      <c r="AV8" s="43">
        <v>9023391.1600000151</v>
      </c>
      <c r="AW8" s="41">
        <f t="shared" ref="AW8" si="13">AU8/AV8</f>
        <v>0.31676073322305082</v>
      </c>
      <c r="AX8" s="41"/>
      <c r="AY8" s="43">
        <v>7335677.5676786862</v>
      </c>
      <c r="AZ8" s="43">
        <v>9260111.4599999953</v>
      </c>
      <c r="BA8" s="41">
        <f t="shared" ref="BA8" si="14">AY8/AZ8</f>
        <v>0.79218026687539356</v>
      </c>
      <c r="BB8" s="41"/>
      <c r="BC8" s="43">
        <v>2386080.3199999998</v>
      </c>
      <c r="BD8" s="43">
        <v>3900127.8400000082</v>
      </c>
      <c r="BE8" s="41">
        <f t="shared" ref="BE8" si="15">BC8/BD8</f>
        <v>0.61179541232679047</v>
      </c>
      <c r="BF8" s="41"/>
      <c r="BG8" s="68">
        <v>9052223.6951922756</v>
      </c>
      <c r="BH8" s="63">
        <v>9860488.7300000023</v>
      </c>
      <c r="BI8" s="41">
        <f t="shared" ref="BI8" si="16">BG8/BH8</f>
        <v>0.91802992154449459</v>
      </c>
      <c r="BJ8" s="64"/>
      <c r="BK8" s="64"/>
    </row>
  </sheetData>
  <mergeCells count="6">
    <mergeCell ref="AG5:BI5"/>
    <mergeCell ref="O4:Q4"/>
    <mergeCell ref="S4:U4"/>
    <mergeCell ref="W4:Y4"/>
    <mergeCell ref="AA4:AC4"/>
    <mergeCell ref="AG4:AI4"/>
  </mergeCells>
  <pageMargins left="0.7" right="0.7" top="0.75" bottom="0.75" header="0.3" footer="0.3"/>
  <pageSetup scale="75" fitToWidth="5" orientation="landscape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Document_x0020_Type xmlns="00c1cf47-8665-4c73-8994-ff3a5e26da0f">Discovery</Document_x0020_Type>
    <Final_x0020_Due_x0020_Date xmlns="00c1cf47-8665-4c73-8994-ff3a5e26da0f" xsi:nil="true"/>
    <Docket_x0020_Number xmlns="00c1cf47-8665-4c73-8994-ff3a5e26da0f">Case No. 2020-00027</Docket_x0020_Number>
    <Preparer xmlns="00c1cf47-8665-4c73-8994-ff3a5e26da0f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2" ma:contentTypeDescription="Create a new document." ma:contentTypeScope="" ma:versionID="b889f669e42330b4427f39bb9d4c4e8b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targetNamespace="http://schemas.microsoft.com/office/2006/metadata/properties" ma:root="true" ma:fieldsID="6fb194b1b697dd815e79f8740e82444f" ns2:_="" ns3:_="" ns5:_="">
    <xsd:import namespace="3527BF6F-27A6-47D3-AAFB-DBF13EBA6BBE"/>
    <xsd:import namespace="00c1cf47-8665-4c73-8994-ff3a5e26da0f"/>
    <xsd:import namespace="3541d9de-e849-43a7-ac3e-927380f29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E87680-C6E6-452F-9878-863C9AA95B8B}">
  <ds:schemaRefs>
    <ds:schemaRef ds:uri="3527BF6F-27A6-47D3-AAFB-DBF13EBA6BBE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312d0bd-5bb3-4d44-9c84-f993550bda7e"/>
    <ds:schemaRef ds:uri="http://schemas.microsoft.com/office/infopath/2007/PartnerControls"/>
    <ds:schemaRef ds:uri="00c1cf47-8665-4c73-8994-ff3a5e26da0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A4BFBE-6513-44CC-B8D7-B16112E9FD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1256E-6A5B-4AEC-A0E0-1C4A1424D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Depreciation Exp</vt:lpstr>
      <vt:lpstr>Deferred Income Taxes</vt:lpstr>
      <vt:lpstr>Depreciation Rates</vt:lpstr>
      <vt:lpstr>Net Plant Changes</vt:lpstr>
      <vt:lpstr>Placed in Service</vt:lpstr>
      <vt:lpstr>Tax Repairs Deduct</vt:lpstr>
      <vt:lpstr>'Deferred Income Taxes'!Print_Area</vt:lpstr>
      <vt:lpstr>'Depreciation Exp'!Print_Area</vt:lpstr>
      <vt:lpstr>'Depreciation Rates'!Print_Area</vt:lpstr>
      <vt:lpstr>'Net Plant Changes'!Print_Area</vt:lpstr>
      <vt:lpstr>'Placed in Service'!Print_Area</vt:lpstr>
      <vt:lpstr>'Tax Repairs Deduct'!Print_Area</vt:lpstr>
      <vt:lpstr>'Depreciation Rates'!Print_Titles</vt:lpstr>
      <vt:lpstr>'Placed in Service'!Print_Titles</vt:lpstr>
      <vt:lpstr>'Tax Repairs Deduct'!Print_Titles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KAW_R_PSCDR1_NUM013_03252020_Attachment</dc:title>
  <dc:subject/>
  <dc:creator>GRUBBE2</dc:creator>
  <cp:lastModifiedBy>Lori N O'Malley</cp:lastModifiedBy>
  <cp:lastPrinted>2020-03-23T12:21:42Z</cp:lastPrinted>
  <dcterms:created xsi:type="dcterms:W3CDTF">2019-01-15T17:00:56Z</dcterms:created>
  <dcterms:modified xsi:type="dcterms:W3CDTF">2020-03-24T16:16:09Z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0x010100AB2748C5124AB541828F6483D61391B2</vt:lpwstr>
  </property>
  <property fmtid="{D5CDD505-2E9C-101B-9397-08002B2CF9AE}" pid="3" name="Order">
    <vt:r8>512100</vt:r8>
  </property>
</Properties>
</file>