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QIP Filings\2020\Discovery\"/>
    </mc:Choice>
  </mc:AlternateContent>
  <xr:revisionPtr revIDLastSave="0" documentId="13_ncr:1_{00A8B25D-2712-4616-A2D1-A8D9E4C1A46E}" xr6:coauthVersionLast="44" xr6:coauthVersionMax="44" xr10:uidLastSave="{00000000-0000-0000-0000-000000000000}"/>
  <bookViews>
    <workbookView xWindow="-108" yWindow="-108" windowWidth="23256" windowHeight="12576" xr2:uid="{5562203D-B569-418B-84E8-9044E57A13FA}"/>
  </bookViews>
  <sheets>
    <sheet name="Placed in Service" sheetId="2" r:id="rId1"/>
    <sheet name="Retirement Ratio" sheetId="3" r:id="rId2"/>
  </sheets>
  <externalReferences>
    <externalReference r:id="rId3"/>
  </externalReferences>
  <definedNames>
    <definedName name="_xlnm.Print_Area" localSheetId="0">'Placed in Service'!$A$1:$Q$65</definedName>
    <definedName name="_xlnm.Print_Area" localSheetId="1">'Retirement Ratio'!$A$1:$O$65</definedName>
    <definedName name="_xlnm.Print_Titles" localSheetId="0">'Placed in Service'!$1:$4</definedName>
    <definedName name="_xlnm.Print_Titles" localSheetId="1">'Retirement Ratio'!$1:$5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9" i="2" l="1"/>
  <c r="Q33" i="2"/>
  <c r="Q32" i="2"/>
  <c r="Q31" i="2"/>
  <c r="Q29" i="2"/>
  <c r="Q28" i="2"/>
  <c r="Q27" i="2"/>
  <c r="Q25" i="2"/>
  <c r="Q23" i="2"/>
  <c r="Q21" i="2"/>
  <c r="Q19" i="2"/>
  <c r="Q18" i="2"/>
  <c r="Q16" i="2"/>
  <c r="Q15" i="2"/>
  <c r="Q13" i="2"/>
  <c r="Q11" i="2"/>
  <c r="Q10" i="2"/>
  <c r="Q9" i="2"/>
  <c r="Q8" i="2"/>
  <c r="O64" i="3" l="1"/>
  <c r="O63" i="3"/>
  <c r="O61" i="3"/>
  <c r="O60" i="3"/>
  <c r="O59" i="3"/>
  <c r="O58" i="3"/>
  <c r="O57" i="3"/>
  <c r="O56" i="3"/>
  <c r="O55" i="3"/>
  <c r="O54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5" i="3"/>
  <c r="O14" i="3"/>
  <c r="O11" i="3"/>
  <c r="O10" i="3"/>
  <c r="O9" i="3"/>
  <c r="O8" i="3"/>
  <c r="O7" i="3"/>
  <c r="L65" i="3"/>
  <c r="K65" i="3"/>
  <c r="J65" i="3"/>
  <c r="I65" i="3"/>
  <c r="F65" i="3"/>
  <c r="E65" i="3"/>
  <c r="D65" i="3"/>
  <c r="C65" i="3"/>
  <c r="M64" i="3"/>
  <c r="G64" i="3"/>
  <c r="M63" i="3"/>
  <c r="G63" i="3"/>
  <c r="M62" i="3"/>
  <c r="G62" i="3"/>
  <c r="M61" i="3"/>
  <c r="G61" i="3"/>
  <c r="M60" i="3"/>
  <c r="G60" i="3"/>
  <c r="M59" i="3"/>
  <c r="G59" i="3"/>
  <c r="M58" i="3"/>
  <c r="G58" i="3"/>
  <c r="M57" i="3"/>
  <c r="G57" i="3"/>
  <c r="M56" i="3"/>
  <c r="G56" i="3"/>
  <c r="M55" i="3"/>
  <c r="G55" i="3"/>
  <c r="M54" i="3"/>
  <c r="G54" i="3"/>
  <c r="M53" i="3"/>
  <c r="G53" i="3"/>
  <c r="M52" i="3"/>
  <c r="G52" i="3"/>
  <c r="M51" i="3"/>
  <c r="G51" i="3"/>
  <c r="M50" i="3"/>
  <c r="G50" i="3"/>
  <c r="M49" i="3"/>
  <c r="G49" i="3"/>
  <c r="M48" i="3"/>
  <c r="G48" i="3"/>
  <c r="M47" i="3"/>
  <c r="G47" i="3"/>
  <c r="M46" i="3"/>
  <c r="G46" i="3"/>
  <c r="M45" i="3"/>
  <c r="G45" i="3"/>
  <c r="M44" i="3"/>
  <c r="G44" i="3"/>
  <c r="M43" i="3"/>
  <c r="G43" i="3"/>
  <c r="M42" i="3"/>
  <c r="G42" i="3"/>
  <c r="M41" i="3"/>
  <c r="G41" i="3"/>
  <c r="M40" i="3"/>
  <c r="G40" i="3"/>
  <c r="M39" i="3"/>
  <c r="G39" i="3"/>
  <c r="M38" i="3"/>
  <c r="G38" i="3"/>
  <c r="M37" i="3"/>
  <c r="G37" i="3"/>
  <c r="M36" i="3"/>
  <c r="G36" i="3"/>
  <c r="M35" i="3"/>
  <c r="G35" i="3"/>
  <c r="M34" i="3"/>
  <c r="G34" i="3"/>
  <c r="M33" i="3"/>
  <c r="G33" i="3"/>
  <c r="M32" i="3"/>
  <c r="G32" i="3"/>
  <c r="M31" i="3"/>
  <c r="G31" i="3"/>
  <c r="M30" i="3"/>
  <c r="G30" i="3"/>
  <c r="M29" i="3"/>
  <c r="G29" i="3"/>
  <c r="M28" i="3"/>
  <c r="G28" i="3"/>
  <c r="M27" i="3"/>
  <c r="G27" i="3"/>
  <c r="M26" i="3"/>
  <c r="G26" i="3"/>
  <c r="M25" i="3"/>
  <c r="G25" i="3"/>
  <c r="M24" i="3"/>
  <c r="G24" i="3"/>
  <c r="M23" i="3"/>
  <c r="G23" i="3"/>
  <c r="M22" i="3"/>
  <c r="G22" i="3"/>
  <c r="M21" i="3"/>
  <c r="G21" i="3"/>
  <c r="M20" i="3"/>
  <c r="G20" i="3"/>
  <c r="M19" i="3"/>
  <c r="G19" i="3"/>
  <c r="M18" i="3"/>
  <c r="G18" i="3"/>
  <c r="M17" i="3"/>
  <c r="G17" i="3"/>
  <c r="M16" i="3"/>
  <c r="G16" i="3"/>
  <c r="M15" i="3"/>
  <c r="G15" i="3"/>
  <c r="M14" i="3"/>
  <c r="G14" i="3"/>
  <c r="M13" i="3"/>
  <c r="G13" i="3"/>
  <c r="M12" i="3"/>
  <c r="G12" i="3"/>
  <c r="M11" i="3"/>
  <c r="G11" i="3"/>
  <c r="M10" i="3"/>
  <c r="G10" i="3"/>
  <c r="M9" i="3"/>
  <c r="G9" i="3"/>
  <c r="M8" i="3"/>
  <c r="G8" i="3"/>
  <c r="M7" i="3"/>
  <c r="G7" i="3"/>
  <c r="M6" i="3"/>
  <c r="M65" i="3" s="1"/>
  <c r="G6" i="3"/>
  <c r="G65" i="3" s="1"/>
  <c r="N1" i="3"/>
  <c r="P57" i="2"/>
  <c r="L54" i="2"/>
  <c r="H54" i="2"/>
  <c r="D54" i="2"/>
  <c r="O38" i="2"/>
  <c r="N38" i="2"/>
  <c r="N39" i="2" s="1"/>
  <c r="L33" i="2"/>
  <c r="H33" i="2"/>
  <c r="D33" i="2"/>
  <c r="L32" i="2"/>
  <c r="H32" i="2"/>
  <c r="D32" i="2"/>
  <c r="L31" i="2"/>
  <c r="H31" i="2"/>
  <c r="D31" i="2"/>
  <c r="N54" i="2"/>
  <c r="J54" i="2"/>
  <c r="F54" i="2"/>
  <c r="M29" i="2"/>
  <c r="I29" i="2"/>
  <c r="E29" i="2"/>
  <c r="M28" i="2"/>
  <c r="I28" i="2"/>
  <c r="E28" i="2"/>
  <c r="M27" i="2"/>
  <c r="I27" i="2"/>
  <c r="E27" i="2"/>
  <c r="O29" i="2"/>
  <c r="N29" i="2"/>
  <c r="K29" i="2"/>
  <c r="J29" i="2"/>
  <c r="G29" i="2"/>
  <c r="F29" i="2"/>
  <c r="O25" i="2"/>
  <c r="N25" i="2"/>
  <c r="J25" i="2"/>
  <c r="F25" i="2"/>
  <c r="D25" i="2"/>
  <c r="M25" i="2"/>
  <c r="L25" i="2"/>
  <c r="K25" i="2"/>
  <c r="I25" i="2"/>
  <c r="H25" i="2"/>
  <c r="G25" i="2"/>
  <c r="E25" i="2"/>
  <c r="P24" i="2"/>
  <c r="O23" i="2"/>
  <c r="L23" i="2"/>
  <c r="K23" i="2"/>
  <c r="G23" i="2"/>
  <c r="E23" i="2"/>
  <c r="D23" i="2"/>
  <c r="O51" i="2"/>
  <c r="M23" i="2"/>
  <c r="L51" i="2"/>
  <c r="K51" i="2"/>
  <c r="I51" i="2"/>
  <c r="H51" i="2"/>
  <c r="G51" i="2"/>
  <c r="E51" i="2"/>
  <c r="D51" i="2"/>
  <c r="M21" i="2"/>
  <c r="L21" i="2"/>
  <c r="H21" i="2"/>
  <c r="D21" i="2"/>
  <c r="N50" i="2"/>
  <c r="M50" i="2"/>
  <c r="L50" i="2"/>
  <c r="J21" i="2"/>
  <c r="I50" i="2"/>
  <c r="H50" i="2"/>
  <c r="F50" i="2"/>
  <c r="E50" i="2"/>
  <c r="N19" i="2"/>
  <c r="M19" i="2"/>
  <c r="I19" i="2"/>
  <c r="N18" i="2"/>
  <c r="M18" i="2"/>
  <c r="I18" i="2"/>
  <c r="O49" i="2"/>
  <c r="N49" i="2"/>
  <c r="M49" i="2"/>
  <c r="K19" i="2"/>
  <c r="J49" i="2"/>
  <c r="I49" i="2"/>
  <c r="G19" i="2"/>
  <c r="F49" i="2"/>
  <c r="E49" i="2"/>
  <c r="P17" i="2"/>
  <c r="O16" i="2"/>
  <c r="N16" i="2"/>
  <c r="L16" i="2"/>
  <c r="K16" i="2"/>
  <c r="J16" i="2"/>
  <c r="H16" i="2"/>
  <c r="G16" i="2"/>
  <c r="F16" i="2"/>
  <c r="D16" i="2"/>
  <c r="O15" i="2"/>
  <c r="N15" i="2"/>
  <c r="L15" i="2"/>
  <c r="K15" i="2"/>
  <c r="J15" i="2"/>
  <c r="H15" i="2"/>
  <c r="G15" i="2"/>
  <c r="F15" i="2"/>
  <c r="D15" i="2"/>
  <c r="O48" i="2"/>
  <c r="N48" i="2"/>
  <c r="M48" i="2"/>
  <c r="L48" i="2"/>
  <c r="K48" i="2"/>
  <c r="J48" i="2"/>
  <c r="I48" i="2"/>
  <c r="H48" i="2"/>
  <c r="G48" i="2"/>
  <c r="F48" i="2"/>
  <c r="E48" i="2"/>
  <c r="P14" i="2"/>
  <c r="O13" i="2"/>
  <c r="M13" i="2"/>
  <c r="L13" i="2"/>
  <c r="K13" i="2"/>
  <c r="I13" i="2"/>
  <c r="H13" i="2"/>
  <c r="G13" i="2"/>
  <c r="E13" i="2"/>
  <c r="D13" i="2"/>
  <c r="O47" i="2"/>
  <c r="N47" i="2"/>
  <c r="M47" i="2"/>
  <c r="L47" i="2"/>
  <c r="K47" i="2"/>
  <c r="J47" i="2"/>
  <c r="I47" i="2"/>
  <c r="H47" i="2"/>
  <c r="G47" i="2"/>
  <c r="F47" i="2"/>
  <c r="E47" i="2"/>
  <c r="D47" i="2"/>
  <c r="N11" i="2"/>
  <c r="M11" i="2"/>
  <c r="L11" i="2"/>
  <c r="J11" i="2"/>
  <c r="I11" i="2"/>
  <c r="H11" i="2"/>
  <c r="F11" i="2"/>
  <c r="E11" i="2"/>
  <c r="D11" i="2"/>
  <c r="N10" i="2"/>
  <c r="M10" i="2"/>
  <c r="L10" i="2"/>
  <c r="J10" i="2"/>
  <c r="I10" i="2"/>
  <c r="H10" i="2"/>
  <c r="F10" i="2"/>
  <c r="E10" i="2"/>
  <c r="D10" i="2"/>
  <c r="N9" i="2"/>
  <c r="M9" i="2"/>
  <c r="L9" i="2"/>
  <c r="J9" i="2"/>
  <c r="I9" i="2"/>
  <c r="H9" i="2"/>
  <c r="F9" i="2"/>
  <c r="E9" i="2"/>
  <c r="D9" i="2"/>
  <c r="N8" i="2"/>
  <c r="M8" i="2"/>
  <c r="L8" i="2"/>
  <c r="J8" i="2"/>
  <c r="I8" i="2"/>
  <c r="H8" i="2"/>
  <c r="F8" i="2"/>
  <c r="E8" i="2"/>
  <c r="D8" i="2"/>
  <c r="O11" i="2"/>
  <c r="L46" i="2"/>
  <c r="K11" i="2"/>
  <c r="J46" i="2"/>
  <c r="H46" i="2"/>
  <c r="G11" i="2"/>
  <c r="D46" i="2"/>
  <c r="O6" i="3" l="1"/>
  <c r="P11" i="2"/>
  <c r="P25" i="2"/>
  <c r="G27" i="2"/>
  <c r="G28" i="2"/>
  <c r="F31" i="2"/>
  <c r="N31" i="2"/>
  <c r="J33" i="2"/>
  <c r="N46" i="2"/>
  <c r="D48" i="2"/>
  <c r="P48" i="2" s="1"/>
  <c r="G49" i="2"/>
  <c r="J50" i="2"/>
  <c r="M51" i="2"/>
  <c r="P7" i="2"/>
  <c r="G8" i="2"/>
  <c r="K8" i="2"/>
  <c r="O8" i="2"/>
  <c r="G9" i="2"/>
  <c r="K9" i="2"/>
  <c r="O9" i="2"/>
  <c r="G10" i="2"/>
  <c r="K10" i="2"/>
  <c r="O10" i="2"/>
  <c r="F13" i="2"/>
  <c r="J13" i="2"/>
  <c r="N13" i="2"/>
  <c r="E15" i="2"/>
  <c r="I15" i="2"/>
  <c r="M15" i="2"/>
  <c r="E16" i="2"/>
  <c r="I16" i="2"/>
  <c r="M16" i="2"/>
  <c r="E18" i="2"/>
  <c r="J18" i="2"/>
  <c r="O18" i="2"/>
  <c r="E19" i="2"/>
  <c r="J19" i="2"/>
  <c r="O19" i="2"/>
  <c r="P20" i="2"/>
  <c r="I21" i="2"/>
  <c r="N21" i="2"/>
  <c r="P22" i="2"/>
  <c r="H23" i="2"/>
  <c r="D29" i="2"/>
  <c r="D28" i="2"/>
  <c r="D27" i="2"/>
  <c r="H29" i="2"/>
  <c r="H28" i="2"/>
  <c r="H27" i="2"/>
  <c r="L29" i="2"/>
  <c r="L28" i="2"/>
  <c r="L27" i="2"/>
  <c r="P26" i="2"/>
  <c r="N27" i="2"/>
  <c r="N28" i="2"/>
  <c r="G54" i="2"/>
  <c r="G33" i="2"/>
  <c r="G32" i="2"/>
  <c r="G31" i="2"/>
  <c r="K54" i="2"/>
  <c r="K33" i="2"/>
  <c r="K32" i="2"/>
  <c r="K31" i="2"/>
  <c r="O54" i="2"/>
  <c r="O33" i="2"/>
  <c r="O32" i="2"/>
  <c r="O31" i="2"/>
  <c r="F32" i="2"/>
  <c r="N32" i="2"/>
  <c r="O39" i="2"/>
  <c r="P39" i="2" s="1"/>
  <c r="P38" i="2"/>
  <c r="K49" i="2"/>
  <c r="G46" i="2"/>
  <c r="O46" i="2"/>
  <c r="H19" i="2"/>
  <c r="H18" i="2"/>
  <c r="H49" i="2"/>
  <c r="H55" i="2" s="1"/>
  <c r="H58" i="2" s="1"/>
  <c r="G21" i="2"/>
  <c r="G50" i="2"/>
  <c r="K21" i="2"/>
  <c r="K50" i="2"/>
  <c r="O21" i="2"/>
  <c r="O50" i="2"/>
  <c r="E46" i="2"/>
  <c r="I46" i="2"/>
  <c r="M46" i="2"/>
  <c r="P47" i="2"/>
  <c r="P12" i="2"/>
  <c r="F18" i="2"/>
  <c r="K18" i="2"/>
  <c r="F19" i="2"/>
  <c r="E21" i="2"/>
  <c r="I23" i="2"/>
  <c r="J27" i="2"/>
  <c r="O27" i="2"/>
  <c r="J28" i="2"/>
  <c r="O28" i="2"/>
  <c r="P30" i="2"/>
  <c r="J31" i="2"/>
  <c r="F33" i="2"/>
  <c r="N33" i="2"/>
  <c r="F46" i="2"/>
  <c r="K46" i="2"/>
  <c r="D19" i="2"/>
  <c r="D18" i="2"/>
  <c r="D49" i="2"/>
  <c r="L19" i="2"/>
  <c r="L18" i="2"/>
  <c r="L49" i="2"/>
  <c r="L55" i="2" s="1"/>
  <c r="L58" i="2" s="1"/>
  <c r="G18" i="2"/>
  <c r="F21" i="2"/>
  <c r="F23" i="2"/>
  <c r="F51" i="2"/>
  <c r="J23" i="2"/>
  <c r="J51" i="2"/>
  <c r="N23" i="2"/>
  <c r="N51" i="2"/>
  <c r="F27" i="2"/>
  <c r="K27" i="2"/>
  <c r="F28" i="2"/>
  <c r="K28" i="2"/>
  <c r="E54" i="2"/>
  <c r="E33" i="2"/>
  <c r="E32" i="2"/>
  <c r="I54" i="2"/>
  <c r="I33" i="2"/>
  <c r="I32" i="2"/>
  <c r="I31" i="2"/>
  <c r="M54" i="2"/>
  <c r="M33" i="2"/>
  <c r="M32" i="2"/>
  <c r="M31" i="2"/>
  <c r="E31" i="2"/>
  <c r="J32" i="2"/>
  <c r="D50" i="2"/>
  <c r="J55" i="2" l="1"/>
  <c r="J58" i="2" s="1"/>
  <c r="K55" i="2"/>
  <c r="K58" i="2" s="1"/>
  <c r="M35" i="2"/>
  <c r="M42" i="2" s="1"/>
  <c r="P49" i="2"/>
  <c r="P31" i="2"/>
  <c r="P51" i="2"/>
  <c r="D35" i="2"/>
  <c r="D42" i="2" s="1"/>
  <c r="P16" i="2"/>
  <c r="P9" i="2"/>
  <c r="P32" i="2"/>
  <c r="I55" i="2"/>
  <c r="I58" i="2" s="1"/>
  <c r="P54" i="2"/>
  <c r="L35" i="2"/>
  <c r="L42" i="2" s="1"/>
  <c r="N35" i="2"/>
  <c r="N42" i="2" s="1"/>
  <c r="P23" i="2"/>
  <c r="O55" i="2"/>
  <c r="O58" i="2" s="1"/>
  <c r="H35" i="2"/>
  <c r="H42" i="2" s="1"/>
  <c r="F35" i="2"/>
  <c r="F42" i="2" s="1"/>
  <c r="I35" i="2"/>
  <c r="I42" i="2" s="1"/>
  <c r="E35" i="2"/>
  <c r="E42" i="2" s="1"/>
  <c r="P10" i="2"/>
  <c r="J35" i="2"/>
  <c r="J42" i="2" s="1"/>
  <c r="G35" i="2"/>
  <c r="G42" i="2" s="1"/>
  <c r="P18" i="2"/>
  <c r="P46" i="2"/>
  <c r="P13" i="2"/>
  <c r="P19" i="2"/>
  <c r="M55" i="2"/>
  <c r="M58" i="2" s="1"/>
  <c r="E55" i="2"/>
  <c r="E58" i="2" s="1"/>
  <c r="P29" i="2"/>
  <c r="O35" i="2"/>
  <c r="O42" i="2" s="1"/>
  <c r="N55" i="2"/>
  <c r="N58" i="2" s="1"/>
  <c r="P27" i="2"/>
  <c r="D55" i="2"/>
  <c r="D58" i="2" s="1"/>
  <c r="P8" i="2"/>
  <c r="P28" i="2"/>
  <c r="P50" i="2"/>
  <c r="P33" i="2"/>
  <c r="F55" i="2"/>
  <c r="F58" i="2" s="1"/>
  <c r="P21" i="2"/>
  <c r="G55" i="2"/>
  <c r="G58" i="2" s="1"/>
  <c r="K35" i="2"/>
  <c r="K42" i="2" s="1"/>
  <c r="P15" i="2"/>
  <c r="P55" i="2" l="1"/>
  <c r="P58" i="2" s="1"/>
  <c r="P35" i="2"/>
  <c r="P42" i="2" s="1"/>
</calcChain>
</file>

<file path=xl/sharedStrings.xml><?xml version="1.0" encoding="utf-8"?>
<sst xmlns="http://schemas.openxmlformats.org/spreadsheetml/2006/main" count="165" uniqueCount="120">
  <si>
    <t>Kentucky American Water Company</t>
  </si>
  <si>
    <t>Case No. 2020-00027</t>
  </si>
  <si>
    <t>RP Lines</t>
  </si>
  <si>
    <t xml:space="preserve">July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</si>
  <si>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</si>
  <si>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</si>
  <si>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</si>
  <si>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</si>
  <si>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</si>
  <si>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</si>
  <si>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</si>
  <si>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</si>
  <si>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</si>
  <si>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</si>
  <si>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</si>
  <si>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Totals</t>
  </si>
  <si>
    <t>B - mains replaced</t>
  </si>
  <si>
    <t>C - mains unscheduled</t>
  </si>
  <si>
    <t>D -mains relocated</t>
  </si>
  <si>
    <t>F - valves, hydrants and MHs replaced</t>
  </si>
  <si>
    <t>H - services and laterals replaced</t>
  </si>
  <si>
    <t>J - meters replaced</t>
  </si>
  <si>
    <t>L - SCADA</t>
  </si>
  <si>
    <t xml:space="preserve">M - security </t>
  </si>
  <si>
    <t>Q - plant equipment</t>
  </si>
  <si>
    <t>IP Lines</t>
  </si>
  <si>
    <t>Removals</t>
  </si>
  <si>
    <t>Mercer Road removal costs</t>
  </si>
  <si>
    <t>Removal Rates</t>
  </si>
  <si>
    <t>Updated June 2017</t>
  </si>
  <si>
    <t>B</t>
  </si>
  <si>
    <t>H</t>
  </si>
  <si>
    <t>C</t>
  </si>
  <si>
    <t>J</t>
  </si>
  <si>
    <t>D</t>
  </si>
  <si>
    <t>Q</t>
  </si>
  <si>
    <t>F</t>
  </si>
  <si>
    <t>Plant in Service</t>
  </si>
  <si>
    <t>Retirement</t>
  </si>
  <si>
    <t>Ratio</t>
  </si>
  <si>
    <t>Retirements</t>
  </si>
  <si>
    <t>B - Mains Replaced</t>
  </si>
  <si>
    <t>331001-TD Mains</t>
  </si>
  <si>
    <t>333000-Services</t>
  </si>
  <si>
    <t>334100-Meters</t>
  </si>
  <si>
    <t>335000-Hydrants</t>
  </si>
  <si>
    <t>C - Mains Unscheduled</t>
  </si>
  <si>
    <t>D - Mains Relocated</t>
  </si>
  <si>
    <t>F - Valves, Hydrants and MHs Replaced</t>
  </si>
  <si>
    <t>H - Services and Laterals Replaced</t>
  </si>
  <si>
    <t>J - Meters Replaced</t>
  </si>
  <si>
    <t>346190-Remote Control &amp; Instrument</t>
  </si>
  <si>
    <t xml:space="preserve">M - Security </t>
  </si>
  <si>
    <t>304100-Struct &amp; Imp-Supply</t>
  </si>
  <si>
    <t>304300-Struct &amp; Imp-Treatment</t>
  </si>
  <si>
    <t>304400-Struct &amp; Imp-T&amp;D</t>
  </si>
  <si>
    <t>Q - Plant Equipment</t>
  </si>
  <si>
    <t>304200-Struct &amp; Imp-Pumping</t>
  </si>
  <si>
    <t>311520-Pump Eqp-SOS &amp; Pumping</t>
  </si>
  <si>
    <t>320100-WT Equip Non-Media</t>
  </si>
  <si>
    <t>Code</t>
  </si>
  <si>
    <t>Retirement Ratio</t>
  </si>
  <si>
    <t>Additions</t>
  </si>
  <si>
    <t>Account</t>
  </si>
  <si>
    <t>Account Description</t>
  </si>
  <si>
    <t>2017</t>
  </si>
  <si>
    <t>2018</t>
  </si>
  <si>
    <t>2019</t>
  </si>
  <si>
    <t>Total</t>
  </si>
  <si>
    <t>3 Year Average</t>
  </si>
  <si>
    <t>303500-Land &amp; Land Rights-T&amp;D</t>
  </si>
  <si>
    <t>304500-Struct &amp; Imp-General</t>
  </si>
  <si>
    <t>304600-Struct &amp; Imp-Offices</t>
  </si>
  <si>
    <t>304610-Struct &amp; Imp-HVAC</t>
  </si>
  <si>
    <t>304700-Struct &amp; Imp-Store,Shop,Gar</t>
  </si>
  <si>
    <t>304800-Struct &amp; Imp-Misc</t>
  </si>
  <si>
    <t>305000-Collect &amp; Impound Reservoirs</t>
  </si>
  <si>
    <t>306000-Lake, River &amp; Other Intakes</t>
  </si>
  <si>
    <t>309000-Supply Mains</t>
  </si>
  <si>
    <t>310000-Power Generation Equip</t>
  </si>
  <si>
    <t>311200-Pump Eqp Electric</t>
  </si>
  <si>
    <t>311530-Pump Eqp Wtr Treatment</t>
  </si>
  <si>
    <t>311540-Pumping Equipment TD</t>
  </si>
  <si>
    <t>320200-WT Equip Filter Media</t>
  </si>
  <si>
    <t>330000-Dist Reservoirs &amp; Standpipes</t>
  </si>
  <si>
    <t>330100-Elevated Tanks &amp; Standpipes</t>
  </si>
  <si>
    <t>331100-TD Mains 4in &amp; Less</t>
  </si>
  <si>
    <t>331200-TD Mains 6in to 8in</t>
  </si>
  <si>
    <t>331300-TD Mains 10in to 16in</t>
  </si>
  <si>
    <t>331400-TD Mains 18in &amp; Grtr</t>
  </si>
  <si>
    <t>334110-Meters Bronze Case</t>
  </si>
  <si>
    <t>334120-Meters Plastic Case</t>
  </si>
  <si>
    <t>334130-Meters Other</t>
  </si>
  <si>
    <t>334131-Meter Reading Units</t>
  </si>
  <si>
    <t>334200-Meter Installations</t>
  </si>
  <si>
    <t>334300-Meter Vaults</t>
  </si>
  <si>
    <t>339100-Other P/E-Intangible</t>
  </si>
  <si>
    <t>339600-Other P/E-CPS</t>
  </si>
  <si>
    <t>340100-Office Furniture &amp; Equip</t>
  </si>
  <si>
    <t>340200-Comp &amp; Periph Equip</t>
  </si>
  <si>
    <t>340210-Comp &amp; Periph Mainframe</t>
  </si>
  <si>
    <t>340220-Comp &amp; Periph Personal</t>
  </si>
  <si>
    <t>340230-Comp &amp; Periph Other</t>
  </si>
  <si>
    <t>340300-Computer Software</t>
  </si>
  <si>
    <t>340315-Computer Software - BT</t>
  </si>
  <si>
    <t>340325-Comp Software Customized</t>
  </si>
  <si>
    <t>340330-Comp Software Other</t>
  </si>
  <si>
    <t>340500-Other Office Equipment</t>
  </si>
  <si>
    <t>341100-Trans Equip Lt Duty Trks</t>
  </si>
  <si>
    <t>341200-Trans Equip Hvy Duty Trks</t>
  </si>
  <si>
    <t>341400-Trans Equip Other</t>
  </si>
  <si>
    <t>343000-Tools,Shop,Garage Equip</t>
  </si>
  <si>
    <t>344000-Laboratory Equipment</t>
  </si>
  <si>
    <t>345000-Power Operated Equipment</t>
  </si>
  <si>
    <t>346100-Comm Equip Non-Telephone</t>
  </si>
  <si>
    <t>346200-Comm Equip Telephone</t>
  </si>
  <si>
    <t>347000-Misc Equipment</t>
  </si>
  <si>
    <t>348000-Other Tangible Property</t>
  </si>
  <si>
    <t>Total RP Lines</t>
  </si>
  <si>
    <t>Cox Street Booster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</si>
</sst>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37" fontId="2" fillId="0" borderId="0" xfId="0" applyNumberFormat="1" applyFo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5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4" xfId="0" applyNumberFormat="1" applyBorder="1" applyAlignment="1">
      <alignment horizontal="right"/>
    </xf>
    <xf numFmtId="5" fontId="0" fillId="0" borderId="5" xfId="0" applyNumberFormat="1" applyBorder="1" applyAlignment="1">
      <alignment horizontal="right"/>
    </xf>
    <xf numFmtId="0" fontId="2" fillId="0" borderId="0" xfId="0" applyFont="1"/>
    <xf numFmtId="164" fontId="3" fillId="0" borderId="9" xfId="3" applyNumberFormat="1" applyFont="1" applyBorder="1" applyAlignment="1">
      <alignment horizontal="center" vertical="center"/>
    </xf>
    <xf numFmtId="43" fontId="0" fillId="0" borderId="0" xfId="3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43" fontId="0" fillId="0" borderId="10" xfId="3" applyFont="1" applyBorder="1" applyAlignment="1">
      <alignment horizontal="center" vertical="center"/>
    </xf>
    <xf numFmtId="164" fontId="0" fillId="0" borderId="9" xfId="3" applyNumberFormat="1" applyFont="1" applyBorder="1" applyAlignment="1">
      <alignment horizontal="center"/>
    </xf>
    <xf numFmtId="43" fontId="0" fillId="0" borderId="0" xfId="3" applyFont="1"/>
    <xf numFmtId="164" fontId="3" fillId="0" borderId="11" xfId="3" applyNumberFormat="1" applyFont="1" applyBorder="1" applyAlignment="1">
      <alignment horizontal="center" vertical="center"/>
    </xf>
    <xf numFmtId="43" fontId="0" fillId="0" borderId="12" xfId="3" applyFont="1" applyBorder="1" applyAlignment="1">
      <alignment horizontal="center" vertical="center"/>
    </xf>
    <xf numFmtId="164" fontId="3" fillId="0" borderId="12" xfId="3" applyNumberFormat="1" applyFont="1" applyBorder="1" applyAlignment="1">
      <alignment horizontal="center" vertical="center"/>
    </xf>
    <xf numFmtId="43" fontId="0" fillId="0" borderId="13" xfId="3" applyFont="1" applyBorder="1" applyAlignment="1">
      <alignment horizontal="center" vertical="center"/>
    </xf>
    <xf numFmtId="5" fontId="2" fillId="0" borderId="0" xfId="0" applyNumberFormat="1" applyFont="1" applyAlignment="1">
      <alignment horizontal="right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0" fontId="3" fillId="0" borderId="0" xfId="0" applyFont="1"/>
    <xf numFmtId="2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2" fillId="0" borderId="0" xfId="0" applyNumberFormat="1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0" fontId="2" fillId="0" borderId="0" xfId="2" quotePrefix="1" applyNumberFormat="1" applyFont="1" applyFill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5" fontId="0" fillId="0" borderId="0" xfId="1" applyNumberFormat="1" applyFont="1" applyFill="1"/>
    <xf numFmtId="5" fontId="0" fillId="0" borderId="0" xfId="0" applyNumberFormat="1" applyFill="1"/>
    <xf numFmtId="10" fontId="1" fillId="0" borderId="0" xfId="2" quotePrefix="1" applyNumberFormat="1" applyFill="1"/>
    <xf numFmtId="37" fontId="0" fillId="0" borderId="0" xfId="1" applyNumberFormat="1" applyFont="1" applyFill="1"/>
    <xf numFmtId="37" fontId="0" fillId="0" borderId="0" xfId="0" applyNumberFormat="1" applyFill="1"/>
    <xf numFmtId="5" fontId="0" fillId="0" borderId="5" xfId="1" applyNumberFormat="1" applyFont="1" applyFill="1" applyBorder="1"/>
    <xf numFmtId="39" fontId="0" fillId="0" borderId="0" xfId="1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6" xfId="3" applyNumberFormat="1" applyFont="1" applyBorder="1" applyAlignment="1">
      <alignment horizontal="center"/>
    </xf>
    <xf numFmtId="164" fontId="3" fillId="0" borderId="7" xfId="3" applyNumberFormat="1" applyFont="1" applyBorder="1" applyAlignment="1">
      <alignment horizontal="center"/>
    </xf>
    <xf numFmtId="164" fontId="3" fillId="0" borderId="8" xfId="3" applyNumberFormat="1" applyFont="1" applyBorder="1" applyAlignment="1">
      <alignment horizontal="center"/>
    </xf>
    <xf numFmtId="0" fontId="0" fillId="0" borderId="9" xfId="4" applyFont="1" applyBorder="1" applyAlignment="1">
      <alignment horizontal="center"/>
    </xf>
    <xf numFmtId="0" fontId="0" fillId="0" borderId="0" xfId="4" applyFont="1" applyAlignment="1">
      <alignment horizontal="center"/>
    </xf>
    <xf numFmtId="0" fontId="0" fillId="0" borderId="10" xfId="4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5">
    <cellStyle name="Comma" xfId="1" builtinId="3"/>
    <cellStyle name="Comma 3" xfId="3" xr:uid="{957655C3-C843-4A6A-B766-06340213A0C6}"/>
    <cellStyle name="Normal" xfId="0" builtinId="0"/>
    <cellStyle name="Normal 2 2" xfId="4" xr:uid="{4D510624-0F21-422A-AA62-21B652181CE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PSCDR!_NUM013_Depr%20Ex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P Revenues"/>
      <sheetName val="Net Plant Changes"/>
      <sheetName val="Placed in Service"/>
      <sheetName val="QIP Spend to Plant Account"/>
      <sheetName val="Assumptions"/>
      <sheetName val="Depreciation Exp"/>
      <sheetName val="Deferred Income Taxes"/>
      <sheetName val="Depreciation Rates"/>
      <sheetName val="Retirement Ratio"/>
      <sheetName val="Property Taxes"/>
      <sheetName val="QIP Spend Jan 20-June 21"/>
      <sheetName val="Pre-Tax Return"/>
      <sheetName val="Tax Repairs Deduct"/>
      <sheetName val="Property Tax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J19">
            <v>20000</v>
          </cell>
          <cell r="K19">
            <v>25000</v>
          </cell>
          <cell r="R19">
            <v>350000</v>
          </cell>
          <cell r="S19">
            <v>350000</v>
          </cell>
          <cell r="T19">
            <v>200000</v>
          </cell>
          <cell r="U19">
            <v>55000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6F9C-A07C-4678-9289-1F6D5A815346}">
  <dimension ref="B1:Q65"/>
  <sheetViews>
    <sheetView tabSelected="1" zoomScale="80" zoomScaleNormal="80" workbookViewId="0"/>
  </sheetViews>
  <sheetFormatPr defaultColWidth="8.88671875" defaultRowHeight="14.4" x14ac:dyDescent="0.3"/>
  <cols>
    <col min="1" max="1" width="2.109375" customWidth="1"/>
    <col min="2" max="2" width="34.88671875" bestFit="1" customWidth="1"/>
    <col min="3" max="3" width="8" style="2" customWidth="1"/>
    <col min="4" max="15" width="11.77734375" style="2" customWidth="1"/>
    <col min="16" max="16" width="12.5546875" style="2" customWidth="1"/>
    <col min="17" max="17" width="10.77734375" style="2" bestFit="1" customWidth="1"/>
  </cols>
  <sheetData>
    <row r="1" spans="2:17" x14ac:dyDescent="0.3">
      <c r="B1" s="1" t="s">
        <v>0</v>
      </c>
    </row>
    <row r="2" spans="2:17" x14ac:dyDescent="0.3">
      <c r="B2" s="1" t="s">
        <v>1</v>
      </c>
    </row>
    <row r="3" spans="2:17" x14ac:dyDescent="0.3">
      <c r="B3" s="1" t="s">
        <v>37</v>
      </c>
    </row>
    <row r="5" spans="2:17" x14ac:dyDescent="0.3">
      <c r="D5" s="41">
        <v>2020</v>
      </c>
      <c r="E5" s="42"/>
      <c r="F5" s="42"/>
      <c r="G5" s="42"/>
      <c r="H5" s="42"/>
      <c r="I5" s="43"/>
      <c r="J5" s="41">
        <v>2021</v>
      </c>
      <c r="K5" s="42"/>
      <c r="L5" s="42"/>
      <c r="M5" s="42"/>
      <c r="N5" s="42"/>
      <c r="O5" s="43"/>
      <c r="Q5" s="2" t="s">
        <v>38</v>
      </c>
    </row>
    <row r="6" spans="2:17" x14ac:dyDescent="0.3">
      <c r="B6" s="8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39</v>
      </c>
    </row>
    <row r="7" spans="2:17" x14ac:dyDescent="0.3">
      <c r="B7" s="8" t="s">
        <v>41</v>
      </c>
      <c r="D7" s="19">
        <v>500000</v>
      </c>
      <c r="E7" s="19">
        <v>500000</v>
      </c>
      <c r="F7" s="19">
        <v>400000</v>
      </c>
      <c r="G7" s="19">
        <v>400000</v>
      </c>
      <c r="H7" s="19">
        <v>400000</v>
      </c>
      <c r="I7" s="19">
        <v>600000</v>
      </c>
      <c r="J7" s="19">
        <v>600000</v>
      </c>
      <c r="K7" s="19">
        <v>800000</v>
      </c>
      <c r="L7" s="19">
        <v>800000</v>
      </c>
      <c r="M7" s="19">
        <v>800000</v>
      </c>
      <c r="N7" s="19">
        <v>800000</v>
      </c>
      <c r="O7" s="19">
        <v>700000</v>
      </c>
      <c r="P7" s="19">
        <f>SUM(D7:O7)</f>
        <v>7300000</v>
      </c>
      <c r="Q7" s="19"/>
    </row>
    <row r="8" spans="2:17" x14ac:dyDescent="0.3">
      <c r="B8" t="s">
        <v>42</v>
      </c>
      <c r="C8" s="20">
        <v>0.8</v>
      </c>
      <c r="D8" s="5">
        <f>D$7*$C8</f>
        <v>400000</v>
      </c>
      <c r="E8" s="5">
        <f t="shared" ref="E8:O11" si="0">E$7*$C8</f>
        <v>400000</v>
      </c>
      <c r="F8" s="5">
        <f t="shared" si="0"/>
        <v>320000</v>
      </c>
      <c r="G8" s="5">
        <f t="shared" si="0"/>
        <v>320000</v>
      </c>
      <c r="H8" s="5">
        <f t="shared" si="0"/>
        <v>320000</v>
      </c>
      <c r="I8" s="5">
        <f t="shared" si="0"/>
        <v>480000</v>
      </c>
      <c r="J8" s="5">
        <f t="shared" si="0"/>
        <v>480000</v>
      </c>
      <c r="K8" s="5">
        <f t="shared" si="0"/>
        <v>640000</v>
      </c>
      <c r="L8" s="5">
        <f t="shared" si="0"/>
        <v>640000</v>
      </c>
      <c r="M8" s="5">
        <f t="shared" si="0"/>
        <v>640000</v>
      </c>
      <c r="N8" s="5">
        <f t="shared" si="0"/>
        <v>640000</v>
      </c>
      <c r="O8" s="5">
        <f t="shared" si="0"/>
        <v>560000</v>
      </c>
      <c r="P8" s="5">
        <f t="shared" ref="P8:P35" si="1">SUM(D8:O8)</f>
        <v>5840000</v>
      </c>
      <c r="Q8" s="21">
        <f>VLOOKUP(B8,'Retirement Ratio'!B:O,14,FALSE)</f>
        <v>-4.0240934312672509</v>
      </c>
    </row>
    <row r="9" spans="2:17" x14ac:dyDescent="0.3">
      <c r="B9" t="s">
        <v>43</v>
      </c>
      <c r="C9" s="20">
        <v>0.08</v>
      </c>
      <c r="D9" s="5">
        <f>D$7*$C9</f>
        <v>40000</v>
      </c>
      <c r="E9" s="5">
        <f t="shared" si="0"/>
        <v>40000</v>
      </c>
      <c r="F9" s="5">
        <f t="shared" si="0"/>
        <v>32000</v>
      </c>
      <c r="G9" s="5">
        <f t="shared" si="0"/>
        <v>32000</v>
      </c>
      <c r="H9" s="5">
        <f t="shared" si="0"/>
        <v>32000</v>
      </c>
      <c r="I9" s="5">
        <f t="shared" si="0"/>
        <v>48000</v>
      </c>
      <c r="J9" s="5">
        <f t="shared" si="0"/>
        <v>48000</v>
      </c>
      <c r="K9" s="5">
        <f t="shared" si="0"/>
        <v>64000</v>
      </c>
      <c r="L9" s="5">
        <f t="shared" si="0"/>
        <v>64000</v>
      </c>
      <c r="M9" s="5">
        <f t="shared" si="0"/>
        <v>64000</v>
      </c>
      <c r="N9" s="5">
        <f t="shared" si="0"/>
        <v>64000</v>
      </c>
      <c r="O9" s="5">
        <f t="shared" si="0"/>
        <v>56000</v>
      </c>
      <c r="P9" s="5">
        <f t="shared" si="1"/>
        <v>584000</v>
      </c>
      <c r="Q9" s="21">
        <f>VLOOKUP(B9,'Retirement Ratio'!B:O,14,FALSE)</f>
        <v>-0.11728159346502838</v>
      </c>
    </row>
    <row r="10" spans="2:17" x14ac:dyDescent="0.3">
      <c r="B10" t="s">
        <v>44</v>
      </c>
      <c r="C10" s="20">
        <v>0.06</v>
      </c>
      <c r="D10" s="5">
        <f>D$7*$C10</f>
        <v>30000</v>
      </c>
      <c r="E10" s="5">
        <f t="shared" si="0"/>
        <v>30000</v>
      </c>
      <c r="F10" s="5">
        <f t="shared" si="0"/>
        <v>24000</v>
      </c>
      <c r="G10" s="5">
        <f t="shared" si="0"/>
        <v>24000</v>
      </c>
      <c r="H10" s="5">
        <f t="shared" si="0"/>
        <v>24000</v>
      </c>
      <c r="I10" s="5">
        <f t="shared" si="0"/>
        <v>36000</v>
      </c>
      <c r="J10" s="5">
        <f t="shared" si="0"/>
        <v>36000</v>
      </c>
      <c r="K10" s="5">
        <f t="shared" si="0"/>
        <v>48000</v>
      </c>
      <c r="L10" s="5">
        <f t="shared" si="0"/>
        <v>48000</v>
      </c>
      <c r="M10" s="5">
        <f t="shared" si="0"/>
        <v>48000</v>
      </c>
      <c r="N10" s="5">
        <f t="shared" si="0"/>
        <v>48000</v>
      </c>
      <c r="O10" s="5">
        <f t="shared" si="0"/>
        <v>42000</v>
      </c>
      <c r="P10" s="5">
        <f t="shared" si="1"/>
        <v>438000</v>
      </c>
      <c r="Q10" s="21">
        <f>VLOOKUP(B10,'Retirement Ratio'!B:O,14,FALSE)</f>
        <v>-1.5962709420059062E-2</v>
      </c>
    </row>
    <row r="11" spans="2:17" x14ac:dyDescent="0.3">
      <c r="B11" t="s">
        <v>45</v>
      </c>
      <c r="C11" s="20">
        <v>0.06</v>
      </c>
      <c r="D11" s="5">
        <f>D$7*$C11</f>
        <v>30000</v>
      </c>
      <c r="E11" s="5">
        <f t="shared" si="0"/>
        <v>30000</v>
      </c>
      <c r="F11" s="5">
        <f t="shared" si="0"/>
        <v>24000</v>
      </c>
      <c r="G11" s="5">
        <f t="shared" si="0"/>
        <v>24000</v>
      </c>
      <c r="H11" s="5">
        <f t="shared" si="0"/>
        <v>24000</v>
      </c>
      <c r="I11" s="5">
        <f t="shared" si="0"/>
        <v>36000</v>
      </c>
      <c r="J11" s="5">
        <f t="shared" si="0"/>
        <v>36000</v>
      </c>
      <c r="K11" s="5">
        <f t="shared" si="0"/>
        <v>48000</v>
      </c>
      <c r="L11" s="5">
        <f t="shared" si="0"/>
        <v>48000</v>
      </c>
      <c r="M11" s="5">
        <f t="shared" si="0"/>
        <v>48000</v>
      </c>
      <c r="N11" s="5">
        <f t="shared" si="0"/>
        <v>48000</v>
      </c>
      <c r="O11" s="5">
        <f t="shared" si="0"/>
        <v>42000</v>
      </c>
      <c r="P11" s="5">
        <f t="shared" si="1"/>
        <v>438000</v>
      </c>
      <c r="Q11" s="21">
        <f>VLOOKUP(B11,'Retirement Ratio'!B:O,14,FALSE)</f>
        <v>-0.20253055427282327</v>
      </c>
    </row>
    <row r="12" spans="2:17" x14ac:dyDescent="0.3">
      <c r="B12" s="8" t="s">
        <v>46</v>
      </c>
      <c r="C12" s="20"/>
      <c r="D12" s="22">
        <v>88500</v>
      </c>
      <c r="E12" s="22">
        <v>70000</v>
      </c>
      <c r="F12" s="22">
        <v>70000</v>
      </c>
      <c r="G12" s="22">
        <v>70000</v>
      </c>
      <c r="H12" s="22">
        <v>70000</v>
      </c>
      <c r="I12" s="22">
        <v>80000</v>
      </c>
      <c r="J12" s="22">
        <v>80000</v>
      </c>
      <c r="K12" s="22">
        <v>85000</v>
      </c>
      <c r="L12" s="22">
        <v>85000</v>
      </c>
      <c r="M12" s="22">
        <v>80000</v>
      </c>
      <c r="N12" s="22">
        <v>70000</v>
      </c>
      <c r="O12" s="22">
        <v>70000</v>
      </c>
      <c r="P12" s="22">
        <f t="shared" ref="P12:P30" si="2">SUM(D12:O12)</f>
        <v>918500</v>
      </c>
      <c r="Q12" s="21"/>
    </row>
    <row r="13" spans="2:17" x14ac:dyDescent="0.3">
      <c r="B13" t="s">
        <v>42</v>
      </c>
      <c r="C13" s="20">
        <v>1</v>
      </c>
      <c r="D13" s="5">
        <f>D$12*$C13</f>
        <v>88500</v>
      </c>
      <c r="E13" s="5">
        <f t="shared" ref="E13:O13" si="3">E$12*$C13</f>
        <v>70000</v>
      </c>
      <c r="F13" s="5">
        <f t="shared" si="3"/>
        <v>70000</v>
      </c>
      <c r="G13" s="5">
        <f t="shared" si="3"/>
        <v>70000</v>
      </c>
      <c r="H13" s="5">
        <f t="shared" si="3"/>
        <v>70000</v>
      </c>
      <c r="I13" s="5">
        <f t="shared" si="3"/>
        <v>80000</v>
      </c>
      <c r="J13" s="5">
        <f t="shared" si="3"/>
        <v>80000</v>
      </c>
      <c r="K13" s="5">
        <f t="shared" si="3"/>
        <v>85000</v>
      </c>
      <c r="L13" s="5">
        <f t="shared" si="3"/>
        <v>85000</v>
      </c>
      <c r="M13" s="5">
        <f t="shared" si="3"/>
        <v>80000</v>
      </c>
      <c r="N13" s="5">
        <f t="shared" si="3"/>
        <v>70000</v>
      </c>
      <c r="O13" s="5">
        <f t="shared" si="3"/>
        <v>70000</v>
      </c>
      <c r="P13" s="5">
        <f t="shared" si="1"/>
        <v>918500</v>
      </c>
      <c r="Q13" s="21">
        <f>VLOOKUP(B13,'Retirement Ratio'!B:O,14,FALSE)</f>
        <v>-4.0240934312672509</v>
      </c>
    </row>
    <row r="14" spans="2:17" x14ac:dyDescent="0.3">
      <c r="B14" s="8" t="s">
        <v>47</v>
      </c>
      <c r="C14" s="20"/>
      <c r="D14" s="22">
        <v>30000</v>
      </c>
      <c r="E14" s="22">
        <v>30000</v>
      </c>
      <c r="F14" s="22">
        <v>38000</v>
      </c>
      <c r="G14" s="22">
        <v>42000</v>
      </c>
      <c r="H14" s="22">
        <v>42000</v>
      </c>
      <c r="I14" s="22">
        <v>42000</v>
      </c>
      <c r="J14" s="22">
        <v>42000</v>
      </c>
      <c r="K14" s="22">
        <v>42000</v>
      </c>
      <c r="L14" s="22">
        <v>42000</v>
      </c>
      <c r="M14" s="22">
        <v>42000</v>
      </c>
      <c r="N14" s="22">
        <v>42000</v>
      </c>
      <c r="O14" s="22">
        <v>42000</v>
      </c>
      <c r="P14" s="22">
        <f t="shared" si="2"/>
        <v>476000</v>
      </c>
      <c r="Q14" s="21"/>
    </row>
    <row r="15" spans="2:17" x14ac:dyDescent="0.3">
      <c r="B15" t="s">
        <v>42</v>
      </c>
      <c r="C15" s="20">
        <v>0.9</v>
      </c>
      <c r="D15" s="5">
        <f>D$14*$C15</f>
        <v>27000</v>
      </c>
      <c r="E15" s="5">
        <f t="shared" ref="E15:O16" si="4">E$14*$C15</f>
        <v>27000</v>
      </c>
      <c r="F15" s="5">
        <f t="shared" si="4"/>
        <v>34200</v>
      </c>
      <c r="G15" s="5">
        <f t="shared" si="4"/>
        <v>37800</v>
      </c>
      <c r="H15" s="5">
        <f t="shared" si="4"/>
        <v>37800</v>
      </c>
      <c r="I15" s="5">
        <f t="shared" si="4"/>
        <v>37800</v>
      </c>
      <c r="J15" s="5">
        <f t="shared" si="4"/>
        <v>37800</v>
      </c>
      <c r="K15" s="5">
        <f t="shared" si="4"/>
        <v>37800</v>
      </c>
      <c r="L15" s="5">
        <f t="shared" si="4"/>
        <v>37800</v>
      </c>
      <c r="M15" s="5">
        <f t="shared" si="4"/>
        <v>37800</v>
      </c>
      <c r="N15" s="5">
        <f t="shared" si="4"/>
        <v>37800</v>
      </c>
      <c r="O15" s="5">
        <f t="shared" si="4"/>
        <v>37800</v>
      </c>
      <c r="P15" s="5">
        <f t="shared" si="1"/>
        <v>428400</v>
      </c>
      <c r="Q15" s="21">
        <f>VLOOKUP(B15,'Retirement Ratio'!B:O,14,FALSE)</f>
        <v>-4.0240934312672509</v>
      </c>
    </row>
    <row r="16" spans="2:17" x14ac:dyDescent="0.3">
      <c r="B16" t="s">
        <v>45</v>
      </c>
      <c r="C16" s="20">
        <v>0.1</v>
      </c>
      <c r="D16" s="5">
        <f>D$14*$C16</f>
        <v>3000</v>
      </c>
      <c r="E16" s="5">
        <f t="shared" si="4"/>
        <v>3000</v>
      </c>
      <c r="F16" s="5">
        <f t="shared" si="4"/>
        <v>3800</v>
      </c>
      <c r="G16" s="5">
        <f t="shared" si="4"/>
        <v>4200</v>
      </c>
      <c r="H16" s="5">
        <f t="shared" si="4"/>
        <v>4200</v>
      </c>
      <c r="I16" s="5">
        <f t="shared" si="4"/>
        <v>4200</v>
      </c>
      <c r="J16" s="5">
        <f t="shared" si="4"/>
        <v>4200</v>
      </c>
      <c r="K16" s="5">
        <f t="shared" si="4"/>
        <v>4200</v>
      </c>
      <c r="L16" s="5">
        <f t="shared" si="4"/>
        <v>4200</v>
      </c>
      <c r="M16" s="5">
        <f t="shared" si="4"/>
        <v>4200</v>
      </c>
      <c r="N16" s="5">
        <f t="shared" si="4"/>
        <v>4200</v>
      </c>
      <c r="O16" s="5">
        <f t="shared" si="4"/>
        <v>4200</v>
      </c>
      <c r="P16" s="5">
        <f t="shared" si="1"/>
        <v>47600</v>
      </c>
      <c r="Q16" s="21">
        <f>VLOOKUP(B16,'Retirement Ratio'!B:O,14,FALSE)</f>
        <v>-0.20253055427282327</v>
      </c>
    </row>
    <row r="17" spans="2:17" x14ac:dyDescent="0.3">
      <c r="B17" s="8" t="s">
        <v>48</v>
      </c>
      <c r="C17" s="20"/>
      <c r="D17" s="22">
        <v>57500</v>
      </c>
      <c r="E17" s="22">
        <v>38000</v>
      </c>
      <c r="F17" s="22">
        <v>42000</v>
      </c>
      <c r="G17" s="22">
        <v>42000</v>
      </c>
      <c r="H17" s="22">
        <v>42000</v>
      </c>
      <c r="I17" s="22">
        <v>42000</v>
      </c>
      <c r="J17" s="22">
        <v>42000</v>
      </c>
      <c r="K17" s="22">
        <v>42000</v>
      </c>
      <c r="L17" s="22">
        <v>42000</v>
      </c>
      <c r="M17" s="22">
        <v>42000</v>
      </c>
      <c r="N17" s="22">
        <v>42000</v>
      </c>
      <c r="O17" s="22">
        <v>42000</v>
      </c>
      <c r="P17" s="22">
        <f t="shared" si="2"/>
        <v>515500</v>
      </c>
      <c r="Q17" s="21"/>
    </row>
    <row r="18" spans="2:17" x14ac:dyDescent="0.3">
      <c r="B18" t="s">
        <v>45</v>
      </c>
      <c r="C18" s="20">
        <v>0.35</v>
      </c>
      <c r="D18" s="5">
        <f>D$17*$C18</f>
        <v>20125</v>
      </c>
      <c r="E18" s="5">
        <f t="shared" ref="E18:O19" si="5">E$17*$C18</f>
        <v>13300</v>
      </c>
      <c r="F18" s="5">
        <f t="shared" si="5"/>
        <v>14699.999999999998</v>
      </c>
      <c r="G18" s="5">
        <f t="shared" si="5"/>
        <v>14699.999999999998</v>
      </c>
      <c r="H18" s="5">
        <f t="shared" si="5"/>
        <v>14699.999999999998</v>
      </c>
      <c r="I18" s="5">
        <f t="shared" si="5"/>
        <v>14699.999999999998</v>
      </c>
      <c r="J18" s="5">
        <f t="shared" si="5"/>
        <v>14699.999999999998</v>
      </c>
      <c r="K18" s="5">
        <f t="shared" si="5"/>
        <v>14699.999999999998</v>
      </c>
      <c r="L18" s="5">
        <f t="shared" si="5"/>
        <v>14699.999999999998</v>
      </c>
      <c r="M18" s="5">
        <f t="shared" si="5"/>
        <v>14699.999999999998</v>
      </c>
      <c r="N18" s="5">
        <f t="shared" si="5"/>
        <v>14699.999999999998</v>
      </c>
      <c r="O18" s="5">
        <f t="shared" si="5"/>
        <v>14699.999999999998</v>
      </c>
      <c r="P18" s="5">
        <f t="shared" si="1"/>
        <v>180425</v>
      </c>
      <c r="Q18" s="21">
        <f>VLOOKUP(B18,'Retirement Ratio'!B:O,14,FALSE)</f>
        <v>-0.20253055427282327</v>
      </c>
    </row>
    <row r="19" spans="2:17" x14ac:dyDescent="0.3">
      <c r="B19" t="s">
        <v>42</v>
      </c>
      <c r="C19" s="20">
        <v>0.65</v>
      </c>
      <c r="D19" s="5">
        <f>D$17*$C19</f>
        <v>37375</v>
      </c>
      <c r="E19" s="5">
        <f t="shared" si="5"/>
        <v>24700</v>
      </c>
      <c r="F19" s="5">
        <f t="shared" si="5"/>
        <v>27300</v>
      </c>
      <c r="G19" s="5">
        <f t="shared" si="5"/>
        <v>27300</v>
      </c>
      <c r="H19" s="5">
        <f t="shared" si="5"/>
        <v>27300</v>
      </c>
      <c r="I19" s="5">
        <f t="shared" si="5"/>
        <v>27300</v>
      </c>
      <c r="J19" s="5">
        <f t="shared" si="5"/>
        <v>27300</v>
      </c>
      <c r="K19" s="5">
        <f t="shared" si="5"/>
        <v>27300</v>
      </c>
      <c r="L19" s="5">
        <f t="shared" si="5"/>
        <v>27300</v>
      </c>
      <c r="M19" s="5">
        <f t="shared" si="5"/>
        <v>27300</v>
      </c>
      <c r="N19" s="5">
        <f t="shared" si="5"/>
        <v>27300</v>
      </c>
      <c r="O19" s="5">
        <f t="shared" si="5"/>
        <v>27300</v>
      </c>
      <c r="P19" s="5">
        <f t="shared" si="1"/>
        <v>335075</v>
      </c>
      <c r="Q19" s="21">
        <f>VLOOKUP(B19,'Retirement Ratio'!B:O,14,FALSE)</f>
        <v>-4.0240934312672509</v>
      </c>
    </row>
    <row r="20" spans="2:17" x14ac:dyDescent="0.3">
      <c r="B20" s="8" t="s">
        <v>49</v>
      </c>
      <c r="C20" s="20"/>
      <c r="D20" s="22">
        <v>69000</v>
      </c>
      <c r="E20" s="22">
        <v>40000</v>
      </c>
      <c r="F20" s="22">
        <v>45000</v>
      </c>
      <c r="G20" s="22">
        <v>45000</v>
      </c>
      <c r="H20" s="22">
        <v>45000</v>
      </c>
      <c r="I20" s="22">
        <v>45000</v>
      </c>
      <c r="J20" s="22">
        <v>45000</v>
      </c>
      <c r="K20" s="22">
        <v>45000</v>
      </c>
      <c r="L20" s="22">
        <v>45000</v>
      </c>
      <c r="M20" s="22">
        <v>45000</v>
      </c>
      <c r="N20" s="22">
        <v>45000</v>
      </c>
      <c r="O20" s="22">
        <v>45000</v>
      </c>
      <c r="P20" s="22">
        <f t="shared" si="2"/>
        <v>559000</v>
      </c>
      <c r="Q20" s="21"/>
    </row>
    <row r="21" spans="2:17" x14ac:dyDescent="0.3">
      <c r="B21" t="s">
        <v>43</v>
      </c>
      <c r="C21" s="20">
        <v>1</v>
      </c>
      <c r="D21" s="5">
        <f>D$20*$C21</f>
        <v>69000</v>
      </c>
      <c r="E21" s="5">
        <f t="shared" ref="E21:O21" si="6">E$20*$C21</f>
        <v>40000</v>
      </c>
      <c r="F21" s="5">
        <f t="shared" si="6"/>
        <v>45000</v>
      </c>
      <c r="G21" s="5">
        <f t="shared" si="6"/>
        <v>45000</v>
      </c>
      <c r="H21" s="5">
        <f t="shared" si="6"/>
        <v>45000</v>
      </c>
      <c r="I21" s="5">
        <f t="shared" si="6"/>
        <v>45000</v>
      </c>
      <c r="J21" s="5">
        <f t="shared" si="6"/>
        <v>45000</v>
      </c>
      <c r="K21" s="5">
        <f t="shared" si="6"/>
        <v>45000</v>
      </c>
      <c r="L21" s="5">
        <f t="shared" si="6"/>
        <v>45000</v>
      </c>
      <c r="M21" s="5">
        <f t="shared" si="6"/>
        <v>45000</v>
      </c>
      <c r="N21" s="5">
        <f t="shared" si="6"/>
        <v>45000</v>
      </c>
      <c r="O21" s="5">
        <f t="shared" si="6"/>
        <v>45000</v>
      </c>
      <c r="P21" s="5">
        <f t="shared" si="1"/>
        <v>559000</v>
      </c>
      <c r="Q21" s="21">
        <f>VLOOKUP(B21,'Retirement Ratio'!B:O,14,FALSE)</f>
        <v>-0.11728159346502838</v>
      </c>
    </row>
    <row r="22" spans="2:17" x14ac:dyDescent="0.3">
      <c r="B22" s="8" t="s">
        <v>50</v>
      </c>
      <c r="C22" s="20"/>
      <c r="D22" s="22">
        <v>125000</v>
      </c>
      <c r="E22" s="22">
        <v>100000</v>
      </c>
      <c r="F22" s="22">
        <v>100000</v>
      </c>
      <c r="G22" s="22">
        <v>100000</v>
      </c>
      <c r="H22" s="22">
        <v>100000</v>
      </c>
      <c r="I22" s="22">
        <v>100000</v>
      </c>
      <c r="J22" s="22">
        <v>100000</v>
      </c>
      <c r="K22" s="22">
        <v>100000</v>
      </c>
      <c r="L22" s="22">
        <v>100000</v>
      </c>
      <c r="M22" s="22">
        <v>100000</v>
      </c>
      <c r="N22" s="22">
        <v>100000</v>
      </c>
      <c r="O22" s="22">
        <v>100000</v>
      </c>
      <c r="P22" s="22">
        <f t="shared" si="2"/>
        <v>1225000</v>
      </c>
      <c r="Q22" s="21"/>
    </row>
    <row r="23" spans="2:17" x14ac:dyDescent="0.3">
      <c r="B23" t="s">
        <v>44</v>
      </c>
      <c r="C23" s="20">
        <v>1</v>
      </c>
      <c r="D23" s="5">
        <f>D$22*$C23</f>
        <v>125000</v>
      </c>
      <c r="E23" s="5">
        <f t="shared" ref="E23:O23" si="7">E$22*$C23</f>
        <v>100000</v>
      </c>
      <c r="F23" s="5">
        <f t="shared" si="7"/>
        <v>100000</v>
      </c>
      <c r="G23" s="5">
        <f t="shared" si="7"/>
        <v>100000</v>
      </c>
      <c r="H23" s="5">
        <f t="shared" si="7"/>
        <v>100000</v>
      </c>
      <c r="I23" s="5">
        <f t="shared" si="7"/>
        <v>100000</v>
      </c>
      <c r="J23" s="5">
        <f t="shared" si="7"/>
        <v>100000</v>
      </c>
      <c r="K23" s="5">
        <f t="shared" si="7"/>
        <v>100000</v>
      </c>
      <c r="L23" s="5">
        <f t="shared" si="7"/>
        <v>100000</v>
      </c>
      <c r="M23" s="5">
        <f t="shared" si="7"/>
        <v>100000</v>
      </c>
      <c r="N23" s="5">
        <f t="shared" si="7"/>
        <v>100000</v>
      </c>
      <c r="O23" s="5">
        <f t="shared" si="7"/>
        <v>100000</v>
      </c>
      <c r="P23" s="5">
        <f t="shared" si="1"/>
        <v>1225000</v>
      </c>
      <c r="Q23" s="21">
        <f>VLOOKUP(B23,'Retirement Ratio'!B:O,14,FALSE)</f>
        <v>-1.5962709420059062E-2</v>
      </c>
    </row>
    <row r="24" spans="2:17" x14ac:dyDescent="0.3">
      <c r="B24" s="8" t="s">
        <v>22</v>
      </c>
      <c r="C24" s="20"/>
      <c r="D24" s="22">
        <v>4500</v>
      </c>
      <c r="E24" s="22">
        <v>4300</v>
      </c>
      <c r="F24" s="22">
        <v>10000</v>
      </c>
      <c r="G24" s="22">
        <v>20000</v>
      </c>
      <c r="H24" s="22">
        <v>25000</v>
      </c>
      <c r="I24" s="22">
        <v>25000</v>
      </c>
      <c r="J24" s="22">
        <v>27000</v>
      </c>
      <c r="K24" s="22">
        <v>27000</v>
      </c>
      <c r="L24" s="22">
        <v>27000</v>
      </c>
      <c r="M24" s="22">
        <v>27000</v>
      </c>
      <c r="N24" s="22">
        <v>27000</v>
      </c>
      <c r="O24" s="22">
        <v>28000</v>
      </c>
      <c r="P24" s="22">
        <f t="shared" si="2"/>
        <v>251800</v>
      </c>
      <c r="Q24" s="25"/>
    </row>
    <row r="25" spans="2:17" x14ac:dyDescent="0.3">
      <c r="B25" t="s">
        <v>51</v>
      </c>
      <c r="C25" s="20">
        <v>1</v>
      </c>
      <c r="D25" s="5">
        <f>D$24*$C25</f>
        <v>4500</v>
      </c>
      <c r="E25" s="5">
        <f t="shared" ref="E25:O25" si="8">E$24*$C25</f>
        <v>4300</v>
      </c>
      <c r="F25" s="5">
        <f t="shared" si="8"/>
        <v>10000</v>
      </c>
      <c r="G25" s="5">
        <f t="shared" si="8"/>
        <v>20000</v>
      </c>
      <c r="H25" s="5">
        <f t="shared" si="8"/>
        <v>25000</v>
      </c>
      <c r="I25" s="5">
        <f t="shared" si="8"/>
        <v>25000</v>
      </c>
      <c r="J25" s="5">
        <f t="shared" si="8"/>
        <v>27000</v>
      </c>
      <c r="K25" s="5">
        <f t="shared" si="8"/>
        <v>27000</v>
      </c>
      <c r="L25" s="5">
        <f t="shared" si="8"/>
        <v>27000</v>
      </c>
      <c r="M25" s="5">
        <f t="shared" si="8"/>
        <v>27000</v>
      </c>
      <c r="N25" s="5">
        <f t="shared" si="8"/>
        <v>27000</v>
      </c>
      <c r="O25" s="5">
        <f t="shared" si="8"/>
        <v>28000</v>
      </c>
      <c r="P25" s="5">
        <f t="shared" si="1"/>
        <v>251800</v>
      </c>
      <c r="Q25" s="21">
        <f>VLOOKUP(B25,'Retirement Ratio'!B:O,14,FALSE)</f>
        <v>-0.91126426518681969</v>
      </c>
    </row>
    <row r="26" spans="2:17" x14ac:dyDescent="0.3">
      <c r="B26" s="8" t="s">
        <v>52</v>
      </c>
      <c r="C26" s="20"/>
      <c r="D26" s="22">
        <v>5000</v>
      </c>
      <c r="E26" s="22">
        <v>10800</v>
      </c>
      <c r="F26" s="22">
        <v>10800</v>
      </c>
      <c r="G26" s="22">
        <v>10800</v>
      </c>
      <c r="H26" s="22">
        <v>10800</v>
      </c>
      <c r="I26" s="22">
        <v>10800</v>
      </c>
      <c r="J26" s="22">
        <v>11200</v>
      </c>
      <c r="K26" s="22">
        <v>10800</v>
      </c>
      <c r="L26" s="22">
        <v>10800</v>
      </c>
      <c r="M26" s="22">
        <v>10800</v>
      </c>
      <c r="N26" s="22">
        <v>10800</v>
      </c>
      <c r="O26" s="22">
        <v>10800</v>
      </c>
      <c r="P26" s="22">
        <f t="shared" si="2"/>
        <v>124200</v>
      </c>
      <c r="Q26" s="25"/>
    </row>
    <row r="27" spans="2:17" x14ac:dyDescent="0.3">
      <c r="B27" t="s">
        <v>53</v>
      </c>
      <c r="C27" s="20">
        <v>0.05</v>
      </c>
      <c r="D27" s="5">
        <f>D$26*$C27</f>
        <v>250</v>
      </c>
      <c r="E27" s="5">
        <f t="shared" ref="E27:O29" si="9">E$26*$C27</f>
        <v>540</v>
      </c>
      <c r="F27" s="5">
        <f t="shared" si="9"/>
        <v>540</v>
      </c>
      <c r="G27" s="5">
        <f t="shared" si="9"/>
        <v>540</v>
      </c>
      <c r="H27" s="5">
        <f t="shared" si="9"/>
        <v>540</v>
      </c>
      <c r="I27" s="5">
        <f t="shared" si="9"/>
        <v>540</v>
      </c>
      <c r="J27" s="5">
        <f t="shared" si="9"/>
        <v>560</v>
      </c>
      <c r="K27" s="5">
        <f t="shared" si="9"/>
        <v>540</v>
      </c>
      <c r="L27" s="5">
        <f t="shared" si="9"/>
        <v>540</v>
      </c>
      <c r="M27" s="5">
        <f t="shared" si="9"/>
        <v>540</v>
      </c>
      <c r="N27" s="5">
        <f t="shared" si="9"/>
        <v>540</v>
      </c>
      <c r="O27" s="5">
        <f t="shared" si="9"/>
        <v>540</v>
      </c>
      <c r="P27" s="5">
        <f t="shared" si="2"/>
        <v>6210</v>
      </c>
      <c r="Q27" s="21">
        <f>VLOOKUP(B27,'Retirement Ratio'!B:O,14,FALSE)</f>
        <v>-0.17661699550714052</v>
      </c>
    </row>
    <row r="28" spans="2:17" x14ac:dyDescent="0.3">
      <c r="B28" s="23" t="s">
        <v>54</v>
      </c>
      <c r="C28" s="20">
        <v>0.8</v>
      </c>
      <c r="D28" s="5">
        <f>D$26*$C28</f>
        <v>4000</v>
      </c>
      <c r="E28" s="5">
        <f t="shared" si="9"/>
        <v>8640</v>
      </c>
      <c r="F28" s="5">
        <f t="shared" si="9"/>
        <v>8640</v>
      </c>
      <c r="G28" s="5">
        <f t="shared" si="9"/>
        <v>8640</v>
      </c>
      <c r="H28" s="5">
        <f t="shared" si="9"/>
        <v>8640</v>
      </c>
      <c r="I28" s="5">
        <f t="shared" si="9"/>
        <v>8640</v>
      </c>
      <c r="J28" s="5">
        <f t="shared" si="9"/>
        <v>8960</v>
      </c>
      <c r="K28" s="5">
        <f t="shared" si="9"/>
        <v>8640</v>
      </c>
      <c r="L28" s="5">
        <f t="shared" si="9"/>
        <v>8640</v>
      </c>
      <c r="M28" s="5">
        <f t="shared" si="9"/>
        <v>8640</v>
      </c>
      <c r="N28" s="5">
        <f t="shared" si="9"/>
        <v>8640</v>
      </c>
      <c r="O28" s="5">
        <f t="shared" si="9"/>
        <v>8640</v>
      </c>
      <c r="P28" s="5">
        <f t="shared" si="1"/>
        <v>99360</v>
      </c>
      <c r="Q28" s="21">
        <f>VLOOKUP(B28,'Retirement Ratio'!B:O,14,FALSE)</f>
        <v>4.5857982999822067</v>
      </c>
    </row>
    <row r="29" spans="2:17" x14ac:dyDescent="0.3">
      <c r="B29" s="23" t="s">
        <v>55</v>
      </c>
      <c r="C29" s="20">
        <v>0.15</v>
      </c>
      <c r="D29" s="5">
        <f>D$26*$C29</f>
        <v>750</v>
      </c>
      <c r="E29" s="5">
        <f t="shared" si="9"/>
        <v>1620</v>
      </c>
      <c r="F29" s="5">
        <f t="shared" si="9"/>
        <v>1620</v>
      </c>
      <c r="G29" s="5">
        <f t="shared" si="9"/>
        <v>1620</v>
      </c>
      <c r="H29" s="5">
        <f t="shared" si="9"/>
        <v>1620</v>
      </c>
      <c r="I29" s="5">
        <f t="shared" si="9"/>
        <v>1620</v>
      </c>
      <c r="J29" s="5">
        <f t="shared" si="9"/>
        <v>1680</v>
      </c>
      <c r="K29" s="5">
        <f t="shared" si="9"/>
        <v>1620</v>
      </c>
      <c r="L29" s="5">
        <f t="shared" si="9"/>
        <v>1620</v>
      </c>
      <c r="M29" s="5">
        <f t="shared" si="9"/>
        <v>1620</v>
      </c>
      <c r="N29" s="5">
        <f t="shared" si="9"/>
        <v>1620</v>
      </c>
      <c r="O29" s="5">
        <f t="shared" si="9"/>
        <v>1620</v>
      </c>
      <c r="P29" s="5">
        <f t="shared" ref="P29" si="10">SUM(D29:O29)</f>
        <v>18630</v>
      </c>
      <c r="Q29" s="21">
        <f>VLOOKUP(B29,'Retirement Ratio'!B:O,14,FALSE)</f>
        <v>-1.1153981985612417E-2</v>
      </c>
    </row>
    <row r="30" spans="2:17" x14ac:dyDescent="0.3">
      <c r="B30" s="8" t="s">
        <v>56</v>
      </c>
      <c r="C30" s="20"/>
      <c r="D30" s="22">
        <v>195000</v>
      </c>
      <c r="E30" s="22">
        <v>280000</v>
      </c>
      <c r="F30" s="22">
        <v>62500</v>
      </c>
      <c r="G30" s="22">
        <v>62500</v>
      </c>
      <c r="H30" s="22">
        <v>62500</v>
      </c>
      <c r="I30" s="22">
        <v>62500</v>
      </c>
      <c r="J30" s="22">
        <v>62500</v>
      </c>
      <c r="K30" s="22">
        <v>62500</v>
      </c>
      <c r="L30" s="22">
        <v>62500</v>
      </c>
      <c r="M30" s="22">
        <v>62500</v>
      </c>
      <c r="N30" s="22">
        <v>62500</v>
      </c>
      <c r="O30" s="22">
        <v>62500</v>
      </c>
      <c r="P30" s="22">
        <f t="shared" si="2"/>
        <v>1100000</v>
      </c>
      <c r="Q30" s="25"/>
    </row>
    <row r="31" spans="2:17" x14ac:dyDescent="0.3">
      <c r="B31" t="s">
        <v>57</v>
      </c>
      <c r="C31" s="20">
        <v>0.15</v>
      </c>
      <c r="D31" s="5">
        <f>D$30*$C31</f>
        <v>29250</v>
      </c>
      <c r="E31" s="5">
        <f t="shared" ref="E31:O31" si="11">E$30*$C31</f>
        <v>42000</v>
      </c>
      <c r="F31" s="5">
        <f t="shared" si="11"/>
        <v>9375</v>
      </c>
      <c r="G31" s="5">
        <f t="shared" si="11"/>
        <v>9375</v>
      </c>
      <c r="H31" s="5">
        <f t="shared" si="11"/>
        <v>9375</v>
      </c>
      <c r="I31" s="5">
        <f t="shared" si="11"/>
        <v>9375</v>
      </c>
      <c r="J31" s="5">
        <f t="shared" si="11"/>
        <v>9375</v>
      </c>
      <c r="K31" s="5">
        <f t="shared" si="11"/>
        <v>9375</v>
      </c>
      <c r="L31" s="5">
        <f t="shared" si="11"/>
        <v>9375</v>
      </c>
      <c r="M31" s="5">
        <f t="shared" si="11"/>
        <v>9375</v>
      </c>
      <c r="N31" s="5">
        <f t="shared" si="11"/>
        <v>9375</v>
      </c>
      <c r="O31" s="5">
        <f t="shared" si="11"/>
        <v>9375</v>
      </c>
      <c r="P31" s="5">
        <f t="shared" si="1"/>
        <v>165000</v>
      </c>
      <c r="Q31" s="21">
        <f>VLOOKUP(B31,'Retirement Ratio'!B:O,14,FALSE)</f>
        <v>-0.93499202270216852</v>
      </c>
    </row>
    <row r="32" spans="2:17" x14ac:dyDescent="0.3">
      <c r="B32" t="s">
        <v>58</v>
      </c>
      <c r="C32" s="20">
        <v>0.3</v>
      </c>
      <c r="D32" s="5">
        <f t="shared" ref="D32:O33" si="12">D$30*$C32</f>
        <v>58500</v>
      </c>
      <c r="E32" s="5">
        <f t="shared" si="12"/>
        <v>84000</v>
      </c>
      <c r="F32" s="5">
        <f t="shared" si="12"/>
        <v>18750</v>
      </c>
      <c r="G32" s="5">
        <f t="shared" si="12"/>
        <v>18750</v>
      </c>
      <c r="H32" s="5">
        <f t="shared" si="12"/>
        <v>18750</v>
      </c>
      <c r="I32" s="5">
        <f t="shared" si="12"/>
        <v>18750</v>
      </c>
      <c r="J32" s="5">
        <f t="shared" si="12"/>
        <v>18750</v>
      </c>
      <c r="K32" s="5">
        <f t="shared" si="12"/>
        <v>18750</v>
      </c>
      <c r="L32" s="5">
        <f t="shared" si="12"/>
        <v>18750</v>
      </c>
      <c r="M32" s="5">
        <f t="shared" si="12"/>
        <v>18750</v>
      </c>
      <c r="N32" s="5">
        <f t="shared" si="12"/>
        <v>18750</v>
      </c>
      <c r="O32" s="5">
        <f t="shared" si="12"/>
        <v>18750</v>
      </c>
      <c r="P32" s="5">
        <f t="shared" si="1"/>
        <v>330000</v>
      </c>
      <c r="Q32" s="21">
        <f>VLOOKUP(B32,'Retirement Ratio'!B:O,14,FALSE)</f>
        <v>-9.9018147014877378E-2</v>
      </c>
    </row>
    <row r="33" spans="2:17" x14ac:dyDescent="0.3">
      <c r="B33" t="s">
        <v>59</v>
      </c>
      <c r="C33" s="20">
        <v>0.55000000000000004</v>
      </c>
      <c r="D33" s="5">
        <f t="shared" si="12"/>
        <v>107250.00000000001</v>
      </c>
      <c r="E33" s="5">
        <f t="shared" si="12"/>
        <v>154000</v>
      </c>
      <c r="F33" s="5">
        <f t="shared" si="12"/>
        <v>34375</v>
      </c>
      <c r="G33" s="5">
        <f t="shared" si="12"/>
        <v>34375</v>
      </c>
      <c r="H33" s="5">
        <f t="shared" si="12"/>
        <v>34375</v>
      </c>
      <c r="I33" s="5">
        <f t="shared" si="12"/>
        <v>34375</v>
      </c>
      <c r="J33" s="5">
        <f t="shared" si="12"/>
        <v>34375</v>
      </c>
      <c r="K33" s="5">
        <f t="shared" si="12"/>
        <v>34375</v>
      </c>
      <c r="L33" s="5">
        <f t="shared" si="12"/>
        <v>34375</v>
      </c>
      <c r="M33" s="5">
        <f t="shared" si="12"/>
        <v>34375</v>
      </c>
      <c r="N33" s="5">
        <f t="shared" si="12"/>
        <v>34375</v>
      </c>
      <c r="O33" s="5">
        <f t="shared" si="12"/>
        <v>34375</v>
      </c>
      <c r="P33" s="5">
        <f t="shared" si="1"/>
        <v>605000</v>
      </c>
      <c r="Q33" s="21">
        <f>VLOOKUP(B33,'Retirement Ratio'!B:O,14,FALSE)</f>
        <v>-5.0780202963095537E-2</v>
      </c>
    </row>
    <row r="34" spans="2:17" x14ac:dyDescent="0.3">
      <c r="B34" s="8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6"/>
    </row>
    <row r="35" spans="2:17" x14ac:dyDescent="0.3">
      <c r="B35" s="8" t="s">
        <v>118</v>
      </c>
      <c r="C35" s="20"/>
      <c r="D35" s="5">
        <f t="shared" ref="D35:O35" si="13">SUM(D8:D11,D13,D15:D16,D18:D19,D21,D23,D25,D27:D29,D31:D33)</f>
        <v>1074500</v>
      </c>
      <c r="E35" s="5">
        <f t="shared" si="13"/>
        <v>1073100</v>
      </c>
      <c r="F35" s="5">
        <f t="shared" si="13"/>
        <v>778300</v>
      </c>
      <c r="G35" s="5">
        <f t="shared" si="13"/>
        <v>792300</v>
      </c>
      <c r="H35" s="5">
        <f t="shared" si="13"/>
        <v>797300</v>
      </c>
      <c r="I35" s="5">
        <f t="shared" si="13"/>
        <v>1007300</v>
      </c>
      <c r="J35" s="5">
        <f t="shared" si="13"/>
        <v>1009700</v>
      </c>
      <c r="K35" s="5">
        <f t="shared" si="13"/>
        <v>1214300</v>
      </c>
      <c r="L35" s="5">
        <f t="shared" si="13"/>
        <v>1214300</v>
      </c>
      <c r="M35" s="5">
        <f t="shared" si="13"/>
        <v>1209300</v>
      </c>
      <c r="N35" s="5">
        <f t="shared" si="13"/>
        <v>1199300</v>
      </c>
      <c r="O35" s="5">
        <f t="shared" si="13"/>
        <v>1100300</v>
      </c>
      <c r="P35" s="5">
        <f t="shared" si="1"/>
        <v>12470000</v>
      </c>
      <c r="Q35" s="5"/>
    </row>
    <row r="36" spans="2:17" x14ac:dyDescent="0.3"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3">
      <c r="B37" s="8" t="s">
        <v>25</v>
      </c>
      <c r="C37" s="2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3">
      <c r="B38" s="8" t="s">
        <v>119</v>
      </c>
      <c r="C38" s="20"/>
      <c r="D38" s="5"/>
      <c r="E38" s="5"/>
      <c r="F38" s="5"/>
      <c r="G38" s="5"/>
      <c r="H38" s="5"/>
      <c r="I38" s="5"/>
      <c r="J38" s="5"/>
      <c r="K38" s="5"/>
      <c r="L38" s="5"/>
      <c r="M38" s="5"/>
      <c r="N38" s="22">
        <f>SUM('[1]QIP Spend Jan 20-June 21'!D19:T19)</f>
        <v>945000</v>
      </c>
      <c r="O38" s="22">
        <f>'[1]QIP Spend Jan 20-June 21'!U19</f>
        <v>55000</v>
      </c>
      <c r="P38" s="22">
        <f t="shared" ref="P38:P39" si="14">SUM(D38:O38)</f>
        <v>1000000</v>
      </c>
      <c r="Q38" s="5"/>
    </row>
    <row r="39" spans="2:17" x14ac:dyDescent="0.3">
      <c r="B39" t="s">
        <v>57</v>
      </c>
      <c r="C39" s="20">
        <v>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>N$38*$C39</f>
        <v>945000</v>
      </c>
      <c r="O39" s="5">
        <f>O$38*$C39</f>
        <v>55000</v>
      </c>
      <c r="P39" s="5">
        <f t="shared" si="14"/>
        <v>1000000</v>
      </c>
      <c r="Q39" s="21">
        <f>VLOOKUP(B39,'Retirement Ratio'!B:O,14,FALSE)</f>
        <v>-0.93499202270216852</v>
      </c>
    </row>
    <row r="40" spans="2:17" x14ac:dyDescent="0.3">
      <c r="B40" s="8"/>
      <c r="C40" s="2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3">
      <c r="C41" s="20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5" thickBot="1" x14ac:dyDescent="0.35">
      <c r="C42" s="20"/>
      <c r="D42" s="7">
        <f t="shared" ref="D42:P42" si="15">D35+D39</f>
        <v>1074500</v>
      </c>
      <c r="E42" s="7">
        <f t="shared" si="15"/>
        <v>1073100</v>
      </c>
      <c r="F42" s="7">
        <f t="shared" si="15"/>
        <v>778300</v>
      </c>
      <c r="G42" s="7">
        <f t="shared" si="15"/>
        <v>792300</v>
      </c>
      <c r="H42" s="7">
        <f t="shared" si="15"/>
        <v>797300</v>
      </c>
      <c r="I42" s="7">
        <f t="shared" si="15"/>
        <v>1007300</v>
      </c>
      <c r="J42" s="7">
        <f t="shared" si="15"/>
        <v>1009700</v>
      </c>
      <c r="K42" s="7">
        <f t="shared" si="15"/>
        <v>1214300</v>
      </c>
      <c r="L42" s="7">
        <f t="shared" si="15"/>
        <v>1214300</v>
      </c>
      <c r="M42" s="7">
        <f t="shared" si="15"/>
        <v>1209300</v>
      </c>
      <c r="N42" s="7">
        <f t="shared" si="15"/>
        <v>2144300</v>
      </c>
      <c r="O42" s="7">
        <f t="shared" si="15"/>
        <v>1155300</v>
      </c>
      <c r="P42" s="7">
        <f t="shared" si="15"/>
        <v>13470000</v>
      </c>
      <c r="Q42" s="4"/>
    </row>
    <row r="43" spans="2:17" ht="15" thickTop="1" x14ac:dyDescent="0.3">
      <c r="C43" s="20"/>
    </row>
    <row r="44" spans="2:17" x14ac:dyDescent="0.3">
      <c r="C44" s="20"/>
      <c r="D44" s="41">
        <v>2020</v>
      </c>
      <c r="E44" s="42"/>
      <c r="F44" s="42"/>
      <c r="G44" s="42"/>
      <c r="H44" s="42"/>
      <c r="I44" s="43"/>
      <c r="J44" s="41">
        <v>2021</v>
      </c>
      <c r="K44" s="42"/>
      <c r="L44" s="42"/>
      <c r="M44" s="42"/>
      <c r="N44" s="42"/>
      <c r="O44" s="43"/>
    </row>
    <row r="45" spans="2:17" x14ac:dyDescent="0.3">
      <c r="B45" s="8" t="s">
        <v>26</v>
      </c>
      <c r="C45" s="20"/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  <c r="L45" s="3" t="s">
        <v>11</v>
      </c>
      <c r="M45" s="3" t="s">
        <v>12</v>
      </c>
      <c r="N45" s="3" t="s">
        <v>13</v>
      </c>
      <c r="O45" s="3" t="s">
        <v>14</v>
      </c>
      <c r="P45" s="3" t="s">
        <v>15</v>
      </c>
      <c r="Q45" s="24"/>
    </row>
    <row r="46" spans="2:17" x14ac:dyDescent="0.3">
      <c r="B46" t="s">
        <v>16</v>
      </c>
      <c r="C46" s="20"/>
      <c r="D46" s="4">
        <f t="shared" ref="D46:O46" si="16">D7*$E$62</f>
        <v>25000</v>
      </c>
      <c r="E46" s="4">
        <f t="shared" si="16"/>
        <v>25000</v>
      </c>
      <c r="F46" s="4">
        <f t="shared" si="16"/>
        <v>20000</v>
      </c>
      <c r="G46" s="4">
        <f t="shared" si="16"/>
        <v>20000</v>
      </c>
      <c r="H46" s="4">
        <f t="shared" si="16"/>
        <v>20000</v>
      </c>
      <c r="I46" s="4">
        <f t="shared" si="16"/>
        <v>30000</v>
      </c>
      <c r="J46" s="4">
        <f t="shared" si="16"/>
        <v>30000</v>
      </c>
      <c r="K46" s="4">
        <f t="shared" si="16"/>
        <v>40000</v>
      </c>
      <c r="L46" s="4">
        <f t="shared" si="16"/>
        <v>40000</v>
      </c>
      <c r="M46" s="4">
        <f t="shared" si="16"/>
        <v>40000</v>
      </c>
      <c r="N46" s="4">
        <f t="shared" si="16"/>
        <v>40000</v>
      </c>
      <c r="O46" s="4">
        <f t="shared" si="16"/>
        <v>35000</v>
      </c>
      <c r="P46" s="4">
        <f>SUM(D46:O46)</f>
        <v>365000</v>
      </c>
      <c r="Q46" s="4"/>
    </row>
    <row r="47" spans="2:17" x14ac:dyDescent="0.3">
      <c r="B47" t="s">
        <v>17</v>
      </c>
      <c r="C47" s="20"/>
      <c r="D47" s="5">
        <f t="shared" ref="D47:O47" si="17">D12*$E$63</f>
        <v>19470</v>
      </c>
      <c r="E47" s="5">
        <f t="shared" si="17"/>
        <v>15400</v>
      </c>
      <c r="F47" s="5">
        <f t="shared" si="17"/>
        <v>15400</v>
      </c>
      <c r="G47" s="5">
        <f t="shared" si="17"/>
        <v>15400</v>
      </c>
      <c r="H47" s="5">
        <f t="shared" si="17"/>
        <v>15400</v>
      </c>
      <c r="I47" s="5">
        <f t="shared" si="17"/>
        <v>17600</v>
      </c>
      <c r="J47" s="5">
        <f t="shared" si="17"/>
        <v>17600</v>
      </c>
      <c r="K47" s="5">
        <f t="shared" si="17"/>
        <v>18700</v>
      </c>
      <c r="L47" s="5">
        <f t="shared" si="17"/>
        <v>18700</v>
      </c>
      <c r="M47" s="5">
        <f t="shared" si="17"/>
        <v>17600</v>
      </c>
      <c r="N47" s="5">
        <f t="shared" si="17"/>
        <v>15400</v>
      </c>
      <c r="O47" s="5">
        <f t="shared" si="17"/>
        <v>15400</v>
      </c>
      <c r="P47" s="5">
        <f t="shared" ref="P47:P51" si="18">SUM(D47:O47)</f>
        <v>202070</v>
      </c>
      <c r="Q47" s="5"/>
    </row>
    <row r="48" spans="2:17" x14ac:dyDescent="0.3">
      <c r="B48" t="s">
        <v>18</v>
      </c>
      <c r="C48" s="20"/>
      <c r="D48" s="5">
        <f t="shared" ref="D48:O48" si="19">D14*$E$64</f>
        <v>3000</v>
      </c>
      <c r="E48" s="5">
        <f t="shared" si="19"/>
        <v>3000</v>
      </c>
      <c r="F48" s="5">
        <f t="shared" si="19"/>
        <v>3800</v>
      </c>
      <c r="G48" s="5">
        <f t="shared" si="19"/>
        <v>4200</v>
      </c>
      <c r="H48" s="5">
        <f t="shared" si="19"/>
        <v>4200</v>
      </c>
      <c r="I48" s="5">
        <f t="shared" si="19"/>
        <v>4200</v>
      </c>
      <c r="J48" s="5">
        <f t="shared" si="19"/>
        <v>4200</v>
      </c>
      <c r="K48" s="5">
        <f t="shared" si="19"/>
        <v>4200</v>
      </c>
      <c r="L48" s="5">
        <f t="shared" si="19"/>
        <v>4200</v>
      </c>
      <c r="M48" s="5">
        <f t="shared" si="19"/>
        <v>4200</v>
      </c>
      <c r="N48" s="5">
        <f t="shared" si="19"/>
        <v>4200</v>
      </c>
      <c r="O48" s="5">
        <f t="shared" si="19"/>
        <v>4200</v>
      </c>
      <c r="P48" s="5">
        <f t="shared" si="18"/>
        <v>47600</v>
      </c>
      <c r="Q48" s="5"/>
    </row>
    <row r="49" spans="2:17" x14ac:dyDescent="0.3">
      <c r="B49" t="s">
        <v>19</v>
      </c>
      <c r="C49" s="20"/>
      <c r="D49" s="5">
        <f t="shared" ref="D49:O49" si="20">D17*$E$65</f>
        <v>17825</v>
      </c>
      <c r="E49" s="5">
        <f t="shared" si="20"/>
        <v>11780</v>
      </c>
      <c r="F49" s="5">
        <f t="shared" si="20"/>
        <v>13020</v>
      </c>
      <c r="G49" s="5">
        <f t="shared" si="20"/>
        <v>13020</v>
      </c>
      <c r="H49" s="5">
        <f t="shared" si="20"/>
        <v>13020</v>
      </c>
      <c r="I49" s="5">
        <f t="shared" si="20"/>
        <v>13020</v>
      </c>
      <c r="J49" s="5">
        <f t="shared" si="20"/>
        <v>13020</v>
      </c>
      <c r="K49" s="5">
        <f t="shared" si="20"/>
        <v>13020</v>
      </c>
      <c r="L49" s="5">
        <f t="shared" si="20"/>
        <v>13020</v>
      </c>
      <c r="M49" s="5">
        <f t="shared" si="20"/>
        <v>13020</v>
      </c>
      <c r="N49" s="5">
        <f t="shared" si="20"/>
        <v>13020</v>
      </c>
      <c r="O49" s="5">
        <f t="shared" si="20"/>
        <v>13020</v>
      </c>
      <c r="P49" s="5">
        <f t="shared" si="18"/>
        <v>159805</v>
      </c>
      <c r="Q49" s="5"/>
    </row>
    <row r="50" spans="2:17" x14ac:dyDescent="0.3">
      <c r="B50" t="s">
        <v>20</v>
      </c>
      <c r="C50" s="20"/>
      <c r="D50" s="5">
        <f t="shared" ref="D50:O50" si="21">D20*$G$62</f>
        <v>21390</v>
      </c>
      <c r="E50" s="5">
        <f t="shared" si="21"/>
        <v>12400</v>
      </c>
      <c r="F50" s="5">
        <f t="shared" si="21"/>
        <v>13950</v>
      </c>
      <c r="G50" s="5">
        <f t="shared" si="21"/>
        <v>13950</v>
      </c>
      <c r="H50" s="5">
        <f t="shared" si="21"/>
        <v>13950</v>
      </c>
      <c r="I50" s="5">
        <f t="shared" si="21"/>
        <v>13950</v>
      </c>
      <c r="J50" s="5">
        <f t="shared" si="21"/>
        <v>13950</v>
      </c>
      <c r="K50" s="5">
        <f t="shared" si="21"/>
        <v>13950</v>
      </c>
      <c r="L50" s="5">
        <f t="shared" si="21"/>
        <v>13950</v>
      </c>
      <c r="M50" s="5">
        <f t="shared" si="21"/>
        <v>13950</v>
      </c>
      <c r="N50" s="5">
        <f t="shared" si="21"/>
        <v>13950</v>
      </c>
      <c r="O50" s="5">
        <f t="shared" si="21"/>
        <v>13950</v>
      </c>
      <c r="P50" s="5">
        <f t="shared" si="18"/>
        <v>173290</v>
      </c>
      <c r="Q50" s="5"/>
    </row>
    <row r="51" spans="2:17" x14ac:dyDescent="0.3">
      <c r="B51" t="s">
        <v>21</v>
      </c>
      <c r="C51" s="20"/>
      <c r="D51" s="5">
        <f t="shared" ref="D51:O51" si="22">D22*$G$63</f>
        <v>16250</v>
      </c>
      <c r="E51" s="5">
        <f t="shared" si="22"/>
        <v>13000</v>
      </c>
      <c r="F51" s="5">
        <f t="shared" si="22"/>
        <v>13000</v>
      </c>
      <c r="G51" s="5">
        <f t="shared" si="22"/>
        <v>13000</v>
      </c>
      <c r="H51" s="5">
        <f t="shared" si="22"/>
        <v>13000</v>
      </c>
      <c r="I51" s="5">
        <f t="shared" si="22"/>
        <v>13000</v>
      </c>
      <c r="J51" s="5">
        <f t="shared" si="22"/>
        <v>13000</v>
      </c>
      <c r="K51" s="5">
        <f t="shared" si="22"/>
        <v>13000</v>
      </c>
      <c r="L51" s="5">
        <f t="shared" si="22"/>
        <v>13000</v>
      </c>
      <c r="M51" s="5">
        <f t="shared" si="22"/>
        <v>13000</v>
      </c>
      <c r="N51" s="5">
        <f t="shared" si="22"/>
        <v>13000</v>
      </c>
      <c r="O51" s="5">
        <f t="shared" si="22"/>
        <v>13000</v>
      </c>
      <c r="P51" s="5">
        <f t="shared" si="18"/>
        <v>159250</v>
      </c>
      <c r="Q51" s="5"/>
    </row>
    <row r="52" spans="2:17" x14ac:dyDescent="0.3">
      <c r="B52" t="s">
        <v>22</v>
      </c>
      <c r="C52" s="2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3">
      <c r="B53" t="s">
        <v>23</v>
      </c>
      <c r="C53" s="2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3">
      <c r="B54" t="s">
        <v>24</v>
      </c>
      <c r="D54" s="6">
        <f t="shared" ref="D54:O54" si="23">D30*$G$64</f>
        <v>19500</v>
      </c>
      <c r="E54" s="6">
        <f t="shared" si="23"/>
        <v>28000</v>
      </c>
      <c r="F54" s="6">
        <f t="shared" si="23"/>
        <v>6250</v>
      </c>
      <c r="G54" s="6">
        <f t="shared" si="23"/>
        <v>6250</v>
      </c>
      <c r="H54" s="6">
        <f t="shared" si="23"/>
        <v>6250</v>
      </c>
      <c r="I54" s="6">
        <f t="shared" si="23"/>
        <v>6250</v>
      </c>
      <c r="J54" s="6">
        <f t="shared" si="23"/>
        <v>6250</v>
      </c>
      <c r="K54" s="6">
        <f t="shared" si="23"/>
        <v>6250</v>
      </c>
      <c r="L54" s="6">
        <f t="shared" si="23"/>
        <v>6250</v>
      </c>
      <c r="M54" s="6">
        <f t="shared" si="23"/>
        <v>6250</v>
      </c>
      <c r="N54" s="6">
        <f t="shared" si="23"/>
        <v>6250</v>
      </c>
      <c r="O54" s="6">
        <f t="shared" si="23"/>
        <v>6250</v>
      </c>
      <c r="P54" s="6">
        <f t="shared" ref="P54" si="24">SUM(D54:O54)</f>
        <v>110000</v>
      </c>
      <c r="Q54" s="5"/>
    </row>
    <row r="55" spans="2:17" x14ac:dyDescent="0.3">
      <c r="D55" s="5">
        <f>SUM(D46:D54)</f>
        <v>122435</v>
      </c>
      <c r="E55" s="5">
        <f t="shared" ref="E55:P55" si="25">SUM(E46:E54)</f>
        <v>108580</v>
      </c>
      <c r="F55" s="5">
        <f t="shared" si="25"/>
        <v>85420</v>
      </c>
      <c r="G55" s="5">
        <f t="shared" si="25"/>
        <v>85820</v>
      </c>
      <c r="H55" s="5">
        <f t="shared" si="25"/>
        <v>85820</v>
      </c>
      <c r="I55" s="5">
        <f t="shared" si="25"/>
        <v>98020</v>
      </c>
      <c r="J55" s="5">
        <f t="shared" si="25"/>
        <v>98020</v>
      </c>
      <c r="K55" s="5">
        <f t="shared" si="25"/>
        <v>109120</v>
      </c>
      <c r="L55" s="5">
        <f t="shared" si="25"/>
        <v>109120</v>
      </c>
      <c r="M55" s="5">
        <f t="shared" si="25"/>
        <v>108020</v>
      </c>
      <c r="N55" s="5">
        <f t="shared" si="25"/>
        <v>105820</v>
      </c>
      <c r="O55" s="5">
        <f t="shared" si="25"/>
        <v>100820</v>
      </c>
      <c r="P55" s="5">
        <f t="shared" si="25"/>
        <v>1217015</v>
      </c>
      <c r="Q55" s="5"/>
    </row>
    <row r="56" spans="2:17" x14ac:dyDescent="0.3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3">
      <c r="B57" t="s">
        <v>27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75000</v>
      </c>
      <c r="O57" s="5"/>
      <c r="P57" s="5">
        <f t="shared" ref="P57" si="26">SUM(D57:O57)</f>
        <v>75000</v>
      </c>
      <c r="Q57" s="5"/>
    </row>
    <row r="58" spans="2:17" ht="15" thickBot="1" x14ac:dyDescent="0.35">
      <c r="D58" s="7">
        <f>SUM(D55:D57)</f>
        <v>122435</v>
      </c>
      <c r="E58" s="7">
        <f t="shared" ref="E58:P58" si="27">SUM(E55:E57)</f>
        <v>108580</v>
      </c>
      <c r="F58" s="7">
        <f t="shared" si="27"/>
        <v>85420</v>
      </c>
      <c r="G58" s="7">
        <f t="shared" si="27"/>
        <v>85820</v>
      </c>
      <c r="H58" s="7">
        <f t="shared" si="27"/>
        <v>85820</v>
      </c>
      <c r="I58" s="7">
        <f t="shared" si="27"/>
        <v>98020</v>
      </c>
      <c r="J58" s="7">
        <f t="shared" si="27"/>
        <v>98020</v>
      </c>
      <c r="K58" s="7">
        <f t="shared" si="27"/>
        <v>109120</v>
      </c>
      <c r="L58" s="7">
        <f t="shared" si="27"/>
        <v>109120</v>
      </c>
      <c r="M58" s="7">
        <f t="shared" si="27"/>
        <v>108020</v>
      </c>
      <c r="N58" s="7">
        <f t="shared" si="27"/>
        <v>180820</v>
      </c>
      <c r="O58" s="7">
        <f t="shared" si="27"/>
        <v>100820</v>
      </c>
      <c r="P58" s="7">
        <f t="shared" si="27"/>
        <v>1292015</v>
      </c>
      <c r="Q58" s="4"/>
    </row>
    <row r="59" spans="2:17" ht="15.6" thickTop="1" thickBot="1" x14ac:dyDescent="0.35"/>
    <row r="60" spans="2:17" x14ac:dyDescent="0.3">
      <c r="D60" s="44" t="s">
        <v>28</v>
      </c>
      <c r="E60" s="45"/>
      <c r="F60" s="45"/>
      <c r="G60" s="46"/>
    </row>
    <row r="61" spans="2:17" x14ac:dyDescent="0.3">
      <c r="D61" s="47" t="s">
        <v>29</v>
      </c>
      <c r="E61" s="48"/>
      <c r="F61" s="48"/>
      <c r="G61" s="49"/>
    </row>
    <row r="62" spans="2:17" x14ac:dyDescent="0.3">
      <c r="D62" s="9" t="s">
        <v>30</v>
      </c>
      <c r="E62" s="10">
        <v>0.05</v>
      </c>
      <c r="F62" s="11" t="s">
        <v>31</v>
      </c>
      <c r="G62" s="12">
        <v>0.31</v>
      </c>
    </row>
    <row r="63" spans="2:17" x14ac:dyDescent="0.3">
      <c r="D63" s="9" t="s">
        <v>32</v>
      </c>
      <c r="E63" s="10">
        <v>0.22</v>
      </c>
      <c r="F63" s="11" t="s">
        <v>33</v>
      </c>
      <c r="G63" s="12">
        <v>0.13</v>
      </c>
    </row>
    <row r="64" spans="2:17" x14ac:dyDescent="0.3">
      <c r="D64" s="13" t="s">
        <v>34</v>
      </c>
      <c r="E64" s="14">
        <v>0.1</v>
      </c>
      <c r="F64" s="11" t="s">
        <v>35</v>
      </c>
      <c r="G64" s="12">
        <v>0.1</v>
      </c>
    </row>
    <row r="65" spans="4:7" ht="15" thickBot="1" x14ac:dyDescent="0.35">
      <c r="D65" s="15" t="s">
        <v>36</v>
      </c>
      <c r="E65" s="16">
        <v>0.31</v>
      </c>
      <c r="F65" s="17"/>
      <c r="G65" s="18"/>
    </row>
  </sheetData>
  <mergeCells count="6">
    <mergeCell ref="D61:G61"/>
    <mergeCell ref="D5:I5"/>
    <mergeCell ref="J5:O5"/>
    <mergeCell ref="D44:I44"/>
    <mergeCell ref="J44:O44"/>
    <mergeCell ref="D60:G60"/>
  </mergeCells>
  <pageMargins left="0.7" right="0.7" top="0.75" bottom="0.75" header="0.3" footer="0.3"/>
  <pageSetup scale="58" fitToHeight="2" orientation="landscape" verticalDpi="0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A3674-5D78-4D8F-8737-285905433C79}">
  <sheetPr>
    <pageSetUpPr fitToPage="1"/>
  </sheetPr>
  <dimension ref="A1:Q106"/>
  <sheetViews>
    <sheetView zoomScale="80" zoomScaleNormal="80" workbookViewId="0"/>
  </sheetViews>
  <sheetFormatPr defaultRowHeight="14.4" x14ac:dyDescent="0.3"/>
  <cols>
    <col min="1" max="1" width="8.6640625" style="28" customWidth="1"/>
    <col min="2" max="2" width="33.6640625" style="28" bestFit="1" customWidth="1"/>
    <col min="3" max="3" width="14.109375" style="28" bestFit="1" customWidth="1"/>
    <col min="4" max="4" width="12.109375" style="28" bestFit="1" customWidth="1"/>
    <col min="5" max="6" width="13.33203125" style="28" bestFit="1" customWidth="1"/>
    <col min="7" max="7" width="13.6640625" style="28" bestFit="1" customWidth="1"/>
    <col min="8" max="8" width="4.109375" style="28" customWidth="1"/>
    <col min="9" max="9" width="12.6640625" style="28" bestFit="1" customWidth="1"/>
    <col min="10" max="10" width="12" style="28" bestFit="1" customWidth="1"/>
    <col min="11" max="11" width="12.33203125" style="28" bestFit="1" customWidth="1"/>
    <col min="12" max="12" width="12.88671875" style="28" bestFit="1" customWidth="1"/>
    <col min="13" max="13" width="13.6640625" style="28" bestFit="1" customWidth="1"/>
    <col min="14" max="14" width="8.88671875" style="28"/>
    <col min="15" max="15" width="10.77734375" style="28" bestFit="1" customWidth="1"/>
    <col min="16" max="16384" width="8.88671875" style="28"/>
  </cols>
  <sheetData>
    <row r="1" spans="1:17" x14ac:dyDescent="0.3">
      <c r="A1" s="27" t="s">
        <v>0</v>
      </c>
      <c r="J1" s="29" t="s">
        <v>60</v>
      </c>
      <c r="K1" s="30">
        <v>1</v>
      </c>
      <c r="L1" s="29"/>
      <c r="M1" s="29" t="s">
        <v>61</v>
      </c>
      <c r="N1" s="31">
        <f>IFERROR(SUMPRODUCT((K1=$N$6:$N$64)*($M$6:$M$64))/SUMPRODUCT((K1=$N$6:$N$64)*($G$6:$G$64)),"")</f>
        <v>-7.2424120588246016E-2</v>
      </c>
    </row>
    <row r="2" spans="1:17" x14ac:dyDescent="0.3">
      <c r="A2" s="27" t="s">
        <v>1</v>
      </c>
    </row>
    <row r="3" spans="1:17" x14ac:dyDescent="0.3">
      <c r="A3" s="27" t="s">
        <v>61</v>
      </c>
    </row>
    <row r="4" spans="1:17" x14ac:dyDescent="0.3">
      <c r="C4" s="50" t="s">
        <v>62</v>
      </c>
      <c r="D4" s="51"/>
      <c r="E4" s="51"/>
      <c r="F4" s="51"/>
      <c r="G4" s="52"/>
      <c r="I4" s="50" t="s">
        <v>40</v>
      </c>
      <c r="J4" s="51"/>
      <c r="K4" s="51"/>
      <c r="L4" s="51"/>
      <c r="M4" s="52"/>
      <c r="O4" s="32" t="s">
        <v>38</v>
      </c>
    </row>
    <row r="5" spans="1:17" x14ac:dyDescent="0.3">
      <c r="A5" s="33" t="s">
        <v>63</v>
      </c>
      <c r="B5" s="33" t="s">
        <v>64</v>
      </c>
      <c r="C5" s="33" t="s">
        <v>65</v>
      </c>
      <c r="D5" s="33" t="s">
        <v>66</v>
      </c>
      <c r="E5" s="33" t="s">
        <v>67</v>
      </c>
      <c r="F5" s="33" t="s">
        <v>68</v>
      </c>
      <c r="G5" s="33" t="s">
        <v>69</v>
      </c>
      <c r="I5" s="33" t="s">
        <v>65</v>
      </c>
      <c r="J5" s="33" t="s">
        <v>66</v>
      </c>
      <c r="K5" s="33" t="s">
        <v>67</v>
      </c>
      <c r="L5" s="33" t="s">
        <v>68</v>
      </c>
      <c r="M5" s="33" t="s">
        <v>69</v>
      </c>
      <c r="N5" s="33" t="s">
        <v>60</v>
      </c>
      <c r="O5" s="33" t="s">
        <v>39</v>
      </c>
    </row>
    <row r="6" spans="1:17" x14ac:dyDescent="0.3">
      <c r="A6" s="28">
        <v>303500</v>
      </c>
      <c r="B6" s="28" t="s">
        <v>70</v>
      </c>
      <c r="C6" s="34">
        <v>71126.62000000001</v>
      </c>
      <c r="D6" s="34">
        <v>0</v>
      </c>
      <c r="E6" s="34">
        <v>0</v>
      </c>
      <c r="F6" s="34">
        <v>71126.62000000001</v>
      </c>
      <c r="G6" s="34">
        <f t="shared" ref="G6:G64" si="0">F6/3</f>
        <v>23708.873333333337</v>
      </c>
      <c r="H6" s="35"/>
      <c r="I6" s="34">
        <v>-1262.42</v>
      </c>
      <c r="J6" s="34">
        <v>0</v>
      </c>
      <c r="K6" s="34">
        <v>0</v>
      </c>
      <c r="L6" s="34">
        <v>-1262.42</v>
      </c>
      <c r="M6" s="34">
        <f>L6/3</f>
        <v>-420.80666666666667</v>
      </c>
      <c r="O6" s="36">
        <f>M6/G6</f>
        <v>-1.7748910323589114E-2</v>
      </c>
    </row>
    <row r="7" spans="1:17" x14ac:dyDescent="0.3">
      <c r="A7" s="28">
        <v>304100</v>
      </c>
      <c r="B7" s="28" t="s">
        <v>53</v>
      </c>
      <c r="C7" s="37">
        <v>-229482.79</v>
      </c>
      <c r="D7" s="37">
        <v>265197.48</v>
      </c>
      <c r="E7" s="37">
        <v>435493.02000000019</v>
      </c>
      <c r="F7" s="37">
        <v>471207.7100000002</v>
      </c>
      <c r="G7" s="37">
        <f t="shared" si="0"/>
        <v>157069.23666666672</v>
      </c>
      <c r="H7" s="38"/>
      <c r="I7" s="37">
        <v>-1391.3</v>
      </c>
      <c r="J7" s="37">
        <v>-7301.43</v>
      </c>
      <c r="K7" s="37">
        <v>-74530.560000000012</v>
      </c>
      <c r="L7" s="37">
        <v>-83223.290000000008</v>
      </c>
      <c r="M7" s="37">
        <f t="shared" ref="M7:M64" si="1">L7/3</f>
        <v>-27741.096666666668</v>
      </c>
      <c r="N7" s="28">
        <v>1</v>
      </c>
      <c r="O7" s="36">
        <f t="shared" ref="O7:O64" si="2">M7/G7</f>
        <v>-0.17661699550714052</v>
      </c>
    </row>
    <row r="8" spans="1:17" x14ac:dyDescent="0.3">
      <c r="A8" s="28">
        <v>304200</v>
      </c>
      <c r="B8" s="28" t="s">
        <v>57</v>
      </c>
      <c r="C8" s="37">
        <v>39418.03</v>
      </c>
      <c r="D8" s="37">
        <v>50059.81</v>
      </c>
      <c r="E8" s="37">
        <v>20164.550000000003</v>
      </c>
      <c r="F8" s="37">
        <v>109642.39</v>
      </c>
      <c r="G8" s="37">
        <f t="shared" si="0"/>
        <v>36547.463333333333</v>
      </c>
      <c r="H8" s="38"/>
      <c r="I8" s="37">
        <v>-54249.07</v>
      </c>
      <c r="J8" s="37">
        <v>-8724.39</v>
      </c>
      <c r="K8" s="37">
        <v>-39541.300000000003</v>
      </c>
      <c r="L8" s="37">
        <v>-102514.76000000001</v>
      </c>
      <c r="M8" s="37">
        <f t="shared" si="1"/>
        <v>-34171.58666666667</v>
      </c>
      <c r="N8" s="28">
        <v>1</v>
      </c>
      <c r="O8" s="36">
        <f t="shared" si="2"/>
        <v>-0.93499202270216852</v>
      </c>
      <c r="Q8" s="38"/>
    </row>
    <row r="9" spans="1:17" x14ac:dyDescent="0.3">
      <c r="A9" s="28">
        <v>304300</v>
      </c>
      <c r="B9" s="28" t="s">
        <v>54</v>
      </c>
      <c r="C9" s="37">
        <v>-7767603.3399999952</v>
      </c>
      <c r="D9" s="37">
        <v>1424366.5799999991</v>
      </c>
      <c r="E9" s="37">
        <v>6291806.7199999997</v>
      </c>
      <c r="F9" s="37">
        <v>-51430.039999996312</v>
      </c>
      <c r="G9" s="37">
        <f t="shared" si="0"/>
        <v>-17143.346666665439</v>
      </c>
      <c r="H9" s="38"/>
      <c r="I9" s="37">
        <v>-130207.95999999999</v>
      </c>
      <c r="J9" s="37">
        <v>-50423.590000000011</v>
      </c>
      <c r="K9" s="37">
        <v>-55216.24</v>
      </c>
      <c r="L9" s="37">
        <v>-235847.78999999998</v>
      </c>
      <c r="M9" s="37">
        <f t="shared" si="1"/>
        <v>-78615.929999999993</v>
      </c>
      <c r="N9" s="28">
        <v>1</v>
      </c>
      <c r="O9" s="36">
        <f t="shared" si="2"/>
        <v>4.5857982999822067</v>
      </c>
    </row>
    <row r="10" spans="1:17" x14ac:dyDescent="0.3">
      <c r="A10" s="28">
        <v>304400</v>
      </c>
      <c r="B10" s="28" t="s">
        <v>55</v>
      </c>
      <c r="C10" s="37">
        <v>402378.08</v>
      </c>
      <c r="D10" s="37">
        <v>253527.82</v>
      </c>
      <c r="E10" s="37">
        <v>-88.990000000000691</v>
      </c>
      <c r="F10" s="37">
        <v>655816.91</v>
      </c>
      <c r="G10" s="37">
        <f t="shared" si="0"/>
        <v>218605.63666666669</v>
      </c>
      <c r="H10" s="38"/>
      <c r="I10" s="37">
        <v>-2301.11</v>
      </c>
      <c r="J10" s="37">
        <v>-4669.72</v>
      </c>
      <c r="K10" s="37">
        <v>-344.14</v>
      </c>
      <c r="L10" s="37">
        <v>-7314.97</v>
      </c>
      <c r="M10" s="37">
        <f t="shared" si="1"/>
        <v>-2438.3233333333333</v>
      </c>
      <c r="O10" s="36">
        <f t="shared" si="2"/>
        <v>-1.1153981985612417E-2</v>
      </c>
    </row>
    <row r="11" spans="1:17" x14ac:dyDescent="0.3">
      <c r="A11" s="28">
        <v>304500</v>
      </c>
      <c r="B11" s="28" t="s">
        <v>71</v>
      </c>
      <c r="C11" s="37">
        <v>3236457.3699999992</v>
      </c>
      <c r="D11" s="37">
        <v>271526.99</v>
      </c>
      <c r="E11" s="37">
        <v>395459.58000000007</v>
      </c>
      <c r="F11" s="37">
        <v>3903443.9399999995</v>
      </c>
      <c r="G11" s="37">
        <f t="shared" si="0"/>
        <v>1301147.9799999997</v>
      </c>
      <c r="H11" s="38"/>
      <c r="I11" s="37">
        <v>-4115</v>
      </c>
      <c r="J11" s="37">
        <v>-271089.28000000003</v>
      </c>
      <c r="K11" s="37">
        <v>-13587.529999999999</v>
      </c>
      <c r="L11" s="37">
        <v>-288791.81000000006</v>
      </c>
      <c r="M11" s="37">
        <f t="shared" si="1"/>
        <v>-96263.93666666669</v>
      </c>
      <c r="O11" s="36">
        <f t="shared" si="2"/>
        <v>-7.3983849759092515E-2</v>
      </c>
    </row>
    <row r="12" spans="1:17" x14ac:dyDescent="0.3">
      <c r="A12" s="28">
        <v>304600</v>
      </c>
      <c r="B12" s="28" t="s">
        <v>72</v>
      </c>
      <c r="C12" s="37"/>
      <c r="D12" s="37"/>
      <c r="E12" s="37"/>
      <c r="F12" s="37">
        <v>0</v>
      </c>
      <c r="G12" s="37">
        <f t="shared" si="0"/>
        <v>0</v>
      </c>
      <c r="H12" s="38"/>
      <c r="I12" s="37">
        <v>-1040.44</v>
      </c>
      <c r="J12" s="37"/>
      <c r="K12" s="37">
        <v>-9883.9599999999991</v>
      </c>
      <c r="L12" s="37">
        <v>-10924.4</v>
      </c>
      <c r="M12" s="37">
        <f t="shared" si="1"/>
        <v>-3641.4666666666667</v>
      </c>
      <c r="O12" s="36"/>
    </row>
    <row r="13" spans="1:17" x14ac:dyDescent="0.3">
      <c r="A13" s="28">
        <v>304610</v>
      </c>
      <c r="B13" s="28" t="s">
        <v>73</v>
      </c>
      <c r="C13" s="37"/>
      <c r="D13" s="37"/>
      <c r="E13" s="37"/>
      <c r="F13" s="37">
        <v>0</v>
      </c>
      <c r="G13" s="37">
        <f t="shared" si="0"/>
        <v>0</v>
      </c>
      <c r="H13" s="38"/>
      <c r="I13" s="37">
        <v>-10570.37</v>
      </c>
      <c r="J13" s="37"/>
      <c r="K13" s="37"/>
      <c r="L13" s="37">
        <v>-10570.37</v>
      </c>
      <c r="M13" s="37">
        <f t="shared" si="1"/>
        <v>-3523.4566666666669</v>
      </c>
      <c r="O13" s="36"/>
    </row>
    <row r="14" spans="1:17" x14ac:dyDescent="0.3">
      <c r="A14" s="28">
        <v>304700</v>
      </c>
      <c r="B14" s="28" t="s">
        <v>74</v>
      </c>
      <c r="C14" s="37">
        <v>1792.9599999999994</v>
      </c>
      <c r="D14" s="37"/>
      <c r="E14" s="37"/>
      <c r="F14" s="37">
        <v>1792.9599999999994</v>
      </c>
      <c r="G14" s="37">
        <f t="shared" si="0"/>
        <v>597.65333333333308</v>
      </c>
      <c r="H14" s="38"/>
      <c r="I14" s="37"/>
      <c r="J14" s="37"/>
      <c r="K14" s="37"/>
      <c r="L14" s="37">
        <v>0</v>
      </c>
      <c r="M14" s="37">
        <f t="shared" si="1"/>
        <v>0</v>
      </c>
      <c r="O14" s="36">
        <f t="shared" si="2"/>
        <v>0</v>
      </c>
    </row>
    <row r="15" spans="1:17" x14ac:dyDescent="0.3">
      <c r="A15" s="28">
        <v>304800</v>
      </c>
      <c r="B15" s="28" t="s">
        <v>75</v>
      </c>
      <c r="C15" s="37"/>
      <c r="D15" s="37"/>
      <c r="E15" s="37">
        <v>14472.01</v>
      </c>
      <c r="F15" s="37">
        <v>14472.01</v>
      </c>
      <c r="G15" s="37">
        <f t="shared" si="0"/>
        <v>4824.0033333333331</v>
      </c>
      <c r="H15" s="38"/>
      <c r="I15" s="37">
        <v>-291.39</v>
      </c>
      <c r="J15" s="37"/>
      <c r="K15" s="37">
        <v>-2159.8200000000002</v>
      </c>
      <c r="L15" s="37">
        <v>-2451.21</v>
      </c>
      <c r="M15" s="37">
        <f t="shared" si="1"/>
        <v>-817.07</v>
      </c>
      <c r="O15" s="36">
        <f t="shared" si="2"/>
        <v>-0.16937591944726407</v>
      </c>
    </row>
    <row r="16" spans="1:17" x14ac:dyDescent="0.3">
      <c r="A16" s="28">
        <v>305000</v>
      </c>
      <c r="B16" s="28" t="s">
        <v>76</v>
      </c>
      <c r="C16" s="37"/>
      <c r="D16" s="37"/>
      <c r="E16" s="37"/>
      <c r="F16" s="37">
        <v>0</v>
      </c>
      <c r="G16" s="37">
        <f t="shared" si="0"/>
        <v>0</v>
      </c>
      <c r="H16" s="38"/>
      <c r="I16" s="37"/>
      <c r="J16" s="37">
        <v>-2685</v>
      </c>
      <c r="K16" s="37"/>
      <c r="L16" s="37">
        <v>-2685</v>
      </c>
      <c r="M16" s="37">
        <f t="shared" si="1"/>
        <v>-895</v>
      </c>
      <c r="N16" s="28">
        <v>1</v>
      </c>
      <c r="O16" s="36"/>
    </row>
    <row r="17" spans="1:15" x14ac:dyDescent="0.3">
      <c r="A17" s="28">
        <v>306000</v>
      </c>
      <c r="B17" s="28" t="s">
        <v>77</v>
      </c>
      <c r="C17" s="37">
        <v>50743.320000000007</v>
      </c>
      <c r="D17" s="37"/>
      <c r="E17" s="37"/>
      <c r="F17" s="37">
        <v>50743.320000000007</v>
      </c>
      <c r="G17" s="37">
        <f t="shared" si="0"/>
        <v>16914.440000000002</v>
      </c>
      <c r="H17" s="38"/>
      <c r="I17" s="37"/>
      <c r="J17" s="37"/>
      <c r="K17" s="37"/>
      <c r="L17" s="37">
        <v>0</v>
      </c>
      <c r="M17" s="37">
        <f t="shared" si="1"/>
        <v>0</v>
      </c>
      <c r="O17" s="36">
        <f t="shared" si="2"/>
        <v>0</v>
      </c>
    </row>
    <row r="18" spans="1:15" x14ac:dyDescent="0.3">
      <c r="A18" s="28">
        <v>309000</v>
      </c>
      <c r="B18" s="28" t="s">
        <v>78</v>
      </c>
      <c r="C18" s="37"/>
      <c r="D18" s="37"/>
      <c r="E18" s="37">
        <v>7444.15</v>
      </c>
      <c r="F18" s="37">
        <v>7444.15</v>
      </c>
      <c r="G18" s="37">
        <f t="shared" si="0"/>
        <v>2481.3833333333332</v>
      </c>
      <c r="H18" s="38"/>
      <c r="I18" s="37"/>
      <c r="J18" s="37">
        <v>-10000</v>
      </c>
      <c r="K18" s="37">
        <v>-812.33999999999992</v>
      </c>
      <c r="L18" s="37">
        <v>-10812.34</v>
      </c>
      <c r="M18" s="37">
        <f t="shared" si="1"/>
        <v>-3604.1133333333332</v>
      </c>
      <c r="N18" s="28">
        <v>1</v>
      </c>
      <c r="O18" s="36">
        <f t="shared" si="2"/>
        <v>-1.452461328694344</v>
      </c>
    </row>
    <row r="19" spans="1:15" x14ac:dyDescent="0.3">
      <c r="A19" s="28">
        <v>310000</v>
      </c>
      <c r="B19" s="28" t="s">
        <v>79</v>
      </c>
      <c r="C19" s="37">
        <v>2116950.4900000002</v>
      </c>
      <c r="D19" s="37">
        <v>-40.18</v>
      </c>
      <c r="E19" s="37"/>
      <c r="F19" s="37">
        <v>2116910.31</v>
      </c>
      <c r="G19" s="37">
        <f t="shared" si="0"/>
        <v>705636.77</v>
      </c>
      <c r="H19" s="38"/>
      <c r="I19" s="37">
        <v>-31209.43</v>
      </c>
      <c r="J19" s="37">
        <v>-1395.63</v>
      </c>
      <c r="K19" s="37"/>
      <c r="L19" s="37">
        <v>-32605.06</v>
      </c>
      <c r="M19" s="37">
        <f t="shared" si="1"/>
        <v>-10868.353333333334</v>
      </c>
      <c r="N19" s="28">
        <v>1</v>
      </c>
      <c r="O19" s="36">
        <f t="shared" si="2"/>
        <v>-1.5402192452829994E-2</v>
      </c>
    </row>
    <row r="20" spans="1:15" x14ac:dyDescent="0.3">
      <c r="A20" s="28">
        <v>311200</v>
      </c>
      <c r="B20" s="28" t="s">
        <v>80</v>
      </c>
      <c r="C20" s="37">
        <v>1786508.03</v>
      </c>
      <c r="D20" s="37">
        <v>3077391.67</v>
      </c>
      <c r="E20" s="37">
        <v>1072590.71</v>
      </c>
      <c r="F20" s="37">
        <v>5936490.4100000001</v>
      </c>
      <c r="G20" s="37">
        <f t="shared" si="0"/>
        <v>1978830.1366666667</v>
      </c>
      <c r="H20" s="38"/>
      <c r="I20" s="37">
        <v>-71605.149999999994</v>
      </c>
      <c r="J20" s="37">
        <v>-59464.68</v>
      </c>
      <c r="K20" s="37">
        <v>-191306.06000000003</v>
      </c>
      <c r="L20" s="37">
        <v>-322375.89</v>
      </c>
      <c r="M20" s="37">
        <f t="shared" si="1"/>
        <v>-107458.63</v>
      </c>
      <c r="N20" s="28">
        <v>1</v>
      </c>
      <c r="O20" s="36">
        <f t="shared" si="2"/>
        <v>-5.4304120403691515E-2</v>
      </c>
    </row>
    <row r="21" spans="1:15" x14ac:dyDescent="0.3">
      <c r="A21" s="28">
        <v>311520</v>
      </c>
      <c r="B21" s="28" t="s">
        <v>58</v>
      </c>
      <c r="C21" s="37">
        <v>2767350.8200000012</v>
      </c>
      <c r="D21" s="37">
        <v>140931.44</v>
      </c>
      <c r="E21" s="37">
        <v>21314.17</v>
      </c>
      <c r="F21" s="37">
        <v>2929596.4300000011</v>
      </c>
      <c r="G21" s="37">
        <f t="shared" si="0"/>
        <v>976532.14333333366</v>
      </c>
      <c r="H21" s="38"/>
      <c r="I21" s="37">
        <v>-12292.359999999999</v>
      </c>
      <c r="J21" s="37">
        <v>-100956.48000000001</v>
      </c>
      <c r="K21" s="37">
        <v>-176834.37</v>
      </c>
      <c r="L21" s="37">
        <v>-290083.21000000002</v>
      </c>
      <c r="M21" s="37">
        <f t="shared" si="1"/>
        <v>-96694.403333333335</v>
      </c>
      <c r="N21" s="28">
        <v>1</v>
      </c>
      <c r="O21" s="36">
        <f t="shared" si="2"/>
        <v>-9.9018147014877378E-2</v>
      </c>
    </row>
    <row r="22" spans="1:15" x14ac:dyDescent="0.3">
      <c r="A22" s="28">
        <v>311530</v>
      </c>
      <c r="B22" s="28" t="s">
        <v>81</v>
      </c>
      <c r="C22" s="37"/>
      <c r="D22" s="37">
        <v>577728.22</v>
      </c>
      <c r="E22" s="37">
        <v>1278687.9600000004</v>
      </c>
      <c r="F22" s="37">
        <v>1856416.1800000004</v>
      </c>
      <c r="G22" s="37">
        <f t="shared" si="0"/>
        <v>618805.39333333343</v>
      </c>
      <c r="H22" s="38"/>
      <c r="I22" s="37"/>
      <c r="J22" s="37"/>
      <c r="K22" s="37"/>
      <c r="L22" s="37">
        <v>0</v>
      </c>
      <c r="M22" s="37">
        <f t="shared" si="1"/>
        <v>0</v>
      </c>
      <c r="N22" s="28">
        <v>1</v>
      </c>
      <c r="O22" s="36">
        <f t="shared" si="2"/>
        <v>0</v>
      </c>
    </row>
    <row r="23" spans="1:15" x14ac:dyDescent="0.3">
      <c r="A23" s="28">
        <v>311540</v>
      </c>
      <c r="B23" s="28" t="s">
        <v>82</v>
      </c>
      <c r="C23" s="37">
        <v>733871.36999999988</v>
      </c>
      <c r="D23" s="37">
        <v>773000.82000000007</v>
      </c>
      <c r="E23" s="37">
        <v>37842.329999999994</v>
      </c>
      <c r="F23" s="37">
        <v>1544714.52</v>
      </c>
      <c r="G23" s="37">
        <f t="shared" si="0"/>
        <v>514904.84</v>
      </c>
      <c r="H23" s="38"/>
      <c r="I23" s="37">
        <v>-30266.49</v>
      </c>
      <c r="J23" s="37">
        <v>-2000</v>
      </c>
      <c r="K23" s="37">
        <v>-3729.91</v>
      </c>
      <c r="L23" s="37">
        <v>-35996.400000000001</v>
      </c>
      <c r="M23" s="37">
        <f t="shared" si="1"/>
        <v>-11998.800000000001</v>
      </c>
      <c r="N23" s="28">
        <v>1</v>
      </c>
      <c r="O23" s="36">
        <f t="shared" si="2"/>
        <v>-2.3302946618252801E-2</v>
      </c>
    </row>
    <row r="24" spans="1:15" x14ac:dyDescent="0.3">
      <c r="A24" s="28">
        <v>320100</v>
      </c>
      <c r="B24" s="28" t="s">
        <v>59</v>
      </c>
      <c r="C24" s="37">
        <v>8811607.9199999999</v>
      </c>
      <c r="D24" s="37">
        <v>802715.12000000151</v>
      </c>
      <c r="E24" s="37">
        <v>11671489.480000002</v>
      </c>
      <c r="F24" s="37">
        <v>21285812.520000003</v>
      </c>
      <c r="G24" s="37">
        <f t="shared" si="0"/>
        <v>7095270.8400000008</v>
      </c>
      <c r="H24" s="38"/>
      <c r="I24" s="37">
        <v>-198351.94999999998</v>
      </c>
      <c r="J24" s="37">
        <v>-198972.97000000006</v>
      </c>
      <c r="K24" s="37">
        <v>-683572.96000000008</v>
      </c>
      <c r="L24" s="37">
        <v>-1080897.8800000001</v>
      </c>
      <c r="M24" s="37">
        <f t="shared" si="1"/>
        <v>-360299.29333333339</v>
      </c>
      <c r="N24" s="28">
        <v>1</v>
      </c>
      <c r="O24" s="36">
        <f t="shared" si="2"/>
        <v>-5.0780202963095537E-2</v>
      </c>
    </row>
    <row r="25" spans="1:15" x14ac:dyDescent="0.3">
      <c r="A25" s="28">
        <v>320200</v>
      </c>
      <c r="B25" s="28" t="s">
        <v>83</v>
      </c>
      <c r="C25" s="37">
        <v>-3235300.41</v>
      </c>
      <c r="D25" s="37">
        <v>-317.94</v>
      </c>
      <c r="E25" s="37">
        <v>-18.449999999998909</v>
      </c>
      <c r="F25" s="37">
        <v>-3235636.8000000003</v>
      </c>
      <c r="G25" s="37">
        <f t="shared" si="0"/>
        <v>-1078545.6000000001</v>
      </c>
      <c r="H25" s="38"/>
      <c r="I25" s="37">
        <v>-112480.59</v>
      </c>
      <c r="J25" s="37"/>
      <c r="K25" s="37"/>
      <c r="L25" s="37">
        <v>-112480.59</v>
      </c>
      <c r="M25" s="37">
        <f t="shared" si="1"/>
        <v>-37493.53</v>
      </c>
      <c r="N25" s="28">
        <v>1</v>
      </c>
      <c r="O25" s="36">
        <f t="shared" si="2"/>
        <v>3.4763045716379538E-2</v>
      </c>
    </row>
    <row r="26" spans="1:15" x14ac:dyDescent="0.3">
      <c r="A26" s="28">
        <v>330000</v>
      </c>
      <c r="B26" s="28" t="s">
        <v>84</v>
      </c>
      <c r="C26" s="37"/>
      <c r="D26" s="37"/>
      <c r="E26" s="37">
        <v>6659.68</v>
      </c>
      <c r="F26" s="37">
        <v>6659.68</v>
      </c>
      <c r="G26" s="37">
        <f t="shared" si="0"/>
        <v>2219.8933333333334</v>
      </c>
      <c r="H26" s="38"/>
      <c r="I26" s="37"/>
      <c r="J26" s="37"/>
      <c r="K26" s="37">
        <v>-191.73</v>
      </c>
      <c r="L26" s="37">
        <v>-191.73</v>
      </c>
      <c r="M26" s="37">
        <f t="shared" si="1"/>
        <v>-63.91</v>
      </c>
      <c r="O26" s="36">
        <f t="shared" si="2"/>
        <v>-2.8789671575811446E-2</v>
      </c>
    </row>
    <row r="27" spans="1:15" x14ac:dyDescent="0.3">
      <c r="A27" s="28">
        <v>330100</v>
      </c>
      <c r="B27" s="28" t="s">
        <v>85</v>
      </c>
      <c r="C27" s="37">
        <v>-1681.5000000000036</v>
      </c>
      <c r="D27" s="37">
        <v>-361.65</v>
      </c>
      <c r="E27" s="37"/>
      <c r="F27" s="37">
        <v>-2043.1500000000037</v>
      </c>
      <c r="G27" s="37">
        <f t="shared" si="0"/>
        <v>-681.05000000000121</v>
      </c>
      <c r="H27" s="38"/>
      <c r="I27" s="37">
        <v>-184169.94</v>
      </c>
      <c r="J27" s="37">
        <v>-8475.34</v>
      </c>
      <c r="K27" s="37">
        <v>-334.13</v>
      </c>
      <c r="L27" s="37">
        <v>-192979.41</v>
      </c>
      <c r="M27" s="37">
        <f t="shared" si="1"/>
        <v>-64326.47</v>
      </c>
      <c r="O27" s="36">
        <f t="shared" si="2"/>
        <v>94.451905146464853</v>
      </c>
    </row>
    <row r="28" spans="1:15" x14ac:dyDescent="0.3">
      <c r="A28" s="28">
        <v>331001</v>
      </c>
      <c r="B28" s="28" t="s">
        <v>42</v>
      </c>
      <c r="C28" s="37">
        <v>1005.78</v>
      </c>
      <c r="D28" s="37">
        <v>145587.49000000002</v>
      </c>
      <c r="E28" s="37">
        <v>68532.999999993815</v>
      </c>
      <c r="F28" s="37">
        <v>215126.26999999385</v>
      </c>
      <c r="G28" s="37">
        <f t="shared" si="0"/>
        <v>71708.756666664616</v>
      </c>
      <c r="H28" s="38"/>
      <c r="I28" s="37">
        <v>-213201.52000000011</v>
      </c>
      <c r="J28" s="37">
        <v>-533676.10000000021</v>
      </c>
      <c r="K28" s="37">
        <v>-118810.58999999995</v>
      </c>
      <c r="L28" s="37">
        <v>-865688.21000000031</v>
      </c>
      <c r="M28" s="37">
        <f t="shared" si="1"/>
        <v>-288562.73666666675</v>
      </c>
      <c r="N28" s="28">
        <v>1</v>
      </c>
      <c r="O28" s="36">
        <f t="shared" si="2"/>
        <v>-4.0240934312672509</v>
      </c>
    </row>
    <row r="29" spans="1:15" x14ac:dyDescent="0.3">
      <c r="A29" s="28">
        <v>331100</v>
      </c>
      <c r="B29" s="28" t="s">
        <v>86</v>
      </c>
      <c r="C29" s="37">
        <v>1243227.3399999999</v>
      </c>
      <c r="D29" s="37">
        <v>1062961.8300000005</v>
      </c>
      <c r="E29" s="37">
        <v>1434651.8000000028</v>
      </c>
      <c r="F29" s="37">
        <v>3740840.9700000035</v>
      </c>
      <c r="G29" s="37">
        <f t="shared" si="0"/>
        <v>1246946.9900000012</v>
      </c>
      <c r="H29" s="38"/>
      <c r="I29" s="37">
        <v>-10345.670000000002</v>
      </c>
      <c r="J29" s="37">
        <v>-12158.57</v>
      </c>
      <c r="K29" s="37">
        <v>-77707.48000000001</v>
      </c>
      <c r="L29" s="37">
        <v>-100211.72000000002</v>
      </c>
      <c r="M29" s="37">
        <f t="shared" si="1"/>
        <v>-33403.906666666669</v>
      </c>
      <c r="N29" s="28">
        <v>1</v>
      </c>
      <c r="O29" s="36">
        <f t="shared" si="2"/>
        <v>-2.6788553911715716E-2</v>
      </c>
    </row>
    <row r="30" spans="1:15" x14ac:dyDescent="0.3">
      <c r="A30" s="28">
        <v>331200</v>
      </c>
      <c r="B30" s="28" t="s">
        <v>87</v>
      </c>
      <c r="C30" s="37">
        <v>7863310.140000009</v>
      </c>
      <c r="D30" s="37">
        <v>6665259.5</v>
      </c>
      <c r="E30" s="37">
        <v>6599060.2900000224</v>
      </c>
      <c r="F30" s="37">
        <v>21127629.93000003</v>
      </c>
      <c r="G30" s="37">
        <f t="shared" si="0"/>
        <v>7042543.3100000098</v>
      </c>
      <c r="H30" s="38"/>
      <c r="I30" s="37">
        <v>-1712.6499999999999</v>
      </c>
      <c r="J30" s="37">
        <v>-45562.54</v>
      </c>
      <c r="K30" s="37">
        <v>-310572.89999999997</v>
      </c>
      <c r="L30" s="37">
        <v>-357848.08999999997</v>
      </c>
      <c r="M30" s="37">
        <f t="shared" si="1"/>
        <v>-119282.69666666666</v>
      </c>
      <c r="N30" s="28">
        <v>1</v>
      </c>
      <c r="O30" s="36">
        <f t="shared" si="2"/>
        <v>-1.6937445950427031E-2</v>
      </c>
    </row>
    <row r="31" spans="1:15" x14ac:dyDescent="0.3">
      <c r="A31" s="28">
        <v>331300</v>
      </c>
      <c r="B31" s="28" t="s">
        <v>88</v>
      </c>
      <c r="C31" s="37">
        <v>1387785.1400000008</v>
      </c>
      <c r="D31" s="37">
        <v>574005.56000000075</v>
      </c>
      <c r="E31" s="37">
        <v>497986.12000000925</v>
      </c>
      <c r="F31" s="37">
        <v>2459776.820000011</v>
      </c>
      <c r="G31" s="37">
        <f t="shared" si="0"/>
        <v>819925.6066666703</v>
      </c>
      <c r="H31" s="38"/>
      <c r="I31" s="37">
        <v>-16198.289999999999</v>
      </c>
      <c r="J31" s="37">
        <v>-37.090000000000003</v>
      </c>
      <c r="K31" s="37">
        <v>-112133.03000000004</v>
      </c>
      <c r="L31" s="37">
        <v>-128368.41000000005</v>
      </c>
      <c r="M31" s="37">
        <f t="shared" si="1"/>
        <v>-42789.470000000016</v>
      </c>
      <c r="N31" s="28">
        <v>1</v>
      </c>
      <c r="O31" s="36">
        <f t="shared" si="2"/>
        <v>-5.2187015080498028E-2</v>
      </c>
    </row>
    <row r="32" spans="1:15" x14ac:dyDescent="0.3">
      <c r="A32" s="28">
        <v>331400</v>
      </c>
      <c r="B32" s="28" t="s">
        <v>89</v>
      </c>
      <c r="C32" s="37">
        <v>2413531.1899999995</v>
      </c>
      <c r="D32" s="37">
        <v>1069952.1599999999</v>
      </c>
      <c r="E32" s="37">
        <v>1967900.0399999693</v>
      </c>
      <c r="F32" s="37">
        <v>5451383.3899999689</v>
      </c>
      <c r="G32" s="37">
        <f t="shared" si="0"/>
        <v>1817127.7966666564</v>
      </c>
      <c r="H32" s="38"/>
      <c r="I32" s="37">
        <v>-2311.7600000000002</v>
      </c>
      <c r="J32" s="37"/>
      <c r="K32" s="37">
        <v>-60543.360000000001</v>
      </c>
      <c r="L32" s="37">
        <v>-62855.12</v>
      </c>
      <c r="M32" s="37">
        <f t="shared" si="1"/>
        <v>-20951.706666666669</v>
      </c>
      <c r="N32" s="28">
        <v>1</v>
      </c>
      <c r="O32" s="36">
        <f t="shared" si="2"/>
        <v>-1.153012281530255E-2</v>
      </c>
    </row>
    <row r="33" spans="1:15" x14ac:dyDescent="0.3">
      <c r="A33" s="28">
        <v>333000</v>
      </c>
      <c r="B33" s="28" t="s">
        <v>43</v>
      </c>
      <c r="C33" s="37">
        <v>1209597.4699999983</v>
      </c>
      <c r="D33" s="37">
        <v>2451347.0399999996</v>
      </c>
      <c r="E33" s="37">
        <v>2657021.3200000012</v>
      </c>
      <c r="F33" s="37">
        <v>6317965.8299999991</v>
      </c>
      <c r="G33" s="37">
        <f t="shared" si="0"/>
        <v>2105988.61</v>
      </c>
      <c r="H33" s="38"/>
      <c r="I33" s="37">
        <v>-85794.28</v>
      </c>
      <c r="J33" s="37">
        <v>-42318.33</v>
      </c>
      <c r="K33" s="37">
        <v>-612868.49000000057</v>
      </c>
      <c r="L33" s="37">
        <v>-740981.10000000056</v>
      </c>
      <c r="M33" s="37">
        <f t="shared" si="1"/>
        <v>-246993.70000000019</v>
      </c>
      <c r="N33" s="28">
        <v>1</v>
      </c>
      <c r="O33" s="36">
        <f t="shared" si="2"/>
        <v>-0.11728159346502838</v>
      </c>
    </row>
    <row r="34" spans="1:15" x14ac:dyDescent="0.3">
      <c r="A34" s="28">
        <v>334100</v>
      </c>
      <c r="B34" s="28" t="s">
        <v>44</v>
      </c>
      <c r="C34" s="37">
        <v>36054.090000000026</v>
      </c>
      <c r="D34" s="37">
        <v>4210825.6500000013</v>
      </c>
      <c r="E34" s="37">
        <v>2839077.1000000006</v>
      </c>
      <c r="F34" s="37">
        <v>7085956.8400000017</v>
      </c>
      <c r="G34" s="37">
        <f t="shared" si="0"/>
        <v>2361985.6133333337</v>
      </c>
      <c r="H34" s="38"/>
      <c r="I34" s="37"/>
      <c r="J34" s="37">
        <v>-22499.25</v>
      </c>
      <c r="K34" s="37">
        <v>-90611.819999999963</v>
      </c>
      <c r="L34" s="37">
        <v>-113111.06999999996</v>
      </c>
      <c r="M34" s="37">
        <f t="shared" si="1"/>
        <v>-37703.689999999988</v>
      </c>
      <c r="N34" s="28">
        <v>1</v>
      </c>
      <c r="O34" s="36">
        <f t="shared" si="2"/>
        <v>-1.5962709420059062E-2</v>
      </c>
    </row>
    <row r="35" spans="1:15" x14ac:dyDescent="0.3">
      <c r="A35" s="28">
        <v>334110</v>
      </c>
      <c r="B35" s="28" t="s">
        <v>90</v>
      </c>
      <c r="C35" s="37"/>
      <c r="D35" s="37"/>
      <c r="E35" s="37">
        <v>158207.51999999999</v>
      </c>
      <c r="F35" s="37">
        <v>158207.51999999999</v>
      </c>
      <c r="G35" s="37">
        <f t="shared" si="0"/>
        <v>52735.839999999997</v>
      </c>
      <c r="H35" s="38"/>
      <c r="I35" s="37"/>
      <c r="J35" s="37"/>
      <c r="K35" s="37"/>
      <c r="L35" s="37">
        <v>0</v>
      </c>
      <c r="M35" s="37">
        <f t="shared" si="1"/>
        <v>0</v>
      </c>
      <c r="N35" s="28">
        <v>1</v>
      </c>
      <c r="O35" s="36">
        <f t="shared" si="2"/>
        <v>0</v>
      </c>
    </row>
    <row r="36" spans="1:15" x14ac:dyDescent="0.3">
      <c r="A36" s="28">
        <v>334120</v>
      </c>
      <c r="B36" s="28" t="s">
        <v>91</v>
      </c>
      <c r="C36" s="37"/>
      <c r="D36" s="37"/>
      <c r="E36" s="37">
        <v>36330.220000000016</v>
      </c>
      <c r="F36" s="37">
        <v>36330.220000000016</v>
      </c>
      <c r="G36" s="37">
        <f t="shared" si="0"/>
        <v>12110.073333333339</v>
      </c>
      <c r="H36" s="38"/>
      <c r="I36" s="37"/>
      <c r="J36" s="37"/>
      <c r="K36" s="37">
        <v>-1719.21</v>
      </c>
      <c r="L36" s="37">
        <v>-1719.21</v>
      </c>
      <c r="M36" s="37">
        <f t="shared" si="1"/>
        <v>-573.07000000000005</v>
      </c>
      <c r="N36" s="28">
        <v>1</v>
      </c>
      <c r="O36" s="36">
        <f t="shared" si="2"/>
        <v>-4.7321761332576553E-2</v>
      </c>
    </row>
    <row r="37" spans="1:15" x14ac:dyDescent="0.3">
      <c r="A37" s="28">
        <v>334130</v>
      </c>
      <c r="B37" s="28" t="s">
        <v>92</v>
      </c>
      <c r="C37" s="37"/>
      <c r="D37" s="37"/>
      <c r="E37" s="37">
        <v>175060.51</v>
      </c>
      <c r="F37" s="37">
        <v>175060.51</v>
      </c>
      <c r="G37" s="37">
        <f t="shared" si="0"/>
        <v>58353.503333333334</v>
      </c>
      <c r="H37" s="38"/>
      <c r="I37" s="37">
        <v>-3.22</v>
      </c>
      <c r="J37" s="37">
        <v>-3.62</v>
      </c>
      <c r="K37" s="37">
        <v>-17.700000000000003</v>
      </c>
      <c r="L37" s="37">
        <v>-24.540000000000003</v>
      </c>
      <c r="M37" s="37">
        <f t="shared" si="1"/>
        <v>-8.1800000000000015</v>
      </c>
      <c r="N37" s="28">
        <v>1</v>
      </c>
      <c r="O37" s="36">
        <f t="shared" si="2"/>
        <v>-1.4018010115473788E-4</v>
      </c>
    </row>
    <row r="38" spans="1:15" x14ac:dyDescent="0.3">
      <c r="A38" s="28">
        <v>334131</v>
      </c>
      <c r="B38" s="28" t="s">
        <v>93</v>
      </c>
      <c r="C38" s="37"/>
      <c r="D38" s="37">
        <v>13868.379999999997</v>
      </c>
      <c r="E38" s="37">
        <v>22538.949999999997</v>
      </c>
      <c r="F38" s="37">
        <v>36407.329999999994</v>
      </c>
      <c r="G38" s="37">
        <f t="shared" si="0"/>
        <v>12135.776666666665</v>
      </c>
      <c r="H38" s="38"/>
      <c r="I38" s="37"/>
      <c r="J38" s="37"/>
      <c r="K38" s="37"/>
      <c r="L38" s="37">
        <v>0</v>
      </c>
      <c r="M38" s="37">
        <f t="shared" si="1"/>
        <v>0</v>
      </c>
      <c r="N38" s="28">
        <v>1</v>
      </c>
      <c r="O38" s="36">
        <f t="shared" si="2"/>
        <v>0</v>
      </c>
    </row>
    <row r="39" spans="1:15" x14ac:dyDescent="0.3">
      <c r="A39" s="28">
        <v>334200</v>
      </c>
      <c r="B39" s="28" t="s">
        <v>94</v>
      </c>
      <c r="C39" s="37">
        <v>2401820.9999999986</v>
      </c>
      <c r="D39" s="37">
        <v>358177.76999999984</v>
      </c>
      <c r="E39" s="37">
        <v>497510.08999999997</v>
      </c>
      <c r="F39" s="37">
        <v>3257508.8599999985</v>
      </c>
      <c r="G39" s="37">
        <f t="shared" si="0"/>
        <v>1085836.2866666662</v>
      </c>
      <c r="H39" s="38"/>
      <c r="I39" s="37">
        <v>-126478.87</v>
      </c>
      <c r="J39" s="37">
        <v>-298518.74000000005</v>
      </c>
      <c r="K39" s="37">
        <v>-203157.76000000007</v>
      </c>
      <c r="L39" s="37">
        <v>-628155.37000000011</v>
      </c>
      <c r="M39" s="37">
        <f t="shared" si="1"/>
        <v>-209385.12333333338</v>
      </c>
      <c r="N39" s="28">
        <v>1</v>
      </c>
      <c r="O39" s="36">
        <f t="shared" si="2"/>
        <v>-0.19283305034510342</v>
      </c>
    </row>
    <row r="40" spans="1:15" x14ac:dyDescent="0.3">
      <c r="A40" s="28">
        <v>334300</v>
      </c>
      <c r="B40" s="28" t="s">
        <v>95</v>
      </c>
      <c r="C40" s="37">
        <v>128930.73999999999</v>
      </c>
      <c r="D40" s="37">
        <v>200654.34999999916</v>
      </c>
      <c r="E40" s="37">
        <v>225811.83</v>
      </c>
      <c r="F40" s="37">
        <v>555396.91999999911</v>
      </c>
      <c r="G40" s="37">
        <f t="shared" si="0"/>
        <v>185132.30666666638</v>
      </c>
      <c r="H40" s="38"/>
      <c r="I40" s="37">
        <v>-46684.21</v>
      </c>
      <c r="J40" s="37">
        <v>-23206.640000000007</v>
      </c>
      <c r="K40" s="37">
        <v>-8948.1200000000008</v>
      </c>
      <c r="L40" s="37">
        <v>-78838.97</v>
      </c>
      <c r="M40" s="37">
        <f t="shared" si="1"/>
        <v>-26279.656666666666</v>
      </c>
      <c r="N40" s="28">
        <v>1</v>
      </c>
      <c r="O40" s="36">
        <f t="shared" si="2"/>
        <v>-0.14195067916473164</v>
      </c>
    </row>
    <row r="41" spans="1:15" x14ac:dyDescent="0.3">
      <c r="A41" s="28">
        <v>335000</v>
      </c>
      <c r="B41" s="28" t="s">
        <v>45</v>
      </c>
      <c r="C41" s="37">
        <v>1304519.5100000005</v>
      </c>
      <c r="D41" s="37">
        <v>1413525.4700000009</v>
      </c>
      <c r="E41" s="37">
        <v>1122931.7200000002</v>
      </c>
      <c r="F41" s="37">
        <v>3840976.7000000016</v>
      </c>
      <c r="G41" s="37">
        <f t="shared" si="0"/>
        <v>1280325.5666666671</v>
      </c>
      <c r="H41" s="38"/>
      <c r="I41" s="37">
        <v>-55570.97</v>
      </c>
      <c r="J41" s="37">
        <v>-306156.12</v>
      </c>
      <c r="K41" s="37">
        <v>-416188.04999999987</v>
      </c>
      <c r="L41" s="37">
        <v>-777915.1399999999</v>
      </c>
      <c r="M41" s="37">
        <f t="shared" si="1"/>
        <v>-259305.04666666663</v>
      </c>
      <c r="N41" s="28">
        <v>1</v>
      </c>
      <c r="O41" s="36">
        <f t="shared" si="2"/>
        <v>-0.20253055427282327</v>
      </c>
    </row>
    <row r="42" spans="1:15" x14ac:dyDescent="0.3">
      <c r="A42" s="28">
        <v>339100</v>
      </c>
      <c r="B42" s="28" t="s">
        <v>96</v>
      </c>
      <c r="C42" s="37">
        <v>-2995</v>
      </c>
      <c r="D42" s="37">
        <v>91569.21</v>
      </c>
      <c r="E42" s="37">
        <v>1303.1699999999983</v>
      </c>
      <c r="F42" s="37">
        <v>89877.38</v>
      </c>
      <c r="G42" s="37">
        <f t="shared" si="0"/>
        <v>29959.126666666667</v>
      </c>
      <c r="H42" s="38"/>
      <c r="I42" s="37"/>
      <c r="J42" s="37"/>
      <c r="K42" s="37"/>
      <c r="L42" s="37">
        <v>0</v>
      </c>
      <c r="M42" s="37">
        <f t="shared" si="1"/>
        <v>0</v>
      </c>
      <c r="O42" s="36">
        <f t="shared" si="2"/>
        <v>0</v>
      </c>
    </row>
    <row r="43" spans="1:15" x14ac:dyDescent="0.3">
      <c r="A43" s="28">
        <v>339600</v>
      </c>
      <c r="B43" s="28" t="s">
        <v>97</v>
      </c>
      <c r="C43" s="37">
        <v>67750.510000000009</v>
      </c>
      <c r="D43" s="37">
        <v>421694.23</v>
      </c>
      <c r="E43" s="37">
        <v>89615.40999999996</v>
      </c>
      <c r="F43" s="37">
        <v>579060.14999999991</v>
      </c>
      <c r="G43" s="37">
        <f t="shared" si="0"/>
        <v>193020.04999999996</v>
      </c>
      <c r="H43" s="38"/>
      <c r="I43" s="37">
        <v>-63554.7</v>
      </c>
      <c r="J43" s="37">
        <v>-31736.46</v>
      </c>
      <c r="K43" s="37">
        <v>-74860.459999999992</v>
      </c>
      <c r="L43" s="37">
        <v>-170151.62</v>
      </c>
      <c r="M43" s="37">
        <f t="shared" si="1"/>
        <v>-56717.206666666665</v>
      </c>
      <c r="O43" s="36">
        <f t="shared" si="2"/>
        <v>-0.29384101116265732</v>
      </c>
    </row>
    <row r="44" spans="1:15" x14ac:dyDescent="0.3">
      <c r="A44" s="28">
        <v>340100</v>
      </c>
      <c r="B44" s="28" t="s">
        <v>98</v>
      </c>
      <c r="C44" s="37">
        <v>9417.0300000000025</v>
      </c>
      <c r="D44" s="37">
        <v>49171.290000000008</v>
      </c>
      <c r="E44" s="37">
        <v>54102.61</v>
      </c>
      <c r="F44" s="37">
        <v>112690.93000000001</v>
      </c>
      <c r="G44" s="37">
        <f t="shared" si="0"/>
        <v>37563.643333333333</v>
      </c>
      <c r="H44" s="38"/>
      <c r="I44" s="37">
        <v>-9502.0499999999993</v>
      </c>
      <c r="J44" s="37">
        <v>-190662.31</v>
      </c>
      <c r="K44" s="37">
        <v>-50512.979999999996</v>
      </c>
      <c r="L44" s="37">
        <v>-250677.33999999997</v>
      </c>
      <c r="M44" s="37">
        <f t="shared" si="1"/>
        <v>-83559.113333333327</v>
      </c>
      <c r="O44" s="36">
        <f t="shared" si="2"/>
        <v>-2.2244677544146629</v>
      </c>
    </row>
    <row r="45" spans="1:15" x14ac:dyDescent="0.3">
      <c r="A45" s="28">
        <v>340200</v>
      </c>
      <c r="B45" s="28" t="s">
        <v>99</v>
      </c>
      <c r="C45" s="37"/>
      <c r="D45" s="37"/>
      <c r="E45" s="37">
        <v>35492.980000000003</v>
      </c>
      <c r="F45" s="37">
        <v>35492.980000000003</v>
      </c>
      <c r="G45" s="37">
        <f t="shared" si="0"/>
        <v>11830.993333333334</v>
      </c>
      <c r="H45" s="38"/>
      <c r="I45" s="37"/>
      <c r="J45" s="37">
        <v>-11231.43</v>
      </c>
      <c r="K45" s="37"/>
      <c r="L45" s="37">
        <v>-11231.43</v>
      </c>
      <c r="M45" s="37">
        <f t="shared" si="1"/>
        <v>-3743.81</v>
      </c>
      <c r="O45" s="36">
        <f t="shared" si="2"/>
        <v>-0.31644088492992134</v>
      </c>
    </row>
    <row r="46" spans="1:15" x14ac:dyDescent="0.3">
      <c r="A46" s="28">
        <v>340210</v>
      </c>
      <c r="B46" s="28" t="s">
        <v>100</v>
      </c>
      <c r="C46" s="37">
        <v>59611.61</v>
      </c>
      <c r="D46" s="37">
        <v>10528.620000000026</v>
      </c>
      <c r="E46" s="37"/>
      <c r="F46" s="37">
        <v>70140.230000000025</v>
      </c>
      <c r="G46" s="37">
        <f t="shared" si="0"/>
        <v>23380.076666666675</v>
      </c>
      <c r="H46" s="38"/>
      <c r="I46" s="37"/>
      <c r="J46" s="37"/>
      <c r="K46" s="37">
        <v>-28694.2</v>
      </c>
      <c r="L46" s="37">
        <v>-28694.2</v>
      </c>
      <c r="M46" s="37">
        <f t="shared" si="1"/>
        <v>-9564.7333333333336</v>
      </c>
      <c r="O46" s="36">
        <f t="shared" si="2"/>
        <v>-0.40909760347235802</v>
      </c>
    </row>
    <row r="47" spans="1:15" x14ac:dyDescent="0.3">
      <c r="A47" s="28">
        <v>340220</v>
      </c>
      <c r="B47" s="28" t="s">
        <v>101</v>
      </c>
      <c r="C47" s="37">
        <v>288532.2300000001</v>
      </c>
      <c r="D47" s="37">
        <v>55379.670000000311</v>
      </c>
      <c r="E47" s="37">
        <v>66245.350000000006</v>
      </c>
      <c r="F47" s="37">
        <v>410157.25000000047</v>
      </c>
      <c r="G47" s="37">
        <f t="shared" si="0"/>
        <v>136719.08333333349</v>
      </c>
      <c r="H47" s="38"/>
      <c r="I47" s="37">
        <v>-162595.03000000003</v>
      </c>
      <c r="J47" s="37">
        <v>-10846.97</v>
      </c>
      <c r="K47" s="37">
        <v>-25411.32</v>
      </c>
      <c r="L47" s="37">
        <v>-198853.32000000004</v>
      </c>
      <c r="M47" s="37">
        <f t="shared" si="1"/>
        <v>-66284.440000000017</v>
      </c>
      <c r="O47" s="36">
        <f t="shared" si="2"/>
        <v>-0.48482215052885164</v>
      </c>
    </row>
    <row r="48" spans="1:15" x14ac:dyDescent="0.3">
      <c r="A48" s="28">
        <v>340230</v>
      </c>
      <c r="B48" s="28" t="s">
        <v>102</v>
      </c>
      <c r="C48" s="37">
        <v>10384.18</v>
      </c>
      <c r="D48" s="37">
        <v>68783.740000000034</v>
      </c>
      <c r="E48" s="37">
        <v>143957.92000000004</v>
      </c>
      <c r="F48" s="37">
        <v>223125.84000000008</v>
      </c>
      <c r="G48" s="37">
        <f t="shared" si="0"/>
        <v>74375.280000000028</v>
      </c>
      <c r="H48" s="38"/>
      <c r="I48" s="37">
        <v>-405582.07</v>
      </c>
      <c r="J48" s="37">
        <v>-313520.88000000006</v>
      </c>
      <c r="K48" s="37">
        <v>-526327.61000000034</v>
      </c>
      <c r="L48" s="37">
        <v>-1245430.5600000005</v>
      </c>
      <c r="M48" s="37">
        <f t="shared" si="1"/>
        <v>-415143.52000000019</v>
      </c>
      <c r="O48" s="36">
        <f t="shared" si="2"/>
        <v>-5.5817405998337088</v>
      </c>
    </row>
    <row r="49" spans="1:15" x14ac:dyDescent="0.3">
      <c r="A49" s="28">
        <v>340300</v>
      </c>
      <c r="B49" s="28" t="s">
        <v>103</v>
      </c>
      <c r="C49" s="37">
        <v>-9068.4800000001687</v>
      </c>
      <c r="D49" s="37">
        <v>827646.45000000054</v>
      </c>
      <c r="E49" s="37">
        <v>2582835.04</v>
      </c>
      <c r="F49" s="37">
        <v>3401413.0100000002</v>
      </c>
      <c r="G49" s="37">
        <f t="shared" si="0"/>
        <v>1133804.3366666667</v>
      </c>
      <c r="H49" s="38"/>
      <c r="I49" s="37">
        <v>0</v>
      </c>
      <c r="J49" s="37">
        <v>-312251.40000000002</v>
      </c>
      <c r="K49" s="37">
        <v>-567612.97</v>
      </c>
      <c r="L49" s="37">
        <v>-879864.37</v>
      </c>
      <c r="M49" s="37">
        <f t="shared" si="1"/>
        <v>-293288.12333333335</v>
      </c>
      <c r="O49" s="36">
        <f t="shared" si="2"/>
        <v>-0.25867613471614259</v>
      </c>
    </row>
    <row r="50" spans="1:15" x14ac:dyDescent="0.3">
      <c r="A50" s="28">
        <v>340315</v>
      </c>
      <c r="B50" s="28" t="s">
        <v>104</v>
      </c>
      <c r="C50" s="37">
        <v>113046.03999999985</v>
      </c>
      <c r="D50" s="37">
        <v>-14.35</v>
      </c>
      <c r="E50" s="37"/>
      <c r="F50" s="37">
        <v>113031.68999999984</v>
      </c>
      <c r="G50" s="37">
        <f t="shared" si="0"/>
        <v>37677.229999999945</v>
      </c>
      <c r="H50" s="38"/>
      <c r="I50" s="37"/>
      <c r="J50" s="37">
        <v>-30178.69</v>
      </c>
      <c r="K50" s="37"/>
      <c r="L50" s="37">
        <v>-30178.69</v>
      </c>
      <c r="M50" s="37">
        <f t="shared" si="1"/>
        <v>-10059.563333333334</v>
      </c>
      <c r="O50" s="36">
        <f t="shared" si="2"/>
        <v>-0.26699317686924828</v>
      </c>
    </row>
    <row r="51" spans="1:15" x14ac:dyDescent="0.3">
      <c r="A51" s="28">
        <v>340325</v>
      </c>
      <c r="B51" s="28" t="s">
        <v>105</v>
      </c>
      <c r="C51" s="37">
        <v>100214.23000000001</v>
      </c>
      <c r="D51" s="37">
        <v>1111507.9200000002</v>
      </c>
      <c r="E51" s="37">
        <v>1039253.8400000005</v>
      </c>
      <c r="F51" s="37">
        <v>2250975.9900000007</v>
      </c>
      <c r="G51" s="37">
        <f t="shared" si="0"/>
        <v>750325.33000000019</v>
      </c>
      <c r="H51" s="38"/>
      <c r="I51" s="37"/>
      <c r="J51" s="37">
        <v>-6615.73</v>
      </c>
      <c r="K51" s="37">
        <v>-293710.08000000002</v>
      </c>
      <c r="L51" s="37">
        <v>-300325.81</v>
      </c>
      <c r="M51" s="37">
        <f t="shared" si="1"/>
        <v>-100108.60333333333</v>
      </c>
      <c r="O51" s="36">
        <f t="shared" si="2"/>
        <v>-0.13342026362529077</v>
      </c>
    </row>
    <row r="52" spans="1:15" x14ac:dyDescent="0.3">
      <c r="A52" s="28">
        <v>340330</v>
      </c>
      <c r="B52" s="28" t="s">
        <v>106</v>
      </c>
      <c r="C52" s="37">
        <v>46057.34</v>
      </c>
      <c r="D52" s="37">
        <v>-1.8189894035458565E-12</v>
      </c>
      <c r="E52" s="37"/>
      <c r="F52" s="37">
        <v>46057.34</v>
      </c>
      <c r="G52" s="37">
        <f t="shared" si="0"/>
        <v>15352.446666666665</v>
      </c>
      <c r="H52" s="38"/>
      <c r="I52" s="37"/>
      <c r="J52" s="37"/>
      <c r="K52" s="37"/>
      <c r="L52" s="37">
        <v>0</v>
      </c>
      <c r="M52" s="37">
        <f t="shared" si="1"/>
        <v>0</v>
      </c>
      <c r="O52" s="36">
        <f t="shared" si="2"/>
        <v>0</v>
      </c>
    </row>
    <row r="53" spans="1:15" x14ac:dyDescent="0.3">
      <c r="A53" s="28">
        <v>340500</v>
      </c>
      <c r="B53" s="28" t="s">
        <v>107</v>
      </c>
      <c r="C53" s="37"/>
      <c r="D53" s="37"/>
      <c r="E53" s="37"/>
      <c r="F53" s="37">
        <v>0</v>
      </c>
      <c r="G53" s="37">
        <f t="shared" si="0"/>
        <v>0</v>
      </c>
      <c r="H53" s="38"/>
      <c r="I53" s="37">
        <v>-5166.1000000000004</v>
      </c>
      <c r="J53" s="37"/>
      <c r="K53" s="37"/>
      <c r="L53" s="37">
        <v>-5166.1000000000004</v>
      </c>
      <c r="M53" s="37">
        <f t="shared" si="1"/>
        <v>-1722.0333333333335</v>
      </c>
      <c r="O53" s="36"/>
    </row>
    <row r="54" spans="1:15" x14ac:dyDescent="0.3">
      <c r="A54" s="28">
        <v>341100</v>
      </c>
      <c r="B54" s="28" t="s">
        <v>108</v>
      </c>
      <c r="C54" s="37">
        <v>446558.99</v>
      </c>
      <c r="D54" s="37">
        <v>401754.43999999983</v>
      </c>
      <c r="E54" s="37">
        <v>1141564.23</v>
      </c>
      <c r="F54" s="37">
        <v>1989877.6599999997</v>
      </c>
      <c r="G54" s="37">
        <f t="shared" si="0"/>
        <v>663292.55333333323</v>
      </c>
      <c r="H54" s="38"/>
      <c r="I54" s="37">
        <v>-80816.84</v>
      </c>
      <c r="J54" s="37">
        <v>-154521.14000000001</v>
      </c>
      <c r="K54" s="37"/>
      <c r="L54" s="37">
        <v>-235337.98</v>
      </c>
      <c r="M54" s="37">
        <f t="shared" si="1"/>
        <v>-78445.993333333332</v>
      </c>
      <c r="O54" s="36">
        <f t="shared" si="2"/>
        <v>-0.11826756223797197</v>
      </c>
    </row>
    <row r="55" spans="1:15" x14ac:dyDescent="0.3">
      <c r="A55" s="28">
        <v>341200</v>
      </c>
      <c r="B55" s="28" t="s">
        <v>109</v>
      </c>
      <c r="C55" s="37">
        <v>117560.12000000001</v>
      </c>
      <c r="D55" s="37">
        <v>-5.8207660913467407E-11</v>
      </c>
      <c r="E55" s="37"/>
      <c r="F55" s="37">
        <v>117560.11999999995</v>
      </c>
      <c r="G55" s="37">
        <f t="shared" si="0"/>
        <v>39186.706666666651</v>
      </c>
      <c r="H55" s="38"/>
      <c r="I55" s="37">
        <v>-4075.53</v>
      </c>
      <c r="J55" s="37">
        <v>-152858.10999999999</v>
      </c>
      <c r="K55" s="37"/>
      <c r="L55" s="37">
        <v>-156933.63999999998</v>
      </c>
      <c r="M55" s="37">
        <f t="shared" si="1"/>
        <v>-52311.213333333326</v>
      </c>
      <c r="O55" s="36">
        <f t="shared" si="2"/>
        <v>-1.3349224209706492</v>
      </c>
    </row>
    <row r="56" spans="1:15" x14ac:dyDescent="0.3">
      <c r="A56" s="28">
        <v>341400</v>
      </c>
      <c r="B56" s="28" t="s">
        <v>110</v>
      </c>
      <c r="C56" s="37">
        <v>13627.14</v>
      </c>
      <c r="D56" s="37">
        <v>144046.04</v>
      </c>
      <c r="E56" s="37">
        <v>49678.649999999994</v>
      </c>
      <c r="F56" s="37">
        <v>207351.83</v>
      </c>
      <c r="G56" s="37">
        <f t="shared" si="0"/>
        <v>69117.276666666658</v>
      </c>
      <c r="H56" s="38"/>
      <c r="I56" s="37">
        <v>-560</v>
      </c>
      <c r="J56" s="37"/>
      <c r="K56" s="37"/>
      <c r="L56" s="37">
        <v>-560</v>
      </c>
      <c r="M56" s="37">
        <f t="shared" si="1"/>
        <v>-186.66666666666666</v>
      </c>
      <c r="O56" s="36">
        <f t="shared" si="2"/>
        <v>-2.7007236926724978E-3</v>
      </c>
    </row>
    <row r="57" spans="1:15" x14ac:dyDescent="0.3">
      <c r="A57" s="28">
        <v>343000</v>
      </c>
      <c r="B57" s="28" t="s">
        <v>111</v>
      </c>
      <c r="C57" s="37">
        <v>169777.17</v>
      </c>
      <c r="D57" s="37">
        <v>123697.34999999999</v>
      </c>
      <c r="E57" s="37">
        <v>95818.239999999991</v>
      </c>
      <c r="F57" s="37">
        <v>389292.76</v>
      </c>
      <c r="G57" s="37">
        <f t="shared" si="0"/>
        <v>129764.25333333334</v>
      </c>
      <c r="H57" s="38"/>
      <c r="I57" s="37">
        <v>-79116.830000000016</v>
      </c>
      <c r="J57" s="37">
        <v>-35371.620000000003</v>
      </c>
      <c r="K57" s="37">
        <v>-81022.58</v>
      </c>
      <c r="L57" s="37">
        <v>-195511.03000000003</v>
      </c>
      <c r="M57" s="37">
        <f t="shared" si="1"/>
        <v>-65170.343333333345</v>
      </c>
      <c r="O57" s="36">
        <f t="shared" si="2"/>
        <v>-0.50222107906656166</v>
      </c>
    </row>
    <row r="58" spans="1:15" x14ac:dyDescent="0.3">
      <c r="A58" s="28">
        <v>344000</v>
      </c>
      <c r="B58" s="28" t="s">
        <v>112</v>
      </c>
      <c r="C58" s="37">
        <v>80256.629999999976</v>
      </c>
      <c r="D58" s="37">
        <v>91499.839999999982</v>
      </c>
      <c r="E58" s="37">
        <v>131038.80000000002</v>
      </c>
      <c r="F58" s="37">
        <v>302795.27</v>
      </c>
      <c r="G58" s="37">
        <f t="shared" si="0"/>
        <v>100931.75666666667</v>
      </c>
      <c r="H58" s="38"/>
      <c r="I58" s="37">
        <v>-47101.120000000003</v>
      </c>
      <c r="J58" s="37">
        <v>-25426.95</v>
      </c>
      <c r="K58" s="37">
        <v>-59782.150000000009</v>
      </c>
      <c r="L58" s="37">
        <v>-132310.22000000003</v>
      </c>
      <c r="M58" s="37">
        <f t="shared" si="1"/>
        <v>-44103.406666666677</v>
      </c>
      <c r="O58" s="36">
        <f t="shared" si="2"/>
        <v>-0.43696263815481673</v>
      </c>
    </row>
    <row r="59" spans="1:15" x14ac:dyDescent="0.3">
      <c r="A59" s="28">
        <v>345000</v>
      </c>
      <c r="B59" s="28" t="s">
        <v>113</v>
      </c>
      <c r="C59" s="37"/>
      <c r="D59" s="37">
        <v>626.03</v>
      </c>
      <c r="E59" s="37"/>
      <c r="F59" s="37">
        <v>626.03</v>
      </c>
      <c r="G59" s="37">
        <f t="shared" si="0"/>
        <v>208.67666666666665</v>
      </c>
      <c r="H59" s="38"/>
      <c r="I59" s="37"/>
      <c r="J59" s="37"/>
      <c r="K59" s="37"/>
      <c r="L59" s="37">
        <v>0</v>
      </c>
      <c r="M59" s="37">
        <f t="shared" si="1"/>
        <v>0</v>
      </c>
      <c r="N59" s="28">
        <v>1</v>
      </c>
      <c r="O59" s="36">
        <f t="shared" si="2"/>
        <v>0</v>
      </c>
    </row>
    <row r="60" spans="1:15" x14ac:dyDescent="0.3">
      <c r="A60" s="28">
        <v>346100</v>
      </c>
      <c r="B60" s="28" t="s">
        <v>114</v>
      </c>
      <c r="C60" s="37"/>
      <c r="D60" s="37">
        <v>13274.679999999998</v>
      </c>
      <c r="E60" s="37">
        <v>124087.76</v>
      </c>
      <c r="F60" s="37">
        <v>137362.44</v>
      </c>
      <c r="G60" s="37">
        <f t="shared" si="0"/>
        <v>45787.48</v>
      </c>
      <c r="H60" s="38"/>
      <c r="I60" s="37">
        <v>-9939.5400000000009</v>
      </c>
      <c r="J60" s="37">
        <v>-50153.440000000002</v>
      </c>
      <c r="K60" s="37">
        <v>-5602.51</v>
      </c>
      <c r="L60" s="37">
        <v>-65695.490000000005</v>
      </c>
      <c r="M60" s="37">
        <f t="shared" si="1"/>
        <v>-21898.49666666667</v>
      </c>
      <c r="N60" s="28">
        <v>1</v>
      </c>
      <c r="O60" s="36">
        <f t="shared" si="2"/>
        <v>-0.47826385436950597</v>
      </c>
    </row>
    <row r="61" spans="1:15" x14ac:dyDescent="0.3">
      <c r="A61" s="28">
        <v>346190</v>
      </c>
      <c r="B61" s="28" t="s">
        <v>51</v>
      </c>
      <c r="C61" s="37">
        <v>0</v>
      </c>
      <c r="D61" s="37"/>
      <c r="E61" s="37">
        <v>131440.62</v>
      </c>
      <c r="F61" s="37">
        <v>131440.62</v>
      </c>
      <c r="G61" s="37">
        <f t="shared" si="0"/>
        <v>43813.54</v>
      </c>
      <c r="H61" s="38"/>
      <c r="I61" s="37"/>
      <c r="J61" s="37">
        <v>-25225</v>
      </c>
      <c r="K61" s="37">
        <v>-94552.14</v>
      </c>
      <c r="L61" s="37">
        <v>-119777.14</v>
      </c>
      <c r="M61" s="37">
        <f t="shared" si="1"/>
        <v>-39925.713333333333</v>
      </c>
      <c r="N61" s="28">
        <v>1</v>
      </c>
      <c r="O61" s="36">
        <f t="shared" si="2"/>
        <v>-0.91126426518681969</v>
      </c>
    </row>
    <row r="62" spans="1:15" x14ac:dyDescent="0.3">
      <c r="A62" s="28">
        <v>346200</v>
      </c>
      <c r="B62" s="28" t="s">
        <v>115</v>
      </c>
      <c r="C62" s="37"/>
      <c r="D62" s="37">
        <v>0</v>
      </c>
      <c r="E62" s="37"/>
      <c r="F62" s="37">
        <v>0</v>
      </c>
      <c r="G62" s="37">
        <f t="shared" si="0"/>
        <v>0</v>
      </c>
      <c r="H62" s="38"/>
      <c r="I62" s="37"/>
      <c r="J62" s="37">
        <v>-823.11</v>
      </c>
      <c r="K62" s="37"/>
      <c r="L62" s="37">
        <v>-823.11</v>
      </c>
      <c r="M62" s="37">
        <f t="shared" si="1"/>
        <v>-274.37</v>
      </c>
      <c r="N62" s="28">
        <v>1</v>
      </c>
      <c r="O62" s="36"/>
    </row>
    <row r="63" spans="1:15" x14ac:dyDescent="0.3">
      <c r="A63" s="28">
        <v>347000</v>
      </c>
      <c r="B63" s="28" t="s">
        <v>116</v>
      </c>
      <c r="C63" s="37">
        <v>156033.04999999999</v>
      </c>
      <c r="D63" s="37">
        <v>62059.009999999995</v>
      </c>
      <c r="E63" s="37">
        <v>303004.62</v>
      </c>
      <c r="F63" s="37">
        <v>521096.68</v>
      </c>
      <c r="G63" s="37">
        <f t="shared" si="0"/>
        <v>173698.89333333334</v>
      </c>
      <c r="H63" s="38"/>
      <c r="I63" s="37">
        <v>-16853.260000000002</v>
      </c>
      <c r="J63" s="37">
        <v>-53080.740000000005</v>
      </c>
      <c r="K63" s="37">
        <v>-87390.59</v>
      </c>
      <c r="L63" s="37">
        <v>-157324.59</v>
      </c>
      <c r="M63" s="37">
        <f t="shared" si="1"/>
        <v>-52441.53</v>
      </c>
      <c r="O63" s="36">
        <f t="shared" si="2"/>
        <v>-0.30191055909241254</v>
      </c>
    </row>
    <row r="64" spans="1:15" x14ac:dyDescent="0.3">
      <c r="A64" s="28">
        <v>348000</v>
      </c>
      <c r="B64" s="28" t="s">
        <v>117</v>
      </c>
      <c r="C64" s="37"/>
      <c r="D64" s="37"/>
      <c r="E64" s="37">
        <v>12906.9</v>
      </c>
      <c r="F64" s="37">
        <v>12906.9</v>
      </c>
      <c r="G64" s="37">
        <f t="shared" si="0"/>
        <v>4302.3</v>
      </c>
      <c r="H64" s="38"/>
      <c r="I64" s="37"/>
      <c r="J64" s="37">
        <v>-107321.46</v>
      </c>
      <c r="K64" s="37"/>
      <c r="L64" s="37">
        <v>-107321.46</v>
      </c>
      <c r="M64" s="37">
        <f t="shared" si="1"/>
        <v>-35773.82</v>
      </c>
      <c r="O64" s="36">
        <f t="shared" si="2"/>
        <v>-8.3150454408107279</v>
      </c>
    </row>
    <row r="65" spans="1:15" ht="15" thickBot="1" x14ac:dyDescent="0.35">
      <c r="A65" s="28" t="s">
        <v>68</v>
      </c>
      <c r="C65" s="39">
        <f>SUM(C6:C64)</f>
        <v>28440682.160000019</v>
      </c>
      <c r="D65" s="39">
        <f t="shared" ref="D65:G65" si="3">SUM(D6:D64)</f>
        <v>29275115.550000008</v>
      </c>
      <c r="E65" s="39">
        <f t="shared" si="3"/>
        <v>45558283.569999993</v>
      </c>
      <c r="F65" s="39">
        <f t="shared" si="3"/>
        <v>103274081.28000006</v>
      </c>
      <c r="G65" s="39">
        <f t="shared" si="3"/>
        <v>34424693.759999983</v>
      </c>
      <c r="H65" s="34"/>
      <c r="I65" s="39">
        <f t="shared" ref="I65:M65" si="4">SUM(I6:I64)</f>
        <v>-2288969.48</v>
      </c>
      <c r="J65" s="39">
        <f t="shared" si="4"/>
        <v>-3522120.9500000011</v>
      </c>
      <c r="K65" s="39">
        <f t="shared" si="4"/>
        <v>-5160803.1500000004</v>
      </c>
      <c r="L65" s="39">
        <f t="shared" si="4"/>
        <v>-10971893.580000002</v>
      </c>
      <c r="M65" s="39">
        <f t="shared" si="4"/>
        <v>-3657297.8600000003</v>
      </c>
      <c r="O65" s="36"/>
    </row>
    <row r="66" spans="1:15" ht="15" thickTop="1" x14ac:dyDescent="0.3">
      <c r="C66" s="40"/>
      <c r="D66" s="40"/>
      <c r="E66" s="40"/>
      <c r="F66" s="40"/>
      <c r="G66" s="40"/>
      <c r="I66" s="40"/>
      <c r="J66" s="40"/>
      <c r="K66" s="40"/>
      <c r="L66" s="40"/>
    </row>
    <row r="67" spans="1:15" x14ac:dyDescent="0.3">
      <c r="C67" s="40"/>
      <c r="D67" s="40"/>
      <c r="E67" s="40"/>
      <c r="F67" s="40"/>
      <c r="G67" s="40"/>
      <c r="I67" s="40"/>
      <c r="J67" s="40"/>
      <c r="K67" s="40"/>
      <c r="L67" s="40"/>
    </row>
    <row r="68" spans="1:15" x14ac:dyDescent="0.3">
      <c r="C68" s="40"/>
      <c r="D68" s="40"/>
      <c r="E68" s="40"/>
      <c r="F68" s="40"/>
      <c r="G68" s="40"/>
      <c r="I68" s="40"/>
      <c r="J68" s="40"/>
      <c r="K68" s="40"/>
      <c r="L68" s="40"/>
      <c r="M68" s="40"/>
    </row>
    <row r="69" spans="1:15" x14ac:dyDescent="0.3">
      <c r="C69" s="40"/>
      <c r="D69" s="40"/>
      <c r="E69" s="40"/>
      <c r="F69" s="40"/>
      <c r="G69" s="40"/>
      <c r="I69" s="40"/>
      <c r="J69" s="40"/>
      <c r="K69" s="40"/>
      <c r="L69" s="40"/>
    </row>
    <row r="70" spans="1:15" x14ac:dyDescent="0.3">
      <c r="C70" s="40"/>
      <c r="D70" s="40"/>
      <c r="E70" s="40"/>
      <c r="F70" s="40"/>
      <c r="G70" s="40"/>
      <c r="I70" s="40"/>
      <c r="J70" s="40"/>
      <c r="K70" s="40"/>
      <c r="L70" s="40"/>
    </row>
    <row r="71" spans="1:15" x14ac:dyDescent="0.3">
      <c r="C71" s="40"/>
      <c r="D71" s="40"/>
      <c r="E71" s="40"/>
      <c r="F71" s="40"/>
      <c r="G71" s="40"/>
      <c r="I71" s="40"/>
      <c r="J71" s="40"/>
      <c r="K71" s="40"/>
      <c r="L71" s="40"/>
    </row>
    <row r="72" spans="1:15" x14ac:dyDescent="0.3">
      <c r="C72" s="40"/>
      <c r="D72" s="40"/>
      <c r="E72" s="40"/>
      <c r="F72" s="40"/>
      <c r="G72" s="40"/>
      <c r="I72" s="40"/>
      <c r="J72" s="40"/>
      <c r="K72" s="40"/>
      <c r="L72" s="40"/>
    </row>
    <row r="73" spans="1:15" x14ac:dyDescent="0.3">
      <c r="C73" s="40"/>
      <c r="D73" s="40"/>
      <c r="E73" s="40"/>
      <c r="F73" s="40"/>
      <c r="G73" s="40"/>
      <c r="I73" s="40"/>
      <c r="J73" s="40"/>
      <c r="K73" s="40"/>
      <c r="L73" s="40"/>
    </row>
    <row r="74" spans="1:15" x14ac:dyDescent="0.3">
      <c r="C74" s="40"/>
      <c r="D74" s="40"/>
      <c r="E74" s="40"/>
      <c r="F74" s="40"/>
      <c r="G74" s="40"/>
      <c r="I74" s="40"/>
      <c r="J74" s="40"/>
      <c r="K74" s="40"/>
      <c r="L74" s="40"/>
    </row>
    <row r="75" spans="1:15" x14ac:dyDescent="0.3">
      <c r="C75" s="40"/>
      <c r="D75" s="40"/>
      <c r="E75" s="40"/>
      <c r="F75" s="40"/>
      <c r="G75" s="40"/>
      <c r="I75" s="40"/>
      <c r="J75" s="40"/>
      <c r="K75" s="40"/>
      <c r="L75" s="40"/>
    </row>
    <row r="76" spans="1:15" x14ac:dyDescent="0.3">
      <c r="C76" s="40"/>
      <c r="D76" s="40"/>
      <c r="E76" s="40"/>
      <c r="F76" s="40"/>
      <c r="G76" s="40"/>
      <c r="I76" s="40"/>
      <c r="J76" s="40"/>
      <c r="K76" s="40"/>
      <c r="L76" s="40"/>
    </row>
    <row r="77" spans="1:15" x14ac:dyDescent="0.3">
      <c r="C77" s="40"/>
      <c r="D77" s="40"/>
      <c r="E77" s="40"/>
      <c r="F77" s="40"/>
      <c r="G77" s="40"/>
      <c r="I77" s="40"/>
      <c r="J77" s="40"/>
      <c r="K77" s="40"/>
      <c r="L77" s="40"/>
    </row>
    <row r="78" spans="1:15" x14ac:dyDescent="0.3">
      <c r="C78" s="40"/>
      <c r="D78" s="40"/>
      <c r="E78" s="40"/>
      <c r="F78" s="40"/>
      <c r="G78" s="40"/>
      <c r="I78" s="40"/>
      <c r="J78" s="40"/>
      <c r="K78" s="40"/>
      <c r="L78" s="40"/>
    </row>
    <row r="79" spans="1:15" x14ac:dyDescent="0.3">
      <c r="C79" s="40"/>
      <c r="D79" s="40"/>
      <c r="E79" s="40"/>
      <c r="F79" s="40"/>
      <c r="G79" s="40"/>
      <c r="I79" s="40"/>
      <c r="J79" s="40"/>
      <c r="K79" s="40"/>
      <c r="L79" s="40"/>
    </row>
    <row r="80" spans="1:15" x14ac:dyDescent="0.3">
      <c r="C80" s="40"/>
      <c r="D80" s="40"/>
      <c r="E80" s="40"/>
      <c r="F80" s="40"/>
      <c r="G80" s="40"/>
      <c r="I80" s="40"/>
      <c r="J80" s="40"/>
      <c r="K80" s="40"/>
      <c r="L80" s="40"/>
    </row>
    <row r="81" spans="3:12" x14ac:dyDescent="0.3">
      <c r="C81" s="40"/>
      <c r="D81" s="40"/>
      <c r="E81" s="40"/>
      <c r="F81" s="40"/>
      <c r="G81" s="40"/>
      <c r="I81" s="40"/>
      <c r="J81" s="40"/>
      <c r="K81" s="40"/>
      <c r="L81" s="40"/>
    </row>
    <row r="82" spans="3:12" x14ac:dyDescent="0.3">
      <c r="C82" s="40"/>
      <c r="D82" s="40"/>
      <c r="E82" s="40"/>
      <c r="F82" s="40"/>
      <c r="G82" s="40"/>
      <c r="I82" s="40"/>
      <c r="J82" s="40"/>
      <c r="K82" s="40"/>
      <c r="L82" s="40"/>
    </row>
    <row r="83" spans="3:12" x14ac:dyDescent="0.3">
      <c r="C83" s="40"/>
      <c r="D83" s="40"/>
      <c r="E83" s="40"/>
      <c r="F83" s="40"/>
      <c r="G83" s="40"/>
    </row>
    <row r="84" spans="3:12" x14ac:dyDescent="0.3">
      <c r="C84" s="40"/>
      <c r="D84" s="40"/>
      <c r="E84" s="40"/>
      <c r="F84" s="40"/>
    </row>
    <row r="85" spans="3:12" x14ac:dyDescent="0.3">
      <c r="C85" s="40"/>
      <c r="D85" s="40"/>
      <c r="E85" s="40"/>
      <c r="F85" s="40"/>
    </row>
    <row r="86" spans="3:12" x14ac:dyDescent="0.3">
      <c r="C86" s="40"/>
      <c r="D86" s="40"/>
      <c r="E86" s="40"/>
      <c r="F86" s="40"/>
    </row>
    <row r="87" spans="3:12" x14ac:dyDescent="0.3">
      <c r="C87" s="40"/>
      <c r="D87" s="40"/>
      <c r="E87" s="40"/>
      <c r="F87" s="40"/>
    </row>
    <row r="88" spans="3:12" x14ac:dyDescent="0.3">
      <c r="C88" s="40"/>
      <c r="D88" s="40"/>
      <c r="E88" s="40"/>
      <c r="F88" s="40"/>
    </row>
    <row r="89" spans="3:12" x14ac:dyDescent="0.3">
      <c r="C89" s="40"/>
      <c r="D89" s="40"/>
      <c r="E89" s="40"/>
      <c r="F89" s="40"/>
    </row>
    <row r="90" spans="3:12" x14ac:dyDescent="0.3">
      <c r="C90" s="40"/>
      <c r="D90" s="40"/>
      <c r="E90" s="40"/>
      <c r="F90" s="40"/>
    </row>
    <row r="91" spans="3:12" x14ac:dyDescent="0.3">
      <c r="C91" s="40"/>
      <c r="D91" s="40"/>
      <c r="E91" s="40"/>
      <c r="F91" s="40"/>
    </row>
    <row r="92" spans="3:12" x14ac:dyDescent="0.3">
      <c r="C92" s="40"/>
      <c r="D92" s="40"/>
      <c r="E92" s="40"/>
      <c r="F92" s="40"/>
    </row>
    <row r="93" spans="3:12" x14ac:dyDescent="0.3">
      <c r="C93" s="40"/>
      <c r="D93" s="40"/>
      <c r="E93" s="40"/>
      <c r="F93" s="40"/>
    </row>
    <row r="94" spans="3:12" x14ac:dyDescent="0.3">
      <c r="C94" s="40"/>
      <c r="D94" s="40"/>
      <c r="E94" s="40"/>
      <c r="F94" s="40"/>
    </row>
    <row r="95" spans="3:12" x14ac:dyDescent="0.3">
      <c r="C95" s="40"/>
      <c r="D95" s="40"/>
      <c r="E95" s="40"/>
      <c r="F95" s="40"/>
    </row>
    <row r="96" spans="3:12" x14ac:dyDescent="0.3">
      <c r="C96" s="40"/>
      <c r="D96" s="40"/>
      <c r="E96" s="40"/>
      <c r="F96" s="40"/>
    </row>
    <row r="97" spans="3:6" x14ac:dyDescent="0.3">
      <c r="C97" s="40"/>
      <c r="D97" s="40"/>
      <c r="E97" s="40"/>
      <c r="F97" s="40"/>
    </row>
    <row r="98" spans="3:6" x14ac:dyDescent="0.3">
      <c r="C98" s="40"/>
      <c r="D98" s="40"/>
      <c r="E98" s="40"/>
      <c r="F98" s="40"/>
    </row>
    <row r="99" spans="3:6" x14ac:dyDescent="0.3">
      <c r="C99" s="40"/>
      <c r="D99" s="40"/>
      <c r="E99" s="40"/>
      <c r="F99" s="40"/>
    </row>
    <row r="100" spans="3:6" x14ac:dyDescent="0.3">
      <c r="C100" s="40"/>
      <c r="D100" s="40"/>
      <c r="E100" s="40"/>
      <c r="F100" s="40"/>
    </row>
    <row r="101" spans="3:6" x14ac:dyDescent="0.3">
      <c r="C101" s="40"/>
      <c r="D101" s="40"/>
      <c r="E101" s="40"/>
      <c r="F101" s="40"/>
    </row>
    <row r="102" spans="3:6" x14ac:dyDescent="0.3">
      <c r="C102" s="40"/>
      <c r="D102" s="40"/>
      <c r="E102" s="40"/>
      <c r="F102" s="40"/>
    </row>
    <row r="103" spans="3:6" x14ac:dyDescent="0.3">
      <c r="C103" s="40"/>
      <c r="D103" s="40"/>
      <c r="E103" s="40"/>
      <c r="F103" s="40"/>
    </row>
    <row r="104" spans="3:6" x14ac:dyDescent="0.3">
      <c r="C104" s="40"/>
      <c r="D104" s="40"/>
      <c r="E104" s="40"/>
      <c r="F104" s="40"/>
    </row>
    <row r="105" spans="3:6" x14ac:dyDescent="0.3">
      <c r="C105" s="40"/>
      <c r="D105" s="40"/>
      <c r="E105" s="40"/>
      <c r="F105" s="40"/>
    </row>
    <row r="106" spans="3:6" x14ac:dyDescent="0.3">
      <c r="C106" s="40"/>
      <c r="D106" s="40"/>
      <c r="E106" s="40"/>
      <c r="F106" s="40"/>
    </row>
  </sheetData>
  <mergeCells count="2">
    <mergeCell ref="C4:G4"/>
    <mergeCell ref="I4:M4"/>
  </mergeCells>
  <pageMargins left="0.7" right="0.7" top="0.75" bottom="0.75" header="0.3" footer="0.3"/>
  <pageSetup scale="62" fitToHeight="2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2" ma:contentTypeDescription="Create a new document." ma:contentTypeScope="" ma:versionID="b889f669e42330b4427f39bb9d4c4e8b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targetNamespace="http://schemas.microsoft.com/office/2006/metadata/properties" ma:root="true" ma:fieldsID="6fb194b1b697dd815e79f8740e82444f" ns2:_="" ns3:_="" ns5:_="">
    <xsd:import namespace="3527BF6F-27A6-47D3-AAFB-DBF13EBA6BBE"/>
    <xsd:import namespace="00c1cf47-8665-4c73-8994-ff3a5e26da0f"/>
    <xsd:import namespace="3541d9de-e849-43a7-ac3e-927380f29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2020-00027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59AD8989-59FA-4A03-A8EF-9078CDE96C24}"/>
</file>

<file path=customXml/itemProps2.xml><?xml version="1.0" encoding="utf-8"?>
<ds:datastoreItem xmlns:ds="http://schemas.openxmlformats.org/officeDocument/2006/customXml" ds:itemID="{AAA6B914-CF66-4C9B-AD4B-38841A025F20}"/>
</file>

<file path=customXml/itemProps3.xml><?xml version="1.0" encoding="utf-8"?>
<ds:datastoreItem xmlns:ds="http://schemas.openxmlformats.org/officeDocument/2006/customXml" ds:itemID="{49723A75-79CD-435C-8BCA-3E7693741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Placed in Service</vt:lpstr>
      <vt:lpstr>Retirement Ratio</vt:lpstr>
      <vt:lpstr>'Placed in Service'!Print_Area</vt:lpstr>
      <vt:lpstr>'Retirement Ratio'!Print_Area</vt:lpstr>
      <vt:lpstr>'Placed in Service'!Print_Titles</vt:lpstr>
      <vt:lpstr>'Retirement Ratio'!Print_Titles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KAW_R_PSCDR1_NUM011_03252020_Attachment</dc:title>
  <dc:subject/>
  <dc:creator>Lori N O'Malley</dc:creator>
  <cp:lastModifiedBy>Lori N O'Malley</cp:lastModifiedBy>
  <cp:lastPrinted>2020-03-22T17:31:21Z</cp:lastPrinted>
  <dcterms:created xsi:type="dcterms:W3CDTF">2020-03-22T16:33:16Z</dcterms:created>
  <dcterms:modified xsi:type="dcterms:W3CDTF">2020-03-24T15:28:45Z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0x010100AB2748C5124AB541828F6483D61391B2</vt:lpwstr>
  </property>
</Properties>
</file>