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8765" windowHeight="9720" activeTab="7"/>
  </bookViews>
  <sheets>
    <sheet name="Proforma" sheetId="30" r:id="rId1"/>
    <sheet name="mtrx" sheetId="25" r:id="rId2"/>
    <sheet name="AlocDep" sheetId="17" r:id="rId3"/>
    <sheet name="Debt" sheetId="26" r:id="rId4"/>
    <sheet name="DSalloc" sheetId="27" r:id="rId5"/>
    <sheet name="Sys" sheetId="18" r:id="rId6"/>
    <sheet name="Fac" sheetId="19" r:id="rId7"/>
    <sheet name="Whol" sheetId="16" r:id="rId8"/>
    <sheet name="Ins. Cont." sheetId="31" r:id="rId9"/>
  </sheets>
  <definedNames>
    <definedName name="_xlnm.Print_Area" localSheetId="2">AlocDep!$B$2:$J$22</definedName>
    <definedName name="_xlnm.Print_Area" localSheetId="3">Debt!$B$2:$L$15</definedName>
    <definedName name="_xlnm.Print_Area" localSheetId="4">DSalloc!$B$2:$I$12</definedName>
    <definedName name="_xlnm.Print_Area" localSheetId="6">Fac!$B$2:$J$45</definedName>
    <definedName name="_xlnm.Print_Area" localSheetId="1">mtrx!$A$2:$K$95</definedName>
    <definedName name="_xlnm.Print_Area" localSheetId="5">Sys!$B$2:$H$40</definedName>
    <definedName name="_xlnm.Print_Area" localSheetId="7">Whol!$B$2:$J$35</definedName>
    <definedName name="_xlnm.Print_Area">#REF!</definedName>
  </definedNames>
  <calcPr calcId="144525" iterate="1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8" l="1"/>
  <c r="D75" i="25" l="1"/>
  <c r="D76" i="25"/>
  <c r="D77" i="25"/>
  <c r="D78" i="25"/>
  <c r="D79" i="25"/>
  <c r="D80" i="25"/>
  <c r="D81" i="25"/>
  <c r="D82" i="25"/>
  <c r="D83" i="25"/>
  <c r="D84" i="25"/>
  <c r="D85" i="25"/>
  <c r="D86" i="25"/>
  <c r="D74" i="25"/>
  <c r="D62" i="25"/>
  <c r="D63" i="25"/>
  <c r="D64" i="25"/>
  <c r="D65" i="25"/>
  <c r="D67" i="25"/>
  <c r="D68" i="25"/>
  <c r="D69" i="25"/>
  <c r="D70" i="25"/>
  <c r="D71" i="25"/>
  <c r="D72" i="25"/>
  <c r="P83" i="25" l="1"/>
  <c r="Q83" i="25"/>
  <c r="P84" i="25"/>
  <c r="Q84" i="25"/>
  <c r="C46" i="30" l="1"/>
  <c r="C42" i="30"/>
  <c r="G35" i="31" l="1"/>
  <c r="G34" i="31"/>
  <c r="G39" i="31" s="1"/>
  <c r="B33" i="31" s="1"/>
  <c r="G33" i="31"/>
  <c r="N32" i="31"/>
  <c r="N31" i="31"/>
  <c r="H25" i="31"/>
  <c r="Q19" i="31"/>
  <c r="O19" i="31"/>
  <c r="N19" i="31"/>
  <c r="M19" i="31"/>
  <c r="L19" i="31"/>
  <c r="K19" i="31"/>
  <c r="J19" i="31"/>
  <c r="I19" i="31"/>
  <c r="H19" i="31"/>
  <c r="H23" i="31" s="1"/>
  <c r="G19" i="31"/>
  <c r="H26" i="31" s="1"/>
  <c r="F19" i="31"/>
  <c r="H27" i="31" s="1"/>
  <c r="E19" i="31"/>
  <c r="D19" i="31"/>
  <c r="C19" i="31"/>
  <c r="B23" i="31" s="1"/>
  <c r="B19" i="31"/>
  <c r="T18" i="31"/>
  <c r="W18" i="31" s="1"/>
  <c r="S18" i="31"/>
  <c r="R18" i="31"/>
  <c r="P18" i="31"/>
  <c r="T17" i="31"/>
  <c r="W17" i="31" s="1"/>
  <c r="S17" i="31"/>
  <c r="R17" i="31"/>
  <c r="P17" i="31"/>
  <c r="W16" i="31"/>
  <c r="T16" i="31"/>
  <c r="P16" i="31"/>
  <c r="T15" i="31"/>
  <c r="W15" i="31" s="1"/>
  <c r="S15" i="31"/>
  <c r="R15" i="31"/>
  <c r="P15" i="31"/>
  <c r="W14" i="31"/>
  <c r="T14" i="31"/>
  <c r="S14" i="31"/>
  <c r="R14" i="31"/>
  <c r="P14" i="31"/>
  <c r="W13" i="31"/>
  <c r="T13" i="31"/>
  <c r="S13" i="31"/>
  <c r="R13" i="31"/>
  <c r="P13" i="31"/>
  <c r="T12" i="31"/>
  <c r="W12" i="31" s="1"/>
  <c r="S12" i="31"/>
  <c r="R12" i="31"/>
  <c r="P12" i="31"/>
  <c r="T11" i="31"/>
  <c r="N26" i="31" s="1"/>
  <c r="U26" i="31" s="1"/>
  <c r="S11" i="31"/>
  <c r="R11" i="31"/>
  <c r="P11" i="31"/>
  <c r="W10" i="31"/>
  <c r="T10" i="31"/>
  <c r="S10" i="31"/>
  <c r="R10" i="31"/>
  <c r="P10" i="31"/>
  <c r="W9" i="31"/>
  <c r="T9" i="31"/>
  <c r="N23" i="31" s="1"/>
  <c r="S9" i="31"/>
  <c r="R9" i="31"/>
  <c r="P9" i="31"/>
  <c r="T8" i="31"/>
  <c r="W8" i="31" s="1"/>
  <c r="S8" i="31"/>
  <c r="R8" i="31"/>
  <c r="P8" i="31"/>
  <c r="T7" i="31"/>
  <c r="W7" i="31" s="1"/>
  <c r="S7" i="31"/>
  <c r="R7" i="31"/>
  <c r="P7" i="31"/>
  <c r="W6" i="31"/>
  <c r="T6" i="31"/>
  <c r="N24" i="31" s="1"/>
  <c r="U24" i="31" s="1"/>
  <c r="S6" i="31"/>
  <c r="R6" i="31"/>
  <c r="P6" i="31"/>
  <c r="W5" i="31"/>
  <c r="T5" i="31"/>
  <c r="S5" i="31"/>
  <c r="R5" i="31"/>
  <c r="P5" i="31"/>
  <c r="T4" i="31"/>
  <c r="W4" i="31" s="1"/>
  <c r="S4" i="31"/>
  <c r="S19" i="31" s="1"/>
  <c r="R4" i="31"/>
  <c r="P4" i="31"/>
  <c r="T3" i="31"/>
  <c r="N25" i="31" s="1"/>
  <c r="U25" i="31" s="1"/>
  <c r="S3" i="31"/>
  <c r="R3" i="31"/>
  <c r="R19" i="31" s="1"/>
  <c r="N29" i="31" s="1"/>
  <c r="P3" i="31"/>
  <c r="P19" i="31" s="1"/>
  <c r="B32" i="31" s="1"/>
  <c r="B34" i="31" s="1"/>
  <c r="N27" i="31" l="1"/>
  <c r="N34" i="31" s="1"/>
  <c r="U23" i="31"/>
  <c r="D21" i="31"/>
  <c r="W11" i="31"/>
  <c r="T19" i="31"/>
  <c r="H24" i="31"/>
  <c r="H29" i="31" s="1"/>
  <c r="W3" i="31"/>
  <c r="W19" i="31" l="1"/>
  <c r="X19" i="31" s="1"/>
  <c r="S47" i="17" l="1"/>
  <c r="S48" i="17"/>
  <c r="H10" i="30" l="1"/>
  <c r="H15" i="30" s="1"/>
  <c r="H12" i="30"/>
  <c r="H36" i="30"/>
  <c r="H63" i="30"/>
  <c r="H39" i="30"/>
  <c r="G16" i="30" l="1"/>
  <c r="G17" i="30"/>
  <c r="G40" i="30"/>
  <c r="G41" i="30"/>
  <c r="G67" i="30"/>
  <c r="G68" i="30"/>
  <c r="S22" i="17"/>
  <c r="H12" i="26"/>
  <c r="F12" i="26"/>
  <c r="I12" i="26" s="1"/>
  <c r="J12" i="26" s="1"/>
  <c r="D12" i="26"/>
  <c r="H11" i="26"/>
  <c r="I11" i="26" s="1"/>
  <c r="J11" i="26" s="1"/>
  <c r="F11" i="26"/>
  <c r="D11" i="26"/>
  <c r="S49" i="17"/>
  <c r="G21" i="18"/>
  <c r="G20" i="18"/>
  <c r="G63" i="30" l="1"/>
  <c r="G36" i="30"/>
  <c r="G12" i="30"/>
  <c r="H35" i="30" l="1"/>
  <c r="H34" i="30"/>
  <c r="H11" i="30"/>
  <c r="P13" i="25" l="1"/>
  <c r="P14" i="25"/>
  <c r="P15" i="25" l="1"/>
  <c r="G19" i="18"/>
  <c r="G18" i="18"/>
  <c r="E33" i="18" l="1"/>
  <c r="E20" i="18" l="1"/>
  <c r="E15" i="18"/>
  <c r="F21" i="27" l="1"/>
  <c r="F20" i="27"/>
  <c r="F22" i="27" l="1"/>
  <c r="F23" i="27" s="1"/>
  <c r="G21" i="27" s="1"/>
  <c r="D13" i="17"/>
  <c r="G13" i="17" s="1"/>
  <c r="G20" i="17" s="1"/>
  <c r="D10" i="17"/>
  <c r="F10" i="17" s="1"/>
  <c r="D18" i="17"/>
  <c r="D17" i="17"/>
  <c r="F17" i="17" s="1"/>
  <c r="D16" i="17"/>
  <c r="E16" i="17" s="1"/>
  <c r="D15" i="17"/>
  <c r="E15" i="17" s="1"/>
  <c r="D14" i="17"/>
  <c r="E14" i="17" s="1"/>
  <c r="D12" i="17"/>
  <c r="I12" i="17" s="1"/>
  <c r="S40" i="17"/>
  <c r="F20" i="17" l="1"/>
  <c r="I17" i="17"/>
  <c r="G20" i="27"/>
  <c r="G22" i="27"/>
  <c r="P85" i="25" l="1"/>
  <c r="Q85" i="25"/>
  <c r="O90" i="25" l="1"/>
  <c r="O9" i="25"/>
  <c r="P8" i="25" s="1"/>
  <c r="C86" i="25"/>
  <c r="C36" i="25"/>
  <c r="G36" i="25" s="1"/>
  <c r="C35" i="25"/>
  <c r="G35" i="25" s="1"/>
  <c r="C13" i="25"/>
  <c r="H86" i="25" l="1"/>
  <c r="R90" i="25"/>
  <c r="O92" i="25"/>
  <c r="P7" i="25"/>
  <c r="Q89" i="25" l="1"/>
  <c r="Q88" i="25"/>
  <c r="Q92" i="25" s="1"/>
  <c r="Q90" i="25"/>
  <c r="P90" i="25" s="1"/>
  <c r="P92" i="25" s="1"/>
  <c r="C12" i="25"/>
  <c r="C11" i="25" s="1"/>
  <c r="D11" i="25" s="1"/>
  <c r="I11" i="25" s="1"/>
  <c r="D12" i="25" l="1"/>
  <c r="P21" i="25" s="1"/>
  <c r="E86" i="25"/>
  <c r="I86" i="25"/>
  <c r="E11" i="25"/>
  <c r="P20" i="25"/>
  <c r="J12" i="25" l="1"/>
  <c r="P22" i="25"/>
  <c r="E12" i="25"/>
  <c r="Q21" i="25" s="1"/>
  <c r="J11" i="25"/>
  <c r="Q20" i="25"/>
  <c r="Q22" i="25" l="1"/>
  <c r="R22" i="25" s="1"/>
  <c r="Q23" i="25" s="1"/>
  <c r="P25" i="25"/>
  <c r="P26" i="25" s="1"/>
  <c r="P23" i="25" l="1"/>
  <c r="D13" i="25" s="1"/>
  <c r="E13" i="25" s="1"/>
  <c r="L101" i="30"/>
  <c r="I13" i="25" l="1"/>
  <c r="J13" i="25"/>
  <c r="E99" i="30"/>
  <c r="D99" i="30"/>
  <c r="C99" i="30"/>
  <c r="F98" i="30"/>
  <c r="H98" i="30" s="1"/>
  <c r="F97" i="30"/>
  <c r="F96" i="30"/>
  <c r="G96" i="30" s="1"/>
  <c r="F95" i="30"/>
  <c r="G95" i="30" s="1"/>
  <c r="E93" i="30"/>
  <c r="D93" i="30"/>
  <c r="C93" i="30"/>
  <c r="H92" i="30"/>
  <c r="C91" i="25" s="1"/>
  <c r="F92" i="30"/>
  <c r="F91" i="30"/>
  <c r="H91" i="30" s="1"/>
  <c r="F90" i="30"/>
  <c r="E87" i="30"/>
  <c r="D87" i="30"/>
  <c r="C87" i="30"/>
  <c r="F86" i="30"/>
  <c r="G86" i="30" s="1"/>
  <c r="F85" i="30"/>
  <c r="H85" i="30" s="1"/>
  <c r="F84" i="30"/>
  <c r="H84" i="30" s="1"/>
  <c r="F83" i="30"/>
  <c r="H83" i="30" s="1"/>
  <c r="F82" i="30"/>
  <c r="H82" i="30" s="1"/>
  <c r="F81" i="30"/>
  <c r="H81" i="30" s="1"/>
  <c r="F80" i="30"/>
  <c r="H80" i="30" s="1"/>
  <c r="F79" i="30"/>
  <c r="H79" i="30" s="1"/>
  <c r="F78" i="30"/>
  <c r="H78" i="30" s="1"/>
  <c r="F77" i="30"/>
  <c r="H77" i="30" s="1"/>
  <c r="F76" i="30"/>
  <c r="H76" i="30" s="1"/>
  <c r="F75" i="30"/>
  <c r="H75" i="30" s="1"/>
  <c r="F74" i="30"/>
  <c r="H74" i="30" s="1"/>
  <c r="F73" i="30"/>
  <c r="H73" i="30" s="1"/>
  <c r="F72" i="30"/>
  <c r="H72" i="30" s="1"/>
  <c r="F71" i="30"/>
  <c r="H71" i="30" s="1"/>
  <c r="F70" i="30"/>
  <c r="H70" i="30" s="1"/>
  <c r="F69" i="30"/>
  <c r="H69" i="30" s="1"/>
  <c r="F68" i="30"/>
  <c r="H68" i="30" s="1"/>
  <c r="C68" i="25" s="1"/>
  <c r="F67" i="30"/>
  <c r="F66" i="30"/>
  <c r="F65" i="30"/>
  <c r="H65" i="30" s="1"/>
  <c r="F64" i="30"/>
  <c r="H64" i="30" s="1"/>
  <c r="F63" i="30"/>
  <c r="F62" i="30"/>
  <c r="F61" i="30"/>
  <c r="E58" i="30"/>
  <c r="D58" i="30"/>
  <c r="C58" i="30"/>
  <c r="F57" i="30"/>
  <c r="H57" i="30" s="1"/>
  <c r="F56" i="30"/>
  <c r="H56" i="30" s="1"/>
  <c r="H55" i="30"/>
  <c r="C56" i="25" s="1"/>
  <c r="G56" i="25" s="1"/>
  <c r="F55" i="30"/>
  <c r="F54" i="30"/>
  <c r="H54" i="30" s="1"/>
  <c r="F53" i="30"/>
  <c r="H53" i="30" s="1"/>
  <c r="F52" i="30"/>
  <c r="H52" i="30" s="1"/>
  <c r="F51" i="30"/>
  <c r="H51" i="30" s="1"/>
  <c r="F50" i="30"/>
  <c r="H50" i="30" s="1"/>
  <c r="F49" i="30"/>
  <c r="H49" i="30" s="1"/>
  <c r="F48" i="30"/>
  <c r="H48" i="30" s="1"/>
  <c r="F47" i="30"/>
  <c r="H47" i="30" s="1"/>
  <c r="F46" i="30"/>
  <c r="H46" i="30" s="1"/>
  <c r="C47" i="25" s="1"/>
  <c r="G47" i="25" s="1"/>
  <c r="F45" i="30"/>
  <c r="H45" i="30" s="1"/>
  <c r="F44" i="30"/>
  <c r="H44" i="30" s="1"/>
  <c r="F43" i="30"/>
  <c r="H43" i="30" s="1"/>
  <c r="F42" i="30"/>
  <c r="H42" i="30" s="1"/>
  <c r="F41" i="30"/>
  <c r="H41" i="30" s="1"/>
  <c r="C42" i="25" s="1"/>
  <c r="G42" i="25" s="1"/>
  <c r="F40" i="30"/>
  <c r="N41" i="30" s="1"/>
  <c r="F39" i="30"/>
  <c r="F38" i="30"/>
  <c r="H38" i="30" s="1"/>
  <c r="F37" i="30"/>
  <c r="H37" i="30" s="1"/>
  <c r="F36" i="30"/>
  <c r="F35" i="30"/>
  <c r="F34" i="30"/>
  <c r="G34" i="30" s="1"/>
  <c r="E31" i="30"/>
  <c r="D31" i="30"/>
  <c r="C31" i="30"/>
  <c r="F30" i="30"/>
  <c r="H30" i="30" s="1"/>
  <c r="F29" i="30"/>
  <c r="H29" i="30" s="1"/>
  <c r="F28" i="30"/>
  <c r="H28" i="30" s="1"/>
  <c r="F27" i="30"/>
  <c r="H27" i="30" s="1"/>
  <c r="F26" i="30"/>
  <c r="H26" i="30" s="1"/>
  <c r="F25" i="30"/>
  <c r="H25" i="30" s="1"/>
  <c r="F24" i="30"/>
  <c r="H24" i="30" s="1"/>
  <c r="F23" i="30"/>
  <c r="H23" i="30" s="1"/>
  <c r="F22" i="30"/>
  <c r="H22" i="30" s="1"/>
  <c r="F21" i="30"/>
  <c r="H21" i="30" s="1"/>
  <c r="F20" i="30"/>
  <c r="H20" i="30" s="1"/>
  <c r="F19" i="30"/>
  <c r="H19" i="30" s="1"/>
  <c r="F18" i="30"/>
  <c r="H18" i="30" s="1"/>
  <c r="F17" i="30"/>
  <c r="F16" i="30"/>
  <c r="F15" i="30"/>
  <c r="F14" i="30"/>
  <c r="H14" i="30" s="1"/>
  <c r="F13" i="30"/>
  <c r="H13" i="30" s="1"/>
  <c r="F12" i="30"/>
  <c r="F11" i="30"/>
  <c r="F10" i="30"/>
  <c r="C40" i="25" l="1"/>
  <c r="G40" i="25" s="1"/>
  <c r="H62" i="30"/>
  <c r="C62" i="25" s="1"/>
  <c r="C17" i="25"/>
  <c r="D17" i="25" s="1"/>
  <c r="E17" i="25" s="1"/>
  <c r="H16" i="30"/>
  <c r="C18" i="25" s="1"/>
  <c r="D18" i="25" s="1"/>
  <c r="E18" i="25" s="1"/>
  <c r="N17" i="30"/>
  <c r="H67" i="30"/>
  <c r="C67" i="25" s="1"/>
  <c r="N68" i="30"/>
  <c r="G20" i="30"/>
  <c r="C22" i="25"/>
  <c r="G44" i="30"/>
  <c r="C45" i="25"/>
  <c r="G45" i="25" s="1"/>
  <c r="G48" i="30"/>
  <c r="C49" i="25"/>
  <c r="G49" i="25" s="1"/>
  <c r="G52" i="30"/>
  <c r="C53" i="25"/>
  <c r="G53" i="25" s="1"/>
  <c r="O63" i="30"/>
  <c r="C63" i="25"/>
  <c r="G71" i="30"/>
  <c r="C71" i="25"/>
  <c r="H71" i="25" s="1"/>
  <c r="G75" i="30"/>
  <c r="C75" i="25"/>
  <c r="H75" i="25" s="1"/>
  <c r="G79" i="30"/>
  <c r="C79" i="25"/>
  <c r="H79" i="25" s="1"/>
  <c r="G83" i="30"/>
  <c r="C83" i="25"/>
  <c r="H83" i="25" s="1"/>
  <c r="G91" i="30"/>
  <c r="C90" i="25"/>
  <c r="O12" i="30"/>
  <c r="C14" i="25"/>
  <c r="G28" i="30"/>
  <c r="C30" i="25"/>
  <c r="G43" i="30"/>
  <c r="C44" i="25"/>
  <c r="G44" i="25" s="1"/>
  <c r="G47" i="30"/>
  <c r="C48" i="25"/>
  <c r="G48" i="25" s="1"/>
  <c r="G51" i="30"/>
  <c r="C52" i="25"/>
  <c r="G52" i="25" s="1"/>
  <c r="G70" i="30"/>
  <c r="C70" i="25"/>
  <c r="H70" i="25" s="1"/>
  <c r="G74" i="30"/>
  <c r="C74" i="25"/>
  <c r="H74" i="25" s="1"/>
  <c r="G78" i="30"/>
  <c r="C78" i="25"/>
  <c r="H78" i="25" s="1"/>
  <c r="G82" i="30"/>
  <c r="C82" i="25"/>
  <c r="H82" i="25" s="1"/>
  <c r="G24" i="30"/>
  <c r="C26" i="25"/>
  <c r="G19" i="30"/>
  <c r="C21" i="25"/>
  <c r="G27" i="30"/>
  <c r="C29" i="25"/>
  <c r="G14" i="30"/>
  <c r="C16" i="25"/>
  <c r="G22" i="30"/>
  <c r="C24" i="25"/>
  <c r="G42" i="30"/>
  <c r="C43" i="25"/>
  <c r="G43" i="25" s="1"/>
  <c r="G50" i="30"/>
  <c r="C51" i="25"/>
  <c r="G51" i="25" s="1"/>
  <c r="G54" i="30"/>
  <c r="C55" i="25"/>
  <c r="G55" i="25" s="1"/>
  <c r="G57" i="30"/>
  <c r="C58" i="25"/>
  <c r="G58" i="25" s="1"/>
  <c r="G65" i="30"/>
  <c r="C65" i="25"/>
  <c r="H65" i="25" s="1"/>
  <c r="G69" i="30"/>
  <c r="C69" i="25"/>
  <c r="H69" i="25" s="1"/>
  <c r="G73" i="30"/>
  <c r="C73" i="25"/>
  <c r="D73" i="25" s="1"/>
  <c r="H73" i="25" s="1"/>
  <c r="G77" i="30"/>
  <c r="C77" i="25"/>
  <c r="H77" i="25" s="1"/>
  <c r="G81" i="30"/>
  <c r="C81" i="25"/>
  <c r="H81" i="25" s="1"/>
  <c r="G85" i="30"/>
  <c r="C85" i="25"/>
  <c r="H85" i="25" s="1"/>
  <c r="D91" i="25"/>
  <c r="J91" i="25" s="1"/>
  <c r="O36" i="30"/>
  <c r="C37" i="25"/>
  <c r="G23" i="30"/>
  <c r="C25" i="25"/>
  <c r="G18" i="30"/>
  <c r="C20" i="25"/>
  <c r="G26" i="30"/>
  <c r="C28" i="25"/>
  <c r="G30" i="30"/>
  <c r="C32" i="25"/>
  <c r="G38" i="30"/>
  <c r="C39" i="25"/>
  <c r="G39" i="25" s="1"/>
  <c r="G13" i="30"/>
  <c r="C15" i="25"/>
  <c r="G21" i="30"/>
  <c r="C23" i="25"/>
  <c r="G25" i="30"/>
  <c r="C27" i="25"/>
  <c r="G29" i="30"/>
  <c r="C31" i="25"/>
  <c r="G37" i="30"/>
  <c r="C38" i="25"/>
  <c r="G38" i="25" s="1"/>
  <c r="G45" i="30"/>
  <c r="C46" i="25"/>
  <c r="G46" i="25" s="1"/>
  <c r="G49" i="30"/>
  <c r="C50" i="25"/>
  <c r="G50" i="25" s="1"/>
  <c r="G53" i="30"/>
  <c r="C54" i="25"/>
  <c r="G54" i="25" s="1"/>
  <c r="G56" i="30"/>
  <c r="C57" i="25"/>
  <c r="G57" i="25" s="1"/>
  <c r="G64" i="30"/>
  <c r="C64" i="25"/>
  <c r="H64" i="25" s="1"/>
  <c r="H68" i="25"/>
  <c r="G72" i="30"/>
  <c r="C72" i="25"/>
  <c r="H72" i="25" s="1"/>
  <c r="G76" i="30"/>
  <c r="C76" i="25"/>
  <c r="H76" i="25" s="1"/>
  <c r="G80" i="30"/>
  <c r="C80" i="25"/>
  <c r="H80" i="25" s="1"/>
  <c r="G84" i="30"/>
  <c r="C84" i="25"/>
  <c r="H84" i="25" s="1"/>
  <c r="F87" i="30"/>
  <c r="H40" i="30"/>
  <c r="G55" i="30"/>
  <c r="H17" i="30"/>
  <c r="C19" i="25" s="1"/>
  <c r="D19" i="25" s="1"/>
  <c r="E19" i="25" s="1"/>
  <c r="F31" i="30"/>
  <c r="F58" i="30"/>
  <c r="F93" i="30"/>
  <c r="G97" i="30"/>
  <c r="H90" i="30"/>
  <c r="G92" i="30"/>
  <c r="F99" i="30"/>
  <c r="G98" i="30"/>
  <c r="H99" i="30"/>
  <c r="L106" i="30" s="1"/>
  <c r="G10" i="30"/>
  <c r="G35" i="30"/>
  <c r="H62" i="25" l="1"/>
  <c r="E67" i="25"/>
  <c r="H67" i="25"/>
  <c r="I67" i="25" s="1"/>
  <c r="L102" i="30"/>
  <c r="L103" i="30" s="1"/>
  <c r="G15" i="30"/>
  <c r="I17" i="25"/>
  <c r="J17" i="25" s="1"/>
  <c r="G39" i="30"/>
  <c r="G58" i="30" s="1"/>
  <c r="E91" i="25"/>
  <c r="G90" i="30"/>
  <c r="G93" i="30" s="1"/>
  <c r="C89" i="25"/>
  <c r="I68" i="25"/>
  <c r="E84" i="25"/>
  <c r="D27" i="25"/>
  <c r="D15" i="25"/>
  <c r="I15" i="25" s="1"/>
  <c r="J15" i="25" s="1"/>
  <c r="D32" i="25"/>
  <c r="I32" i="25" s="1"/>
  <c r="J32" i="25" s="1"/>
  <c r="D20" i="25"/>
  <c r="G37" i="25"/>
  <c r="E77" i="25"/>
  <c r="D24" i="25"/>
  <c r="D29" i="25"/>
  <c r="D26" i="25"/>
  <c r="E70" i="25"/>
  <c r="B33" i="25"/>
  <c r="D14" i="25"/>
  <c r="E14" i="25" s="1"/>
  <c r="E75" i="25"/>
  <c r="I62" i="25"/>
  <c r="E68" i="25"/>
  <c r="H58" i="30"/>
  <c r="C41" i="25"/>
  <c r="G41" i="25" s="1"/>
  <c r="E72" i="25"/>
  <c r="D31" i="25"/>
  <c r="D23" i="25"/>
  <c r="D28" i="25"/>
  <c r="D25" i="25"/>
  <c r="E81" i="25"/>
  <c r="E65" i="25"/>
  <c r="D16" i="25"/>
  <c r="D21" i="25"/>
  <c r="E74" i="25"/>
  <c r="D30" i="25"/>
  <c r="D90" i="25"/>
  <c r="J90" i="25" s="1"/>
  <c r="E71" i="25"/>
  <c r="H63" i="25"/>
  <c r="D22" i="25"/>
  <c r="L104" i="30"/>
  <c r="G99" i="30"/>
  <c r="H93" i="30"/>
  <c r="I25" i="25" l="1"/>
  <c r="J25" i="25" s="1"/>
  <c r="J26" i="25"/>
  <c r="I26" i="25"/>
  <c r="I27" i="25"/>
  <c r="J27" i="25" s="1"/>
  <c r="J22" i="25"/>
  <c r="I22" i="25"/>
  <c r="I30" i="25"/>
  <c r="J30" i="25" s="1"/>
  <c r="J23" i="25"/>
  <c r="I23" i="25"/>
  <c r="I20" i="25"/>
  <c r="J20" i="25" s="1"/>
  <c r="E62" i="25"/>
  <c r="I31" i="25"/>
  <c r="J31" i="25" s="1"/>
  <c r="I24" i="25"/>
  <c r="J24" i="25" s="1"/>
  <c r="I21" i="25"/>
  <c r="J21" i="25" s="1"/>
  <c r="I28" i="25"/>
  <c r="J28" i="25" s="1"/>
  <c r="I29" i="25"/>
  <c r="J29" i="25" s="1"/>
  <c r="L105" i="30"/>
  <c r="L107" i="30" s="1"/>
  <c r="E21" i="25"/>
  <c r="E22" i="25"/>
  <c r="E26" i="25"/>
  <c r="E90" i="25"/>
  <c r="E28" i="25"/>
  <c r="E24" i="25"/>
  <c r="E32" i="25"/>
  <c r="E25" i="25"/>
  <c r="E31" i="25"/>
  <c r="E27" i="25"/>
  <c r="I83" i="25"/>
  <c r="D89" i="25"/>
  <c r="J89" i="25" s="1"/>
  <c r="B92" i="25"/>
  <c r="I63" i="25"/>
  <c r="I73" i="25"/>
  <c r="I80" i="25"/>
  <c r="I78" i="25"/>
  <c r="I71" i="25"/>
  <c r="I74" i="25"/>
  <c r="I65" i="25"/>
  <c r="I81" i="25"/>
  <c r="I72" i="25"/>
  <c r="I70" i="25"/>
  <c r="I77" i="25"/>
  <c r="I84" i="25"/>
  <c r="G93" i="25"/>
  <c r="E10" i="16" s="1"/>
  <c r="I82" i="25"/>
  <c r="I64" i="25"/>
  <c r="I69" i="25"/>
  <c r="I85" i="25"/>
  <c r="I76" i="25"/>
  <c r="B59" i="25"/>
  <c r="D59" i="25" s="1"/>
  <c r="I79" i="25"/>
  <c r="I16" i="25"/>
  <c r="J16" i="25" s="1"/>
  <c r="I75" i="25"/>
  <c r="I14" i="25"/>
  <c r="E83" i="25"/>
  <c r="E63" i="25"/>
  <c r="E79" i="25"/>
  <c r="E30" i="25"/>
  <c r="E82" i="25"/>
  <c r="E16" i="25"/>
  <c r="E73" i="25"/>
  <c r="E23" i="25"/>
  <c r="E64" i="25"/>
  <c r="E80" i="25"/>
  <c r="E78" i="25"/>
  <c r="E29" i="25"/>
  <c r="E69" i="25"/>
  <c r="E85" i="25"/>
  <c r="E20" i="25"/>
  <c r="E15" i="25"/>
  <c r="E76" i="25"/>
  <c r="J14" i="25" l="1"/>
  <c r="E27" i="17" s="1"/>
  <c r="E28" i="17"/>
  <c r="E89" i="25"/>
  <c r="G14" i="18"/>
  <c r="E26" i="17" l="1"/>
  <c r="F27" i="17" s="1"/>
  <c r="H18" i="17" s="1"/>
  <c r="J93" i="25"/>
  <c r="E12" i="16" s="1"/>
  <c r="E14" i="18"/>
  <c r="G15" i="18"/>
  <c r="G16" i="18"/>
  <c r="E13" i="18"/>
  <c r="E18" i="16"/>
  <c r="F28" i="17" l="1"/>
  <c r="H20" i="17"/>
  <c r="I18" i="17"/>
  <c r="I20" i="17" s="1"/>
  <c r="F23" i="18"/>
  <c r="D23" i="18"/>
  <c r="G14" i="26"/>
  <c r="E14" i="26"/>
  <c r="G13" i="18" l="1"/>
  <c r="C14" i="26"/>
  <c r="D14" i="26"/>
  <c r="H14" i="26"/>
  <c r="F14" i="26"/>
  <c r="J14" i="26" l="1"/>
  <c r="I14" i="26"/>
  <c r="K11" i="26"/>
  <c r="K12" i="26" l="1"/>
  <c r="K14" i="26" s="1"/>
  <c r="E8" i="27"/>
  <c r="F8" i="27" s="1"/>
  <c r="E9" i="27" l="1"/>
  <c r="G9" i="27" l="1"/>
  <c r="G11" i="27" s="1"/>
  <c r="E24" i="16" s="1"/>
  <c r="F9" i="27"/>
  <c r="H9" i="27"/>
  <c r="H11" i="27" s="1"/>
  <c r="E25" i="16" s="1"/>
  <c r="E11" i="27"/>
  <c r="E17" i="16"/>
  <c r="E20" i="16"/>
  <c r="K9" i="27" l="1"/>
  <c r="F11" i="27"/>
  <c r="E23" i="16" s="1"/>
  <c r="L25" i="16" s="1"/>
  <c r="E19" i="16"/>
  <c r="E34" i="18"/>
  <c r="E31" i="18" s="1"/>
  <c r="E16" i="18"/>
  <c r="I14" i="19"/>
  <c r="G34" i="19" s="1"/>
  <c r="E21" i="18"/>
  <c r="E19" i="18"/>
  <c r="E18" i="18"/>
  <c r="G17" i="18"/>
  <c r="I20" i="16"/>
  <c r="F36" i="18" l="1"/>
  <c r="I10" i="19" s="1"/>
  <c r="G28" i="19" s="1"/>
  <c r="F37" i="18"/>
  <c r="I15" i="19"/>
  <c r="E40" i="19" s="1"/>
  <c r="F33" i="18"/>
  <c r="F32" i="18"/>
  <c r="K11" i="27"/>
  <c r="I12" i="19"/>
  <c r="G21" i="19" s="1"/>
  <c r="F39" i="18"/>
  <c r="I9" i="19" s="1"/>
  <c r="H29" i="16"/>
  <c r="G42" i="19"/>
  <c r="E38" i="19"/>
  <c r="I11" i="19" l="1"/>
  <c r="I18" i="19" s="1"/>
  <c r="E36" i="19" s="1"/>
  <c r="G44" i="19"/>
  <c r="I43" i="19" s="1"/>
  <c r="G36" i="19"/>
  <c r="E25" i="19"/>
  <c r="G19" i="19"/>
  <c r="E17" i="18"/>
  <c r="E23" i="18" s="1"/>
  <c r="G18" i="16" l="1"/>
  <c r="H18" i="16" s="1"/>
  <c r="I18" i="16" s="1"/>
  <c r="G25" i="16"/>
  <c r="H25" i="16" s="1"/>
  <c r="I25" i="16" s="1"/>
  <c r="I13" i="19"/>
  <c r="G23" i="19" s="1"/>
  <c r="I22" i="19" s="1"/>
  <c r="I39" i="19" l="1"/>
  <c r="G25" i="19"/>
  <c r="I25" i="19" s="1"/>
  <c r="G39" i="19"/>
  <c r="G17" i="16" l="1"/>
  <c r="H17" i="16" s="1"/>
  <c r="I17" i="16" s="1"/>
  <c r="G24" i="16"/>
  <c r="G11" i="16"/>
  <c r="G12" i="16"/>
  <c r="H12" i="16" s="1"/>
  <c r="G19" i="16"/>
  <c r="H19" i="16" s="1"/>
  <c r="I19" i="16" s="1"/>
  <c r="E28" i="19"/>
  <c r="I28" i="19" s="1"/>
  <c r="G32" i="19" s="1"/>
  <c r="I31" i="19" s="1"/>
  <c r="I12" i="16" l="1"/>
  <c r="I35" i="19"/>
  <c r="G10" i="16" s="1"/>
  <c r="H10" i="16" s="1"/>
  <c r="I10" i="16" s="1"/>
  <c r="E34" i="19"/>
  <c r="G23" i="16" l="1"/>
  <c r="G16" i="16"/>
  <c r="H24" i="16" l="1"/>
  <c r="I24" i="16" s="1"/>
  <c r="H23" i="16" l="1"/>
  <c r="I23" i="16" l="1"/>
  <c r="G11" i="30" l="1"/>
  <c r="G31" i="30" s="1"/>
  <c r="H31" i="30"/>
  <c r="D11" i="17" l="1"/>
  <c r="D20" i="17" s="1"/>
  <c r="E11" i="17"/>
  <c r="E20" i="17" s="1"/>
  <c r="S23" i="17"/>
  <c r="S39" i="17" s="1"/>
  <c r="S41" i="17" s="1"/>
  <c r="L20" i="17" l="1"/>
  <c r="E16" i="16"/>
  <c r="L20" i="16" l="1"/>
  <c r="H16" i="16"/>
  <c r="I16" i="16" s="1"/>
  <c r="C61" i="25"/>
  <c r="D61" i="25"/>
  <c r="E61" i="25"/>
  <c r="H61" i="25"/>
  <c r="I61" i="25"/>
  <c r="C66" i="25"/>
  <c r="D66" i="25"/>
  <c r="E66" i="25"/>
  <c r="H66" i="25"/>
  <c r="I66" i="25"/>
  <c r="B87" i="25"/>
  <c r="C93" i="25"/>
  <c r="D93" i="25"/>
  <c r="E93" i="25"/>
  <c r="H93" i="25"/>
  <c r="I93" i="25"/>
  <c r="L93" i="25"/>
  <c r="G61" i="30"/>
  <c r="H61" i="30"/>
  <c r="G66" i="30"/>
  <c r="H66" i="30"/>
  <c r="G87" i="30"/>
  <c r="H87" i="30"/>
  <c r="H101" i="30"/>
  <c r="H103" i="30"/>
  <c r="E11" i="16"/>
  <c r="H11" i="16"/>
  <c r="I11" i="16"/>
  <c r="E13" i="16"/>
  <c r="I13" i="16"/>
  <c r="L13" i="16"/>
  <c r="E27" i="16"/>
  <c r="H27" i="16"/>
  <c r="I27" i="16"/>
  <c r="L27" i="16"/>
  <c r="H31" i="16"/>
  <c r="M32" i="16"/>
  <c r="H33" i="16"/>
</calcChain>
</file>

<file path=xl/comments1.xml><?xml version="1.0" encoding="utf-8"?>
<comments xmlns="http://schemas.openxmlformats.org/spreadsheetml/2006/main">
  <authors>
    <author>Todd Osterloh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This change reflects an average employee contribution of 28.3%, as opposed to 31.9%.</t>
        </r>
      </text>
    </comment>
    <comment ref="H15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24.06% of salary expense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This change reflects an average employee contribution of 28.3%, as opposed to 31.9%.</t>
        </r>
      </text>
    </comment>
    <comment ref="H39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24.06% of salary expense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This adjustment reduces the purchased power expense to credit water operations for water usage by sewer operations.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This adjustment reduces the chemical expense to credit water operations for water usage by sewer operations.</t>
        </r>
      </text>
    </comment>
    <comment ref="H61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Includes seven maintenance employees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This change reflects an average employee contribution of 28.3%, as opposed to 31.9%.</t>
        </r>
      </text>
    </comment>
    <comment ref="H66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24.06% of salary expense</t>
        </r>
      </text>
    </comment>
  </commentList>
</comments>
</file>

<file path=xl/comments2.xml><?xml version="1.0" encoding="utf-8"?>
<comments xmlns="http://schemas.openxmlformats.org/spreadsheetml/2006/main">
  <authors>
    <author>Todd Osterloh</author>
    <author>Alan Vilines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Change from a 85/15 ratio to 83/17.
The same adjustment is made in cells I20 to I31 below.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The conservative allocation factor of 61.3% has been applied in the highlighted cells below, instead of the 54.05%.</t>
        </r>
      </text>
    </comment>
    <comment ref="H61" authorId="1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Allocations to trans/dist based on table to the right.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As described in PWWC's brief, this is an appropriate factor for main. exp. to be allocated to W/WW, instead of percentage of customers</t>
        </r>
      </text>
    </comment>
    <comment ref="P83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Appropriate reallocation of remainder of 8% removed from meter reading activities.</t>
        </r>
      </text>
    </comment>
    <comment ref="P84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Appropriate assignment of 2% of maintenance work performed for meter reading, allocated on a 1:2 ratio.</t>
        </r>
      </text>
    </comment>
  </commentList>
</comments>
</file>

<file path=xl/comments3.xml><?xml version="1.0" encoding="utf-8"?>
<comments xmlns="http://schemas.openxmlformats.org/spreadsheetml/2006/main">
  <authors>
    <author>Todd Osterloh</author>
  </authors>
  <commentList>
    <comment ref="D11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Reflects increase to depreciation for water treatment generator that should be depreciated over a 27.5-year service life, as opposed to the 62.5-year service life proposed by Vilines</t>
        </r>
      </text>
    </comment>
    <comment ref="S47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This reflects the increase accounting for a 15-year service life of the tank painting project.</t>
        </r>
      </text>
    </comment>
  </commentList>
</comments>
</file>

<file path=xl/comments4.xml><?xml version="1.0" encoding="utf-8"?>
<comments xmlns="http://schemas.openxmlformats.org/spreadsheetml/2006/main">
  <authors>
    <author>Todd Osterloh</author>
  </authors>
  <commentList>
    <comment ref="I14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This reflects the use of a three-year average of PWWC's fiscal year, as opposed to calendar year.</t>
        </r>
      </text>
    </comment>
    <comment ref="J14" authorId="0">
      <text>
        <r>
          <rPr>
            <b/>
            <sz val="9"/>
            <color indexed="81"/>
            <rFont val="Tahoma"/>
            <charset val="1"/>
          </rPr>
          <t>Todd Osterloh:</t>
        </r>
        <r>
          <rPr>
            <sz val="9"/>
            <color indexed="81"/>
            <rFont val="Tahoma"/>
            <charset val="1"/>
          </rPr>
          <t xml:space="preserve">
This reflects the use of a 1.2x debt service coverage for additional working capital, as opposed to reserves.</t>
        </r>
      </text>
    </comment>
  </commentList>
</comments>
</file>

<file path=xl/comments5.xml><?xml version="1.0" encoding="utf-8"?>
<comments xmlns="http://schemas.openxmlformats.org/spreadsheetml/2006/main">
  <authors>
    <author>Todd Osterloh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This is the corrected total of joint-use inch-miles, as supported by the reliable information provided by PWWC engineers</t>
        </r>
      </text>
    </comment>
  </commentList>
</comments>
</file>

<file path=xl/comments6.xml><?xml version="1.0" encoding="utf-8"?>
<comments xmlns="http://schemas.openxmlformats.org/spreadsheetml/2006/main">
  <authors>
    <author>Todd Osterloh</author>
  </authors>
  <commentList>
    <comment ref="X19" authorId="0">
      <text>
        <r>
          <rPr>
            <b/>
            <sz val="9"/>
            <color indexed="81"/>
            <rFont val="Tahoma"/>
            <family val="2"/>
          </rPr>
          <t>Todd Osterloh:</t>
        </r>
        <r>
          <rPr>
            <sz val="9"/>
            <color indexed="81"/>
            <rFont val="Tahoma"/>
            <family val="2"/>
          </rPr>
          <t xml:space="preserve">
Changes reflect employee contribution of 20% for single coverage and 33% for family coverage</t>
        </r>
      </text>
    </comment>
  </commentList>
</comments>
</file>

<file path=xl/sharedStrings.xml><?xml version="1.0" encoding="utf-8"?>
<sst xmlns="http://schemas.openxmlformats.org/spreadsheetml/2006/main" count="614" uniqueCount="407">
  <si>
    <t>Table B</t>
  </si>
  <si>
    <t>TOTALS</t>
  </si>
  <si>
    <t>Depreciation Expense</t>
  </si>
  <si>
    <t>Principal</t>
  </si>
  <si>
    <t>Interest</t>
  </si>
  <si>
    <t>Totals</t>
  </si>
  <si>
    <t>Size</t>
  </si>
  <si>
    <t>Percent</t>
  </si>
  <si>
    <t>Office Furniture &amp; Equipment</t>
  </si>
  <si>
    <t>2021</t>
  </si>
  <si>
    <t>2022</t>
  </si>
  <si>
    <t>WHOLESALE RATE COMPUTATION</t>
  </si>
  <si>
    <t>Allocation</t>
  </si>
  <si>
    <t>Wholesale</t>
  </si>
  <si>
    <t>Total</t>
  </si>
  <si>
    <t>Factor</t>
  </si>
  <si>
    <t>Retail</t>
  </si>
  <si>
    <t>PTF</t>
  </si>
  <si>
    <t>Admin &amp; General</t>
  </si>
  <si>
    <t>Trans. / Distribution</t>
  </si>
  <si>
    <t>Customer</t>
  </si>
  <si>
    <t>Total Revenue Required</t>
  </si>
  <si>
    <t>Wholesale Gallons Sold (x 1,000)</t>
  </si>
  <si>
    <t>Wholesale Rate per 1,000 Gallons</t>
  </si>
  <si>
    <t>Trans. &amp;</t>
  </si>
  <si>
    <t>General</t>
  </si>
  <si>
    <t>Distribution</t>
  </si>
  <si>
    <t>&amp; Admin.</t>
  </si>
  <si>
    <t>Table C</t>
  </si>
  <si>
    <t>SYSTEM INFORMATION</t>
  </si>
  <si>
    <t>Schedule of All Mains and Jointly Used Mains</t>
  </si>
  <si>
    <t>Joint Use</t>
  </si>
  <si>
    <t>Main</t>
  </si>
  <si>
    <t>Miles of</t>
  </si>
  <si>
    <t>Inch -</t>
  </si>
  <si>
    <t>Mains</t>
  </si>
  <si>
    <t>Miles</t>
  </si>
  <si>
    <t>Gallons</t>
  </si>
  <si>
    <t>x 1,000</t>
  </si>
  <si>
    <t xml:space="preserve">   Retail Sales</t>
  </si>
  <si>
    <t xml:space="preserve">   Wholesale Sales</t>
  </si>
  <si>
    <t>Total Water Sold</t>
  </si>
  <si>
    <t>Line Losses</t>
  </si>
  <si>
    <t>Table D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</si>
  <si>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</si>
  <si>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</si>
  <si>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</si>
  <si>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</si>
  <si>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</si>
  <si>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</si>
  <si>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</si>
  <si>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>Production Multiplier</t>
  </si>
  <si>
    <t>=</t>
  </si>
  <si>
    <t>-</t>
  </si>
  <si>
    <t>Joint Use Pipeline Ratio</t>
  </si>
  <si>
    <t>x</t>
  </si>
  <si>
    <t>Wholesale Production Multiplier</t>
  </si>
  <si>
    <t>-----------------</t>
  </si>
  <si>
    <t>Pipeline Transmission Factor</t>
  </si>
  <si>
    <t>Water Production</t>
  </si>
  <si>
    <t>Water Produced</t>
  </si>
  <si>
    <t>Water Used at WTP</t>
  </si>
  <si>
    <t>Line Loss + Plant Use</t>
  </si>
  <si>
    <t>Plant Use Percentage</t>
  </si>
  <si>
    <t>Joint Share Line Loss + Plant Use</t>
  </si>
  <si>
    <t>+</t>
  </si>
  <si>
    <t>Water</t>
  </si>
  <si>
    <t>Treatment</t>
  </si>
  <si>
    <t>Table E</t>
  </si>
  <si>
    <t>Table F</t>
  </si>
  <si>
    <t>Insurance</t>
  </si>
  <si>
    <t>Maintenance</t>
  </si>
  <si>
    <t>Postage</t>
  </si>
  <si>
    <t>Sewer</t>
  </si>
  <si>
    <t>2023</t>
  </si>
  <si>
    <t>Use of Funds</t>
  </si>
  <si>
    <t>Three Year</t>
  </si>
  <si>
    <t>Averages</t>
  </si>
  <si>
    <t>Debt Service</t>
  </si>
  <si>
    <t>Avg. Annual</t>
  </si>
  <si>
    <t>ALLOCATION OF DEBT SERVICE</t>
  </si>
  <si>
    <t>Fire Hydrants</t>
  </si>
  <si>
    <t>Water Treatment Plant</t>
  </si>
  <si>
    <t>Production</t>
  </si>
  <si>
    <t>Transmission</t>
  </si>
  <si>
    <t>&amp; Distribution</t>
  </si>
  <si>
    <t>Accounts</t>
  </si>
  <si>
    <t>&amp; General</t>
  </si>
  <si>
    <t>Storage</t>
  </si>
  <si>
    <t>Tanks</t>
  </si>
  <si>
    <t xml:space="preserve">                 -------------------</t>
  </si>
  <si>
    <t xml:space="preserve"> ----------------</t>
  </si>
  <si>
    <t>Storage Tanks</t>
  </si>
  <si>
    <t>Avg. Debt S.</t>
  </si>
  <si>
    <t>Water Production Factor</t>
  </si>
  <si>
    <t>WPF</t>
  </si>
  <si>
    <t>Table A</t>
  </si>
  <si>
    <t>SUMMARY OF OPERATING EXPENSES BY CATEGORY</t>
  </si>
  <si>
    <t>ALLOCATION OF DEPRECIATION EXPENSE</t>
  </si>
  <si>
    <t>Table G</t>
  </si>
  <si>
    <t>Admin.</t>
  </si>
  <si>
    <t>Allocation Factors</t>
  </si>
  <si>
    <t>Type</t>
  </si>
  <si>
    <t>Joint Share of Line Loss</t>
  </si>
  <si>
    <t>FINAL 2019</t>
  </si>
  <si>
    <t>Unadjusted 6/30/2019</t>
  </si>
  <si>
    <t>Adjusting JE  Debit</t>
  </si>
  <si>
    <t>Adjusting JE Credit</t>
  </si>
  <si>
    <t>Fiscal Year Operations</t>
  </si>
  <si>
    <t>PRO FORMA Adjustments</t>
  </si>
  <si>
    <t>PRO FORMA Operations</t>
  </si>
  <si>
    <t>Account</t>
  </si>
  <si>
    <t>Description</t>
  </si>
  <si>
    <t>Administration</t>
  </si>
  <si>
    <t>100-6010</t>
  </si>
  <si>
    <t>Salaries</t>
  </si>
  <si>
    <t>100-6020</t>
  </si>
  <si>
    <t>Payroll Tax</t>
  </si>
  <si>
    <t>7.65% on new base wages</t>
  </si>
  <si>
    <t>100-6030</t>
  </si>
  <si>
    <t>Employee Benefits</t>
  </si>
  <si>
    <t>100-6040</t>
  </si>
  <si>
    <t>Uniforms</t>
  </si>
  <si>
    <t>100-6050</t>
  </si>
  <si>
    <t>Training Expense</t>
  </si>
  <si>
    <t>100-6060</t>
  </si>
  <si>
    <t>Retirement Funding</t>
  </si>
  <si>
    <t>100-6061</t>
  </si>
  <si>
    <t>Pension Expense</t>
  </si>
  <si>
    <t>100-6062</t>
  </si>
  <si>
    <t>OPEB Expense</t>
  </si>
  <si>
    <t>100-6070</t>
  </si>
  <si>
    <t>Utilities</t>
  </si>
  <si>
    <t>100-6080</t>
  </si>
  <si>
    <t>Gas and Oil</t>
  </si>
  <si>
    <t>100-6090</t>
  </si>
  <si>
    <t>Equipment Repair</t>
  </si>
  <si>
    <t>100-6100</t>
  </si>
  <si>
    <t>Supplies</t>
  </si>
  <si>
    <t>100-6110</t>
  </si>
  <si>
    <t>100-6121</t>
  </si>
  <si>
    <t>Professional Services</t>
  </si>
  <si>
    <t>100-6122</t>
  </si>
  <si>
    <t>Data Processing</t>
  </si>
  <si>
    <t>100-6130</t>
  </si>
  <si>
    <t>Miscellaneous Expense</t>
  </si>
  <si>
    <t>100-6135</t>
  </si>
  <si>
    <t>100-6140</t>
  </si>
  <si>
    <t>Rental and Lease</t>
  </si>
  <si>
    <t>100-6160</t>
  </si>
  <si>
    <t>Tools &amp; Small Equipment</t>
  </si>
  <si>
    <t>100-6180</t>
  </si>
  <si>
    <t>Building Repair &amp; Maintenance</t>
  </si>
  <si>
    <t>100-6665</t>
  </si>
  <si>
    <t>Freight Expense</t>
  </si>
  <si>
    <t>Administrative Expenses</t>
  </si>
  <si>
    <t>200-6010</t>
  </si>
  <si>
    <t>200-6020</t>
  </si>
  <si>
    <t>200-6030</t>
  </si>
  <si>
    <t>200-6040</t>
  </si>
  <si>
    <t>200-6050</t>
  </si>
  <si>
    <t>200-6060</t>
  </si>
  <si>
    <t>200-6061</t>
  </si>
  <si>
    <t>200-6062</t>
  </si>
  <si>
    <t>200-6070</t>
  </si>
  <si>
    <t>200-6080</t>
  </si>
  <si>
    <t>200-6090</t>
  </si>
  <si>
    <t>200-6100</t>
  </si>
  <si>
    <t>200-6105</t>
  </si>
  <si>
    <t>Chemicals</t>
  </si>
  <si>
    <t>Inv Adj in 2019.  See MOR projections</t>
  </si>
  <si>
    <t>200-6110</t>
  </si>
  <si>
    <t>200-6120</t>
  </si>
  <si>
    <t>Lab Fees</t>
  </si>
  <si>
    <t>200-6121</t>
  </si>
  <si>
    <t>200-6130</t>
  </si>
  <si>
    <t>200-6135</t>
  </si>
  <si>
    <t>200-6140</t>
  </si>
  <si>
    <t>200-6160</t>
  </si>
  <si>
    <t>200-6180</t>
  </si>
  <si>
    <t>200-6185</t>
  </si>
  <si>
    <t>Sludge Removal</t>
  </si>
  <si>
    <t>1/2 of Bi Annual lagoon cleaning</t>
  </si>
  <si>
    <t>200-6660</t>
  </si>
  <si>
    <t>Misc. Material Ex</t>
  </si>
  <si>
    <t>200-6665</t>
  </si>
  <si>
    <t>Water Treatment Expenses</t>
  </si>
  <si>
    <t xml:space="preserve">Maintenance </t>
  </si>
  <si>
    <t>400-6010</t>
  </si>
  <si>
    <t>400-6020</t>
  </si>
  <si>
    <t>400-6030</t>
  </si>
  <si>
    <t>400-6040</t>
  </si>
  <si>
    <t>400-6050</t>
  </si>
  <si>
    <t>400-6060</t>
  </si>
  <si>
    <t>400-6061</t>
  </si>
  <si>
    <t>400-6062</t>
  </si>
  <si>
    <t>400-6070</t>
  </si>
  <si>
    <t>400-6080</t>
  </si>
  <si>
    <t>400-6090</t>
  </si>
  <si>
    <t>400-6100</t>
  </si>
  <si>
    <t>400-6105</t>
  </si>
  <si>
    <t>400-6110</t>
  </si>
  <si>
    <t>400-6120</t>
  </si>
  <si>
    <t>400-6121</t>
  </si>
  <si>
    <t>400-6130</t>
  </si>
  <si>
    <t>400-6135</t>
  </si>
  <si>
    <t>400-6140</t>
  </si>
  <si>
    <t>400-6160</t>
  </si>
  <si>
    <t>400-6180</t>
  </si>
  <si>
    <t>400-6200</t>
  </si>
  <si>
    <t>Sewer Repair</t>
  </si>
  <si>
    <t>400-6650</t>
  </si>
  <si>
    <t>Inventory Expense</t>
  </si>
  <si>
    <t>400-6660</t>
  </si>
  <si>
    <t>400-6665</t>
  </si>
  <si>
    <t>400-6670</t>
  </si>
  <si>
    <t>Capital Cost/Labor</t>
  </si>
  <si>
    <t>Return to normal after RD capitalization</t>
  </si>
  <si>
    <t>Maintenance Expenses</t>
  </si>
  <si>
    <t>Unallocated Commission</t>
  </si>
  <si>
    <t>500-6010</t>
  </si>
  <si>
    <t>Salaries (Commissioners)</t>
  </si>
  <si>
    <t>500-6110</t>
  </si>
  <si>
    <t>500-6150</t>
  </si>
  <si>
    <t>Attorney Fees</t>
  </si>
  <si>
    <t>Normal monthly fee of $500 x 12</t>
  </si>
  <si>
    <t>Commission Expenses</t>
  </si>
  <si>
    <t>500-6676</t>
  </si>
  <si>
    <t>Interest Expense WWTP</t>
  </si>
  <si>
    <t>Average FY2021 - FY2023</t>
  </si>
  <si>
    <t>500-6678</t>
  </si>
  <si>
    <t>Int Exp WTP</t>
  </si>
  <si>
    <t>Average FY2021 - FY2023 with New RD Loan</t>
  </si>
  <si>
    <t>500-6680</t>
  </si>
  <si>
    <t xml:space="preserve">NARUC Depreciation </t>
  </si>
  <si>
    <t>500-6699</t>
  </si>
  <si>
    <t>KIA Servicing Fee</t>
  </si>
  <si>
    <t>Interest and Depreciation Expense</t>
  </si>
  <si>
    <t>TOTAL OPERATING EXPENSES</t>
  </si>
  <si>
    <t xml:space="preserve"> Delete retirement exp. liabilities</t>
  </si>
  <si>
    <t xml:space="preserve"> ret. liabilities</t>
  </si>
  <si>
    <t xml:space="preserve"> empl. ins. pmts</t>
  </si>
  <si>
    <t>Pro Forma</t>
  </si>
  <si>
    <t>Director of Finance</t>
  </si>
  <si>
    <t>Superintendent</t>
  </si>
  <si>
    <t>Salaries - Gen. &amp; Office</t>
  </si>
  <si>
    <t>Salaries - Finance &amp; Super.</t>
  </si>
  <si>
    <t>water</t>
  </si>
  <si>
    <t>sewer</t>
  </si>
  <si>
    <t>total</t>
  </si>
  <si>
    <t>water sampling</t>
  </si>
  <si>
    <t>ck. lift stas.</t>
  </si>
  <si>
    <t>road cuts</t>
  </si>
  <si>
    <t>swr. line repairs</t>
  </si>
  <si>
    <t>line locates</t>
  </si>
  <si>
    <t>flushing</t>
  </si>
  <si>
    <t>mtr. settings</t>
  </si>
  <si>
    <t>swr. taps</t>
  </si>
  <si>
    <t>equip. mnt.</t>
  </si>
  <si>
    <t>mtr. upgrades</t>
  </si>
  <si>
    <t xml:space="preserve">TP mnt. </t>
  </si>
  <si>
    <t>water disc.</t>
  </si>
  <si>
    <t>water conn.</t>
  </si>
  <si>
    <t>misc. water calls</t>
  </si>
  <si>
    <t>misc. swr. calls</t>
  </si>
  <si>
    <t>office work</t>
  </si>
  <si>
    <t>water leak repairs</t>
  </si>
  <si>
    <t xml:space="preserve"> capital costs</t>
  </si>
  <si>
    <t>Total sal. water admin</t>
  </si>
  <si>
    <t>Customer accts</t>
  </si>
  <si>
    <t>meter reading</t>
  </si>
  <si>
    <t>cust</t>
  </si>
  <si>
    <t>Tax</t>
  </si>
  <si>
    <t>Revised Current</t>
  </si>
  <si>
    <t>Department / Asset Group</t>
  </si>
  <si>
    <t>Cost</t>
  </si>
  <si>
    <t>Depreciation</t>
  </si>
  <si>
    <t>Misc Buildings &amp; Improvements</t>
  </si>
  <si>
    <t>Autos &amp; Trucks</t>
  </si>
  <si>
    <t xml:space="preserve"> Administration Depreciation</t>
  </si>
  <si>
    <t>Water Treatment &amp; Distribution</t>
  </si>
  <si>
    <t>Water Distribution &amp; Transmission Mains</t>
  </si>
  <si>
    <t>Water Treatment Plant &amp; Pumping Equipment</t>
  </si>
  <si>
    <t>Water Tower</t>
  </si>
  <si>
    <t>Lab Equipment, Tools, Shop &amp; Garage Equip</t>
  </si>
  <si>
    <t>New Assets placed in Service</t>
  </si>
  <si>
    <t>Water Depreciation</t>
  </si>
  <si>
    <t>Wastewater Treatment &amp; Disposal</t>
  </si>
  <si>
    <t>Wastewater Disposal &amp; Treatment</t>
  </si>
  <si>
    <t>Sewer Lines &amp; Laterals</t>
  </si>
  <si>
    <t>Tools &amp; Equipment</t>
  </si>
  <si>
    <t>PWWC Total Depreciation Comparison</t>
  </si>
  <si>
    <t>2019 Pro Forma Totals</t>
  </si>
  <si>
    <t>Water Dist. &amp; Trans. Mains</t>
  </si>
  <si>
    <t>Water Plant &amp; Pumping Equipment</t>
  </si>
  <si>
    <t>Water Tanks</t>
  </si>
  <si>
    <t>Lab, Tools, Shop &amp; Garage Equip.</t>
  </si>
  <si>
    <t>Maintenance Assets</t>
  </si>
  <si>
    <t>Administration Assets</t>
  </si>
  <si>
    <t>Line Extensions</t>
  </si>
  <si>
    <t>Skyline Tank Repairs</t>
  </si>
  <si>
    <t>KACo Lease</t>
  </si>
  <si>
    <t>2019 RD Bonds</t>
  </si>
  <si>
    <t>FY 2021 - 2023</t>
  </si>
  <si>
    <t>Water Plant Upgrade</t>
  </si>
  <si>
    <t>Lines, Tank Rehab, WTP</t>
  </si>
  <si>
    <t>Lines</t>
  </si>
  <si>
    <t>Tank</t>
  </si>
  <si>
    <t>WTP</t>
  </si>
  <si>
    <t>2019 Project</t>
  </si>
  <si>
    <t>Flushing &amp; Fire Protection</t>
  </si>
  <si>
    <t>Total System</t>
  </si>
  <si>
    <t>TOTAL OP. &amp; MAINT.</t>
  </si>
  <si>
    <t>Operation &amp; Maintenance</t>
  </si>
  <si>
    <t>Storage Use Factor</t>
  </si>
  <si>
    <t>SUF</t>
  </si>
  <si>
    <t>Required</t>
  </si>
  <si>
    <t>Wholesale Rate per 100 Cubic Feet</t>
  </si>
  <si>
    <t>&amp; Reserves</t>
  </si>
  <si>
    <t>Debt Service &amp; Reserves</t>
  </si>
  <si>
    <t>Figures from</t>
  </si>
  <si>
    <t>PSC_2-1</t>
  </si>
  <si>
    <t>Ea. Division</t>
  </si>
  <si>
    <t>Customers</t>
  </si>
  <si>
    <t>Percentage</t>
  </si>
  <si>
    <t>No. of</t>
  </si>
  <si>
    <t>w/ COLA</t>
  </si>
  <si>
    <t>REVISIONS TO SPREADSHEET PSC 2-1 PRO FORMA EXPENSES</t>
  </si>
  <si>
    <t>TOTAL ADJUSTED OPERATION &amp; MAINTENANCE EXPENSES</t>
  </si>
  <si>
    <t xml:space="preserve">     (Revisions are shown in red text.)</t>
  </si>
  <si>
    <t>&lt;== allocation % for salary overhead</t>
  </si>
  <si>
    <t>trans/dist</t>
  </si>
  <si>
    <t xml:space="preserve">  (meter reading not included in Musgrove list)</t>
  </si>
  <si>
    <t xml:space="preserve">     Less Wastewater Treatment &amp; Disposal</t>
  </si>
  <si>
    <t>TOTAL PRO FORMA WATER DIVISION DEPR.</t>
  </si>
  <si>
    <t>Total Admin. &amp; Cust exp. - Water Div.</t>
  </si>
  <si>
    <t>Admin exp. - water div.</t>
  </si>
  <si>
    <t>Cust. exp. - water div.</t>
  </si>
  <si>
    <t>New Assets placed in Service:</t>
  </si>
  <si>
    <t>FROM SPREADSHEET PSC 2-13 NARUC Depreciation AHV:</t>
  </si>
  <si>
    <t>Reserves**</t>
  </si>
  <si>
    <t>* From PSC 1-6, p. 736</t>
  </si>
  <si>
    <t>Other Internal Use</t>
  </si>
  <si>
    <t>Expenses</t>
  </si>
  <si>
    <t>Mnt. Alloc. Estimate</t>
  </si>
  <si>
    <t>Original</t>
  </si>
  <si>
    <t>DEBT SERVICE SCHEDULE *</t>
  </si>
  <si>
    <t>2019 Salaries</t>
  </si>
  <si>
    <t>Health Ins.</t>
  </si>
  <si>
    <t>Deductions</t>
  </si>
  <si>
    <t>Retirement</t>
  </si>
  <si>
    <t>Liability</t>
  </si>
  <si>
    <t>Line Extension Soft Costs</t>
  </si>
  <si>
    <t>Skyline Tank Soft Costs</t>
  </si>
  <si>
    <t xml:space="preserve">                     -------------------</t>
  </si>
  <si>
    <t>= subtotal water only</t>
  </si>
  <si>
    <t xml:space="preserve">  capital expense</t>
  </si>
  <si>
    <t>% Increase</t>
  </si>
  <si>
    <t xml:space="preserve">     (Revised data input mentioned in the May 5th Hearing is in cells with GREEN text.  This is the only sheet with revised data input.)</t>
  </si>
  <si>
    <t>Reallocation</t>
  </si>
  <si>
    <t>** Req'd. Reserves:  Debt Service Coverage of 1.2x</t>
  </si>
  <si>
    <t>EMPLOYEE INSURANCE JUNE 2019</t>
  </si>
  <si>
    <t xml:space="preserve">EMPLOYEE # </t>
  </si>
  <si>
    <t>PWW PD LIFE INS</t>
  </si>
  <si>
    <t>ADD'L. EMP. PD LIFE INS</t>
  </si>
  <si>
    <t>FLEX MONTHLY</t>
  </si>
  <si>
    <t>WAIVER HEALTH INS</t>
  </si>
  <si>
    <t>ADMIN. FEES</t>
  </si>
  <si>
    <t>LIVING WELL CDHP FAMILY</t>
  </si>
  <si>
    <t>LIVING WELL CDHP COUPLE</t>
  </si>
  <si>
    <t>LIVING WELL CDHP SECONDARY</t>
  </si>
  <si>
    <t>LIVING WELL CDHP PARENT PLUS</t>
  </si>
  <si>
    <t>STANDARD PPO SINGLE</t>
  </si>
  <si>
    <t>LIVING WELL CDHP FAMILY   X-REF</t>
  </si>
  <si>
    <t>LIVING WELL CDHP SINGLE</t>
  </si>
  <si>
    <t>LIVING WELL PPO FAMILY</t>
  </si>
  <si>
    <t>TOTAL</t>
  </si>
  <si>
    <t>WEEKLY AMT PD BY EMP FOR HEALTH INS</t>
  </si>
  <si>
    <t>AMT. PD BY EMP IN 4 WK MO.</t>
  </si>
  <si>
    <t>AMT. PD BY EMP IN 5 WK MO.</t>
  </si>
  <si>
    <t>HEALTH INS PD BY PWW 4 WK MO</t>
  </si>
  <si>
    <t>Deductions from 100% benefit *</t>
  </si>
  <si>
    <t>Deductions for Employee Share</t>
  </si>
  <si>
    <t>= wt'd avg. employee share %</t>
  </si>
  <si>
    <t>TOTAL LIFE PD BY EMPLOYEES</t>
  </si>
  <si>
    <t>HEALTH INS PD BY PWW 4WK MO:</t>
  </si>
  <si>
    <t>TOTAL HEALTH INS PREMIUMS:</t>
  </si>
  <si>
    <t>ADMIN</t>
  </si>
  <si>
    <t>TOTAL LIFE INS PREMIUMS:</t>
  </si>
  <si>
    <t>FLEX PMTS  =</t>
  </si>
  <si>
    <t>WWTP</t>
  </si>
  <si>
    <t>TOTAL ADMIN FEES =</t>
  </si>
  <si>
    <t>MAINT</t>
  </si>
  <si>
    <t>WAIVER HEALTH INS.</t>
  </si>
  <si>
    <t>INS/EMP</t>
  </si>
  <si>
    <t>L.INS/EMP</t>
  </si>
  <si>
    <t>1/2 FLEX:</t>
  </si>
  <si>
    <t>L.INS/PWW</t>
  </si>
  <si>
    <t>TOTAL BILL</t>
  </si>
  <si>
    <t>FLEX</t>
  </si>
  <si>
    <t>LESS FLEX</t>
  </si>
  <si>
    <t>NET TOTAL BILL</t>
  </si>
  <si>
    <t>7.65% on base wages</t>
  </si>
  <si>
    <t>Maintenance Allocation Factor</t>
  </si>
  <si>
    <t>Based on Work from Inventory</t>
  </si>
  <si>
    <t>Current Rate (gal.)</t>
  </si>
  <si>
    <t>* NOTE: 2019 BLS nat'l avg. employer share of premiums are 80% for single &amp; 67% for family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</si>
</sst>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000"/>
    <numFmt numFmtId="170" formatCode="0.0000"/>
    <numFmt numFmtId="171" formatCode="_(* #,##0.0000_);_(* \(#,##0.0000\);_(* &quot;-&quot;??_);_(@_)"/>
  </numFmts>
  <fonts count="44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165" fontId="4" fillId="0" borderId="5" xfId="1" quotePrefix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4" fillId="0" borderId="9" xfId="1" quotePrefix="1" applyNumberFormat="1" applyFont="1" applyBorder="1" applyAlignment="1">
      <alignment horizontal="left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6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/>
    <xf numFmtId="3" fontId="4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3" fillId="0" borderId="0" xfId="0" applyNumberFormat="1" applyFont="1" applyBorder="1" applyAlignment="1"/>
    <xf numFmtId="4" fontId="4" fillId="0" borderId="0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4" fillId="0" borderId="9" xfId="0" applyNumberFormat="1" applyFont="1" applyBorder="1" applyAlignment="1"/>
    <xf numFmtId="3" fontId="4" fillId="0" borderId="0" xfId="0" applyNumberFormat="1" applyFont="1" applyAlignment="1"/>
    <xf numFmtId="0" fontId="4" fillId="0" borderId="0" xfId="0" applyNumberFormat="1" applyFont="1" applyAlignment="1"/>
    <xf numFmtId="3" fontId="3" fillId="0" borderId="0" xfId="0" applyNumberFormat="1" applyFont="1" applyBorder="1"/>
    <xf numFmtId="0" fontId="4" fillId="0" borderId="10" xfId="0" applyFont="1" applyBorder="1"/>
    <xf numFmtId="3" fontId="4" fillId="0" borderId="3" xfId="0" applyNumberFormat="1" applyFont="1" applyBorder="1" applyAlignment="1"/>
    <xf numFmtId="3" fontId="4" fillId="0" borderId="11" xfId="0" applyNumberFormat="1" applyFont="1" applyBorder="1" applyAlignment="1"/>
    <xf numFmtId="167" fontId="4" fillId="0" borderId="0" xfId="0" applyNumberFormat="1" applyFont="1"/>
    <xf numFmtId="3" fontId="4" fillId="0" borderId="0" xfId="0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10" fontId="4" fillId="0" borderId="0" xfId="3" applyNumberFormat="1" applyFont="1" applyBorder="1"/>
    <xf numFmtId="165" fontId="4" fillId="0" borderId="0" xfId="1" applyNumberFormat="1" applyFont="1" applyBorder="1" applyAlignment="1"/>
    <xf numFmtId="164" fontId="4" fillId="0" borderId="0" xfId="2" applyNumberFormat="1" applyFont="1" applyBorder="1"/>
    <xf numFmtId="0" fontId="3" fillId="0" borderId="3" xfId="0" applyNumberFormat="1" applyFont="1" applyBorder="1" applyAlignment="1"/>
    <xf numFmtId="164" fontId="3" fillId="0" borderId="3" xfId="2" applyNumberFormat="1" applyFont="1" applyBorder="1"/>
    <xf numFmtId="165" fontId="4" fillId="0" borderId="0" xfId="1" applyNumberFormat="1" applyFont="1"/>
    <xf numFmtId="165" fontId="9" fillId="0" borderId="0" xfId="1" applyNumberFormat="1" applyFont="1" applyAlignment="1">
      <alignment horizontal="center"/>
    </xf>
    <xf numFmtId="167" fontId="4" fillId="0" borderId="0" xfId="3" applyNumberFormat="1" applyFont="1"/>
    <xf numFmtId="165" fontId="9" fillId="0" borderId="0" xfId="1" applyNumberFormat="1" applyFont="1"/>
    <xf numFmtId="10" fontId="4" fillId="0" borderId="0" xfId="3" applyNumberFormat="1" applyFont="1"/>
    <xf numFmtId="165" fontId="4" fillId="0" borderId="0" xfId="1" quotePrefix="1" applyNumberFormat="1" applyFont="1"/>
    <xf numFmtId="165" fontId="4" fillId="0" borderId="6" xfId="1" applyNumberFormat="1" applyFont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165" fontId="3" fillId="0" borderId="0" xfId="1" applyNumberFormat="1" applyFont="1" applyBorder="1" applyAlignment="1">
      <alignment horizontal="centerContinuous"/>
    </xf>
    <xf numFmtId="165" fontId="4" fillId="0" borderId="9" xfId="1" applyNumberFormat="1" applyFont="1" applyBorder="1"/>
    <xf numFmtId="165" fontId="11" fillId="0" borderId="0" xfId="1" applyNumberFormat="1" applyFont="1" applyBorder="1" applyAlignment="1">
      <alignment horizontal="centerContinuous"/>
    </xf>
    <xf numFmtId="165" fontId="4" fillId="0" borderId="0" xfId="1" applyNumberFormat="1" applyFont="1" applyBorder="1"/>
    <xf numFmtId="165" fontId="4" fillId="0" borderId="0" xfId="1" applyNumberFormat="1" applyFont="1" applyBorder="1" applyAlignment="1">
      <alignment horizontal="centerContinuous"/>
    </xf>
    <xf numFmtId="165" fontId="4" fillId="0" borderId="5" xfId="1" applyNumberFormat="1" applyFont="1" applyBorder="1" applyAlignment="1">
      <alignment horizontal="centerContinuous"/>
    </xf>
    <xf numFmtId="165" fontId="4" fillId="0" borderId="12" xfId="1" applyNumberFormat="1" applyFont="1" applyBorder="1" applyAlignment="1">
      <alignment horizontal="left"/>
    </xf>
    <xf numFmtId="165" fontId="4" fillId="0" borderId="6" xfId="1" applyNumberFormat="1" applyFont="1" applyBorder="1" applyAlignment="1">
      <alignment horizontal="left"/>
    </xf>
    <xf numFmtId="165" fontId="4" fillId="0" borderId="7" xfId="1" applyNumberFormat="1" applyFont="1" applyBorder="1" applyAlignment="1">
      <alignment horizontal="left"/>
    </xf>
    <xf numFmtId="165" fontId="4" fillId="0" borderId="8" xfId="1" applyNumberFormat="1" applyFont="1" applyBorder="1" applyAlignment="1">
      <alignment horizontal="left"/>
    </xf>
    <xf numFmtId="165" fontId="4" fillId="0" borderId="14" xfId="1" applyNumberFormat="1" applyFont="1" applyBorder="1"/>
    <xf numFmtId="165" fontId="11" fillId="0" borderId="5" xfId="1" quotePrefix="1" applyNumberFormat="1" applyFont="1" applyBorder="1" applyAlignment="1">
      <alignment horizontal="centerContinuous"/>
    </xf>
    <xf numFmtId="165" fontId="11" fillId="0" borderId="9" xfId="1" applyNumberFormat="1" applyFont="1" applyBorder="1" applyAlignment="1">
      <alignment horizontal="centerContinuous"/>
    </xf>
    <xf numFmtId="165" fontId="11" fillId="0" borderId="0" xfId="1" quotePrefix="1" applyNumberFormat="1" applyFont="1" applyBorder="1" applyAlignment="1">
      <alignment horizontal="centerContinuous"/>
    </xf>
    <xf numFmtId="165" fontId="5" fillId="0" borderId="5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left"/>
    </xf>
    <xf numFmtId="165" fontId="3" fillId="0" borderId="5" xfId="1" applyNumberFormat="1" applyFont="1" applyBorder="1" applyAlignment="1">
      <alignment horizontal="center"/>
    </xf>
    <xf numFmtId="165" fontId="3" fillId="0" borderId="0" xfId="1" quotePrefix="1" applyNumberFormat="1" applyFont="1" applyBorder="1" applyAlignment="1">
      <alignment horizontal="left"/>
    </xf>
    <xf numFmtId="165" fontId="3" fillId="0" borderId="9" xfId="1" quotePrefix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Continuous"/>
    </xf>
    <xf numFmtId="165" fontId="4" fillId="0" borderId="9" xfId="1" applyNumberFormat="1" applyFont="1" applyBorder="1" applyAlignment="1">
      <alignment horizontal="centerContinuous"/>
    </xf>
    <xf numFmtId="165" fontId="11" fillId="0" borderId="9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left"/>
    </xf>
    <xf numFmtId="165" fontId="3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quotePrefix="1" applyFont="1"/>
    <xf numFmtId="0" fontId="14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3" fontId="10" fillId="0" borderId="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165" fontId="4" fillId="0" borderId="5" xfId="1" applyNumberFormat="1" applyFont="1" applyBorder="1"/>
    <xf numFmtId="10" fontId="12" fillId="0" borderId="0" xfId="3" applyNumberFormat="1" applyFont="1" applyBorder="1"/>
    <xf numFmtId="10" fontId="12" fillId="0" borderId="9" xfId="3" applyNumberFormat="1" applyFont="1" applyBorder="1"/>
    <xf numFmtId="0" fontId="4" fillId="0" borderId="0" xfId="1" applyNumberFormat="1" applyFont="1" applyBorder="1" applyAlignment="1">
      <alignment horizontal="center"/>
    </xf>
    <xf numFmtId="165" fontId="9" fillId="0" borderId="0" xfId="1" applyNumberFormat="1" applyFont="1" applyBorder="1"/>
    <xf numFmtId="165" fontId="3" fillId="0" borderId="0" xfId="1" applyNumberFormat="1" applyFont="1" applyBorder="1"/>
    <xf numFmtId="165" fontId="4" fillId="0" borderId="10" xfId="1" applyNumberFormat="1" applyFont="1" applyBorder="1"/>
    <xf numFmtId="165" fontId="4" fillId="0" borderId="3" xfId="1" applyNumberFormat="1" applyFont="1" applyBorder="1"/>
    <xf numFmtId="43" fontId="4" fillId="0" borderId="3" xfId="1" applyFont="1" applyBorder="1"/>
    <xf numFmtId="43" fontId="4" fillId="0" borderId="11" xfId="1" applyFont="1" applyBorder="1"/>
    <xf numFmtId="171" fontId="4" fillId="0" borderId="0" xfId="1" applyNumberFormat="1" applyFont="1" applyBorder="1"/>
    <xf numFmtId="171" fontId="4" fillId="0" borderId="0" xfId="1" applyNumberFormat="1" applyFont="1" applyBorder="1" applyAlignment="1"/>
    <xf numFmtId="0" fontId="4" fillId="0" borderId="9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 vertical="center"/>
    </xf>
    <xf numFmtId="0" fontId="8" fillId="0" borderId="9" xfId="0" applyNumberFormat="1" applyFont="1" applyBorder="1" applyAlignment="1">
      <alignment horizontal="center"/>
    </xf>
    <xf numFmtId="165" fontId="4" fillId="0" borderId="9" xfId="1" applyNumberFormat="1" applyFont="1" applyBorder="1" applyAlignment="1"/>
    <xf numFmtId="4" fontId="4" fillId="0" borderId="9" xfId="0" applyNumberFormat="1" applyFont="1" applyBorder="1"/>
    <xf numFmtId="0" fontId="4" fillId="0" borderId="3" xfId="0" applyNumberFormat="1" applyFont="1" applyBorder="1"/>
    <xf numFmtId="0" fontId="10" fillId="0" borderId="0" xfId="0" applyNumberFormat="1" applyFont="1" applyBorder="1" applyAlignment="1"/>
    <xf numFmtId="3" fontId="13" fillId="0" borderId="0" xfId="0" applyNumberFormat="1" applyFont="1" applyBorder="1" applyAlignme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43" fontId="4" fillId="0" borderId="0" xfId="0" applyNumberFormat="1" applyFont="1"/>
    <xf numFmtId="44" fontId="15" fillId="0" borderId="0" xfId="2" applyNumberFormat="1" applyFont="1" applyBorder="1" applyAlignment="1"/>
    <xf numFmtId="43" fontId="4" fillId="0" borderId="0" xfId="1" applyFont="1" applyBorder="1"/>
    <xf numFmtId="0" fontId="4" fillId="0" borderId="0" xfId="0" applyNumberFormat="1" applyFont="1" applyBorder="1" applyAlignment="1">
      <alignment horizontal="center"/>
    </xf>
    <xf numFmtId="0" fontId="0" fillId="0" borderId="0" xfId="0" applyFont="1"/>
    <xf numFmtId="0" fontId="16" fillId="0" borderId="0" xfId="0" applyNumberFormat="1" applyFont="1" applyFill="1" applyBorder="1" applyAlignment="1" applyProtection="1">
      <alignment horizontal="center"/>
    </xf>
    <xf numFmtId="49" fontId="16" fillId="0" borderId="15" xfId="0" applyNumberFormat="1" applyFont="1" applyFill="1" applyBorder="1" applyAlignment="1" applyProtection="1">
      <alignment horizontal="center" wrapText="1"/>
    </xf>
    <xf numFmtId="49" fontId="16" fillId="0" borderId="15" xfId="0" applyNumberFormat="1" applyFont="1" applyFill="1" applyBorder="1" applyAlignment="1" applyProtection="1">
      <alignment wrapText="1"/>
    </xf>
    <xf numFmtId="165" fontId="17" fillId="0" borderId="0" xfId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165" fontId="18" fillId="0" borderId="0" xfId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right"/>
    </xf>
    <xf numFmtId="165" fontId="16" fillId="0" borderId="0" xfId="1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165" fontId="4" fillId="0" borderId="3" xfId="1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5" fontId="4" fillId="0" borderId="0" xfId="0" applyNumberFormat="1" applyFont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3" fillId="0" borderId="0" xfId="0" applyFont="1"/>
    <xf numFmtId="44" fontId="23" fillId="0" borderId="0" xfId="2" applyFont="1"/>
    <xf numFmtId="44" fontId="4" fillId="0" borderId="0" xfId="0" applyNumberFormat="1" applyFont="1"/>
    <xf numFmtId="43" fontId="23" fillId="0" borderId="0" xfId="1" applyFont="1"/>
    <xf numFmtId="43" fontId="9" fillId="0" borderId="0" xfId="1" applyFont="1"/>
    <xf numFmtId="0" fontId="8" fillId="0" borderId="0" xfId="0" applyNumberFormat="1" applyFont="1" applyBorder="1" applyAlignment="1">
      <alignment horizontal="center"/>
    </xf>
    <xf numFmtId="165" fontId="18" fillId="0" borderId="0" xfId="1" applyNumberFormat="1" applyFont="1"/>
    <xf numFmtId="168" fontId="4" fillId="0" borderId="0" xfId="1" applyNumberFormat="1" applyFont="1"/>
    <xf numFmtId="0" fontId="25" fillId="0" borderId="0" xfId="0" applyFont="1"/>
    <xf numFmtId="164" fontId="25" fillId="0" borderId="0" xfId="2" applyNumberFormat="1" applyFont="1"/>
    <xf numFmtId="164" fontId="25" fillId="2" borderId="0" xfId="2" applyNumberFormat="1" applyFont="1" applyFill="1"/>
    <xf numFmtId="0" fontId="24" fillId="0" borderId="0" xfId="0" applyFont="1" applyAlignment="1">
      <alignment horizontal="left"/>
    </xf>
    <xf numFmtId="0" fontId="24" fillId="0" borderId="0" xfId="0" applyFont="1"/>
    <xf numFmtId="164" fontId="24" fillId="0" borderId="0" xfId="2" applyNumberFormat="1" applyFont="1"/>
    <xf numFmtId="164" fontId="24" fillId="2" borderId="0" xfId="2" applyNumberFormat="1" applyFont="1" applyFill="1"/>
    <xf numFmtId="0" fontId="11" fillId="0" borderId="0" xfId="0" applyNumberFormat="1" applyFont="1" applyBorder="1" applyAlignment="1">
      <alignment horizontal="centerContinuous"/>
    </xf>
    <xf numFmtId="164" fontId="25" fillId="2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Continuous" vertical="center"/>
    </xf>
    <xf numFmtId="0" fontId="25" fillId="0" borderId="0" xfId="0" applyFont="1" applyAlignment="1">
      <alignment horizontal="left"/>
    </xf>
    <xf numFmtId="164" fontId="25" fillId="0" borderId="0" xfId="2" quotePrefix="1" applyNumberFormat="1" applyFont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3" xfId="0" quotePrefix="1" applyFont="1" applyBorder="1" applyAlignment="1">
      <alignment horizontal="center"/>
    </xf>
    <xf numFmtId="164" fontId="25" fillId="0" borderId="3" xfId="2" quotePrefix="1" applyNumberFormat="1" applyFont="1" applyBorder="1" applyAlignment="1">
      <alignment horizontal="center"/>
    </xf>
    <xf numFmtId="164" fontId="25" fillId="2" borderId="3" xfId="2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/>
    <xf numFmtId="164" fontId="24" fillId="0" borderId="3" xfId="2" applyNumberFormat="1" applyFont="1" applyBorder="1"/>
    <xf numFmtId="164" fontId="24" fillId="2" borderId="3" xfId="2" applyNumberFormat="1" applyFont="1" applyFill="1" applyBorder="1"/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5" fontId="24" fillId="0" borderId="0" xfId="1" applyNumberFormat="1" applyFont="1" applyFill="1"/>
    <xf numFmtId="43" fontId="4" fillId="0" borderId="0" xfId="1" applyFont="1" applyBorder="1" applyAlignment="1"/>
    <xf numFmtId="168" fontId="4" fillId="0" borderId="0" xfId="1" applyNumberFormat="1" applyFont="1" applyBorder="1" applyAlignment="1"/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4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3" fontId="4" fillId="0" borderId="0" xfId="1" applyNumberFormat="1" applyFont="1" applyBorder="1" applyAlignment="1"/>
    <xf numFmtId="4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8" fontId="4" fillId="0" borderId="2" xfId="1" applyNumberFormat="1" applyFont="1" applyBorder="1"/>
    <xf numFmtId="0" fontId="4" fillId="0" borderId="9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/>
    <xf numFmtId="166" fontId="4" fillId="0" borderId="3" xfId="0" applyNumberFormat="1" applyFont="1" applyBorder="1" applyAlignment="1"/>
    <xf numFmtId="0" fontId="4" fillId="0" borderId="9" xfId="0" applyFont="1" applyBorder="1"/>
    <xf numFmtId="0" fontId="4" fillId="0" borderId="11" xfId="0" applyFont="1" applyBorder="1"/>
    <xf numFmtId="166" fontId="4" fillId="0" borderId="0" xfId="0" applyNumberFormat="1" applyFont="1"/>
    <xf numFmtId="0" fontId="8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quotePrefix="1" applyFont="1" applyBorder="1"/>
    <xf numFmtId="165" fontId="4" fillId="0" borderId="0" xfId="0" applyNumberFormat="1" applyFont="1" applyBorder="1"/>
    <xf numFmtId="0" fontId="26" fillId="0" borderId="0" xfId="0" applyNumberFormat="1" applyFont="1" applyFill="1" applyBorder="1" applyAlignment="1" applyProtection="1"/>
    <xf numFmtId="0" fontId="11" fillId="0" borderId="0" xfId="0" applyFont="1" applyAlignment="1">
      <alignment horizontal="center"/>
    </xf>
    <xf numFmtId="0" fontId="4" fillId="3" borderId="0" xfId="0" applyFont="1" applyFill="1"/>
    <xf numFmtId="165" fontId="4" fillId="3" borderId="0" xfId="1" applyNumberFormat="1" applyFont="1" applyFill="1"/>
    <xf numFmtId="165" fontId="9" fillId="3" borderId="0" xfId="1" applyNumberFormat="1" applyFont="1" applyFill="1"/>
    <xf numFmtId="165" fontId="3" fillId="0" borderId="0" xfId="1" applyNumberFormat="1" applyFont="1" applyBorder="1" applyAlignment="1"/>
    <xf numFmtId="171" fontId="3" fillId="0" borderId="0" xfId="1" applyNumberFormat="1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71" fontId="4" fillId="0" borderId="0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 vertical="center"/>
    </xf>
    <xf numFmtId="171" fontId="27" fillId="0" borderId="0" xfId="1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71" fontId="3" fillId="0" borderId="0" xfId="1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/>
    </xf>
    <xf numFmtId="0" fontId="4" fillId="0" borderId="11" xfId="0" applyNumberFormat="1" applyFont="1" applyBorder="1" applyAlignment="1"/>
    <xf numFmtId="0" fontId="4" fillId="0" borderId="0" xfId="0" applyNumberFormat="1" applyFont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9" fontId="4" fillId="0" borderId="0" xfId="3" applyFont="1"/>
    <xf numFmtId="165" fontId="9" fillId="0" borderId="9" xfId="1" applyNumberFormat="1" applyFont="1" applyBorder="1"/>
    <xf numFmtId="165" fontId="4" fillId="0" borderId="11" xfId="1" applyNumberFormat="1" applyFont="1" applyBorder="1"/>
    <xf numFmtId="164" fontId="3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9" xfId="2" applyNumberFormat="1" applyFont="1" applyBorder="1"/>
    <xf numFmtId="0" fontId="3" fillId="0" borderId="0" xfId="0" applyFont="1"/>
    <xf numFmtId="164" fontId="25" fillId="0" borderId="0" xfId="2" applyNumberFormat="1" applyFont="1" applyFill="1"/>
    <xf numFmtId="0" fontId="31" fillId="3" borderId="0" xfId="0" applyFont="1" applyFill="1"/>
    <xf numFmtId="164" fontId="24" fillId="0" borderId="0" xfId="2" applyNumberFormat="1" applyFont="1" applyFill="1"/>
    <xf numFmtId="0" fontId="32" fillId="0" borderId="0" xfId="0" applyFont="1"/>
    <xf numFmtId="165" fontId="3" fillId="0" borderId="0" xfId="1" applyNumberFormat="1" applyFont="1" applyAlignment="1">
      <alignment horizontal="right"/>
    </xf>
    <xf numFmtId="167" fontId="3" fillId="4" borderId="0" xfId="3" applyNumberFormat="1" applyFont="1" applyFill="1"/>
    <xf numFmtId="164" fontId="4" fillId="0" borderId="0" xfId="2" applyNumberFormat="1" applyFont="1"/>
    <xf numFmtId="165" fontId="33" fillId="0" borderId="0" xfId="1" applyNumberFormat="1" applyFont="1" applyFill="1" applyBorder="1" applyAlignment="1" applyProtection="1"/>
    <xf numFmtId="0" fontId="18" fillId="0" borderId="0" xfId="0" applyFont="1"/>
    <xf numFmtId="165" fontId="34" fillId="0" borderId="0" xfId="1" applyNumberFormat="1" applyFont="1" applyFill="1" applyBorder="1" applyAlignment="1" applyProtection="1"/>
    <xf numFmtId="168" fontId="26" fillId="0" borderId="0" xfId="1" applyNumberFormat="1" applyFont="1" applyFill="1" applyBorder="1" applyAlignment="1" applyProtection="1"/>
    <xf numFmtId="3" fontId="7" fillId="0" borderId="0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7" fillId="0" borderId="0" xfId="0" applyFont="1"/>
    <xf numFmtId="165" fontId="18" fillId="5" borderId="0" xfId="1" applyNumberFormat="1" applyFont="1" applyFill="1" applyBorder="1" applyAlignment="1" applyProtection="1"/>
    <xf numFmtId="165" fontId="4" fillId="5" borderId="0" xfId="1" applyNumberFormat="1" applyFont="1" applyFill="1" applyBorder="1"/>
    <xf numFmtId="167" fontId="4" fillId="5" borderId="0" xfId="3" applyNumberFormat="1" applyFont="1" applyFill="1"/>
    <xf numFmtId="167" fontId="9" fillId="5" borderId="0" xfId="3" applyNumberFormat="1" applyFont="1" applyFill="1"/>
    <xf numFmtId="43" fontId="4" fillId="5" borderId="2" xfId="0" applyNumberFormat="1" applyFont="1" applyFill="1" applyBorder="1" applyAlignment="1">
      <alignment horizontal="center"/>
    </xf>
    <xf numFmtId="43" fontId="4" fillId="5" borderId="0" xfId="1" applyFont="1" applyFill="1" applyBorder="1"/>
    <xf numFmtId="168" fontId="4" fillId="5" borderId="2" xfId="1" applyNumberFormat="1" applyFont="1" applyFill="1" applyBorder="1"/>
    <xf numFmtId="165" fontId="4" fillId="5" borderId="0" xfId="1" applyNumberFormat="1" applyFont="1" applyFill="1"/>
    <xf numFmtId="165" fontId="4" fillId="5" borderId="5" xfId="1" applyNumberFormat="1" applyFont="1" applyFill="1" applyBorder="1" applyAlignment="1">
      <alignment horizontal="center"/>
    </xf>
    <xf numFmtId="165" fontId="4" fillId="5" borderId="0" xfId="1" applyNumberFormat="1" applyFont="1" applyFill="1" applyBorder="1" applyAlignment="1">
      <alignment horizontal="center"/>
    </xf>
    <xf numFmtId="165" fontId="4" fillId="5" borderId="9" xfId="1" applyNumberFormat="1" applyFont="1" applyFill="1" applyBorder="1" applyAlignment="1">
      <alignment horizontal="center"/>
    </xf>
    <xf numFmtId="165" fontId="4" fillId="5" borderId="5" xfId="1" quotePrefix="1" applyNumberFormat="1" applyFont="1" applyFill="1" applyBorder="1" applyAlignment="1">
      <alignment horizontal="left"/>
    </xf>
    <xf numFmtId="165" fontId="4" fillId="5" borderId="0" xfId="1" quotePrefix="1" applyNumberFormat="1" applyFont="1" applyFill="1" applyBorder="1" applyAlignment="1">
      <alignment horizontal="left"/>
    </xf>
    <xf numFmtId="165" fontId="4" fillId="5" borderId="9" xfId="1" quotePrefix="1" applyNumberFormat="1" applyFont="1" applyFill="1" applyBorder="1" applyAlignment="1">
      <alignment horizontal="left"/>
    </xf>
    <xf numFmtId="165" fontId="3" fillId="5" borderId="5" xfId="1" quotePrefix="1" applyNumberFormat="1" applyFont="1" applyFill="1" applyBorder="1" applyAlignment="1">
      <alignment horizontal="left"/>
    </xf>
    <xf numFmtId="165" fontId="3" fillId="5" borderId="0" xfId="1" quotePrefix="1" applyNumberFormat="1" applyFont="1" applyFill="1" applyBorder="1" applyAlignment="1">
      <alignment horizontal="left"/>
    </xf>
    <xf numFmtId="165" fontId="3" fillId="5" borderId="9" xfId="1" quotePrefix="1" applyNumberFormat="1" applyFont="1" applyFill="1" applyBorder="1" applyAlignment="1">
      <alignment horizontal="left"/>
    </xf>
    <xf numFmtId="165" fontId="4" fillId="5" borderId="0" xfId="1" applyNumberFormat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165" fontId="4" fillId="5" borderId="0" xfId="1" applyNumberFormat="1" applyFont="1" applyFill="1" applyBorder="1" applyAlignment="1"/>
    <xf numFmtId="43" fontId="9" fillId="5" borderId="0" xfId="1" applyNumberFormat="1" applyFont="1" applyFill="1"/>
    <xf numFmtId="43" fontId="4" fillId="5" borderId="0" xfId="1" applyNumberFormat="1" applyFont="1" applyFill="1"/>
    <xf numFmtId="0" fontId="4" fillId="6" borderId="0" xfId="0" applyFont="1" applyFill="1"/>
    <xf numFmtId="0" fontId="0" fillId="7" borderId="0" xfId="0" applyFill="1"/>
    <xf numFmtId="44" fontId="0" fillId="7" borderId="0" xfId="2" applyFont="1" applyFill="1"/>
    <xf numFmtId="0" fontId="0" fillId="8" borderId="12" xfId="0" applyFill="1" applyBorder="1" applyAlignment="1">
      <alignment horizontal="center" wrapText="1"/>
    </xf>
    <xf numFmtId="44" fontId="0" fillId="8" borderId="18" xfId="2" applyFont="1" applyFill="1" applyBorder="1" applyAlignment="1">
      <alignment horizontal="center" wrapText="1"/>
    </xf>
    <xf numFmtId="0" fontId="0" fillId="8" borderId="18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39" fillId="0" borderId="22" xfId="0" applyFont="1" applyFill="1" applyBorder="1" applyAlignment="1">
      <alignment horizontal="center"/>
    </xf>
    <xf numFmtId="44" fontId="0" fillId="0" borderId="23" xfId="2" applyFont="1" applyFill="1" applyBorder="1"/>
    <xf numFmtId="44" fontId="39" fillId="0" borderId="18" xfId="2" applyFont="1" applyFill="1" applyBorder="1"/>
    <xf numFmtId="44" fontId="0" fillId="0" borderId="18" xfId="2" applyFont="1" applyFill="1" applyBorder="1"/>
    <xf numFmtId="44" fontId="0" fillId="0" borderId="18" xfId="0" applyNumberFormat="1" applyFill="1" applyBorder="1"/>
    <xf numFmtId="44" fontId="39" fillId="0" borderId="18" xfId="0" applyNumberFormat="1" applyFont="1" applyFill="1" applyBorder="1"/>
    <xf numFmtId="0" fontId="39" fillId="0" borderId="0" xfId="0" applyFont="1" applyFill="1"/>
    <xf numFmtId="44" fontId="39" fillId="2" borderId="25" xfId="0" applyNumberFormat="1" applyFont="1" applyFill="1" applyBorder="1"/>
    <xf numFmtId="0" fontId="39" fillId="2" borderId="25" xfId="0" applyFont="1" applyFill="1" applyBorder="1"/>
    <xf numFmtId="0" fontId="39" fillId="2" borderId="26" xfId="0" applyFont="1" applyFill="1" applyBorder="1"/>
    <xf numFmtId="43" fontId="39" fillId="2" borderId="0" xfId="1" applyFont="1" applyFill="1" applyBorder="1"/>
    <xf numFmtId="0" fontId="39" fillId="2" borderId="0" xfId="0" applyFont="1" applyFill="1" applyBorder="1"/>
    <xf numFmtId="0" fontId="39" fillId="2" borderId="28" xfId="0" applyFont="1" applyFill="1" applyBorder="1"/>
    <xf numFmtId="0" fontId="0" fillId="0" borderId="22" xfId="0" applyFill="1" applyBorder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2" borderId="28" xfId="0" applyFill="1" applyBorder="1"/>
    <xf numFmtId="44" fontId="0" fillId="0" borderId="18" xfId="2" applyFont="1" applyBorder="1"/>
    <xf numFmtId="44" fontId="0" fillId="9" borderId="18" xfId="2" applyFont="1" applyFill="1" applyBorder="1"/>
    <xf numFmtId="44" fontId="0" fillId="0" borderId="18" xfId="0" applyNumberFormat="1" applyBorder="1"/>
    <xf numFmtId="0" fontId="0" fillId="2" borderId="29" xfId="0" applyFill="1" applyBorder="1"/>
    <xf numFmtId="44" fontId="0" fillId="2" borderId="15" xfId="0" applyNumberFormat="1" applyFill="1" applyBorder="1"/>
    <xf numFmtId="0" fontId="0" fillId="2" borderId="15" xfId="0" quotePrefix="1" applyFill="1" applyBorder="1"/>
    <xf numFmtId="0" fontId="0" fillId="2" borderId="15" xfId="0" applyFill="1" applyBorder="1"/>
    <xf numFmtId="0" fontId="0" fillId="2" borderId="30" xfId="0" applyFill="1" applyBorder="1"/>
    <xf numFmtId="44" fontId="0" fillId="0" borderId="0" xfId="2" applyFont="1"/>
    <xf numFmtId="0" fontId="0" fillId="2" borderId="0" xfId="0" applyFill="1"/>
    <xf numFmtId="44" fontId="0" fillId="9" borderId="0" xfId="2" applyFont="1" applyFill="1"/>
    <xf numFmtId="0" fontId="18" fillId="2" borderId="0" xfId="0" applyFont="1" applyFill="1"/>
    <xf numFmtId="44" fontId="0" fillId="10" borderId="6" xfId="2" applyFont="1" applyFill="1" applyBorder="1"/>
    <xf numFmtId="44" fontId="0" fillId="10" borderId="7" xfId="2" applyFont="1" applyFill="1" applyBorder="1"/>
    <xf numFmtId="0" fontId="0" fillId="10" borderId="7" xfId="0" applyFill="1" applyBorder="1"/>
    <xf numFmtId="0" fontId="0" fillId="10" borderId="8" xfId="0" applyFill="1" applyBorder="1"/>
    <xf numFmtId="44" fontId="0" fillId="10" borderId="5" xfId="2" applyFont="1" applyFill="1" applyBorder="1"/>
    <xf numFmtId="44" fontId="0" fillId="10" borderId="0" xfId="2" applyFont="1" applyFill="1" applyBorder="1"/>
    <xf numFmtId="44" fontId="0" fillId="10" borderId="0" xfId="0" applyNumberFormat="1" applyFill="1" applyBorder="1"/>
    <xf numFmtId="0" fontId="0" fillId="10" borderId="9" xfId="0" applyFill="1" applyBorder="1"/>
    <xf numFmtId="44" fontId="0" fillId="0" borderId="0" xfId="0" applyNumberFormat="1"/>
    <xf numFmtId="0" fontId="41" fillId="0" borderId="0" xfId="0" applyFont="1" applyFill="1" applyBorder="1"/>
    <xf numFmtId="44" fontId="41" fillId="0" borderId="0" xfId="2" applyFont="1" applyFill="1" applyBorder="1"/>
    <xf numFmtId="44" fontId="39" fillId="10" borderId="3" xfId="2" applyFont="1" applyFill="1" applyBorder="1"/>
    <xf numFmtId="0" fontId="0" fillId="10" borderId="0" xfId="0" applyFill="1" applyBorder="1"/>
    <xf numFmtId="164" fontId="38" fillId="0" borderId="0" xfId="2" applyNumberFormat="1" applyFont="1"/>
    <xf numFmtId="164" fontId="38" fillId="0" borderId="0" xfId="0" applyNumberFormat="1" applyFont="1"/>
    <xf numFmtId="44" fontId="0" fillId="10" borderId="0" xfId="2" applyFont="1" applyFill="1"/>
    <xf numFmtId="0" fontId="42" fillId="0" borderId="0" xfId="0" applyFont="1" applyFill="1"/>
    <xf numFmtId="44" fontId="42" fillId="0" borderId="0" xfId="2" applyFont="1" applyFill="1"/>
    <xf numFmtId="44" fontId="43" fillId="9" borderId="24" xfId="2" applyFont="1" applyFill="1" applyBorder="1"/>
    <xf numFmtId="0" fontId="39" fillId="9" borderId="25" xfId="0" applyFont="1" applyFill="1" applyBorder="1"/>
    <xf numFmtId="44" fontId="39" fillId="9" borderId="26" xfId="2" applyFont="1" applyFill="1" applyBorder="1"/>
    <xf numFmtId="0" fontId="39" fillId="8" borderId="24" xfId="0" applyFont="1" applyFill="1" applyBorder="1"/>
    <xf numFmtId="44" fontId="39" fillId="8" borderId="25" xfId="2" applyFont="1" applyFill="1" applyBorder="1"/>
    <xf numFmtId="44" fontId="39" fillId="8" borderId="26" xfId="2" applyFont="1" applyFill="1" applyBorder="1"/>
    <xf numFmtId="44" fontId="39" fillId="9" borderId="27" xfId="2" applyFont="1" applyFill="1" applyBorder="1"/>
    <xf numFmtId="0" fontId="39" fillId="9" borderId="0" xfId="0" applyFont="1" applyFill="1" applyBorder="1"/>
    <xf numFmtId="44" fontId="39" fillId="9" borderId="28" xfId="2" applyFont="1" applyFill="1" applyBorder="1"/>
    <xf numFmtId="0" fontId="39" fillId="8" borderId="27" xfId="0" applyFont="1" applyFill="1" applyBorder="1"/>
    <xf numFmtId="44" fontId="39" fillId="8" borderId="0" xfId="2" applyFont="1" applyFill="1" applyBorder="1"/>
    <xf numFmtId="44" fontId="39" fillId="8" borderId="28" xfId="2" applyFont="1" applyFill="1" applyBorder="1"/>
    <xf numFmtId="0" fontId="39" fillId="9" borderId="0" xfId="0" applyFont="1" applyFill="1" applyBorder="1" applyAlignment="1">
      <alignment horizontal="center"/>
    </xf>
    <xf numFmtId="44" fontId="0" fillId="9" borderId="28" xfId="2" applyFont="1" applyFill="1" applyBorder="1"/>
    <xf numFmtId="0" fontId="39" fillId="8" borderId="29" xfId="0" applyFont="1" applyFill="1" applyBorder="1"/>
    <xf numFmtId="44" fontId="39" fillId="8" borderId="15" xfId="2" applyFont="1" applyFill="1" applyBorder="1"/>
    <xf numFmtId="44" fontId="39" fillId="8" borderId="30" xfId="2" applyFont="1" applyFill="1" applyBorder="1"/>
    <xf numFmtId="44" fontId="0" fillId="9" borderId="27" xfId="2" applyFont="1" applyFill="1" applyBorder="1"/>
    <xf numFmtId="0" fontId="0" fillId="9" borderId="0" xfId="0" applyFill="1" applyBorder="1" applyAlignment="1">
      <alignment horizontal="center"/>
    </xf>
    <xf numFmtId="44" fontId="39" fillId="0" borderId="0" xfId="2" applyFont="1" applyFill="1"/>
    <xf numFmtId="44" fontId="0" fillId="10" borderId="10" xfId="2" applyFont="1" applyFill="1" applyBorder="1"/>
    <xf numFmtId="44" fontId="0" fillId="10" borderId="3" xfId="2" applyFont="1" applyFill="1" applyBorder="1"/>
    <xf numFmtId="0" fontId="0" fillId="10" borderId="11" xfId="0" applyFill="1" applyBorder="1"/>
    <xf numFmtId="0" fontId="0" fillId="9" borderId="0" xfId="0" applyFill="1" applyBorder="1"/>
    <xf numFmtId="44" fontId="0" fillId="9" borderId="29" xfId="2" applyFont="1" applyFill="1" applyBorder="1"/>
    <xf numFmtId="0" fontId="0" fillId="9" borderId="15" xfId="0" applyFill="1" applyBorder="1"/>
    <xf numFmtId="44" fontId="0" fillId="9" borderId="30" xfId="2" applyFont="1" applyFill="1" applyBorder="1"/>
    <xf numFmtId="0" fontId="39" fillId="5" borderId="24" xfId="0" applyFont="1" applyFill="1" applyBorder="1"/>
    <xf numFmtId="0" fontId="39" fillId="5" borderId="27" xfId="0" applyFont="1" applyFill="1" applyBorder="1"/>
    <xf numFmtId="167" fontId="40" fillId="5" borderId="15" xfId="3" applyNumberFormat="1" applyFont="1" applyFill="1" applyBorder="1"/>
    <xf numFmtId="165" fontId="4" fillId="5" borderId="0" xfId="1" applyNumberFormat="1" applyFont="1" applyFill="1" applyAlignment="1"/>
    <xf numFmtId="165" fontId="4" fillId="6" borderId="0" xfId="1" applyNumberFormat="1" applyFont="1" applyFill="1" applyBorder="1" applyAlignment="1" applyProtection="1"/>
    <xf numFmtId="165" fontId="16" fillId="6" borderId="0" xfId="1" applyNumberFormat="1" applyFont="1" applyFill="1" applyBorder="1" applyAlignment="1" applyProtection="1"/>
    <xf numFmtId="164" fontId="30" fillId="5" borderId="0" xfId="0" applyNumberFormat="1" applyFont="1" applyFill="1"/>
    <xf numFmtId="164" fontId="4" fillId="2" borderId="3" xfId="2" applyNumberFormat="1" applyFont="1" applyFill="1" applyBorder="1"/>
    <xf numFmtId="164" fontId="25" fillId="6" borderId="0" xfId="2" applyNumberFormat="1" applyFont="1" applyFill="1"/>
    <xf numFmtId="165" fontId="4" fillId="6" borderId="0" xfId="1" applyNumberFormat="1" applyFont="1" applyFill="1" applyBorder="1" applyAlignment="1">
      <alignment horizontal="center"/>
    </xf>
    <xf numFmtId="165" fontId="4" fillId="6" borderId="0" xfId="1" quotePrefix="1" applyNumberFormat="1" applyFont="1" applyFill="1" applyBorder="1" applyAlignment="1">
      <alignment horizontal="left"/>
    </xf>
    <xf numFmtId="165" fontId="3" fillId="6" borderId="0" xfId="1" quotePrefix="1" applyNumberFormat="1" applyFont="1" applyFill="1" applyBorder="1" applyAlignment="1">
      <alignment horizontal="left"/>
    </xf>
    <xf numFmtId="44" fontId="15" fillId="5" borderId="0" xfId="2" applyNumberFormat="1" applyFont="1" applyFill="1" applyBorder="1" applyAlignment="1"/>
    <xf numFmtId="0" fontId="4" fillId="0" borderId="0" xfId="0" applyFont="1" applyAlignment="1">
      <alignment wrapText="1"/>
    </xf>
    <xf numFmtId="165" fontId="16" fillId="0" borderId="0" xfId="1" applyNumberFormat="1" applyFont="1" applyFill="1" applyBorder="1" applyAlignment="1" applyProtection="1">
      <alignment horizontal="center" vertical="center" wrapText="1"/>
    </xf>
    <xf numFmtId="165" fontId="16" fillId="0" borderId="15" xfId="1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wrapText="1"/>
    </xf>
    <xf numFmtId="49" fontId="16" fillId="0" borderId="15" xfId="0" applyNumberFormat="1" applyFont="1" applyFill="1" applyBorder="1" applyAlignment="1" applyProtection="1">
      <alignment horizontal="center" wrapText="1"/>
    </xf>
    <xf numFmtId="167" fontId="4" fillId="5" borderId="0" xfId="3" applyNumberFormat="1" applyFont="1" applyFill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0" borderId="9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65" fontId="4" fillId="5" borderId="0" xfId="1" applyNumberFormat="1" applyFont="1" applyFill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FFFF99"/>
      <color rgb="FFCCFFFF"/>
      <color rgb="FFCC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0"/>
  <sheetViews>
    <sheetView zoomScale="59" zoomScaleNormal="59" workbookViewId="0">
      <selection activeCell="G58" sqref="G58:H58"/>
    </sheetView>
  </sheetViews>
  <sheetFormatPr defaultRowHeight="15" x14ac:dyDescent="0.25"/>
  <cols>
    <col min="1" max="1" width="7" style="13" customWidth="1"/>
    <col min="2" max="2" width="25.44140625" style="13" customWidth="1"/>
    <col min="3" max="3" width="11.44140625" style="13" customWidth="1"/>
    <col min="4" max="4" width="9.5546875" style="13" customWidth="1"/>
    <col min="5" max="5" width="8.21875" style="13" customWidth="1"/>
    <col min="6" max="7" width="11.44140625" style="13" customWidth="1"/>
    <col min="8" max="8" width="26.88671875" style="13" bestFit="1" customWidth="1"/>
    <col min="9" max="9" width="14.109375" style="13" customWidth="1"/>
    <col min="10" max="10" width="14.21875" style="13" customWidth="1"/>
    <col min="11" max="11" width="13" style="13" customWidth="1"/>
    <col min="12" max="12" width="9.5546875" style="13" bestFit="1" customWidth="1"/>
    <col min="13" max="13" width="3.109375" style="13" customWidth="1"/>
    <col min="14" max="14" width="9.5546875" style="13" customWidth="1"/>
    <col min="15" max="16" width="9.77734375" style="13" customWidth="1"/>
    <col min="17" max="17" width="13.109375" style="13" customWidth="1"/>
    <col min="18" max="18" width="9" style="13" customWidth="1"/>
    <col min="19" max="19" width="10.109375" style="13" customWidth="1"/>
    <col min="20" max="20" width="9.77734375" style="13" bestFit="1" customWidth="1"/>
    <col min="21" max="21" width="9" style="13" bestFit="1" customWidth="1"/>
    <col min="22" max="16384" width="8.88671875" style="13"/>
  </cols>
  <sheetData>
    <row r="1" spans="1:15" ht="21" x14ac:dyDescent="0.35">
      <c r="A1" s="230" t="s">
        <v>327</v>
      </c>
    </row>
    <row r="2" spans="1:15" ht="15.75" x14ac:dyDescent="0.25">
      <c r="A2" s="231" t="s">
        <v>329</v>
      </c>
      <c r="L2" s="200" t="s">
        <v>345</v>
      </c>
      <c r="M2" s="200"/>
      <c r="N2" s="200"/>
    </row>
    <row r="3" spans="1:15" ht="15.75" x14ac:dyDescent="0.25">
      <c r="A3" s="254" t="s">
        <v>358</v>
      </c>
      <c r="L3" s="200"/>
      <c r="M3" s="200"/>
      <c r="N3" s="200"/>
    </row>
    <row r="4" spans="1:15" ht="15.75" x14ac:dyDescent="0.25">
      <c r="A4" s="254"/>
      <c r="L4" s="200"/>
      <c r="M4" s="200"/>
      <c r="N4" s="200"/>
    </row>
    <row r="5" spans="1:15" x14ac:dyDescent="0.25">
      <c r="A5" s="130"/>
      <c r="B5" s="131"/>
      <c r="C5" s="131"/>
      <c r="D5" s="131"/>
      <c r="E5" s="131"/>
      <c r="F5" s="119" t="s">
        <v>104</v>
      </c>
      <c r="G5" s="119"/>
      <c r="H5" s="132"/>
      <c r="I5" s="131"/>
      <c r="L5" s="200" t="s">
        <v>320</v>
      </c>
      <c r="M5" s="200"/>
      <c r="N5" s="229" t="s">
        <v>350</v>
      </c>
    </row>
    <row r="6" spans="1:15" x14ac:dyDescent="0.25">
      <c r="A6" s="130"/>
      <c r="B6" s="131"/>
      <c r="C6" s="378" t="s">
        <v>105</v>
      </c>
      <c r="D6" s="380" t="s">
        <v>106</v>
      </c>
      <c r="E6" s="380" t="s">
        <v>107</v>
      </c>
      <c r="F6" s="380" t="s">
        <v>108</v>
      </c>
      <c r="G6" s="376" t="s">
        <v>109</v>
      </c>
      <c r="H6" s="376" t="s">
        <v>110</v>
      </c>
      <c r="I6" s="131"/>
      <c r="L6" s="200" t="s">
        <v>321</v>
      </c>
      <c r="M6" s="200"/>
      <c r="N6" s="229" t="s">
        <v>351</v>
      </c>
      <c r="O6" s="229" t="s">
        <v>348</v>
      </c>
    </row>
    <row r="7" spans="1:15" ht="15.75" thickBot="1" x14ac:dyDescent="0.3">
      <c r="A7" s="120" t="s">
        <v>111</v>
      </c>
      <c r="B7" s="121" t="s">
        <v>112</v>
      </c>
      <c r="C7" s="379"/>
      <c r="D7" s="381"/>
      <c r="E7" s="381"/>
      <c r="F7" s="381"/>
      <c r="G7" s="377"/>
      <c r="H7" s="377"/>
      <c r="I7" s="131"/>
      <c r="L7" s="200" t="s">
        <v>242</v>
      </c>
      <c r="M7" s="200"/>
      <c r="N7" s="229" t="s">
        <v>349</v>
      </c>
      <c r="O7" s="229" t="s">
        <v>349</v>
      </c>
    </row>
    <row r="8" spans="1:15" x14ac:dyDescent="0.25">
      <c r="A8" s="125"/>
      <c r="B8" s="123"/>
      <c r="C8" s="127"/>
      <c r="D8" s="127"/>
      <c r="E8" s="127"/>
      <c r="F8" s="127"/>
      <c r="G8" s="127"/>
      <c r="H8" s="127"/>
      <c r="I8" s="128"/>
    </row>
    <row r="9" spans="1:15" x14ac:dyDescent="0.25">
      <c r="A9" s="123" t="s">
        <v>113</v>
      </c>
      <c r="B9" s="134"/>
      <c r="C9" s="132"/>
      <c r="D9" s="132"/>
      <c r="E9" s="132"/>
      <c r="F9" s="132"/>
      <c r="G9" s="132"/>
      <c r="H9" s="132"/>
      <c r="I9" s="131"/>
    </row>
    <row r="10" spans="1:15" x14ac:dyDescent="0.25">
      <c r="A10" s="133" t="s">
        <v>114</v>
      </c>
      <c r="B10" s="134" t="s">
        <v>115</v>
      </c>
      <c r="C10" s="132">
        <v>220629</v>
      </c>
      <c r="D10" s="132">
        <v>0</v>
      </c>
      <c r="E10" s="132">
        <v>0</v>
      </c>
      <c r="F10" s="132">
        <f>C10+D10-E10</f>
        <v>220629</v>
      </c>
      <c r="G10" s="132">
        <f>H10-F10</f>
        <v>-7165.132500000007</v>
      </c>
      <c r="H10" s="132">
        <f>227333.8675-13870</f>
        <v>213463.86749999999</v>
      </c>
      <c r="I10" s="131"/>
      <c r="L10" s="132">
        <v>227333.86749999999</v>
      </c>
      <c r="M10" s="132"/>
      <c r="N10" s="132"/>
    </row>
    <row r="11" spans="1:15" x14ac:dyDescent="0.25">
      <c r="A11" s="133" t="s">
        <v>116</v>
      </c>
      <c r="B11" s="134" t="s">
        <v>117</v>
      </c>
      <c r="C11" s="132">
        <v>16331</v>
      </c>
      <c r="D11" s="132">
        <v>0</v>
      </c>
      <c r="E11" s="132">
        <v>0</v>
      </c>
      <c r="F11" s="132">
        <f t="shared" ref="F11:F30" si="0">C11+D11-E11</f>
        <v>16331</v>
      </c>
      <c r="G11" s="132">
        <f t="shared" ref="G11:G30" si="1">H11-F11</f>
        <v>-1</v>
      </c>
      <c r="H11" s="132">
        <f>16529-199</f>
        <v>16330</v>
      </c>
      <c r="I11" s="131" t="s">
        <v>118</v>
      </c>
      <c r="L11" s="132">
        <v>16529</v>
      </c>
      <c r="M11" s="132"/>
      <c r="N11" s="132"/>
    </row>
    <row r="12" spans="1:15" x14ac:dyDescent="0.25">
      <c r="A12" s="133" t="s">
        <v>119</v>
      </c>
      <c r="B12" s="134" t="s">
        <v>120</v>
      </c>
      <c r="C12" s="132">
        <v>56618</v>
      </c>
      <c r="D12" s="132">
        <v>0</v>
      </c>
      <c r="E12" s="132">
        <v>0</v>
      </c>
      <c r="F12" s="132">
        <f t="shared" si="0"/>
        <v>56618</v>
      </c>
      <c r="G12" s="255">
        <f>-1679.95-(L12*0.283)</f>
        <v>-17227.418149999998</v>
      </c>
      <c r="H12" s="366">
        <f>F12+G12</f>
        <v>39390.581850000002</v>
      </c>
      <c r="I12" s="274"/>
      <c r="J12" s="114"/>
      <c r="L12" s="132">
        <v>54938.05</v>
      </c>
      <c r="M12" s="132"/>
      <c r="N12" s="132"/>
      <c r="O12" s="137">
        <f>L12-H12</f>
        <v>15547.468150000001</v>
      </c>
    </row>
    <row r="13" spans="1:15" x14ac:dyDescent="0.25">
      <c r="A13" s="133" t="s">
        <v>121</v>
      </c>
      <c r="B13" s="134" t="s">
        <v>122</v>
      </c>
      <c r="C13" s="132">
        <v>940</v>
      </c>
      <c r="D13" s="132">
        <v>0</v>
      </c>
      <c r="E13" s="132">
        <v>0</v>
      </c>
      <c r="F13" s="132">
        <f t="shared" si="0"/>
        <v>940</v>
      </c>
      <c r="G13" s="132">
        <f t="shared" si="1"/>
        <v>0</v>
      </c>
      <c r="H13" s="132">
        <f>F13</f>
        <v>940</v>
      </c>
      <c r="I13" s="131"/>
      <c r="L13" s="132">
        <v>940</v>
      </c>
      <c r="M13" s="132"/>
      <c r="N13" s="132"/>
    </row>
    <row r="14" spans="1:15" x14ac:dyDescent="0.25">
      <c r="A14" s="133" t="s">
        <v>123</v>
      </c>
      <c r="B14" s="134" t="s">
        <v>124</v>
      </c>
      <c r="C14" s="132">
        <v>7323</v>
      </c>
      <c r="D14" s="132">
        <v>0</v>
      </c>
      <c r="E14" s="132">
        <v>0</v>
      </c>
      <c r="F14" s="132">
        <f t="shared" si="0"/>
        <v>7323</v>
      </c>
      <c r="G14" s="132">
        <f t="shared" si="1"/>
        <v>0</v>
      </c>
      <c r="H14" s="132">
        <f>F14</f>
        <v>7323</v>
      </c>
      <c r="I14" s="131"/>
      <c r="L14" s="132">
        <v>7323</v>
      </c>
      <c r="M14" s="132"/>
      <c r="N14" s="132"/>
    </row>
    <row r="15" spans="1:15" x14ac:dyDescent="0.25">
      <c r="A15" s="133" t="s">
        <v>125</v>
      </c>
      <c r="B15" s="134" t="s">
        <v>126</v>
      </c>
      <c r="C15" s="132">
        <v>42599</v>
      </c>
      <c r="D15" s="132">
        <v>0</v>
      </c>
      <c r="E15" s="132">
        <v>0</v>
      </c>
      <c r="F15" s="132">
        <f t="shared" si="0"/>
        <v>42599</v>
      </c>
      <c r="G15" s="366">
        <f t="shared" si="1"/>
        <v>8760.4065205000006</v>
      </c>
      <c r="H15" s="272">
        <f>H10*0.2406</f>
        <v>51359.406520500001</v>
      </c>
      <c r="I15" s="273"/>
      <c r="L15" s="132">
        <v>55192</v>
      </c>
      <c r="M15" s="132"/>
      <c r="N15" s="132"/>
    </row>
    <row r="16" spans="1:15" x14ac:dyDescent="0.25">
      <c r="A16" s="133" t="s">
        <v>127</v>
      </c>
      <c r="B16" s="134" t="s">
        <v>128</v>
      </c>
      <c r="C16" s="132">
        <v>0</v>
      </c>
      <c r="D16" s="132">
        <v>33492</v>
      </c>
      <c r="E16" s="132">
        <v>0</v>
      </c>
      <c r="F16" s="124">
        <f t="shared" si="0"/>
        <v>33492</v>
      </c>
      <c r="G16" s="124">
        <f>-F16</f>
        <v>-33492</v>
      </c>
      <c r="H16" s="124">
        <f>F16+G16</f>
        <v>0</v>
      </c>
      <c r="I16" s="138" t="s">
        <v>239</v>
      </c>
      <c r="L16" s="132">
        <v>33492</v>
      </c>
      <c r="M16" s="132"/>
      <c r="N16" s="132"/>
    </row>
    <row r="17" spans="1:21" x14ac:dyDescent="0.25">
      <c r="A17" s="133" t="s">
        <v>129</v>
      </c>
      <c r="B17" s="134" t="s">
        <v>130</v>
      </c>
      <c r="C17" s="132">
        <v>0</v>
      </c>
      <c r="D17" s="132">
        <v>0</v>
      </c>
      <c r="E17" s="132">
        <v>2676</v>
      </c>
      <c r="F17" s="124">
        <f t="shared" si="0"/>
        <v>-2676</v>
      </c>
      <c r="G17" s="124">
        <f>-F17</f>
        <v>2676</v>
      </c>
      <c r="H17" s="124">
        <f>F17+G17</f>
        <v>0</v>
      </c>
      <c r="I17" s="138" t="s">
        <v>239</v>
      </c>
      <c r="L17" s="132">
        <v>-2676</v>
      </c>
      <c r="M17" s="132"/>
      <c r="N17" s="132">
        <f>-SUM(G16:G17)</f>
        <v>30816</v>
      </c>
      <c r="Q17" s="137"/>
      <c r="R17" s="46"/>
    </row>
    <row r="18" spans="1:21" x14ac:dyDescent="0.25">
      <c r="A18" s="133" t="s">
        <v>131</v>
      </c>
      <c r="B18" s="134" t="s">
        <v>132</v>
      </c>
      <c r="C18" s="132">
        <v>8063</v>
      </c>
      <c r="D18" s="132">
        <v>0</v>
      </c>
      <c r="E18" s="132">
        <v>0</v>
      </c>
      <c r="F18" s="132">
        <f t="shared" si="0"/>
        <v>8063</v>
      </c>
      <c r="G18" s="132">
        <f t="shared" si="1"/>
        <v>0</v>
      </c>
      <c r="H18" s="132">
        <f t="shared" ref="H18:H30" si="2">F18</f>
        <v>8063</v>
      </c>
      <c r="I18" s="131"/>
      <c r="L18" s="132">
        <v>8063</v>
      </c>
      <c r="M18" s="132"/>
      <c r="N18" s="132"/>
    </row>
    <row r="19" spans="1:21" x14ac:dyDescent="0.25">
      <c r="A19" s="133" t="s">
        <v>133</v>
      </c>
      <c r="B19" s="134" t="s">
        <v>134</v>
      </c>
      <c r="C19" s="132">
        <v>169</v>
      </c>
      <c r="D19" s="132">
        <v>0</v>
      </c>
      <c r="E19" s="132">
        <v>0</v>
      </c>
      <c r="F19" s="132">
        <f t="shared" si="0"/>
        <v>169</v>
      </c>
      <c r="G19" s="132">
        <f t="shared" si="1"/>
        <v>0</v>
      </c>
      <c r="H19" s="132">
        <f t="shared" si="2"/>
        <v>169</v>
      </c>
      <c r="I19" s="131"/>
      <c r="L19" s="132">
        <v>169</v>
      </c>
      <c r="M19" s="132"/>
      <c r="N19" s="132"/>
    </row>
    <row r="20" spans="1:21" x14ac:dyDescent="0.25">
      <c r="A20" s="133" t="s">
        <v>135</v>
      </c>
      <c r="B20" s="134" t="s">
        <v>136</v>
      </c>
      <c r="C20" s="132">
        <v>2376</v>
      </c>
      <c r="D20" s="132">
        <v>0</v>
      </c>
      <c r="E20" s="132">
        <v>0</v>
      </c>
      <c r="F20" s="132">
        <f t="shared" si="0"/>
        <v>2376</v>
      </c>
      <c r="G20" s="132">
        <f t="shared" si="1"/>
        <v>0</v>
      </c>
      <c r="H20" s="132">
        <f t="shared" si="2"/>
        <v>2376</v>
      </c>
      <c r="I20" s="131"/>
      <c r="L20" s="132">
        <v>2376</v>
      </c>
      <c r="M20" s="132"/>
      <c r="N20" s="132"/>
    </row>
    <row r="21" spans="1:21" x14ac:dyDescent="0.25">
      <c r="A21" s="133" t="s">
        <v>137</v>
      </c>
      <c r="B21" s="134" t="s">
        <v>138</v>
      </c>
      <c r="C21" s="132">
        <v>6882</v>
      </c>
      <c r="D21" s="132">
        <v>0</v>
      </c>
      <c r="E21" s="132">
        <v>0</v>
      </c>
      <c r="F21" s="132">
        <f t="shared" si="0"/>
        <v>6882</v>
      </c>
      <c r="G21" s="132">
        <f t="shared" si="1"/>
        <v>0</v>
      </c>
      <c r="H21" s="132">
        <f t="shared" si="2"/>
        <v>6882</v>
      </c>
      <c r="I21" s="131"/>
      <c r="L21" s="132">
        <v>6882</v>
      </c>
      <c r="M21" s="132"/>
      <c r="N21" s="132"/>
      <c r="R21" s="375"/>
      <c r="S21" s="375"/>
      <c r="T21" s="375"/>
    </row>
    <row r="22" spans="1:21" x14ac:dyDescent="0.25">
      <c r="A22" s="133" t="s">
        <v>139</v>
      </c>
      <c r="B22" s="134" t="s">
        <v>70</v>
      </c>
      <c r="C22" s="132">
        <v>4278</v>
      </c>
      <c r="D22" s="132">
        <v>0</v>
      </c>
      <c r="E22" s="132">
        <v>0</v>
      </c>
      <c r="F22" s="132">
        <f t="shared" si="0"/>
        <v>4278</v>
      </c>
      <c r="G22" s="132">
        <f t="shared" si="1"/>
        <v>0</v>
      </c>
      <c r="H22" s="132">
        <f t="shared" si="2"/>
        <v>4278</v>
      </c>
      <c r="I22" s="131"/>
      <c r="L22" s="132">
        <v>4278</v>
      </c>
      <c r="M22" s="132"/>
      <c r="N22" s="132"/>
      <c r="R22" s="375"/>
      <c r="S22" s="375"/>
      <c r="T22" s="375"/>
      <c r="U22" s="246"/>
    </row>
    <row r="23" spans="1:21" x14ac:dyDescent="0.25">
      <c r="A23" s="133" t="s">
        <v>140</v>
      </c>
      <c r="B23" s="134" t="s">
        <v>141</v>
      </c>
      <c r="C23" s="132">
        <v>3085</v>
      </c>
      <c r="D23" s="132">
        <v>0</v>
      </c>
      <c r="E23" s="132">
        <v>0</v>
      </c>
      <c r="F23" s="132">
        <f t="shared" si="0"/>
        <v>3085</v>
      </c>
      <c r="G23" s="132">
        <f t="shared" si="1"/>
        <v>0</v>
      </c>
      <c r="H23" s="132">
        <f t="shared" si="2"/>
        <v>3085</v>
      </c>
      <c r="I23" s="131"/>
      <c r="L23" s="132">
        <v>3085</v>
      </c>
      <c r="M23" s="132"/>
      <c r="N23" s="132"/>
      <c r="U23" s="246"/>
    </row>
    <row r="24" spans="1:21" x14ac:dyDescent="0.25">
      <c r="A24" s="133" t="s">
        <v>142</v>
      </c>
      <c r="B24" s="134" t="s">
        <v>143</v>
      </c>
      <c r="C24" s="132">
        <v>10270</v>
      </c>
      <c r="D24" s="132">
        <v>0</v>
      </c>
      <c r="E24" s="132">
        <v>0</v>
      </c>
      <c r="F24" s="132">
        <f t="shared" si="0"/>
        <v>10270</v>
      </c>
      <c r="G24" s="132">
        <f t="shared" si="1"/>
        <v>0</v>
      </c>
      <c r="H24" s="132">
        <f t="shared" si="2"/>
        <v>10270</v>
      </c>
      <c r="I24" s="131"/>
      <c r="L24" s="132">
        <v>10270</v>
      </c>
      <c r="M24" s="132"/>
      <c r="N24" s="132"/>
      <c r="U24" s="246"/>
    </row>
    <row r="25" spans="1:21" x14ac:dyDescent="0.25">
      <c r="A25" s="133" t="s">
        <v>144</v>
      </c>
      <c r="B25" s="134" t="s">
        <v>145</v>
      </c>
      <c r="C25" s="132">
        <v>3822</v>
      </c>
      <c r="D25" s="132">
        <v>0</v>
      </c>
      <c r="E25" s="132">
        <v>0</v>
      </c>
      <c r="F25" s="132">
        <f t="shared" si="0"/>
        <v>3822</v>
      </c>
      <c r="G25" s="132">
        <f t="shared" si="1"/>
        <v>0</v>
      </c>
      <c r="H25" s="132">
        <f t="shared" si="2"/>
        <v>3822</v>
      </c>
      <c r="I25" s="131"/>
      <c r="L25" s="132">
        <v>3822</v>
      </c>
      <c r="M25" s="132"/>
      <c r="N25" s="132"/>
    </row>
    <row r="26" spans="1:21" x14ac:dyDescent="0.25">
      <c r="A26" s="133" t="s">
        <v>146</v>
      </c>
      <c r="B26" s="134" t="s">
        <v>72</v>
      </c>
      <c r="C26" s="132">
        <v>11268</v>
      </c>
      <c r="D26" s="132">
        <v>0</v>
      </c>
      <c r="E26" s="132">
        <v>0</v>
      </c>
      <c r="F26" s="132">
        <f t="shared" si="0"/>
        <v>11268</v>
      </c>
      <c r="G26" s="132">
        <f t="shared" si="1"/>
        <v>0</v>
      </c>
      <c r="H26" s="132">
        <f t="shared" si="2"/>
        <v>11268</v>
      </c>
      <c r="I26" s="131"/>
      <c r="L26" s="132">
        <v>11268</v>
      </c>
      <c r="M26" s="132"/>
      <c r="N26" s="132"/>
    </row>
    <row r="27" spans="1:21" x14ac:dyDescent="0.25">
      <c r="A27" s="133" t="s">
        <v>147</v>
      </c>
      <c r="B27" s="134" t="s">
        <v>148</v>
      </c>
      <c r="C27" s="132">
        <v>0</v>
      </c>
      <c r="D27" s="132">
        <v>0</v>
      </c>
      <c r="E27" s="132">
        <v>0</v>
      </c>
      <c r="F27" s="132">
        <f t="shared" si="0"/>
        <v>0</v>
      </c>
      <c r="G27" s="132">
        <f t="shared" si="1"/>
        <v>0</v>
      </c>
      <c r="H27" s="132">
        <f t="shared" si="2"/>
        <v>0</v>
      </c>
      <c r="I27" s="131"/>
      <c r="L27" s="132">
        <v>0</v>
      </c>
      <c r="M27" s="132"/>
      <c r="N27" s="132"/>
    </row>
    <row r="28" spans="1:21" x14ac:dyDescent="0.25">
      <c r="A28" s="133" t="s">
        <v>149</v>
      </c>
      <c r="B28" s="134" t="s">
        <v>150</v>
      </c>
      <c r="C28" s="132">
        <v>4562</v>
      </c>
      <c r="D28" s="132">
        <v>0</v>
      </c>
      <c r="E28" s="132">
        <v>0</v>
      </c>
      <c r="F28" s="132">
        <f t="shared" si="0"/>
        <v>4562</v>
      </c>
      <c r="G28" s="132">
        <f t="shared" si="1"/>
        <v>0</v>
      </c>
      <c r="H28" s="132">
        <f t="shared" si="2"/>
        <v>4562</v>
      </c>
      <c r="I28" s="131"/>
      <c r="L28" s="132">
        <v>4562</v>
      </c>
      <c r="M28" s="132"/>
      <c r="N28" s="132"/>
    </row>
    <row r="29" spans="1:21" x14ac:dyDescent="0.25">
      <c r="A29" s="133" t="s">
        <v>151</v>
      </c>
      <c r="B29" s="134" t="s">
        <v>152</v>
      </c>
      <c r="C29" s="132">
        <v>3518</v>
      </c>
      <c r="D29" s="132">
        <v>0</v>
      </c>
      <c r="E29" s="132">
        <v>0</v>
      </c>
      <c r="F29" s="132">
        <f t="shared" si="0"/>
        <v>3518</v>
      </c>
      <c r="G29" s="132">
        <f t="shared" si="1"/>
        <v>0</v>
      </c>
      <c r="H29" s="132">
        <f t="shared" si="2"/>
        <v>3518</v>
      </c>
      <c r="I29" s="131"/>
      <c r="L29" s="132">
        <v>3518</v>
      </c>
      <c r="M29" s="132"/>
      <c r="N29" s="132"/>
    </row>
    <row r="30" spans="1:21" ht="17.25" x14ac:dyDescent="0.4">
      <c r="A30" s="133" t="s">
        <v>153</v>
      </c>
      <c r="B30" s="134" t="s">
        <v>154</v>
      </c>
      <c r="C30" s="122">
        <v>0</v>
      </c>
      <c r="D30" s="122">
        <v>0</v>
      </c>
      <c r="E30" s="122">
        <v>0</v>
      </c>
      <c r="F30" s="122">
        <f t="shared" si="0"/>
        <v>0</v>
      </c>
      <c r="G30" s="135">
        <f t="shared" si="1"/>
        <v>0</v>
      </c>
      <c r="H30" s="135">
        <f t="shared" si="2"/>
        <v>0</v>
      </c>
      <c r="I30" s="131"/>
      <c r="L30" s="135">
        <v>0</v>
      </c>
      <c r="M30" s="132"/>
      <c r="N30" s="132"/>
    </row>
    <row r="31" spans="1:21" x14ac:dyDescent="0.25">
      <c r="A31" s="125"/>
      <c r="B31" s="126" t="s">
        <v>155</v>
      </c>
      <c r="C31" s="127">
        <f t="shared" ref="C31:H31" si="3">SUM(C10:C30)</f>
        <v>402733</v>
      </c>
      <c r="D31" s="127">
        <f t="shared" si="3"/>
        <v>33492</v>
      </c>
      <c r="E31" s="127">
        <f t="shared" si="3"/>
        <v>2676</v>
      </c>
      <c r="F31" s="127">
        <f t="shared" si="3"/>
        <v>433549</v>
      </c>
      <c r="G31" s="367">
        <f t="shared" si="3"/>
        <v>-46449.144129500004</v>
      </c>
      <c r="H31" s="367">
        <f t="shared" si="3"/>
        <v>387099.85587050003</v>
      </c>
      <c r="I31" s="128"/>
      <c r="L31" s="127">
        <v>451364.91749999998</v>
      </c>
      <c r="M31" s="127"/>
      <c r="N31" s="127"/>
      <c r="P31" s="137"/>
    </row>
    <row r="32" spans="1:21" x14ac:dyDescent="0.25">
      <c r="A32" s="125"/>
      <c r="B32" s="123"/>
      <c r="C32" s="127"/>
      <c r="D32" s="127"/>
      <c r="E32" s="127"/>
      <c r="F32" s="127"/>
      <c r="G32" s="127"/>
      <c r="H32" s="127"/>
      <c r="I32" s="128"/>
    </row>
    <row r="33" spans="1:15" x14ac:dyDescent="0.25">
      <c r="A33" s="123" t="s">
        <v>82</v>
      </c>
      <c r="B33" s="134"/>
      <c r="C33" s="132"/>
      <c r="D33" s="132"/>
      <c r="E33" s="132"/>
      <c r="F33" s="132"/>
      <c r="G33" s="132"/>
      <c r="H33" s="132"/>
      <c r="I33" s="131"/>
    </row>
    <row r="34" spans="1:15" x14ac:dyDescent="0.25">
      <c r="A34" s="133" t="s">
        <v>156</v>
      </c>
      <c r="B34" s="134" t="s">
        <v>115</v>
      </c>
      <c r="C34" s="132">
        <v>178041</v>
      </c>
      <c r="D34" s="132">
        <v>0</v>
      </c>
      <c r="E34" s="132">
        <v>0</v>
      </c>
      <c r="F34" s="132">
        <f t="shared" ref="F34:F57" si="4">C34+D34-E34</f>
        <v>178041</v>
      </c>
      <c r="G34" s="132">
        <f>H34-F34</f>
        <v>-6923.8978571429907</v>
      </c>
      <c r="H34" s="132">
        <f>172331.102142857-1214</f>
        <v>171117.10214285701</v>
      </c>
      <c r="I34" s="131"/>
      <c r="L34" s="132">
        <v>172331.10214285715</v>
      </c>
      <c r="M34" s="132"/>
      <c r="N34" s="132"/>
    </row>
    <row r="35" spans="1:15" x14ac:dyDescent="0.25">
      <c r="A35" s="133" t="s">
        <v>157</v>
      </c>
      <c r="B35" s="134" t="s">
        <v>117</v>
      </c>
      <c r="C35" s="132">
        <v>13362</v>
      </c>
      <c r="D35" s="132">
        <v>0</v>
      </c>
      <c r="E35" s="132">
        <v>0</v>
      </c>
      <c r="F35" s="132">
        <f t="shared" si="4"/>
        <v>13362</v>
      </c>
      <c r="G35" s="132">
        <f t="shared" ref="G35:G57" si="5">H35-F35</f>
        <v>-271.67068607140027</v>
      </c>
      <c r="H35" s="132">
        <f>13183.3293139286-93</f>
        <v>13090.3293139286</v>
      </c>
      <c r="I35" s="131" t="s">
        <v>118</v>
      </c>
      <c r="L35" s="132">
        <v>13183.329313928571</v>
      </c>
      <c r="M35" s="132"/>
      <c r="N35" s="132"/>
    </row>
    <row r="36" spans="1:15" x14ac:dyDescent="0.25">
      <c r="A36" s="133" t="s">
        <v>158</v>
      </c>
      <c r="B36" s="134" t="s">
        <v>120</v>
      </c>
      <c r="C36" s="132">
        <v>67562</v>
      </c>
      <c r="D36" s="132">
        <v>0</v>
      </c>
      <c r="E36" s="132">
        <v>0</v>
      </c>
      <c r="F36" s="132">
        <f t="shared" si="4"/>
        <v>67562</v>
      </c>
      <c r="G36" s="272">
        <f>4747.75-(L36*0.283)</f>
        <v>-15715.909249999997</v>
      </c>
      <c r="H36" s="366">
        <f>F36+G36</f>
        <v>51846.090750000003</v>
      </c>
      <c r="I36" s="274"/>
      <c r="J36" s="114"/>
      <c r="L36" s="132">
        <v>72309.75</v>
      </c>
      <c r="M36" s="132"/>
      <c r="N36" s="132"/>
      <c r="O36" s="137">
        <f>L36-H36</f>
        <v>20463.659249999997</v>
      </c>
    </row>
    <row r="37" spans="1:15" x14ac:dyDescent="0.25">
      <c r="A37" s="133" t="s">
        <v>159</v>
      </c>
      <c r="B37" s="134" t="s">
        <v>122</v>
      </c>
      <c r="C37" s="132">
        <v>529</v>
      </c>
      <c r="D37" s="132">
        <v>0</v>
      </c>
      <c r="E37" s="132">
        <v>0</v>
      </c>
      <c r="F37" s="132">
        <f t="shared" si="4"/>
        <v>529</v>
      </c>
      <c r="G37" s="132">
        <f t="shared" si="5"/>
        <v>0</v>
      </c>
      <c r="H37" s="132">
        <f>F37</f>
        <v>529</v>
      </c>
      <c r="I37" s="131"/>
      <c r="L37" s="132">
        <v>529</v>
      </c>
      <c r="M37" s="132"/>
      <c r="N37" s="132"/>
    </row>
    <row r="38" spans="1:15" x14ac:dyDescent="0.25">
      <c r="A38" s="133" t="s">
        <v>160</v>
      </c>
      <c r="B38" s="134" t="s">
        <v>124</v>
      </c>
      <c r="C38" s="132">
        <v>359</v>
      </c>
      <c r="D38" s="132">
        <v>0</v>
      </c>
      <c r="E38" s="132">
        <v>0</v>
      </c>
      <c r="F38" s="132">
        <f t="shared" si="4"/>
        <v>359</v>
      </c>
      <c r="G38" s="132">
        <f t="shared" si="5"/>
        <v>0</v>
      </c>
      <c r="H38" s="132">
        <f>F38</f>
        <v>359</v>
      </c>
      <c r="I38" s="131"/>
      <c r="L38" s="132">
        <v>359</v>
      </c>
      <c r="M38" s="132"/>
      <c r="N38" s="132"/>
    </row>
    <row r="39" spans="1:15" x14ac:dyDescent="0.25">
      <c r="A39" s="133" t="s">
        <v>161</v>
      </c>
      <c r="B39" s="134" t="s">
        <v>126</v>
      </c>
      <c r="C39" s="132">
        <v>37659</v>
      </c>
      <c r="D39" s="132">
        <v>0</v>
      </c>
      <c r="E39" s="132">
        <v>0</v>
      </c>
      <c r="F39" s="132">
        <f t="shared" si="4"/>
        <v>37659</v>
      </c>
      <c r="G39" s="366">
        <f t="shared" si="5"/>
        <v>3511.7747755714008</v>
      </c>
      <c r="H39" s="272">
        <f>H34*0.2406</f>
        <v>41170.774775571401</v>
      </c>
      <c r="I39" s="131"/>
      <c r="L39" s="132">
        <v>46443</v>
      </c>
      <c r="M39" s="132"/>
      <c r="N39" s="132"/>
    </row>
    <row r="40" spans="1:15" x14ac:dyDescent="0.25">
      <c r="A40" s="133" t="s">
        <v>162</v>
      </c>
      <c r="B40" s="134" t="s">
        <v>128</v>
      </c>
      <c r="C40" s="132">
        <v>0</v>
      </c>
      <c r="D40" s="132">
        <v>30619</v>
      </c>
      <c r="E40" s="132">
        <v>0</v>
      </c>
      <c r="F40" s="124">
        <f t="shared" si="4"/>
        <v>30619</v>
      </c>
      <c r="G40" s="124">
        <f>-F40</f>
        <v>-30619</v>
      </c>
      <c r="H40" s="124">
        <f>F40+G40</f>
        <v>0</v>
      </c>
      <c r="I40" s="138" t="s">
        <v>239</v>
      </c>
      <c r="L40" s="132">
        <v>30619</v>
      </c>
      <c r="M40" s="132"/>
      <c r="N40" s="132"/>
    </row>
    <row r="41" spans="1:15" x14ac:dyDescent="0.25">
      <c r="A41" s="133" t="s">
        <v>163</v>
      </c>
      <c r="B41" s="134" t="s">
        <v>130</v>
      </c>
      <c r="C41" s="132">
        <v>0</v>
      </c>
      <c r="D41" s="132">
        <v>0</v>
      </c>
      <c r="E41" s="132">
        <v>3491</v>
      </c>
      <c r="F41" s="124">
        <f t="shared" si="4"/>
        <v>-3491</v>
      </c>
      <c r="G41" s="124">
        <f>-F41</f>
        <v>3491</v>
      </c>
      <c r="H41" s="124">
        <f>F41+G41</f>
        <v>0</v>
      </c>
      <c r="I41" s="138" t="s">
        <v>239</v>
      </c>
      <c r="L41" s="132">
        <v>-3491</v>
      </c>
      <c r="M41" s="132"/>
      <c r="N41" s="132">
        <f>-SUM(G40:G41)</f>
        <v>27128</v>
      </c>
    </row>
    <row r="42" spans="1:15" x14ac:dyDescent="0.25">
      <c r="A42" s="133" t="s">
        <v>164</v>
      </c>
      <c r="B42" s="134" t="s">
        <v>132</v>
      </c>
      <c r="C42" s="272">
        <f>179933-(179933/502417*5769.077)</f>
        <v>177866.89289804883</v>
      </c>
      <c r="D42" s="132">
        <v>0</v>
      </c>
      <c r="E42" s="132">
        <v>0</v>
      </c>
      <c r="F42" s="132">
        <f t="shared" si="4"/>
        <v>177866.89289804883</v>
      </c>
      <c r="G42" s="132">
        <f t="shared" si="5"/>
        <v>0</v>
      </c>
      <c r="H42" s="132">
        <f t="shared" ref="H42:H57" si="6">F42</f>
        <v>177866.89289804883</v>
      </c>
      <c r="I42" s="131"/>
      <c r="L42" s="132">
        <v>179933</v>
      </c>
      <c r="M42" s="132"/>
      <c r="N42" s="132"/>
    </row>
    <row r="43" spans="1:15" x14ac:dyDescent="0.25">
      <c r="A43" s="133" t="s">
        <v>165</v>
      </c>
      <c r="B43" s="134" t="s">
        <v>134</v>
      </c>
      <c r="C43" s="132">
        <v>786</v>
      </c>
      <c r="D43" s="132">
        <v>0</v>
      </c>
      <c r="E43" s="132">
        <v>0</v>
      </c>
      <c r="F43" s="132">
        <f t="shared" si="4"/>
        <v>786</v>
      </c>
      <c r="G43" s="132">
        <f t="shared" si="5"/>
        <v>0</v>
      </c>
      <c r="H43" s="132">
        <f t="shared" si="6"/>
        <v>786</v>
      </c>
      <c r="I43" s="131"/>
      <c r="L43" s="132">
        <v>786</v>
      </c>
      <c r="M43" s="132"/>
      <c r="N43" s="132"/>
    </row>
    <row r="44" spans="1:15" x14ac:dyDescent="0.25">
      <c r="A44" s="133" t="s">
        <v>166</v>
      </c>
      <c r="B44" s="134" t="s">
        <v>136</v>
      </c>
      <c r="C44" s="132">
        <v>20008</v>
      </c>
      <c r="D44" s="132">
        <v>0</v>
      </c>
      <c r="E44" s="132">
        <v>0</v>
      </c>
      <c r="F44" s="132">
        <f t="shared" si="4"/>
        <v>20008</v>
      </c>
      <c r="G44" s="132">
        <f t="shared" si="5"/>
        <v>0</v>
      </c>
      <c r="H44" s="132">
        <f t="shared" si="6"/>
        <v>20008</v>
      </c>
      <c r="I44" s="131"/>
      <c r="L44" s="132">
        <v>20008</v>
      </c>
      <c r="M44" s="132"/>
      <c r="N44" s="132"/>
    </row>
    <row r="45" spans="1:15" x14ac:dyDescent="0.25">
      <c r="A45" s="133" t="s">
        <v>167</v>
      </c>
      <c r="B45" s="134" t="s">
        <v>138</v>
      </c>
      <c r="C45" s="132">
        <v>2123</v>
      </c>
      <c r="D45" s="132">
        <v>0</v>
      </c>
      <c r="E45" s="132">
        <v>0</v>
      </c>
      <c r="F45" s="132">
        <f t="shared" si="4"/>
        <v>2123</v>
      </c>
      <c r="G45" s="132">
        <f t="shared" si="5"/>
        <v>0</v>
      </c>
      <c r="H45" s="132">
        <f t="shared" si="6"/>
        <v>2123</v>
      </c>
      <c r="I45" s="131"/>
      <c r="L45" s="132">
        <v>2123</v>
      </c>
      <c r="M45" s="132"/>
      <c r="N45" s="132"/>
    </row>
    <row r="46" spans="1:15" x14ac:dyDescent="0.25">
      <c r="A46" s="133" t="s">
        <v>168</v>
      </c>
      <c r="B46" s="134" t="s">
        <v>169</v>
      </c>
      <c r="C46" s="272">
        <f>81088-(81088/502417*5769.077)</f>
        <v>80156.89512939252</v>
      </c>
      <c r="D46" s="132">
        <v>0</v>
      </c>
      <c r="E46" s="132">
        <v>0</v>
      </c>
      <c r="F46" s="132">
        <f t="shared" si="4"/>
        <v>80156.89512939252</v>
      </c>
      <c r="G46" s="132">
        <v>24618</v>
      </c>
      <c r="H46" s="132">
        <f>F46+G46</f>
        <v>104774.89512939252</v>
      </c>
      <c r="I46" s="131" t="s">
        <v>170</v>
      </c>
      <c r="L46" s="132">
        <v>105706</v>
      </c>
      <c r="M46" s="132"/>
      <c r="N46" s="132"/>
    </row>
    <row r="47" spans="1:15" x14ac:dyDescent="0.25">
      <c r="A47" s="133" t="s">
        <v>171</v>
      </c>
      <c r="B47" s="134" t="s">
        <v>70</v>
      </c>
      <c r="C47" s="132">
        <v>41523</v>
      </c>
      <c r="D47" s="132">
        <v>0</v>
      </c>
      <c r="E47" s="132">
        <v>0</v>
      </c>
      <c r="F47" s="132">
        <f t="shared" si="4"/>
        <v>41523</v>
      </c>
      <c r="G47" s="132">
        <f t="shared" si="5"/>
        <v>0</v>
      </c>
      <c r="H47" s="132">
        <f t="shared" si="6"/>
        <v>41523</v>
      </c>
      <c r="I47" s="131"/>
      <c r="L47" s="132">
        <v>41523</v>
      </c>
      <c r="M47" s="132"/>
      <c r="N47" s="132"/>
    </row>
    <row r="48" spans="1:15" x14ac:dyDescent="0.25">
      <c r="A48" s="133" t="s">
        <v>172</v>
      </c>
      <c r="B48" s="134" t="s">
        <v>173</v>
      </c>
      <c r="C48" s="132">
        <v>14677</v>
      </c>
      <c r="D48" s="132">
        <v>0</v>
      </c>
      <c r="E48" s="132">
        <v>0</v>
      </c>
      <c r="F48" s="132">
        <f t="shared" si="4"/>
        <v>14677</v>
      </c>
      <c r="G48" s="132">
        <f t="shared" si="5"/>
        <v>0</v>
      </c>
      <c r="H48" s="132">
        <f t="shared" si="6"/>
        <v>14677</v>
      </c>
      <c r="I48" s="131"/>
      <c r="L48" s="132">
        <v>14677</v>
      </c>
      <c r="M48" s="132"/>
      <c r="N48" s="132"/>
    </row>
    <row r="49" spans="1:16" x14ac:dyDescent="0.25">
      <c r="A49" s="133" t="s">
        <v>174</v>
      </c>
      <c r="B49" s="134" t="s">
        <v>141</v>
      </c>
      <c r="C49" s="132">
        <v>20470</v>
      </c>
      <c r="D49" s="132">
        <v>0</v>
      </c>
      <c r="E49" s="132">
        <v>0</v>
      </c>
      <c r="F49" s="132">
        <f t="shared" si="4"/>
        <v>20470</v>
      </c>
      <c r="G49" s="132">
        <f t="shared" si="5"/>
        <v>0</v>
      </c>
      <c r="H49" s="132">
        <f t="shared" si="6"/>
        <v>20470</v>
      </c>
      <c r="I49" s="131"/>
      <c r="L49" s="132">
        <v>20470</v>
      </c>
      <c r="M49" s="132"/>
      <c r="N49" s="132"/>
    </row>
    <row r="50" spans="1:16" x14ac:dyDescent="0.25">
      <c r="A50" s="133" t="s">
        <v>175</v>
      </c>
      <c r="B50" s="134" t="s">
        <v>145</v>
      </c>
      <c r="C50" s="132">
        <v>1503</v>
      </c>
      <c r="D50" s="132">
        <v>0</v>
      </c>
      <c r="E50" s="132">
        <v>0</v>
      </c>
      <c r="F50" s="132">
        <f t="shared" si="4"/>
        <v>1503</v>
      </c>
      <c r="G50" s="132">
        <f t="shared" si="5"/>
        <v>0</v>
      </c>
      <c r="H50" s="132">
        <f t="shared" si="6"/>
        <v>1503</v>
      </c>
      <c r="I50" s="131"/>
      <c r="L50" s="132">
        <v>1503</v>
      </c>
      <c r="M50" s="132"/>
      <c r="N50" s="132"/>
    </row>
    <row r="51" spans="1:16" x14ac:dyDescent="0.25">
      <c r="A51" s="133" t="s">
        <v>176</v>
      </c>
      <c r="B51" s="134" t="s">
        <v>72</v>
      </c>
      <c r="C51" s="132">
        <v>869</v>
      </c>
      <c r="D51" s="132">
        <v>0</v>
      </c>
      <c r="E51" s="132">
        <v>0</v>
      </c>
      <c r="F51" s="132">
        <f t="shared" si="4"/>
        <v>869</v>
      </c>
      <c r="G51" s="132">
        <f t="shared" si="5"/>
        <v>0</v>
      </c>
      <c r="H51" s="132">
        <f t="shared" si="6"/>
        <v>869</v>
      </c>
      <c r="I51" s="131"/>
      <c r="L51" s="132">
        <v>869</v>
      </c>
      <c r="M51" s="132"/>
      <c r="N51" s="132"/>
    </row>
    <row r="52" spans="1:16" x14ac:dyDescent="0.25">
      <c r="A52" s="133" t="s">
        <v>177</v>
      </c>
      <c r="B52" s="134" t="s">
        <v>148</v>
      </c>
      <c r="C52" s="132">
        <v>0</v>
      </c>
      <c r="D52" s="132">
        <v>0</v>
      </c>
      <c r="E52" s="132">
        <v>0</v>
      </c>
      <c r="F52" s="132">
        <f t="shared" si="4"/>
        <v>0</v>
      </c>
      <c r="G52" s="132">
        <f t="shared" si="5"/>
        <v>0</v>
      </c>
      <c r="H52" s="132">
        <f t="shared" si="6"/>
        <v>0</v>
      </c>
      <c r="I52" s="131"/>
      <c r="L52" s="132">
        <v>0</v>
      </c>
      <c r="M52" s="132"/>
      <c r="N52" s="132"/>
    </row>
    <row r="53" spans="1:16" x14ac:dyDescent="0.25">
      <c r="A53" s="133" t="s">
        <v>178</v>
      </c>
      <c r="B53" s="134" t="s">
        <v>150</v>
      </c>
      <c r="C53" s="132">
        <v>529</v>
      </c>
      <c r="D53" s="132">
        <v>0</v>
      </c>
      <c r="E53" s="132">
        <v>0</v>
      </c>
      <c r="F53" s="132">
        <f t="shared" si="4"/>
        <v>529</v>
      </c>
      <c r="G53" s="132">
        <f t="shared" si="5"/>
        <v>0</v>
      </c>
      <c r="H53" s="132">
        <f t="shared" si="6"/>
        <v>529</v>
      </c>
      <c r="I53" s="131"/>
      <c r="L53" s="132">
        <v>529</v>
      </c>
      <c r="M53" s="132"/>
      <c r="N53" s="132"/>
    </row>
    <row r="54" spans="1:16" x14ac:dyDescent="0.25">
      <c r="A54" s="133" t="s">
        <v>179</v>
      </c>
      <c r="B54" s="134" t="s">
        <v>152</v>
      </c>
      <c r="C54" s="132">
        <v>5279</v>
      </c>
      <c r="D54" s="132">
        <v>0</v>
      </c>
      <c r="E54" s="132">
        <v>0</v>
      </c>
      <c r="F54" s="132">
        <f t="shared" si="4"/>
        <v>5279</v>
      </c>
      <c r="G54" s="132">
        <f t="shared" si="5"/>
        <v>0</v>
      </c>
      <c r="H54" s="132">
        <f t="shared" si="6"/>
        <v>5279</v>
      </c>
      <c r="I54" s="131"/>
      <c r="L54" s="132">
        <v>5279</v>
      </c>
      <c r="M54" s="132"/>
      <c r="N54" s="132"/>
    </row>
    <row r="55" spans="1:16" x14ac:dyDescent="0.25">
      <c r="A55" s="133" t="s">
        <v>180</v>
      </c>
      <c r="B55" s="134" t="s">
        <v>181</v>
      </c>
      <c r="C55" s="132">
        <v>0</v>
      </c>
      <c r="D55" s="132">
        <v>0</v>
      </c>
      <c r="E55" s="132">
        <v>0</v>
      </c>
      <c r="F55" s="132">
        <f t="shared" si="4"/>
        <v>0</v>
      </c>
      <c r="G55" s="132">
        <f t="shared" si="5"/>
        <v>28133</v>
      </c>
      <c r="H55" s="132">
        <f>56266/2</f>
        <v>28133</v>
      </c>
      <c r="I55" s="131" t="s">
        <v>182</v>
      </c>
      <c r="L55" s="132">
        <v>28133</v>
      </c>
      <c r="M55" s="132"/>
      <c r="N55" s="132"/>
    </row>
    <row r="56" spans="1:16" x14ac:dyDescent="0.25">
      <c r="A56" s="133" t="s">
        <v>183</v>
      </c>
      <c r="B56" s="134" t="s">
        <v>184</v>
      </c>
      <c r="C56" s="132">
        <v>368</v>
      </c>
      <c r="D56" s="132">
        <v>0</v>
      </c>
      <c r="E56" s="132">
        <v>0</v>
      </c>
      <c r="F56" s="132">
        <f t="shared" si="4"/>
        <v>368</v>
      </c>
      <c r="G56" s="132">
        <f t="shared" si="5"/>
        <v>0</v>
      </c>
      <c r="H56" s="132">
        <f t="shared" si="6"/>
        <v>368</v>
      </c>
      <c r="I56" s="131"/>
      <c r="L56" s="132">
        <v>368</v>
      </c>
      <c r="M56" s="132"/>
      <c r="N56" s="132"/>
    </row>
    <row r="57" spans="1:16" ht="17.25" x14ac:dyDescent="0.4">
      <c r="A57" s="133" t="s">
        <v>185</v>
      </c>
      <c r="B57" s="134" t="s">
        <v>154</v>
      </c>
      <c r="C57" s="122">
        <v>18</v>
      </c>
      <c r="D57" s="122">
        <v>0</v>
      </c>
      <c r="E57" s="122">
        <v>0</v>
      </c>
      <c r="F57" s="122">
        <f t="shared" si="4"/>
        <v>18</v>
      </c>
      <c r="G57" s="135">
        <f t="shared" si="5"/>
        <v>0</v>
      </c>
      <c r="H57" s="122">
        <f t="shared" si="6"/>
        <v>18</v>
      </c>
      <c r="I57" s="131"/>
      <c r="L57" s="122">
        <v>18</v>
      </c>
      <c r="M57" s="122"/>
      <c r="N57" s="122"/>
    </row>
    <row r="58" spans="1:16" x14ac:dyDescent="0.25">
      <c r="A58" s="133"/>
      <c r="B58" s="126" t="s">
        <v>186</v>
      </c>
      <c r="C58" s="127">
        <f>SUM(C34:C57)</f>
        <v>663688.78802744136</v>
      </c>
      <c r="D58" s="127">
        <f t="shared" ref="D58:F58" si="7">SUM(D34:D57)</f>
        <v>30619</v>
      </c>
      <c r="E58" s="127">
        <f t="shared" si="7"/>
        <v>3491</v>
      </c>
      <c r="F58" s="127">
        <f t="shared" si="7"/>
        <v>690816.78802744136</v>
      </c>
      <c r="G58" s="367">
        <f>SUM(G34:G57)</f>
        <v>6223.2969823570165</v>
      </c>
      <c r="H58" s="367">
        <f>SUM(H34:H57)</f>
        <v>697040.08500979841</v>
      </c>
      <c r="I58" s="131"/>
      <c r="L58" s="127">
        <v>754208.18145678577</v>
      </c>
      <c r="M58" s="127"/>
      <c r="N58" s="127"/>
      <c r="P58" s="137"/>
    </row>
    <row r="59" spans="1:16" x14ac:dyDescent="0.25">
      <c r="A59" s="133"/>
      <c r="B59" s="123"/>
      <c r="C59" s="127"/>
      <c r="D59" s="127"/>
      <c r="E59" s="127"/>
      <c r="F59" s="127"/>
      <c r="G59" s="127"/>
      <c r="H59" s="132"/>
      <c r="I59" s="131"/>
    </row>
    <row r="60" spans="1:16" x14ac:dyDescent="0.25">
      <c r="A60" s="123" t="s">
        <v>187</v>
      </c>
      <c r="B60" s="134"/>
      <c r="C60" s="132"/>
      <c r="D60" s="132"/>
      <c r="E60" s="132"/>
      <c r="F60" s="132"/>
      <c r="G60" s="132"/>
      <c r="H60" s="132"/>
      <c r="I60" s="131"/>
    </row>
    <row r="61" spans="1:16" x14ac:dyDescent="0.25">
      <c r="A61" s="133" t="s">
        <v>188</v>
      </c>
      <c r="B61" s="134" t="s">
        <v>115</v>
      </c>
      <c r="C61" s="132">
        <v>251546</v>
      </c>
      <c r="D61" s="132">
        <v>0</v>
      </c>
      <c r="E61" s="132">
        <v>0</v>
      </c>
      <c r="F61" s="132">
        <f t="shared" ref="F61:F86" si="8">C61+D61-E61</f>
        <v>251546</v>
      </c>
      <c r="G61" s="132">
        <f ca="1">H61-F61</f>
        <v>78098.624053571431</v>
      </c>
      <c r="H61" s="368">
        <f t="shared" ref="H61" ca="1" si="9">F61+G61</f>
        <v>329644.62405357143</v>
      </c>
      <c r="I61" s="199"/>
      <c r="L61" s="132">
        <v>339260.35448214289</v>
      </c>
      <c r="M61" s="132"/>
      <c r="N61" s="132"/>
    </row>
    <row r="62" spans="1:16" x14ac:dyDescent="0.25">
      <c r="A62" s="133" t="s">
        <v>189</v>
      </c>
      <c r="B62" s="134" t="s">
        <v>117</v>
      </c>
      <c r="C62" s="132">
        <v>18720</v>
      </c>
      <c r="D62" s="132">
        <v>0</v>
      </c>
      <c r="E62" s="132">
        <v>0</v>
      </c>
      <c r="F62" s="132">
        <f t="shared" si="8"/>
        <v>18720</v>
      </c>
      <c r="G62" s="132">
        <v>7233.4171178838997</v>
      </c>
      <c r="H62" s="132">
        <f>F62+G62-3947</f>
        <v>22006.417117883899</v>
      </c>
      <c r="I62" s="199" t="s">
        <v>402</v>
      </c>
      <c r="L62" s="132">
        <v>25953.417117883924</v>
      </c>
      <c r="M62" s="132"/>
      <c r="N62" s="132"/>
    </row>
    <row r="63" spans="1:16" x14ac:dyDescent="0.25">
      <c r="A63" s="133" t="s">
        <v>190</v>
      </c>
      <c r="B63" s="134" t="s">
        <v>120</v>
      </c>
      <c r="C63" s="132">
        <v>99312</v>
      </c>
      <c r="D63" s="132">
        <v>0</v>
      </c>
      <c r="E63" s="132">
        <v>0</v>
      </c>
      <c r="F63" s="132">
        <f t="shared" si="8"/>
        <v>99312</v>
      </c>
      <c r="G63" s="272">
        <f>25330.5-(L63*0.283)</f>
        <v>-9943.3274999999849</v>
      </c>
      <c r="H63" s="366">
        <f>F63+G63</f>
        <v>89368.672500000015</v>
      </c>
      <c r="I63" s="139"/>
      <c r="J63" s="114"/>
      <c r="K63" s="137"/>
      <c r="L63" s="132">
        <v>124642.49999999997</v>
      </c>
      <c r="M63" s="132"/>
      <c r="N63" s="132"/>
      <c r="O63" s="137">
        <f>L63-H63</f>
        <v>35273.827499999956</v>
      </c>
    </row>
    <row r="64" spans="1:16" x14ac:dyDescent="0.25">
      <c r="A64" s="133" t="s">
        <v>191</v>
      </c>
      <c r="B64" s="134" t="s">
        <v>122</v>
      </c>
      <c r="C64" s="132">
        <v>2711</v>
      </c>
      <c r="D64" s="132">
        <v>0</v>
      </c>
      <c r="E64" s="132">
        <v>0</v>
      </c>
      <c r="F64" s="132">
        <f t="shared" si="8"/>
        <v>2711</v>
      </c>
      <c r="G64" s="132">
        <f t="shared" ref="G64:G86" si="10">H64-F64</f>
        <v>0</v>
      </c>
      <c r="H64" s="132">
        <f>F64</f>
        <v>2711</v>
      </c>
      <c r="I64" s="131"/>
      <c r="L64" s="132">
        <v>2711</v>
      </c>
      <c r="M64" s="132"/>
      <c r="N64" s="132"/>
    </row>
    <row r="65" spans="1:14" x14ac:dyDescent="0.25">
      <c r="A65" s="133" t="s">
        <v>192</v>
      </c>
      <c r="B65" s="134" t="s">
        <v>124</v>
      </c>
      <c r="C65" s="132">
        <v>990</v>
      </c>
      <c r="D65" s="132">
        <v>0</v>
      </c>
      <c r="E65" s="132">
        <v>0</v>
      </c>
      <c r="F65" s="132">
        <f t="shared" si="8"/>
        <v>990</v>
      </c>
      <c r="G65" s="132">
        <f t="shared" si="10"/>
        <v>0</v>
      </c>
      <c r="H65" s="132">
        <f>F65</f>
        <v>990</v>
      </c>
      <c r="I65" s="131"/>
      <c r="L65" s="132">
        <v>990</v>
      </c>
      <c r="M65" s="132"/>
      <c r="N65" s="132"/>
    </row>
    <row r="66" spans="1:14" x14ac:dyDescent="0.25">
      <c r="A66" s="133" t="s">
        <v>193</v>
      </c>
      <c r="B66" s="134" t="s">
        <v>126</v>
      </c>
      <c r="C66" s="132">
        <v>52984</v>
      </c>
      <c r="D66" s="132">
        <v>0</v>
      </c>
      <c r="E66" s="132">
        <v>0</v>
      </c>
      <c r="F66" s="132">
        <f t="shared" si="8"/>
        <v>52984</v>
      </c>
      <c r="G66" s="366">
        <f t="shared" ca="1" si="10"/>
        <v>26328.496547289295</v>
      </c>
      <c r="H66" s="272">
        <f ca="1">+H61*0.2406</f>
        <v>79312.496547289295</v>
      </c>
      <c r="I66" s="131"/>
      <c r="L66" s="132">
        <v>91431</v>
      </c>
      <c r="M66" s="132"/>
      <c r="N66" s="132"/>
    </row>
    <row r="67" spans="1:14" x14ac:dyDescent="0.25">
      <c r="A67" s="133" t="s">
        <v>194</v>
      </c>
      <c r="B67" s="134" t="s">
        <v>128</v>
      </c>
      <c r="C67" s="132">
        <v>0</v>
      </c>
      <c r="D67" s="132">
        <v>39532</v>
      </c>
      <c r="E67" s="132">
        <v>0</v>
      </c>
      <c r="F67" s="124">
        <f t="shared" si="8"/>
        <v>39532</v>
      </c>
      <c r="G67" s="124">
        <f>-F67</f>
        <v>-39532</v>
      </c>
      <c r="H67" s="132">
        <f>F67+G67</f>
        <v>0</v>
      </c>
      <c r="I67" s="138" t="s">
        <v>239</v>
      </c>
      <c r="L67" s="132">
        <v>39532</v>
      </c>
      <c r="M67" s="132"/>
      <c r="N67" s="132"/>
    </row>
    <row r="68" spans="1:14" x14ac:dyDescent="0.25">
      <c r="A68" s="133" t="s">
        <v>195</v>
      </c>
      <c r="B68" s="134" t="s">
        <v>130</v>
      </c>
      <c r="C68" s="132">
        <v>0</v>
      </c>
      <c r="D68" s="132">
        <v>0</v>
      </c>
      <c r="E68" s="132">
        <v>6366</v>
      </c>
      <c r="F68" s="124">
        <f t="shared" si="8"/>
        <v>-6366</v>
      </c>
      <c r="G68" s="124">
        <f>-F68</f>
        <v>6366</v>
      </c>
      <c r="H68" s="132">
        <f>F68+G68</f>
        <v>0</v>
      </c>
      <c r="I68" s="138" t="s">
        <v>239</v>
      </c>
      <c r="L68" s="132">
        <v>-6366</v>
      </c>
      <c r="M68" s="132"/>
      <c r="N68" s="132">
        <f>-SUM(G67:G68)</f>
        <v>33166</v>
      </c>
    </row>
    <row r="69" spans="1:14" x14ac:dyDescent="0.25">
      <c r="A69" s="133" t="s">
        <v>196</v>
      </c>
      <c r="B69" s="134" t="s">
        <v>132</v>
      </c>
      <c r="C69" s="132">
        <v>13940</v>
      </c>
      <c r="D69" s="132">
        <v>0</v>
      </c>
      <c r="E69" s="132">
        <v>0</v>
      </c>
      <c r="F69" s="132">
        <f t="shared" si="8"/>
        <v>13940</v>
      </c>
      <c r="G69" s="132">
        <f t="shared" si="10"/>
        <v>0</v>
      </c>
      <c r="H69" s="132">
        <f t="shared" ref="H69:H85" si="11">F69</f>
        <v>13940</v>
      </c>
      <c r="I69" s="131"/>
      <c r="L69" s="132">
        <v>13940</v>
      </c>
      <c r="M69" s="132"/>
      <c r="N69" s="132"/>
    </row>
    <row r="70" spans="1:14" x14ac:dyDescent="0.25">
      <c r="A70" s="133" t="s">
        <v>197</v>
      </c>
      <c r="B70" s="134" t="s">
        <v>134</v>
      </c>
      <c r="C70" s="132">
        <v>14745</v>
      </c>
      <c r="D70" s="132">
        <v>0</v>
      </c>
      <c r="E70" s="132">
        <v>0</v>
      </c>
      <c r="F70" s="132">
        <f t="shared" si="8"/>
        <v>14745</v>
      </c>
      <c r="G70" s="132">
        <f t="shared" si="10"/>
        <v>0</v>
      </c>
      <c r="H70" s="132">
        <f t="shared" si="11"/>
        <v>14745</v>
      </c>
      <c r="I70" s="131"/>
      <c r="L70" s="132">
        <v>14745</v>
      </c>
      <c r="M70" s="132"/>
      <c r="N70" s="132"/>
    </row>
    <row r="71" spans="1:14" x14ac:dyDescent="0.25">
      <c r="A71" s="133" t="s">
        <v>198</v>
      </c>
      <c r="B71" s="134" t="s">
        <v>136</v>
      </c>
      <c r="C71" s="132">
        <v>8895</v>
      </c>
      <c r="D71" s="132">
        <v>0</v>
      </c>
      <c r="E71" s="132">
        <v>0</v>
      </c>
      <c r="F71" s="132">
        <f t="shared" si="8"/>
        <v>8895</v>
      </c>
      <c r="G71" s="132">
        <f t="shared" si="10"/>
        <v>0</v>
      </c>
      <c r="H71" s="132">
        <f t="shared" si="11"/>
        <v>8895</v>
      </c>
      <c r="I71" s="131"/>
      <c r="L71" s="132">
        <v>8895</v>
      </c>
      <c r="M71" s="132"/>
      <c r="N71" s="132"/>
    </row>
    <row r="72" spans="1:14" x14ac:dyDescent="0.25">
      <c r="A72" s="133" t="s">
        <v>199</v>
      </c>
      <c r="B72" s="134" t="s">
        <v>138</v>
      </c>
      <c r="C72" s="132">
        <v>5104</v>
      </c>
      <c r="D72" s="132">
        <v>0</v>
      </c>
      <c r="E72" s="132">
        <v>0</v>
      </c>
      <c r="F72" s="132">
        <f t="shared" si="8"/>
        <v>5104</v>
      </c>
      <c r="G72" s="132">
        <f t="shared" si="10"/>
        <v>0</v>
      </c>
      <c r="H72" s="132">
        <f t="shared" si="11"/>
        <v>5104</v>
      </c>
      <c r="I72" s="131"/>
      <c r="L72" s="132">
        <v>5104</v>
      </c>
      <c r="M72" s="132"/>
      <c r="N72" s="132"/>
    </row>
    <row r="73" spans="1:14" x14ac:dyDescent="0.25">
      <c r="A73" s="133" t="s">
        <v>200</v>
      </c>
      <c r="B73" s="134" t="s">
        <v>169</v>
      </c>
      <c r="C73" s="132">
        <v>40481</v>
      </c>
      <c r="D73" s="132">
        <v>0</v>
      </c>
      <c r="E73" s="132">
        <v>0</v>
      </c>
      <c r="F73" s="132">
        <f t="shared" si="8"/>
        <v>40481</v>
      </c>
      <c r="G73" s="132">
        <f t="shared" si="10"/>
        <v>0</v>
      </c>
      <c r="H73" s="132">
        <f t="shared" si="11"/>
        <v>40481</v>
      </c>
      <c r="I73" s="131"/>
      <c r="L73" s="132">
        <v>40481</v>
      </c>
      <c r="M73" s="132"/>
      <c r="N73" s="132"/>
    </row>
    <row r="74" spans="1:14" x14ac:dyDescent="0.25">
      <c r="A74" s="133" t="s">
        <v>201</v>
      </c>
      <c r="B74" s="134" t="s">
        <v>70</v>
      </c>
      <c r="C74" s="132">
        <v>19348</v>
      </c>
      <c r="D74" s="132">
        <v>0</v>
      </c>
      <c r="E74" s="132">
        <v>0</v>
      </c>
      <c r="F74" s="132">
        <f t="shared" si="8"/>
        <v>19348</v>
      </c>
      <c r="G74" s="132">
        <f t="shared" si="10"/>
        <v>0</v>
      </c>
      <c r="H74" s="132">
        <f t="shared" si="11"/>
        <v>19348</v>
      </c>
      <c r="I74" s="131"/>
      <c r="L74" s="132">
        <v>19348</v>
      </c>
      <c r="M74" s="132"/>
      <c r="N74" s="132"/>
    </row>
    <row r="75" spans="1:14" x14ac:dyDescent="0.25">
      <c r="A75" s="133" t="s">
        <v>202</v>
      </c>
      <c r="B75" s="134" t="s">
        <v>173</v>
      </c>
      <c r="C75" s="132">
        <v>0</v>
      </c>
      <c r="D75" s="132">
        <v>0</v>
      </c>
      <c r="E75" s="132">
        <v>0</v>
      </c>
      <c r="F75" s="132">
        <f t="shared" si="8"/>
        <v>0</v>
      </c>
      <c r="G75" s="132">
        <f t="shared" si="10"/>
        <v>0</v>
      </c>
      <c r="H75" s="132">
        <f t="shared" si="11"/>
        <v>0</v>
      </c>
      <c r="I75" s="131"/>
      <c r="L75" s="132">
        <v>0</v>
      </c>
      <c r="M75" s="132"/>
      <c r="N75" s="132"/>
    </row>
    <row r="76" spans="1:14" x14ac:dyDescent="0.25">
      <c r="A76" s="133" t="s">
        <v>203</v>
      </c>
      <c r="B76" s="134" t="s">
        <v>141</v>
      </c>
      <c r="C76" s="132">
        <v>1493</v>
      </c>
      <c r="D76" s="132">
        <v>0</v>
      </c>
      <c r="E76" s="132">
        <v>0</v>
      </c>
      <c r="F76" s="132">
        <f t="shared" si="8"/>
        <v>1493</v>
      </c>
      <c r="G76" s="132">
        <f t="shared" si="10"/>
        <v>0</v>
      </c>
      <c r="H76" s="132">
        <f t="shared" si="11"/>
        <v>1493</v>
      </c>
      <c r="I76" s="131"/>
      <c r="L76" s="132">
        <v>1493</v>
      </c>
      <c r="M76" s="132"/>
      <c r="N76" s="132"/>
    </row>
    <row r="77" spans="1:14" x14ac:dyDescent="0.25">
      <c r="A77" s="133" t="s">
        <v>204</v>
      </c>
      <c r="B77" s="134" t="s">
        <v>145</v>
      </c>
      <c r="C77" s="132">
        <v>2183</v>
      </c>
      <c r="D77" s="132">
        <v>0</v>
      </c>
      <c r="E77" s="132">
        <v>0</v>
      </c>
      <c r="F77" s="132">
        <f t="shared" si="8"/>
        <v>2183</v>
      </c>
      <c r="G77" s="132">
        <f t="shared" si="10"/>
        <v>0</v>
      </c>
      <c r="H77" s="132">
        <f t="shared" si="11"/>
        <v>2183</v>
      </c>
      <c r="I77" s="131"/>
      <c r="L77" s="132">
        <v>2183</v>
      </c>
      <c r="M77" s="132"/>
      <c r="N77" s="132"/>
    </row>
    <row r="78" spans="1:14" x14ac:dyDescent="0.25">
      <c r="A78" s="133" t="s">
        <v>205</v>
      </c>
      <c r="B78" s="134" t="s">
        <v>72</v>
      </c>
      <c r="C78" s="132">
        <v>154</v>
      </c>
      <c r="D78" s="132">
        <v>0</v>
      </c>
      <c r="E78" s="132">
        <v>0</v>
      </c>
      <c r="F78" s="132">
        <f t="shared" si="8"/>
        <v>154</v>
      </c>
      <c r="G78" s="132">
        <f t="shared" si="10"/>
        <v>0</v>
      </c>
      <c r="H78" s="132">
        <f t="shared" si="11"/>
        <v>154</v>
      </c>
      <c r="I78" s="131"/>
      <c r="L78" s="132">
        <v>154</v>
      </c>
      <c r="M78" s="132"/>
      <c r="N78" s="132"/>
    </row>
    <row r="79" spans="1:14" x14ac:dyDescent="0.25">
      <c r="A79" s="133" t="s">
        <v>206</v>
      </c>
      <c r="B79" s="134" t="s">
        <v>148</v>
      </c>
      <c r="C79" s="132">
        <v>667</v>
      </c>
      <c r="D79" s="132">
        <v>0</v>
      </c>
      <c r="E79" s="132">
        <v>0</v>
      </c>
      <c r="F79" s="132">
        <f t="shared" si="8"/>
        <v>667</v>
      </c>
      <c r="G79" s="132">
        <f t="shared" si="10"/>
        <v>0</v>
      </c>
      <c r="H79" s="132">
        <f t="shared" si="11"/>
        <v>667</v>
      </c>
      <c r="I79" s="131"/>
      <c r="L79" s="132">
        <v>667</v>
      </c>
      <c r="M79" s="132"/>
      <c r="N79" s="132"/>
    </row>
    <row r="80" spans="1:14" x14ac:dyDescent="0.25">
      <c r="A80" s="133" t="s">
        <v>207</v>
      </c>
      <c r="B80" s="134" t="s">
        <v>150</v>
      </c>
      <c r="C80" s="132">
        <v>10544</v>
      </c>
      <c r="D80" s="132">
        <v>0</v>
      </c>
      <c r="E80" s="132">
        <v>0</v>
      </c>
      <c r="F80" s="132">
        <f t="shared" si="8"/>
        <v>10544</v>
      </c>
      <c r="G80" s="132">
        <f t="shared" si="10"/>
        <v>0</v>
      </c>
      <c r="H80" s="132">
        <f t="shared" si="11"/>
        <v>10544</v>
      </c>
      <c r="I80" s="131"/>
      <c r="L80" s="132">
        <v>10544</v>
      </c>
      <c r="M80" s="132"/>
      <c r="N80" s="132"/>
    </row>
    <row r="81" spans="1:16" x14ac:dyDescent="0.25">
      <c r="A81" s="133" t="s">
        <v>208</v>
      </c>
      <c r="B81" s="134" t="s">
        <v>152</v>
      </c>
      <c r="C81" s="132">
        <v>1219</v>
      </c>
      <c r="D81" s="132">
        <v>0</v>
      </c>
      <c r="E81" s="132">
        <v>0</v>
      </c>
      <c r="F81" s="132">
        <f t="shared" si="8"/>
        <v>1219</v>
      </c>
      <c r="G81" s="132">
        <f t="shared" si="10"/>
        <v>0</v>
      </c>
      <c r="H81" s="132">
        <f t="shared" si="11"/>
        <v>1219</v>
      </c>
      <c r="I81" s="131"/>
      <c r="L81" s="132">
        <v>1219</v>
      </c>
      <c r="M81" s="132"/>
      <c r="N81" s="132"/>
    </row>
    <row r="82" spans="1:16" x14ac:dyDescent="0.25">
      <c r="A82" s="133" t="s">
        <v>209</v>
      </c>
      <c r="B82" s="134" t="s">
        <v>210</v>
      </c>
      <c r="C82" s="132">
        <v>0</v>
      </c>
      <c r="D82" s="132">
        <v>0</v>
      </c>
      <c r="E82" s="132">
        <v>0</v>
      </c>
      <c r="F82" s="132">
        <f t="shared" si="8"/>
        <v>0</v>
      </c>
      <c r="G82" s="132">
        <f t="shared" si="10"/>
        <v>0</v>
      </c>
      <c r="H82" s="132">
        <f t="shared" si="11"/>
        <v>0</v>
      </c>
      <c r="I82" s="131"/>
      <c r="L82" s="132">
        <v>0</v>
      </c>
      <c r="M82" s="132"/>
      <c r="N82" s="132"/>
    </row>
    <row r="83" spans="1:16" x14ac:dyDescent="0.25">
      <c r="A83" s="133" t="s">
        <v>211</v>
      </c>
      <c r="B83" s="134" t="s">
        <v>212</v>
      </c>
      <c r="C83" s="132">
        <v>21119</v>
      </c>
      <c r="D83" s="132">
        <v>0</v>
      </c>
      <c r="E83" s="132">
        <v>0</v>
      </c>
      <c r="F83" s="132">
        <f t="shared" si="8"/>
        <v>21119</v>
      </c>
      <c r="G83" s="132">
        <f t="shared" si="10"/>
        <v>0</v>
      </c>
      <c r="H83" s="132">
        <f t="shared" si="11"/>
        <v>21119</v>
      </c>
      <c r="I83" s="131"/>
      <c r="L83" s="132">
        <v>21119</v>
      </c>
      <c r="M83" s="132"/>
      <c r="N83" s="132"/>
    </row>
    <row r="84" spans="1:16" x14ac:dyDescent="0.25">
      <c r="A84" s="133" t="s">
        <v>213</v>
      </c>
      <c r="B84" s="134" t="s">
        <v>184</v>
      </c>
      <c r="C84" s="132">
        <v>29460</v>
      </c>
      <c r="D84" s="132">
        <v>0</v>
      </c>
      <c r="E84" s="132">
        <v>0</v>
      </c>
      <c r="F84" s="132">
        <f t="shared" si="8"/>
        <v>29460</v>
      </c>
      <c r="G84" s="132">
        <f t="shared" si="10"/>
        <v>0</v>
      </c>
      <c r="H84" s="132">
        <f t="shared" si="11"/>
        <v>29460</v>
      </c>
      <c r="I84" s="131"/>
      <c r="L84" s="132">
        <v>29460</v>
      </c>
      <c r="M84" s="132"/>
      <c r="N84" s="132"/>
    </row>
    <row r="85" spans="1:16" x14ac:dyDescent="0.25">
      <c r="A85" s="133" t="s">
        <v>214</v>
      </c>
      <c r="B85" s="134" t="s">
        <v>154</v>
      </c>
      <c r="C85" s="132">
        <v>74</v>
      </c>
      <c r="D85" s="132">
        <v>0</v>
      </c>
      <c r="E85" s="132">
        <v>0</v>
      </c>
      <c r="F85" s="132">
        <f t="shared" si="8"/>
        <v>74</v>
      </c>
      <c r="G85" s="132">
        <f t="shared" si="10"/>
        <v>0</v>
      </c>
      <c r="H85" s="132">
        <f t="shared" si="11"/>
        <v>74</v>
      </c>
      <c r="I85" s="131"/>
      <c r="L85" s="132">
        <v>74</v>
      </c>
      <c r="M85" s="132"/>
      <c r="N85" s="132"/>
    </row>
    <row r="86" spans="1:16" ht="17.25" x14ac:dyDescent="0.4">
      <c r="A86" s="133" t="s">
        <v>215</v>
      </c>
      <c r="B86" s="134" t="s">
        <v>216</v>
      </c>
      <c r="C86" s="122">
        <v>-55166</v>
      </c>
      <c r="D86" s="122">
        <v>16091</v>
      </c>
      <c r="E86" s="122">
        <v>0</v>
      </c>
      <c r="F86" s="122">
        <f t="shared" si="8"/>
        <v>-39075</v>
      </c>
      <c r="G86" s="122">
        <f t="shared" si="10"/>
        <v>34075</v>
      </c>
      <c r="H86" s="122">
        <v>-5000</v>
      </c>
      <c r="I86" s="199" t="s">
        <v>217</v>
      </c>
      <c r="L86" s="122">
        <v>-5000</v>
      </c>
      <c r="M86" s="122"/>
      <c r="N86" s="122"/>
    </row>
    <row r="87" spans="1:16" x14ac:dyDescent="0.25">
      <c r="A87" s="125"/>
      <c r="B87" s="123" t="s">
        <v>218</v>
      </c>
      <c r="C87" s="127">
        <f>SUM(C61:C86)</f>
        <v>540523</v>
      </c>
      <c r="D87" s="127">
        <f t="shared" ref="D87:F87" si="12">SUM(D61:D86)</f>
        <v>55623</v>
      </c>
      <c r="E87" s="127">
        <f t="shared" si="12"/>
        <v>6366</v>
      </c>
      <c r="F87" s="127">
        <f t="shared" si="12"/>
        <v>589780</v>
      </c>
      <c r="G87" s="367">
        <f ca="1">SUM(G61:G86)</f>
        <v>102626.21021874464</v>
      </c>
      <c r="H87" s="367">
        <f ca="1">SUM(H61:H86)</f>
        <v>688459.2102187447</v>
      </c>
      <c r="I87" s="128"/>
      <c r="L87" s="127">
        <v>782580.27160002675</v>
      </c>
      <c r="M87" s="127"/>
      <c r="N87" s="127"/>
      <c r="P87" s="137"/>
    </row>
    <row r="88" spans="1:16" x14ac:dyDescent="0.25">
      <c r="A88" s="125"/>
      <c r="B88" s="123"/>
      <c r="C88" s="127"/>
      <c r="D88" s="127"/>
      <c r="E88" s="127"/>
      <c r="F88" s="127"/>
      <c r="G88" s="127"/>
      <c r="H88" s="127"/>
      <c r="I88" s="128"/>
    </row>
    <row r="89" spans="1:16" x14ac:dyDescent="0.25">
      <c r="A89" s="123" t="s">
        <v>219</v>
      </c>
      <c r="B89" s="134"/>
      <c r="C89" s="132"/>
      <c r="D89" s="132"/>
      <c r="E89" s="132"/>
      <c r="F89" s="132"/>
      <c r="G89" s="132"/>
      <c r="H89" s="132"/>
      <c r="I89" s="131"/>
    </row>
    <row r="90" spans="1:16" x14ac:dyDescent="0.25">
      <c r="A90" s="133" t="s">
        <v>220</v>
      </c>
      <c r="B90" s="134" t="s">
        <v>221</v>
      </c>
      <c r="C90" s="132">
        <v>9000</v>
      </c>
      <c r="D90" s="132">
        <v>0</v>
      </c>
      <c r="E90" s="132">
        <v>0</v>
      </c>
      <c r="F90" s="132">
        <f>C90+D90-E90</f>
        <v>9000</v>
      </c>
      <c r="G90" s="132">
        <f t="shared" ref="G90:G92" si="13">H90-F90</f>
        <v>0</v>
      </c>
      <c r="H90" s="132">
        <f>F90</f>
        <v>9000</v>
      </c>
      <c r="I90" s="131"/>
      <c r="L90" s="132">
        <v>9000</v>
      </c>
      <c r="M90" s="132"/>
      <c r="N90" s="132"/>
    </row>
    <row r="91" spans="1:16" x14ac:dyDescent="0.25">
      <c r="A91" s="133" t="s">
        <v>222</v>
      </c>
      <c r="B91" s="134" t="s">
        <v>70</v>
      </c>
      <c r="C91" s="132">
        <v>4971</v>
      </c>
      <c r="D91" s="132">
        <v>0</v>
      </c>
      <c r="E91" s="132">
        <v>0</v>
      </c>
      <c r="F91" s="132">
        <f>C91+D91-E91</f>
        <v>4971</v>
      </c>
      <c r="G91" s="132">
        <f t="shared" si="13"/>
        <v>0</v>
      </c>
      <c r="H91" s="132">
        <f>F91</f>
        <v>4971</v>
      </c>
      <c r="I91" s="131"/>
      <c r="L91" s="132">
        <v>4971</v>
      </c>
      <c r="M91" s="132"/>
      <c r="N91" s="132"/>
    </row>
    <row r="92" spans="1:16" ht="17.25" x14ac:dyDescent="0.4">
      <c r="A92" s="133" t="s">
        <v>223</v>
      </c>
      <c r="B92" s="134" t="s">
        <v>224</v>
      </c>
      <c r="C92" s="122">
        <v>10058</v>
      </c>
      <c r="D92" s="122">
        <v>0</v>
      </c>
      <c r="E92" s="122">
        <v>0</v>
      </c>
      <c r="F92" s="122">
        <f>C92+D92-E92</f>
        <v>10058</v>
      </c>
      <c r="G92" s="122">
        <f t="shared" si="13"/>
        <v>-4058</v>
      </c>
      <c r="H92" s="135">
        <f>6000</f>
        <v>6000</v>
      </c>
      <c r="I92" s="131" t="s">
        <v>225</v>
      </c>
      <c r="L92" s="135">
        <v>6000</v>
      </c>
      <c r="M92" s="132"/>
      <c r="N92" s="132"/>
    </row>
    <row r="93" spans="1:16" x14ac:dyDescent="0.25">
      <c r="A93" s="125"/>
      <c r="B93" s="123" t="s">
        <v>226</v>
      </c>
      <c r="C93" s="127">
        <f>SUM(C90:C92)</f>
        <v>24029</v>
      </c>
      <c r="D93" s="127">
        <f t="shared" ref="D93:F93" si="14">SUM(D90:D92)</f>
        <v>0</v>
      </c>
      <c r="E93" s="127">
        <f t="shared" si="14"/>
        <v>0</v>
      </c>
      <c r="F93" s="127">
        <f t="shared" si="14"/>
        <v>24029</v>
      </c>
      <c r="G93" s="127">
        <f>SUM(G90:G92)</f>
        <v>-4058</v>
      </c>
      <c r="H93" s="127">
        <f>SUM(H90:H92)</f>
        <v>19971</v>
      </c>
      <c r="I93" s="128"/>
      <c r="L93" s="127">
        <v>19971</v>
      </c>
      <c r="M93" s="127"/>
      <c r="N93" s="127"/>
    </row>
    <row r="94" spans="1:16" x14ac:dyDescent="0.25">
      <c r="A94" s="125"/>
      <c r="B94" s="123"/>
      <c r="C94" s="127"/>
      <c r="D94" s="127"/>
      <c r="E94" s="127"/>
      <c r="F94" s="127"/>
      <c r="G94" s="127"/>
      <c r="H94" s="127"/>
      <c r="I94" s="128"/>
      <c r="L94" s="127"/>
      <c r="M94" s="127"/>
      <c r="N94" s="127"/>
    </row>
    <row r="95" spans="1:16" x14ac:dyDescent="0.25">
      <c r="A95" s="133" t="s">
        <v>227</v>
      </c>
      <c r="B95" s="134" t="s">
        <v>228</v>
      </c>
      <c r="C95" s="132">
        <v>8975</v>
      </c>
      <c r="D95" s="132">
        <v>0</v>
      </c>
      <c r="E95" s="132">
        <v>0</v>
      </c>
      <c r="F95" s="132">
        <f>C95+D95-E95</f>
        <v>8975</v>
      </c>
      <c r="G95" s="132">
        <f t="shared" ref="G95:G98" si="15">H95-F95</f>
        <v>-912</v>
      </c>
      <c r="H95" s="129">
        <v>8063</v>
      </c>
      <c r="I95" s="131" t="s">
        <v>229</v>
      </c>
      <c r="L95" s="129">
        <v>8063</v>
      </c>
      <c r="M95" s="129"/>
      <c r="N95" s="129"/>
    </row>
    <row r="96" spans="1:16" x14ac:dyDescent="0.25">
      <c r="A96" s="133" t="s">
        <v>230</v>
      </c>
      <c r="B96" s="134" t="s">
        <v>231</v>
      </c>
      <c r="C96" s="132">
        <v>53472</v>
      </c>
      <c r="D96" s="132">
        <v>0</v>
      </c>
      <c r="E96" s="132">
        <v>0</v>
      </c>
      <c r="F96" s="132">
        <f>C96+D96-E96</f>
        <v>53472</v>
      </c>
      <c r="G96" s="132">
        <f t="shared" si="15"/>
        <v>40260</v>
      </c>
      <c r="H96" s="129">
        <v>93732</v>
      </c>
      <c r="I96" s="131" t="s">
        <v>232</v>
      </c>
      <c r="L96" s="129">
        <v>93732</v>
      </c>
      <c r="M96" s="129"/>
      <c r="N96" s="129"/>
    </row>
    <row r="97" spans="1:17" x14ac:dyDescent="0.25">
      <c r="A97" s="133" t="s">
        <v>233</v>
      </c>
      <c r="B97" s="134" t="s">
        <v>2</v>
      </c>
      <c r="C97" s="132">
        <v>805291</v>
      </c>
      <c r="D97" s="132">
        <v>0</v>
      </c>
      <c r="E97" s="132">
        <v>2259</v>
      </c>
      <c r="F97" s="132">
        <f>C97+D97-E97</f>
        <v>803032</v>
      </c>
      <c r="G97" s="132">
        <f t="shared" si="15"/>
        <v>-7906.0696283689467</v>
      </c>
      <c r="H97" s="129">
        <v>795125.93037163105</v>
      </c>
      <c r="I97" s="131" t="s">
        <v>234</v>
      </c>
      <c r="L97" s="129">
        <v>795125.93037163059</v>
      </c>
      <c r="M97" s="129"/>
      <c r="N97" s="129"/>
    </row>
    <row r="98" spans="1:17" ht="17.25" x14ac:dyDescent="0.4">
      <c r="A98" s="133" t="s">
        <v>235</v>
      </c>
      <c r="B98" s="134" t="s">
        <v>236</v>
      </c>
      <c r="C98" s="122">
        <v>2537</v>
      </c>
      <c r="D98" s="122">
        <v>0</v>
      </c>
      <c r="E98" s="122">
        <v>0</v>
      </c>
      <c r="F98" s="122">
        <f>C98+D98-E98</f>
        <v>2537</v>
      </c>
      <c r="G98" s="122">
        <f t="shared" si="15"/>
        <v>0</v>
      </c>
      <c r="H98" s="122">
        <f>F98</f>
        <v>2537</v>
      </c>
      <c r="I98" s="131"/>
      <c r="L98" s="122">
        <v>2537</v>
      </c>
      <c r="M98" s="122"/>
      <c r="N98" s="122"/>
    </row>
    <row r="99" spans="1:17" x14ac:dyDescent="0.25">
      <c r="A99" s="125"/>
      <c r="B99" s="123" t="s">
        <v>237</v>
      </c>
      <c r="C99" s="127">
        <f>SUM(C95:C98)</f>
        <v>870275</v>
      </c>
      <c r="D99" s="127">
        <f t="shared" ref="D99:F99" si="16">SUM(D95:D98)</f>
        <v>0</v>
      </c>
      <c r="E99" s="127">
        <f t="shared" si="16"/>
        <v>2259</v>
      </c>
      <c r="F99" s="127">
        <f t="shared" si="16"/>
        <v>868016</v>
      </c>
      <c r="G99" s="127">
        <f>SUM(G95:G98)</f>
        <v>31441.930371631053</v>
      </c>
      <c r="H99" s="129">
        <f>SUM(H95:H98)</f>
        <v>899457.93037163105</v>
      </c>
      <c r="I99" s="131"/>
      <c r="L99" s="129">
        <v>899457.93037163059</v>
      </c>
      <c r="M99" s="129"/>
      <c r="N99" s="129"/>
    </row>
    <row r="100" spans="1:17" x14ac:dyDescent="0.25">
      <c r="A100" s="125"/>
      <c r="B100" s="123"/>
      <c r="C100" s="127"/>
      <c r="D100" s="127"/>
      <c r="E100" s="127"/>
      <c r="F100" s="127"/>
      <c r="G100" s="127"/>
      <c r="H100" s="129"/>
      <c r="I100" s="131"/>
      <c r="L100" s="129"/>
      <c r="M100" s="129"/>
      <c r="N100" s="129"/>
    </row>
    <row r="101" spans="1:17" x14ac:dyDescent="0.25">
      <c r="A101" s="125"/>
      <c r="B101" s="123" t="s">
        <v>238</v>
      </c>
      <c r="C101" s="127"/>
      <c r="D101" s="127"/>
      <c r="E101" s="127"/>
      <c r="F101" s="127"/>
      <c r="G101" s="127"/>
      <c r="H101" s="127">
        <f ca="1">H99+H93+H87+H58+H31</f>
        <v>2692028.0814706744</v>
      </c>
      <c r="I101" s="136"/>
      <c r="L101" s="127">
        <f>L99+L93+L87+L58+L31</f>
        <v>2907582.3009284432</v>
      </c>
      <c r="M101" s="127"/>
      <c r="N101" s="127"/>
      <c r="O101" s="137"/>
      <c r="P101" s="137"/>
      <c r="Q101" s="137"/>
    </row>
    <row r="102" spans="1:17" x14ac:dyDescent="0.25">
      <c r="A102" s="125"/>
      <c r="B102" s="123"/>
      <c r="C102" s="127"/>
      <c r="D102" s="127"/>
      <c r="E102" s="127"/>
      <c r="F102" s="127"/>
      <c r="G102" s="127"/>
      <c r="H102" s="127"/>
      <c r="I102" s="136"/>
      <c r="L102" s="42">
        <f>-(N17+N41+N68)</f>
        <v>-91110</v>
      </c>
      <c r="M102" s="42"/>
      <c r="N102" s="232" t="s">
        <v>240</v>
      </c>
    </row>
    <row r="103" spans="1:17" ht="17.25" x14ac:dyDescent="0.4">
      <c r="A103" s="125"/>
      <c r="B103" s="123"/>
      <c r="C103" s="247" t="s">
        <v>328</v>
      </c>
      <c r="D103" s="247"/>
      <c r="E103" s="248"/>
      <c r="F103" s="247"/>
      <c r="G103" s="247"/>
      <c r="H103" s="249">
        <f ca="1">H101-H99</f>
        <v>1792570.1510990434</v>
      </c>
      <c r="I103" s="136"/>
      <c r="L103" s="137">
        <f>+L102+L101</f>
        <v>2816472.3009284432</v>
      </c>
      <c r="M103" s="137"/>
      <c r="N103" s="232"/>
    </row>
    <row r="104" spans="1:17" x14ac:dyDescent="0.25">
      <c r="A104" s="125"/>
      <c r="B104" s="123"/>
      <c r="C104" s="127"/>
      <c r="D104" s="127"/>
      <c r="E104" s="127"/>
      <c r="F104" s="127"/>
      <c r="G104" s="127"/>
      <c r="H104" s="127"/>
      <c r="I104" s="136"/>
      <c r="L104" s="137">
        <f>-O12-O36-O63</f>
        <v>-71284.954899999953</v>
      </c>
      <c r="M104" s="137"/>
      <c r="N104" s="232" t="s">
        <v>241</v>
      </c>
    </row>
    <row r="105" spans="1:17" x14ac:dyDescent="0.25">
      <c r="A105" s="125"/>
      <c r="B105" s="123"/>
      <c r="C105" s="127"/>
      <c r="D105" s="127"/>
      <c r="E105" s="127"/>
      <c r="F105" s="127"/>
      <c r="G105" s="127"/>
      <c r="H105" s="127"/>
      <c r="I105" s="136"/>
      <c r="L105" s="137">
        <f>L103+L104</f>
        <v>2745187.3460284434</v>
      </c>
      <c r="M105" s="137"/>
      <c r="N105" s="232"/>
    </row>
    <row r="106" spans="1:17" x14ac:dyDescent="0.25">
      <c r="A106" s="125"/>
      <c r="B106" s="123"/>
      <c r="C106" s="127"/>
      <c r="D106" s="127"/>
      <c r="E106" s="127"/>
      <c r="F106" s="127"/>
      <c r="G106" s="127"/>
      <c r="H106" s="127"/>
      <c r="I106" s="136"/>
      <c r="L106" s="137">
        <f>-H99</f>
        <v>-899457.93037163105</v>
      </c>
      <c r="M106" s="137"/>
      <c r="N106" s="232" t="s">
        <v>267</v>
      </c>
    </row>
    <row r="107" spans="1:17" x14ac:dyDescent="0.25">
      <c r="A107" s="125"/>
      <c r="B107" s="123"/>
      <c r="C107" s="127"/>
      <c r="D107" s="127"/>
      <c r="E107" s="127"/>
      <c r="F107" s="127"/>
      <c r="G107" s="127"/>
      <c r="H107" s="127"/>
      <c r="I107" s="136"/>
      <c r="L107" s="137">
        <f>+L105+L106</f>
        <v>1845729.4156568125</v>
      </c>
      <c r="M107" s="137"/>
      <c r="N107" s="137"/>
    </row>
    <row r="108" spans="1:17" x14ac:dyDescent="0.25">
      <c r="A108" s="125"/>
      <c r="B108" s="123"/>
      <c r="C108" s="127"/>
      <c r="D108" s="127"/>
      <c r="E108" s="127"/>
      <c r="F108" s="127"/>
      <c r="G108" s="127"/>
      <c r="H108" s="127"/>
      <c r="I108" s="136"/>
      <c r="P108" s="137"/>
    </row>
    <row r="109" spans="1:17" x14ac:dyDescent="0.25">
      <c r="A109" s="125"/>
      <c r="B109" s="123"/>
      <c r="C109" s="127"/>
      <c r="D109" s="127"/>
      <c r="E109" s="127"/>
      <c r="F109" s="127"/>
      <c r="G109" s="127"/>
      <c r="H109" s="129"/>
      <c r="I109" s="136"/>
    </row>
    <row r="110" spans="1:17" x14ac:dyDescent="0.25">
      <c r="A110" s="131"/>
      <c r="B110" s="131"/>
      <c r="C110" s="132"/>
      <c r="D110" s="132"/>
      <c r="E110" s="132"/>
      <c r="F110" s="132"/>
      <c r="G110" s="132"/>
      <c r="H110" s="132"/>
      <c r="I110" s="131"/>
    </row>
  </sheetData>
  <mergeCells count="7">
    <mergeCell ref="R21:T22"/>
    <mergeCell ref="G6:G7"/>
    <mergeCell ref="H6:H7"/>
    <mergeCell ref="C6:C7"/>
    <mergeCell ref="D6:D7"/>
    <mergeCell ref="E6:E7"/>
    <mergeCell ref="F6:F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96"/>
  <sheetViews>
    <sheetView zoomScale="60" zoomScaleNormal="60" workbookViewId="0">
      <selection activeCell="I93" sqref="I93"/>
    </sheetView>
  </sheetViews>
  <sheetFormatPr defaultColWidth="8.88671875" defaultRowHeight="15" x14ac:dyDescent="0.25"/>
  <cols>
    <col min="1" max="1" width="1.77734375" style="42" customWidth="1"/>
    <col min="2" max="2" width="24.33203125" style="42" customWidth="1"/>
    <col min="3" max="3" width="9.6640625" style="42" customWidth="1"/>
    <col min="4" max="4" width="9.5546875" style="42" customWidth="1"/>
    <col min="5" max="5" width="8.6640625" style="42" customWidth="1"/>
    <col min="6" max="6" width="8.109375" style="42" hidden="1" customWidth="1"/>
    <col min="7" max="7" width="10.77734375" style="42" customWidth="1"/>
    <col min="8" max="8" width="11.21875" style="42" customWidth="1"/>
    <col min="9" max="9" width="9.44140625" style="42" customWidth="1"/>
    <col min="10" max="10" width="9.6640625" style="42" customWidth="1"/>
    <col min="11" max="11" width="1.109375" style="42" customWidth="1"/>
    <col min="12" max="12" width="12.6640625" style="42" customWidth="1"/>
    <col min="13" max="13" width="10.6640625" style="42" customWidth="1"/>
    <col min="14" max="14" width="13.109375" style="42" customWidth="1"/>
    <col min="15" max="15" width="16.21875" style="42" customWidth="1"/>
    <col min="16" max="16" width="10" style="42" customWidth="1"/>
    <col min="17" max="16384" width="8.88671875" style="42"/>
  </cols>
  <sheetData>
    <row r="2" spans="1:16" x14ac:dyDescent="0.25">
      <c r="A2" s="48"/>
      <c r="B2" s="49"/>
      <c r="C2" s="49"/>
      <c r="D2" s="49"/>
      <c r="E2" s="49"/>
      <c r="F2" s="49"/>
      <c r="G2" s="49"/>
      <c r="H2" s="49"/>
      <c r="I2" s="49"/>
      <c r="J2" s="50"/>
      <c r="K2" s="54"/>
    </row>
    <row r="3" spans="1:16" ht="18.75" x14ac:dyDescent="0.3">
      <c r="A3" s="383" t="s">
        <v>96</v>
      </c>
      <c r="B3" s="384"/>
      <c r="C3" s="384"/>
      <c r="D3" s="384"/>
      <c r="E3" s="384"/>
      <c r="F3" s="384"/>
      <c r="G3" s="384"/>
      <c r="H3" s="384"/>
      <c r="I3" s="384"/>
      <c r="J3" s="385"/>
      <c r="K3" s="111"/>
      <c r="L3" s="83"/>
    </row>
    <row r="4" spans="1:16" ht="18.75" x14ac:dyDescent="0.3">
      <c r="A4" s="386" t="s">
        <v>97</v>
      </c>
      <c r="B4" s="387"/>
      <c r="C4" s="387"/>
      <c r="D4" s="387"/>
      <c r="E4" s="387"/>
      <c r="F4" s="387"/>
      <c r="G4" s="387"/>
      <c r="H4" s="387"/>
      <c r="I4" s="387"/>
      <c r="J4" s="388"/>
      <c r="K4" s="112"/>
      <c r="L4" s="84"/>
      <c r="P4" s="42" t="s">
        <v>324</v>
      </c>
    </row>
    <row r="5" spans="1:16" ht="15.75" x14ac:dyDescent="0.25">
      <c r="A5" s="389"/>
      <c r="B5" s="390"/>
      <c r="C5" s="390"/>
      <c r="D5" s="390"/>
      <c r="E5" s="390"/>
      <c r="F5" s="390"/>
      <c r="G5" s="390"/>
      <c r="H5" s="390"/>
      <c r="I5" s="390"/>
      <c r="J5" s="391"/>
      <c r="K5" s="113"/>
      <c r="L5" s="89"/>
      <c r="O5" s="228" t="s">
        <v>325</v>
      </c>
      <c r="P5" s="42" t="s">
        <v>323</v>
      </c>
    </row>
    <row r="6" spans="1:16" ht="17.25" x14ac:dyDescent="0.4">
      <c r="A6" s="90"/>
      <c r="B6" s="54"/>
      <c r="C6" s="54"/>
      <c r="D6" s="54"/>
      <c r="E6" s="54"/>
      <c r="F6" s="54"/>
      <c r="G6" s="54"/>
      <c r="H6" s="54"/>
      <c r="I6" s="54"/>
      <c r="J6" s="52"/>
      <c r="K6" s="54"/>
      <c r="O6" s="43" t="s">
        <v>323</v>
      </c>
      <c r="P6" s="45" t="s">
        <v>322</v>
      </c>
    </row>
    <row r="7" spans="1:16" x14ac:dyDescent="0.25">
      <c r="A7" s="91"/>
      <c r="B7" s="54"/>
      <c r="C7" s="76" t="s">
        <v>242</v>
      </c>
      <c r="D7" s="76"/>
      <c r="E7" s="76"/>
      <c r="F7" s="76"/>
      <c r="G7" s="76" t="s">
        <v>66</v>
      </c>
      <c r="H7" s="76" t="s">
        <v>84</v>
      </c>
      <c r="I7" s="76" t="s">
        <v>20</v>
      </c>
      <c r="J7" s="80" t="s">
        <v>100</v>
      </c>
      <c r="K7" s="76"/>
      <c r="N7" s="42" t="s">
        <v>247</v>
      </c>
      <c r="O7" s="42">
        <v>3386</v>
      </c>
      <c r="P7" s="46">
        <f>O7/O9</f>
        <v>0.54054916985951473</v>
      </c>
    </row>
    <row r="8" spans="1:16" ht="17.25" x14ac:dyDescent="0.4">
      <c r="A8" s="91"/>
      <c r="B8" s="54"/>
      <c r="C8" s="76" t="s">
        <v>343</v>
      </c>
      <c r="D8" s="76" t="s">
        <v>66</v>
      </c>
      <c r="E8" s="76" t="s">
        <v>73</v>
      </c>
      <c r="F8" s="76"/>
      <c r="G8" s="76" t="s">
        <v>83</v>
      </c>
      <c r="H8" s="76" t="s">
        <v>85</v>
      </c>
      <c r="I8" s="76" t="s">
        <v>86</v>
      </c>
      <c r="J8" s="80" t="s">
        <v>87</v>
      </c>
      <c r="K8" s="76"/>
      <c r="N8" s="42" t="s">
        <v>248</v>
      </c>
      <c r="O8" s="45">
        <v>2878</v>
      </c>
      <c r="P8" s="46">
        <f>O8/O9</f>
        <v>0.45945083014048532</v>
      </c>
    </row>
    <row r="9" spans="1:16" x14ac:dyDescent="0.25">
      <c r="A9" s="91"/>
      <c r="B9" s="54"/>
      <c r="C9" s="54"/>
      <c r="D9" s="54"/>
      <c r="E9" s="54"/>
      <c r="F9" s="54"/>
      <c r="G9" s="54"/>
      <c r="H9" s="54"/>
      <c r="I9" s="54"/>
      <c r="J9" s="52"/>
      <c r="K9" s="54"/>
      <c r="N9" s="42" t="s">
        <v>249</v>
      </c>
      <c r="O9" s="42">
        <f>O8+O7</f>
        <v>6264</v>
      </c>
    </row>
    <row r="10" spans="1:16" x14ac:dyDescent="0.25">
      <c r="A10" s="123" t="s">
        <v>113</v>
      </c>
      <c r="B10" s="54"/>
      <c r="C10" s="54"/>
      <c r="D10" s="54"/>
      <c r="E10" s="54"/>
      <c r="F10" s="54"/>
      <c r="G10" s="54"/>
      <c r="H10" s="54"/>
      <c r="I10" s="54"/>
      <c r="J10" s="52"/>
      <c r="K10" s="54"/>
    </row>
    <row r="11" spans="1:16" x14ac:dyDescent="0.25">
      <c r="A11" s="91"/>
      <c r="B11" s="134" t="s">
        <v>245</v>
      </c>
      <c r="C11" s="54">
        <f>Proforma!H10-C12</f>
        <v>92844.450500000006</v>
      </c>
      <c r="D11" s="54">
        <f>C11*$P$7</f>
        <v>50186.990643837809</v>
      </c>
      <c r="E11" s="54">
        <f>C11-D11</f>
        <v>42657.459856162197</v>
      </c>
      <c r="F11" s="54"/>
      <c r="G11" s="54"/>
      <c r="H11" s="54"/>
      <c r="I11" s="256">
        <f>D11*0.83</f>
        <v>41655.202234385382</v>
      </c>
      <c r="J11" s="52">
        <f>D11-I11</f>
        <v>8531.788409452427</v>
      </c>
      <c r="K11" s="54"/>
    </row>
    <row r="12" spans="1:16" x14ac:dyDescent="0.25">
      <c r="A12" s="91"/>
      <c r="B12" s="134" t="s">
        <v>246</v>
      </c>
      <c r="C12" s="54">
        <f>mtrx!P15</f>
        <v>120619.41699999999</v>
      </c>
      <c r="D12" s="54">
        <f>C12*0.5</f>
        <v>60309.708499999993</v>
      </c>
      <c r="E12" s="54">
        <f>C12-D12</f>
        <v>60309.708499999993</v>
      </c>
      <c r="F12" s="54"/>
      <c r="G12" s="54"/>
      <c r="H12" s="54"/>
      <c r="I12" s="54"/>
      <c r="J12" s="52">
        <f>D12</f>
        <v>60309.708499999993</v>
      </c>
      <c r="K12" s="54"/>
      <c r="N12" s="13"/>
      <c r="O12" s="229" t="s">
        <v>347</v>
      </c>
      <c r="P12" s="229" t="s">
        <v>326</v>
      </c>
    </row>
    <row r="13" spans="1:16" x14ac:dyDescent="0.25">
      <c r="A13" s="91"/>
      <c r="B13" s="134" t="s">
        <v>117</v>
      </c>
      <c r="C13" s="54">
        <f>Proforma!H11</f>
        <v>16330</v>
      </c>
      <c r="D13" s="54">
        <f>C13*$P$23</f>
        <v>8453.0048019432197</v>
      </c>
      <c r="E13" s="54">
        <f>C13-D13</f>
        <v>7876.9951980567803</v>
      </c>
      <c r="F13" s="54"/>
      <c r="G13" s="54"/>
      <c r="H13" s="54"/>
      <c r="I13" s="54">
        <f>D13*$P$26</f>
        <v>3186.6257294692423</v>
      </c>
      <c r="J13" s="52">
        <f>D13-I13</f>
        <v>5266.3790724739774</v>
      </c>
      <c r="K13" s="54"/>
      <c r="N13" s="140" t="s">
        <v>243</v>
      </c>
      <c r="O13" s="141">
        <v>46500</v>
      </c>
      <c r="P13" s="142">
        <f>O13*1.025</f>
        <v>47662.499999999993</v>
      </c>
    </row>
    <row r="14" spans="1:16" ht="17.25" x14ac:dyDescent="0.4">
      <c r="A14" s="91"/>
      <c r="B14" s="134" t="s">
        <v>120</v>
      </c>
      <c r="C14" s="54">
        <f>Proforma!H12</f>
        <v>39390.581850000002</v>
      </c>
      <c r="D14" s="54">
        <f t="shared" ref="D14:D17" si="0">C14*$P$23</f>
        <v>20390.004747666102</v>
      </c>
      <c r="E14" s="54">
        <f t="shared" ref="E14:E19" si="1">C14-D14</f>
        <v>19000.5771023339</v>
      </c>
      <c r="F14" s="54"/>
      <c r="G14" s="54"/>
      <c r="H14" s="54"/>
      <c r="I14" s="54">
        <f t="shared" ref="I14:I17" si="2">D14*$P$26</f>
        <v>7686.6528856077257</v>
      </c>
      <c r="J14" s="52">
        <f t="shared" ref="J14:J17" si="3">D14-I14</f>
        <v>12703.351862058376</v>
      </c>
      <c r="K14" s="54"/>
      <c r="N14" s="140" t="s">
        <v>244</v>
      </c>
      <c r="O14" s="143">
        <v>71177.48</v>
      </c>
      <c r="P14" s="144">
        <f>O14*1.025</f>
        <v>72956.916999999987</v>
      </c>
    </row>
    <row r="15" spans="1:16" x14ac:dyDescent="0.25">
      <c r="A15" s="91"/>
      <c r="B15" s="134" t="s">
        <v>122</v>
      </c>
      <c r="C15" s="54">
        <f>Proforma!H13</f>
        <v>940</v>
      </c>
      <c r="D15" s="54">
        <f t="shared" si="0"/>
        <v>486.5783535717469</v>
      </c>
      <c r="E15" s="54">
        <f t="shared" si="1"/>
        <v>453.4216464282531</v>
      </c>
      <c r="F15" s="54"/>
      <c r="G15" s="54"/>
      <c r="H15" s="54"/>
      <c r="I15" s="54">
        <f t="shared" si="2"/>
        <v>183.4309972872681</v>
      </c>
      <c r="J15" s="52">
        <f t="shared" si="3"/>
        <v>303.1473562844788</v>
      </c>
      <c r="K15" s="54"/>
      <c r="N15" s="13"/>
      <c r="O15" s="114"/>
      <c r="P15" s="142">
        <f>SUM(P13:P14)</f>
        <v>120619.41699999999</v>
      </c>
    </row>
    <row r="16" spans="1:16" x14ac:dyDescent="0.25">
      <c r="A16" s="91"/>
      <c r="B16" s="134" t="s">
        <v>124</v>
      </c>
      <c r="C16" s="54">
        <f>Proforma!H14</f>
        <v>7323</v>
      </c>
      <c r="D16" s="54">
        <f t="shared" si="0"/>
        <v>3790.6524289424497</v>
      </c>
      <c r="E16" s="54">
        <f t="shared" si="1"/>
        <v>3532.3475710575503</v>
      </c>
      <c r="F16" s="54"/>
      <c r="G16" s="54"/>
      <c r="H16" s="54"/>
      <c r="I16" s="54">
        <f t="shared" si="2"/>
        <v>1429.005524611345</v>
      </c>
      <c r="J16" s="52">
        <f t="shared" si="3"/>
        <v>2361.6469043311045</v>
      </c>
      <c r="K16" s="54"/>
      <c r="N16" s="86"/>
      <c r="O16" s="13"/>
      <c r="P16" s="44"/>
    </row>
    <row r="17" spans="1:18" x14ac:dyDescent="0.25">
      <c r="A17" s="91"/>
      <c r="B17" s="134" t="s">
        <v>126</v>
      </c>
      <c r="C17" s="54">
        <f>Proforma!H15</f>
        <v>51359.406520500001</v>
      </c>
      <c r="D17" s="54">
        <f t="shared" si="0"/>
        <v>26585.505814007374</v>
      </c>
      <c r="E17" s="54">
        <f t="shared" si="1"/>
        <v>24773.900706492626</v>
      </c>
      <c r="F17" s="54"/>
      <c r="G17" s="54"/>
      <c r="H17" s="54"/>
      <c r="I17" s="54">
        <f t="shared" si="2"/>
        <v>10022.241657593122</v>
      </c>
      <c r="J17" s="52">
        <f t="shared" si="3"/>
        <v>16563.264156414254</v>
      </c>
      <c r="K17" s="54"/>
      <c r="N17" s="86"/>
      <c r="O17" s="13"/>
      <c r="P17" s="44"/>
    </row>
    <row r="18" spans="1:18" x14ac:dyDescent="0.25">
      <c r="A18" s="91"/>
      <c r="B18" s="134" t="s">
        <v>128</v>
      </c>
      <c r="C18" s="54">
        <f>Proforma!H16</f>
        <v>0</v>
      </c>
      <c r="D18" s="54">
        <f t="shared" ref="D18:D19" si="4">C18*$P$7</f>
        <v>0</v>
      </c>
      <c r="E18" s="54">
        <f t="shared" si="1"/>
        <v>0</v>
      </c>
      <c r="F18" s="54"/>
      <c r="G18" s="54"/>
      <c r="H18" s="54"/>
      <c r="I18" s="54">
        <v>0</v>
      </c>
      <c r="J18" s="52">
        <v>0</v>
      </c>
      <c r="K18" s="54"/>
    </row>
    <row r="19" spans="1:18" x14ac:dyDescent="0.25">
      <c r="A19" s="91"/>
      <c r="B19" s="134" t="s">
        <v>130</v>
      </c>
      <c r="C19" s="54">
        <f>Proforma!H17</f>
        <v>0</v>
      </c>
      <c r="D19" s="54">
        <f t="shared" si="4"/>
        <v>0</v>
      </c>
      <c r="E19" s="54">
        <f t="shared" si="1"/>
        <v>0</v>
      </c>
      <c r="F19" s="54"/>
      <c r="G19" s="54"/>
      <c r="H19" s="54"/>
      <c r="I19" s="54">
        <v>0</v>
      </c>
      <c r="J19" s="52">
        <v>0</v>
      </c>
      <c r="K19" s="54"/>
      <c r="P19" s="76" t="s">
        <v>66</v>
      </c>
      <c r="Q19" s="76" t="s">
        <v>73</v>
      </c>
    </row>
    <row r="20" spans="1:18" x14ac:dyDescent="0.25">
      <c r="A20" s="91"/>
      <c r="B20" s="134" t="s">
        <v>132</v>
      </c>
      <c r="C20" s="54">
        <f>Proforma!H18</f>
        <v>8063</v>
      </c>
      <c r="D20" s="54">
        <f>C20*$P$7</f>
        <v>4358.4479565772672</v>
      </c>
      <c r="E20" s="54">
        <f>C20-D20</f>
        <v>3704.5520434227328</v>
      </c>
      <c r="F20" s="54"/>
      <c r="G20" s="54"/>
      <c r="H20" s="54"/>
      <c r="I20" s="256">
        <f>D20*0.83</f>
        <v>3617.5118039591316</v>
      </c>
      <c r="J20" s="52">
        <f t="shared" ref="J20:J32" si="5">D20-I20</f>
        <v>740.93615261813557</v>
      </c>
      <c r="K20" s="54"/>
      <c r="N20" s="134" t="s">
        <v>245</v>
      </c>
      <c r="O20" s="54"/>
      <c r="P20" s="54">
        <f>D11</f>
        <v>50186.990643837809</v>
      </c>
      <c r="Q20" s="54">
        <f>E11</f>
        <v>42657.459856162197</v>
      </c>
    </row>
    <row r="21" spans="1:18" ht="17.25" x14ac:dyDescent="0.4">
      <c r="A21" s="91"/>
      <c r="B21" s="134" t="s">
        <v>134</v>
      </c>
      <c r="C21" s="54">
        <f>Proforma!H19</f>
        <v>169</v>
      </c>
      <c r="D21" s="54">
        <f t="shared" ref="D21:D32" si="6">C21*$P$7</f>
        <v>91.352809706257986</v>
      </c>
      <c r="E21" s="54">
        <f t="shared" ref="E21:E22" si="7">C21-D21</f>
        <v>77.647190293742014</v>
      </c>
      <c r="F21" s="54"/>
      <c r="G21" s="54"/>
      <c r="H21" s="54"/>
      <c r="I21" s="256">
        <f t="shared" ref="I21:I31" si="8">D21*0.83</f>
        <v>75.82283205619413</v>
      </c>
      <c r="J21" s="52">
        <f t="shared" si="5"/>
        <v>15.529977650063856</v>
      </c>
      <c r="K21" s="54"/>
      <c r="N21" s="134" t="s">
        <v>246</v>
      </c>
      <c r="O21" s="54"/>
      <c r="P21" s="95">
        <f>D12</f>
        <v>60309.708499999993</v>
      </c>
      <c r="Q21" s="95">
        <f>E12</f>
        <v>60309.708499999993</v>
      </c>
    </row>
    <row r="22" spans="1:18" x14ac:dyDescent="0.25">
      <c r="A22" s="91"/>
      <c r="B22" s="134" t="s">
        <v>136</v>
      </c>
      <c r="C22" s="54">
        <f>Proforma!H20</f>
        <v>2376</v>
      </c>
      <c r="D22" s="54">
        <f t="shared" si="6"/>
        <v>1284.344827586207</v>
      </c>
      <c r="E22" s="54">
        <f t="shared" si="7"/>
        <v>1091.655172413793</v>
      </c>
      <c r="F22" s="54"/>
      <c r="G22" s="54"/>
      <c r="H22" s="54"/>
      <c r="I22" s="256">
        <f t="shared" si="8"/>
        <v>1066.0062068965517</v>
      </c>
      <c r="J22" s="52">
        <f t="shared" si="5"/>
        <v>218.33862068965527</v>
      </c>
      <c r="K22" s="54"/>
      <c r="P22" s="42">
        <f>P20+P21</f>
        <v>110496.6991438378</v>
      </c>
      <c r="Q22" s="42">
        <f>Q20+Q21</f>
        <v>102967.16835616219</v>
      </c>
      <c r="R22" s="42">
        <f>Q22+P22</f>
        <v>213463.86749999999</v>
      </c>
    </row>
    <row r="23" spans="1:18" x14ac:dyDescent="0.25">
      <c r="A23" s="91"/>
      <c r="B23" s="134" t="s">
        <v>138</v>
      </c>
      <c r="C23" s="54">
        <f>Proforma!H21</f>
        <v>6882</v>
      </c>
      <c r="D23" s="54">
        <f t="shared" si="6"/>
        <v>3720.0593869731806</v>
      </c>
      <c r="E23" s="54">
        <f t="shared" ref="E23" si="9">C23-D23</f>
        <v>3161.9406130268194</v>
      </c>
      <c r="F23" s="54"/>
      <c r="G23" s="54"/>
      <c r="H23" s="54"/>
      <c r="I23" s="256">
        <f t="shared" si="8"/>
        <v>3087.6492911877399</v>
      </c>
      <c r="J23" s="52">
        <f t="shared" si="5"/>
        <v>632.41009578544072</v>
      </c>
      <c r="K23" s="54"/>
      <c r="P23" s="46">
        <f>P22/R22</f>
        <v>0.51763654635292222</v>
      </c>
      <c r="Q23" s="46">
        <f>Q22/R22</f>
        <v>0.48236345364707772</v>
      </c>
    </row>
    <row r="24" spans="1:18" x14ac:dyDescent="0.25">
      <c r="A24" s="91"/>
      <c r="B24" s="134" t="s">
        <v>70</v>
      </c>
      <c r="C24" s="54">
        <f>Proforma!H22</f>
        <v>4278</v>
      </c>
      <c r="D24" s="54">
        <f t="shared" si="6"/>
        <v>2312.469348659004</v>
      </c>
      <c r="E24" s="54">
        <f t="shared" ref="E24:E28" si="10">C24-D24</f>
        <v>1965.530651340996</v>
      </c>
      <c r="F24" s="54"/>
      <c r="G24" s="54"/>
      <c r="H24" s="54"/>
      <c r="I24" s="256">
        <f t="shared" si="8"/>
        <v>1919.3495593869732</v>
      </c>
      <c r="J24" s="52">
        <f t="shared" si="5"/>
        <v>393.11978927203086</v>
      </c>
      <c r="K24" s="54"/>
    </row>
    <row r="25" spans="1:18" x14ac:dyDescent="0.25">
      <c r="A25" s="91"/>
      <c r="B25" s="134" t="s">
        <v>141</v>
      </c>
      <c r="C25" s="54">
        <f>Proforma!H23</f>
        <v>3085</v>
      </c>
      <c r="D25" s="54">
        <f t="shared" si="6"/>
        <v>1667.594189016603</v>
      </c>
      <c r="E25" s="54">
        <f t="shared" si="10"/>
        <v>1417.405810983397</v>
      </c>
      <c r="F25" s="54"/>
      <c r="G25" s="54"/>
      <c r="H25" s="54"/>
      <c r="I25" s="256">
        <f t="shared" si="8"/>
        <v>1384.1031768837804</v>
      </c>
      <c r="J25" s="52">
        <f t="shared" si="5"/>
        <v>283.49101213282256</v>
      </c>
      <c r="K25" s="54"/>
      <c r="N25" s="42" t="s">
        <v>268</v>
      </c>
      <c r="P25" s="42">
        <f>SUM(I11:J12)</f>
        <v>110496.6991438378</v>
      </c>
    </row>
    <row r="26" spans="1:18" x14ac:dyDescent="0.25">
      <c r="A26" s="91"/>
      <c r="B26" s="134" t="s">
        <v>143</v>
      </c>
      <c r="C26" s="54">
        <f>Proforma!H24</f>
        <v>10270</v>
      </c>
      <c r="D26" s="54">
        <f t="shared" si="6"/>
        <v>5551.4399744572165</v>
      </c>
      <c r="E26" s="54">
        <f t="shared" si="10"/>
        <v>4718.5600255427835</v>
      </c>
      <c r="F26" s="54"/>
      <c r="G26" s="54"/>
      <c r="H26" s="54"/>
      <c r="I26" s="256">
        <f t="shared" si="8"/>
        <v>4607.6951787994894</v>
      </c>
      <c r="J26" s="52">
        <f t="shared" si="5"/>
        <v>943.74479565772708</v>
      </c>
      <c r="K26" s="54"/>
      <c r="N26" s="42" t="s">
        <v>269</v>
      </c>
      <c r="P26" s="44">
        <f>I11/P25</f>
        <v>0.37698141715673517</v>
      </c>
      <c r="Q26" s="42" t="s">
        <v>330</v>
      </c>
    </row>
    <row r="27" spans="1:18" x14ac:dyDescent="0.25">
      <c r="A27" s="91"/>
      <c r="B27" s="134" t="s">
        <v>145</v>
      </c>
      <c r="C27" s="54">
        <f>Proforma!H25</f>
        <v>3822</v>
      </c>
      <c r="D27" s="54">
        <f t="shared" si="6"/>
        <v>2065.9789272030653</v>
      </c>
      <c r="E27" s="54">
        <f t="shared" si="10"/>
        <v>1756.0210727969347</v>
      </c>
      <c r="F27" s="54"/>
      <c r="G27" s="54"/>
      <c r="H27" s="54"/>
      <c r="I27" s="256">
        <f t="shared" si="8"/>
        <v>1714.762509578544</v>
      </c>
      <c r="J27" s="52">
        <f t="shared" si="5"/>
        <v>351.21641762452123</v>
      </c>
      <c r="K27" s="54"/>
    </row>
    <row r="28" spans="1:18" x14ac:dyDescent="0.25">
      <c r="A28" s="91"/>
      <c r="B28" s="134" t="s">
        <v>72</v>
      </c>
      <c r="C28" s="54">
        <f>Proforma!H26</f>
        <v>11268</v>
      </c>
      <c r="D28" s="54">
        <f t="shared" si="6"/>
        <v>6090.9080459770121</v>
      </c>
      <c r="E28" s="54">
        <f t="shared" si="10"/>
        <v>5177.0919540229879</v>
      </c>
      <c r="F28" s="54"/>
      <c r="G28" s="54"/>
      <c r="H28" s="54"/>
      <c r="I28" s="256">
        <f t="shared" si="8"/>
        <v>5055.4536781609195</v>
      </c>
      <c r="J28" s="52">
        <f t="shared" si="5"/>
        <v>1035.4543678160926</v>
      </c>
      <c r="K28" s="54"/>
    </row>
    <row r="29" spans="1:18" x14ac:dyDescent="0.25">
      <c r="A29" s="91"/>
      <c r="B29" s="134" t="s">
        <v>148</v>
      </c>
      <c r="C29" s="54">
        <f>Proforma!H27</f>
        <v>0</v>
      </c>
      <c r="D29" s="54">
        <f t="shared" si="6"/>
        <v>0</v>
      </c>
      <c r="E29" s="54">
        <f t="shared" ref="E29" si="11">C29-D29</f>
        <v>0</v>
      </c>
      <c r="F29" s="54"/>
      <c r="G29" s="54"/>
      <c r="H29" s="54"/>
      <c r="I29" s="256">
        <f t="shared" si="8"/>
        <v>0</v>
      </c>
      <c r="J29" s="52">
        <f t="shared" si="5"/>
        <v>0</v>
      </c>
      <c r="K29" s="54"/>
    </row>
    <row r="30" spans="1:18" x14ac:dyDescent="0.25">
      <c r="A30" s="91"/>
      <c r="B30" s="134" t="s">
        <v>150</v>
      </c>
      <c r="C30" s="54">
        <f>Proforma!H28</f>
        <v>4562</v>
      </c>
      <c r="D30" s="54">
        <f t="shared" si="6"/>
        <v>2465.9853128991062</v>
      </c>
      <c r="E30" s="54">
        <f t="shared" ref="E30" si="12">C30-D30</f>
        <v>2096.0146871008938</v>
      </c>
      <c r="F30" s="54"/>
      <c r="G30" s="54"/>
      <c r="H30" s="54"/>
      <c r="I30" s="256">
        <f t="shared" si="8"/>
        <v>2046.767809706258</v>
      </c>
      <c r="J30" s="52">
        <f t="shared" si="5"/>
        <v>419.2175031928482</v>
      </c>
      <c r="K30" s="54"/>
    </row>
    <row r="31" spans="1:18" x14ac:dyDescent="0.25">
      <c r="A31" s="91"/>
      <c r="B31" s="134" t="s">
        <v>152</v>
      </c>
      <c r="C31" s="54">
        <f>Proforma!H29</f>
        <v>3518</v>
      </c>
      <c r="D31" s="54">
        <f>C31*$P$7</f>
        <v>1901.6519795657728</v>
      </c>
      <c r="E31" s="54">
        <f>C31-D31</f>
        <v>1616.3480204342272</v>
      </c>
      <c r="F31" s="54"/>
      <c r="G31" s="54"/>
      <c r="H31" s="54"/>
      <c r="I31" s="256">
        <f t="shared" si="8"/>
        <v>1578.3711430395913</v>
      </c>
      <c r="J31" s="52">
        <f t="shared" si="5"/>
        <v>323.28083652618147</v>
      </c>
      <c r="K31" s="54"/>
    </row>
    <row r="32" spans="1:18" x14ac:dyDescent="0.25">
      <c r="A32" s="91"/>
      <c r="B32" s="134" t="s">
        <v>154</v>
      </c>
      <c r="C32" s="54">
        <f>Proforma!H30</f>
        <v>0</v>
      </c>
      <c r="D32" s="54">
        <f t="shared" si="6"/>
        <v>0</v>
      </c>
      <c r="E32" s="54">
        <f t="shared" ref="E32" si="13">C32-D32</f>
        <v>0</v>
      </c>
      <c r="F32" s="54"/>
      <c r="G32" s="54"/>
      <c r="H32" s="54"/>
      <c r="I32" s="54">
        <f t="shared" ref="I32" si="14">D32*0.85</f>
        <v>0</v>
      </c>
      <c r="J32" s="52">
        <f t="shared" si="5"/>
        <v>0</v>
      </c>
      <c r="K32" s="54"/>
    </row>
    <row r="33" spans="1:11" x14ac:dyDescent="0.25">
      <c r="B33" s="54">
        <f>SUM(C11:C32)</f>
        <v>387099.85587050003</v>
      </c>
      <c r="C33" s="54"/>
      <c r="D33" s="54"/>
      <c r="E33" s="54"/>
      <c r="F33" s="54"/>
      <c r="G33" s="54"/>
      <c r="H33" s="54"/>
      <c r="I33" s="54"/>
      <c r="J33" s="52"/>
      <c r="K33" s="54"/>
    </row>
    <row r="34" spans="1:11" x14ac:dyDescent="0.25">
      <c r="A34" s="123" t="s">
        <v>82</v>
      </c>
      <c r="B34" s="54"/>
      <c r="C34" s="54"/>
      <c r="D34" s="54"/>
      <c r="E34" s="54"/>
      <c r="F34" s="54"/>
      <c r="G34" s="54"/>
      <c r="H34" s="54"/>
      <c r="I34" s="54"/>
      <c r="J34" s="52"/>
      <c r="K34" s="54"/>
    </row>
    <row r="35" spans="1:11" x14ac:dyDescent="0.25">
      <c r="A35" s="91"/>
      <c r="B35" s="134" t="s">
        <v>115</v>
      </c>
      <c r="C35" s="54">
        <f>Proforma!H34</f>
        <v>171117.10214285701</v>
      </c>
      <c r="D35" s="54"/>
      <c r="E35" s="54"/>
      <c r="F35" s="54"/>
      <c r="G35" s="54">
        <f>C35</f>
        <v>171117.10214285701</v>
      </c>
      <c r="H35" s="54"/>
      <c r="I35" s="54"/>
      <c r="J35" s="52"/>
      <c r="K35" s="54"/>
    </row>
    <row r="36" spans="1:11" x14ac:dyDescent="0.25">
      <c r="A36" s="91"/>
      <c r="B36" s="134" t="s">
        <v>117</v>
      </c>
      <c r="C36" s="54">
        <f>Proforma!H35</f>
        <v>13090.3293139286</v>
      </c>
      <c r="D36" s="54"/>
      <c r="E36" s="54"/>
      <c r="F36" s="54"/>
      <c r="G36" s="54">
        <f t="shared" ref="G36:G58" si="15">C36</f>
        <v>13090.3293139286</v>
      </c>
      <c r="H36" s="54"/>
      <c r="I36" s="54"/>
      <c r="J36" s="52"/>
      <c r="K36" s="54"/>
    </row>
    <row r="37" spans="1:11" x14ac:dyDescent="0.25">
      <c r="A37" s="91"/>
      <c r="B37" s="134" t="s">
        <v>120</v>
      </c>
      <c r="C37" s="54">
        <f>Proforma!H36</f>
        <v>51846.090750000003</v>
      </c>
      <c r="D37" s="54"/>
      <c r="E37" s="54"/>
      <c r="F37" s="54"/>
      <c r="G37" s="54">
        <f t="shared" si="15"/>
        <v>51846.090750000003</v>
      </c>
      <c r="H37" s="92"/>
      <c r="I37" s="92"/>
      <c r="J37" s="93"/>
      <c r="K37" s="92"/>
    </row>
    <row r="38" spans="1:11" x14ac:dyDescent="0.25">
      <c r="A38" s="91"/>
      <c r="B38" s="134" t="s">
        <v>122</v>
      </c>
      <c r="C38" s="54">
        <f>Proforma!H37</f>
        <v>529</v>
      </c>
      <c r="D38" s="54"/>
      <c r="E38" s="54"/>
      <c r="F38" s="54"/>
      <c r="G38" s="54">
        <f t="shared" si="15"/>
        <v>529</v>
      </c>
      <c r="H38" s="54"/>
      <c r="I38" s="54"/>
      <c r="J38" s="52"/>
      <c r="K38" s="54"/>
    </row>
    <row r="39" spans="1:11" x14ac:dyDescent="0.25">
      <c r="A39" s="91"/>
      <c r="B39" s="134" t="s">
        <v>124</v>
      </c>
      <c r="C39" s="54">
        <f>Proforma!H38</f>
        <v>359</v>
      </c>
      <c r="D39" s="54"/>
      <c r="E39" s="54"/>
      <c r="F39" s="54"/>
      <c r="G39" s="54">
        <f t="shared" si="15"/>
        <v>359</v>
      </c>
      <c r="H39" s="54"/>
      <c r="I39" s="54"/>
      <c r="J39" s="52"/>
      <c r="K39" s="54"/>
    </row>
    <row r="40" spans="1:11" x14ac:dyDescent="0.25">
      <c r="A40" s="91"/>
      <c r="B40" s="134" t="s">
        <v>126</v>
      </c>
      <c r="C40" s="54">
        <f>Proforma!H39</f>
        <v>41170.774775571401</v>
      </c>
      <c r="D40" s="54"/>
      <c r="E40" s="54"/>
      <c r="F40" s="54"/>
      <c r="G40" s="54">
        <f t="shared" si="15"/>
        <v>41170.774775571401</v>
      </c>
      <c r="H40" s="54"/>
      <c r="I40" s="54"/>
      <c r="J40" s="52"/>
      <c r="K40" s="54"/>
    </row>
    <row r="41" spans="1:11" x14ac:dyDescent="0.25">
      <c r="A41" s="91"/>
      <c r="B41" s="134" t="s">
        <v>128</v>
      </c>
      <c r="C41" s="54">
        <f>Proforma!H40</f>
        <v>0</v>
      </c>
      <c r="D41" s="54"/>
      <c r="E41" s="54"/>
      <c r="F41" s="54"/>
      <c r="G41" s="54">
        <f t="shared" si="15"/>
        <v>0</v>
      </c>
      <c r="H41" s="54"/>
      <c r="I41" s="54"/>
      <c r="J41" s="52"/>
      <c r="K41" s="54"/>
    </row>
    <row r="42" spans="1:11" x14ac:dyDescent="0.25">
      <c r="A42" s="91"/>
      <c r="B42" s="134" t="s">
        <v>130</v>
      </c>
      <c r="C42" s="54">
        <f>Proforma!H41</f>
        <v>0</v>
      </c>
      <c r="D42" s="54"/>
      <c r="E42" s="54"/>
      <c r="F42" s="54"/>
      <c r="G42" s="54">
        <f t="shared" si="15"/>
        <v>0</v>
      </c>
      <c r="H42" s="54"/>
      <c r="I42" s="54"/>
      <c r="J42" s="52"/>
      <c r="K42" s="54"/>
    </row>
    <row r="43" spans="1:11" x14ac:dyDescent="0.25">
      <c r="A43" s="91"/>
      <c r="B43" s="134" t="s">
        <v>132</v>
      </c>
      <c r="C43" s="54">
        <f>Proforma!H42</f>
        <v>177866.89289804883</v>
      </c>
      <c r="D43" s="54"/>
      <c r="E43" s="54"/>
      <c r="F43" s="54"/>
      <c r="G43" s="54">
        <f t="shared" si="15"/>
        <v>177866.89289804883</v>
      </c>
      <c r="H43" s="54"/>
      <c r="I43" s="54"/>
      <c r="J43" s="52"/>
      <c r="K43" s="54"/>
    </row>
    <row r="44" spans="1:11" x14ac:dyDescent="0.25">
      <c r="A44" s="91"/>
      <c r="B44" s="134" t="s">
        <v>134</v>
      </c>
      <c r="C44" s="54">
        <f>Proforma!H43</f>
        <v>786</v>
      </c>
      <c r="D44" s="54"/>
      <c r="E44" s="54"/>
      <c r="F44" s="54"/>
      <c r="G44" s="54">
        <f t="shared" si="15"/>
        <v>786</v>
      </c>
      <c r="H44" s="54"/>
      <c r="I44" s="54"/>
      <c r="J44" s="52"/>
      <c r="K44" s="54"/>
    </row>
    <row r="45" spans="1:11" x14ac:dyDescent="0.25">
      <c r="A45" s="91"/>
      <c r="B45" s="134" t="s">
        <v>136</v>
      </c>
      <c r="C45" s="54">
        <f>Proforma!H44</f>
        <v>20008</v>
      </c>
      <c r="D45" s="54"/>
      <c r="E45" s="54"/>
      <c r="F45" s="54"/>
      <c r="G45" s="54">
        <f t="shared" si="15"/>
        <v>20008</v>
      </c>
      <c r="H45" s="92"/>
      <c r="I45" s="92"/>
      <c r="J45" s="93"/>
      <c r="K45" s="92"/>
    </row>
    <row r="46" spans="1:11" x14ac:dyDescent="0.25">
      <c r="A46" s="91"/>
      <c r="B46" s="134" t="s">
        <v>138</v>
      </c>
      <c r="C46" s="54">
        <f>Proforma!H45</f>
        <v>2123</v>
      </c>
      <c r="D46" s="54"/>
      <c r="E46" s="54"/>
      <c r="F46" s="54"/>
      <c r="G46" s="54">
        <f t="shared" si="15"/>
        <v>2123</v>
      </c>
      <c r="H46" s="54"/>
      <c r="I46" s="54"/>
      <c r="J46" s="52"/>
      <c r="K46" s="54"/>
    </row>
    <row r="47" spans="1:11" x14ac:dyDescent="0.25">
      <c r="A47" s="91"/>
      <c r="B47" s="134" t="s">
        <v>169</v>
      </c>
      <c r="C47" s="54">
        <f>Proforma!H46</f>
        <v>104774.89512939252</v>
      </c>
      <c r="D47" s="54"/>
      <c r="E47" s="54"/>
      <c r="F47" s="54"/>
      <c r="G47" s="54">
        <f t="shared" si="15"/>
        <v>104774.89512939252</v>
      </c>
      <c r="H47" s="92"/>
      <c r="I47" s="92"/>
      <c r="J47" s="93"/>
      <c r="K47" s="92"/>
    </row>
    <row r="48" spans="1:11" x14ac:dyDescent="0.25">
      <c r="A48" s="91"/>
      <c r="B48" s="134" t="s">
        <v>70</v>
      </c>
      <c r="C48" s="54">
        <f>Proforma!H47</f>
        <v>41523</v>
      </c>
      <c r="D48" s="54"/>
      <c r="E48" s="54"/>
      <c r="F48" s="54"/>
      <c r="G48" s="54">
        <f t="shared" si="15"/>
        <v>41523</v>
      </c>
      <c r="H48" s="54"/>
      <c r="I48" s="54"/>
      <c r="J48" s="52"/>
      <c r="K48" s="54"/>
    </row>
    <row r="49" spans="1:13" x14ac:dyDescent="0.25">
      <c r="A49" s="91"/>
      <c r="B49" s="134" t="s">
        <v>173</v>
      </c>
      <c r="C49" s="54">
        <f>Proforma!H48</f>
        <v>14677</v>
      </c>
      <c r="D49" s="54"/>
      <c r="E49" s="54"/>
      <c r="F49" s="54"/>
      <c r="G49" s="54">
        <f t="shared" si="15"/>
        <v>14677</v>
      </c>
      <c r="H49" s="92"/>
      <c r="I49" s="92"/>
      <c r="J49" s="93"/>
      <c r="K49" s="92"/>
    </row>
    <row r="50" spans="1:13" x14ac:dyDescent="0.25">
      <c r="A50" s="91"/>
      <c r="B50" s="134" t="s">
        <v>141</v>
      </c>
      <c r="C50" s="54">
        <f>Proforma!H49</f>
        <v>20470</v>
      </c>
      <c r="D50" s="54"/>
      <c r="E50" s="54"/>
      <c r="F50" s="54"/>
      <c r="G50" s="54">
        <f t="shared" si="15"/>
        <v>20470</v>
      </c>
      <c r="H50" s="54"/>
      <c r="I50" s="54"/>
      <c r="J50" s="52"/>
      <c r="K50" s="54"/>
    </row>
    <row r="51" spans="1:13" x14ac:dyDescent="0.25">
      <c r="A51" s="91"/>
      <c r="B51" s="134" t="s">
        <v>145</v>
      </c>
      <c r="C51" s="54">
        <f>Proforma!H50</f>
        <v>1503</v>
      </c>
      <c r="D51" s="54"/>
      <c r="E51" s="54"/>
      <c r="F51" s="54"/>
      <c r="G51" s="54">
        <f t="shared" si="15"/>
        <v>1503</v>
      </c>
      <c r="H51" s="92"/>
      <c r="I51" s="92"/>
      <c r="J51" s="93"/>
      <c r="K51" s="92"/>
    </row>
    <row r="52" spans="1:13" x14ac:dyDescent="0.25">
      <c r="A52" s="91"/>
      <c r="B52" s="134" t="s">
        <v>72</v>
      </c>
      <c r="C52" s="54">
        <f>Proforma!H51</f>
        <v>869</v>
      </c>
      <c r="D52" s="54"/>
      <c r="E52" s="54"/>
      <c r="F52" s="54"/>
      <c r="G52" s="54">
        <f t="shared" si="15"/>
        <v>869</v>
      </c>
      <c r="H52" s="54"/>
      <c r="I52" s="54"/>
      <c r="J52" s="52"/>
      <c r="K52" s="54"/>
    </row>
    <row r="53" spans="1:13" x14ac:dyDescent="0.25">
      <c r="A53" s="91"/>
      <c r="B53" s="134" t="s">
        <v>148</v>
      </c>
      <c r="C53" s="54">
        <f>Proforma!H52</f>
        <v>0</v>
      </c>
      <c r="D53" s="54"/>
      <c r="E53" s="54"/>
      <c r="F53" s="54"/>
      <c r="G53" s="54">
        <f t="shared" si="15"/>
        <v>0</v>
      </c>
      <c r="H53" s="92"/>
      <c r="I53" s="92"/>
      <c r="J53" s="93"/>
      <c r="K53" s="92"/>
    </row>
    <row r="54" spans="1:13" x14ac:dyDescent="0.25">
      <c r="A54" s="91"/>
      <c r="B54" s="134" t="s">
        <v>150</v>
      </c>
      <c r="C54" s="54">
        <f>Proforma!H53</f>
        <v>529</v>
      </c>
      <c r="D54" s="54"/>
      <c r="E54" s="54"/>
      <c r="F54" s="54"/>
      <c r="G54" s="54">
        <f t="shared" si="15"/>
        <v>529</v>
      </c>
      <c r="H54" s="54"/>
      <c r="I54" s="54"/>
      <c r="J54" s="52"/>
      <c r="K54" s="54"/>
    </row>
    <row r="55" spans="1:13" x14ac:dyDescent="0.25">
      <c r="A55" s="91"/>
      <c r="B55" s="134" t="s">
        <v>152</v>
      </c>
      <c r="C55" s="54">
        <f>Proforma!H54</f>
        <v>5279</v>
      </c>
      <c r="D55" s="54"/>
      <c r="E55" s="54"/>
      <c r="F55" s="54"/>
      <c r="G55" s="54">
        <f t="shared" si="15"/>
        <v>5279</v>
      </c>
      <c r="H55" s="92"/>
      <c r="I55" s="92"/>
      <c r="J55" s="93"/>
      <c r="K55" s="92"/>
    </row>
    <row r="56" spans="1:13" x14ac:dyDescent="0.25">
      <c r="A56" s="91"/>
      <c r="B56" s="134" t="s">
        <v>181</v>
      </c>
      <c r="C56" s="54">
        <f>Proforma!H55</f>
        <v>28133</v>
      </c>
      <c r="D56" s="54"/>
      <c r="E56" s="54"/>
      <c r="F56" s="54"/>
      <c r="G56" s="54">
        <f t="shared" si="15"/>
        <v>28133</v>
      </c>
      <c r="H56" s="54"/>
      <c r="I56" s="54"/>
      <c r="J56" s="52"/>
      <c r="K56" s="54"/>
    </row>
    <row r="57" spans="1:13" x14ac:dyDescent="0.25">
      <c r="A57" s="91"/>
      <c r="B57" s="134" t="s">
        <v>184</v>
      </c>
      <c r="C57" s="54">
        <f>Proforma!H56</f>
        <v>368</v>
      </c>
      <c r="D57" s="54"/>
      <c r="E57" s="54"/>
      <c r="F57" s="54"/>
      <c r="G57" s="54">
        <f t="shared" si="15"/>
        <v>368</v>
      </c>
      <c r="H57" s="54"/>
      <c r="I57" s="92"/>
      <c r="J57" s="93"/>
      <c r="K57" s="92"/>
    </row>
    <row r="58" spans="1:13" x14ac:dyDescent="0.25">
      <c r="A58" s="91"/>
      <c r="B58" s="134" t="s">
        <v>154</v>
      </c>
      <c r="C58" s="54">
        <f>Proforma!H57</f>
        <v>18</v>
      </c>
      <c r="D58" s="54"/>
      <c r="E58" s="54"/>
      <c r="F58" s="54"/>
      <c r="G58" s="54">
        <f t="shared" si="15"/>
        <v>18</v>
      </c>
      <c r="H58" s="54"/>
      <c r="I58" s="54"/>
      <c r="J58" s="52"/>
      <c r="K58" s="54"/>
    </row>
    <row r="59" spans="1:13" x14ac:dyDescent="0.25">
      <c r="A59" s="91"/>
      <c r="B59" s="54">
        <f>SUM(C35:C58)</f>
        <v>697040.08500979841</v>
      </c>
      <c r="C59" s="54"/>
      <c r="D59" s="54">
        <f>B59</f>
        <v>697040.08500979841</v>
      </c>
      <c r="E59" s="54"/>
      <c r="F59" s="68"/>
      <c r="G59" s="54"/>
      <c r="H59" s="92"/>
      <c r="I59" s="54"/>
      <c r="J59" s="52"/>
      <c r="K59" s="54"/>
    </row>
    <row r="60" spans="1:13" x14ac:dyDescent="0.25">
      <c r="A60" s="123" t="s">
        <v>187</v>
      </c>
      <c r="B60" s="54"/>
      <c r="C60" s="54"/>
      <c r="D60" s="54"/>
      <c r="E60" s="54"/>
      <c r="F60" s="68"/>
      <c r="G60" s="92"/>
      <c r="H60" s="92"/>
      <c r="I60" s="54"/>
      <c r="J60" s="52"/>
      <c r="K60" s="54"/>
    </row>
    <row r="61" spans="1:13" x14ac:dyDescent="0.25">
      <c r="A61" s="123"/>
      <c r="B61" s="134" t="s">
        <v>115</v>
      </c>
      <c r="C61" s="54">
        <f ca="1">Proforma!H61</f>
        <v>329644.62405357143</v>
      </c>
      <c r="D61" s="256">
        <f ca="1">C61*$L$63</f>
        <v>202072.15454483929</v>
      </c>
      <c r="E61" s="54">
        <f t="shared" ref="E61:E86" ca="1" si="16">C61-D61</f>
        <v>127572.46950873215</v>
      </c>
      <c r="F61" s="68"/>
      <c r="G61" s="92"/>
      <c r="H61" s="256">
        <f ca="1">D61*0.71</f>
        <v>143471.22972683588</v>
      </c>
      <c r="I61" s="54">
        <f ca="1">D61-H61</f>
        <v>58600.924818003405</v>
      </c>
      <c r="J61" s="52"/>
      <c r="K61" s="54"/>
      <c r="L61" s="365" t="s">
        <v>403</v>
      </c>
      <c r="M61" s="365"/>
    </row>
    <row r="62" spans="1:13" x14ac:dyDescent="0.25">
      <c r="A62" s="123"/>
      <c r="B62" s="134" t="s">
        <v>117</v>
      </c>
      <c r="C62" s="54">
        <f>Proforma!H62</f>
        <v>22006.417117883899</v>
      </c>
      <c r="D62" s="256">
        <f t="shared" ref="D62:D72" si="17">C62*$L$63</f>
        <v>13489.93369326283</v>
      </c>
      <c r="E62" s="54">
        <f t="shared" si="16"/>
        <v>8516.4834246210685</v>
      </c>
      <c r="F62" s="68"/>
      <c r="G62" s="92"/>
      <c r="H62" s="256">
        <f t="shared" ref="H62:H86" si="18">D62*0.71</f>
        <v>9577.8529222166089</v>
      </c>
      <c r="I62" s="54">
        <f t="shared" ref="I62:I86" si="19">D62-H62</f>
        <v>3912.0807710462213</v>
      </c>
      <c r="J62" s="52"/>
      <c r="K62" s="54"/>
      <c r="L62" s="392" t="s">
        <v>404</v>
      </c>
      <c r="M62" s="392"/>
    </row>
    <row r="63" spans="1:13" x14ac:dyDescent="0.25">
      <c r="A63" s="123"/>
      <c r="B63" s="134" t="s">
        <v>120</v>
      </c>
      <c r="C63" s="54">
        <f>Proforma!H63</f>
        <v>89368.672500000015</v>
      </c>
      <c r="D63" s="256">
        <f t="shared" si="17"/>
        <v>54782.996242500005</v>
      </c>
      <c r="E63" s="54">
        <f t="shared" si="16"/>
        <v>34585.67625750001</v>
      </c>
      <c r="F63" s="68"/>
      <c r="G63" s="92"/>
      <c r="H63" s="256">
        <f t="shared" si="18"/>
        <v>38895.927332175001</v>
      </c>
      <c r="I63" s="54">
        <f t="shared" si="19"/>
        <v>15887.068910325004</v>
      </c>
      <c r="J63" s="52"/>
      <c r="K63" s="54"/>
      <c r="L63" s="382">
        <v>0.61299999999999999</v>
      </c>
      <c r="M63" s="382"/>
    </row>
    <row r="64" spans="1:13" x14ac:dyDescent="0.25">
      <c r="A64" s="123"/>
      <c r="B64" s="134" t="s">
        <v>122</v>
      </c>
      <c r="C64" s="54">
        <f>Proforma!H64</f>
        <v>2711</v>
      </c>
      <c r="D64" s="256">
        <f t="shared" si="17"/>
        <v>1661.8430000000001</v>
      </c>
      <c r="E64" s="54">
        <f t="shared" si="16"/>
        <v>1049.1569999999999</v>
      </c>
      <c r="F64" s="68"/>
      <c r="G64" s="92"/>
      <c r="H64" s="256">
        <f t="shared" si="18"/>
        <v>1179.9085299999999</v>
      </c>
      <c r="I64" s="54">
        <f t="shared" si="19"/>
        <v>481.93447000000015</v>
      </c>
      <c r="J64" s="52"/>
      <c r="K64" s="54"/>
    </row>
    <row r="65" spans="1:17" x14ac:dyDescent="0.25">
      <c r="A65" s="123"/>
      <c r="B65" s="134" t="s">
        <v>124</v>
      </c>
      <c r="C65" s="54">
        <f>Proforma!H65</f>
        <v>990</v>
      </c>
      <c r="D65" s="256">
        <f t="shared" si="17"/>
        <v>606.87</v>
      </c>
      <c r="E65" s="54">
        <f t="shared" si="16"/>
        <v>383.13</v>
      </c>
      <c r="F65" s="68"/>
      <c r="G65" s="92"/>
      <c r="H65" s="256">
        <f t="shared" si="18"/>
        <v>430.8777</v>
      </c>
      <c r="I65" s="54">
        <f t="shared" si="19"/>
        <v>175.9923</v>
      </c>
      <c r="J65" s="52"/>
      <c r="K65" s="54"/>
    </row>
    <row r="66" spans="1:17" x14ac:dyDescent="0.25">
      <c r="A66" s="123"/>
      <c r="B66" s="134" t="s">
        <v>126</v>
      </c>
      <c r="C66" s="54">
        <f ca="1">Proforma!H66</f>
        <v>79312.496547289295</v>
      </c>
      <c r="D66" s="256">
        <f t="shared" ca="1" si="17"/>
        <v>48618.560383488337</v>
      </c>
      <c r="E66" s="54">
        <f t="shared" ca="1" si="16"/>
        <v>30693.936163800958</v>
      </c>
      <c r="F66" s="68"/>
      <c r="G66" s="92"/>
      <c r="H66" s="256">
        <f t="shared" ca="1" si="18"/>
        <v>34519.177872276719</v>
      </c>
      <c r="I66" s="54">
        <f t="shared" ca="1" si="19"/>
        <v>14099.382511211617</v>
      </c>
      <c r="J66" s="52"/>
      <c r="K66" s="54"/>
    </row>
    <row r="67" spans="1:17" x14ac:dyDescent="0.25">
      <c r="A67" s="123"/>
      <c r="B67" s="134" t="s">
        <v>128</v>
      </c>
      <c r="C67" s="54">
        <f>Proforma!H67</f>
        <v>0</v>
      </c>
      <c r="D67" s="256">
        <f t="shared" si="17"/>
        <v>0</v>
      </c>
      <c r="E67" s="54">
        <f t="shared" si="16"/>
        <v>0</v>
      </c>
      <c r="F67" s="68"/>
      <c r="G67" s="92"/>
      <c r="H67" s="256">
        <f t="shared" si="18"/>
        <v>0</v>
      </c>
      <c r="I67" s="54">
        <f t="shared" si="19"/>
        <v>0</v>
      </c>
      <c r="J67" s="52"/>
      <c r="K67" s="54"/>
    </row>
    <row r="68" spans="1:17" x14ac:dyDescent="0.25">
      <c r="A68" s="123"/>
      <c r="B68" s="134" t="s">
        <v>130</v>
      </c>
      <c r="C68" s="54">
        <f>Proforma!H68</f>
        <v>0</v>
      </c>
      <c r="D68" s="256">
        <f t="shared" si="17"/>
        <v>0</v>
      </c>
      <c r="E68" s="54">
        <f t="shared" si="16"/>
        <v>0</v>
      </c>
      <c r="F68" s="68"/>
      <c r="G68" s="92"/>
      <c r="H68" s="256">
        <f t="shared" si="18"/>
        <v>0</v>
      </c>
      <c r="I68" s="54">
        <f t="shared" si="19"/>
        <v>0</v>
      </c>
      <c r="J68" s="52"/>
      <c r="K68" s="54"/>
    </row>
    <row r="69" spans="1:17" ht="17.25" x14ac:dyDescent="0.4">
      <c r="A69" s="123"/>
      <c r="B69" s="134" t="s">
        <v>132</v>
      </c>
      <c r="C69" s="54">
        <f>Proforma!H69</f>
        <v>13940</v>
      </c>
      <c r="D69" s="256">
        <f t="shared" si="17"/>
        <v>8545.2199999999993</v>
      </c>
      <c r="E69" s="54">
        <f t="shared" si="16"/>
        <v>5394.7800000000007</v>
      </c>
      <c r="F69" s="68"/>
      <c r="G69" s="92"/>
      <c r="H69" s="256">
        <f t="shared" si="18"/>
        <v>6067.1061999999993</v>
      </c>
      <c r="I69" s="54">
        <f t="shared" si="19"/>
        <v>2478.1138000000001</v>
      </c>
      <c r="J69" s="52"/>
      <c r="K69" s="54"/>
      <c r="P69" s="43" t="s">
        <v>331</v>
      </c>
      <c r="Q69" s="43" t="s">
        <v>271</v>
      </c>
    </row>
    <row r="70" spans="1:17" x14ac:dyDescent="0.25">
      <c r="A70" s="123"/>
      <c r="B70" s="134" t="s">
        <v>134</v>
      </c>
      <c r="C70" s="54">
        <f>Proforma!H70</f>
        <v>14745</v>
      </c>
      <c r="D70" s="256">
        <f t="shared" si="17"/>
        <v>9038.6849999999995</v>
      </c>
      <c r="E70" s="54">
        <f t="shared" si="16"/>
        <v>5706.3150000000005</v>
      </c>
      <c r="F70" s="68"/>
      <c r="G70" s="92"/>
      <c r="H70" s="256">
        <f t="shared" si="18"/>
        <v>6417.4663499999997</v>
      </c>
      <c r="I70" s="54">
        <f t="shared" si="19"/>
        <v>2621.2186499999998</v>
      </c>
      <c r="J70" s="52"/>
      <c r="K70" s="54"/>
      <c r="O70" s="42" t="s">
        <v>250</v>
      </c>
      <c r="P70" s="44">
        <v>7.4999999999999997E-2</v>
      </c>
      <c r="Q70" s="44"/>
    </row>
    <row r="71" spans="1:17" x14ac:dyDescent="0.25">
      <c r="A71" s="123"/>
      <c r="B71" s="134" t="s">
        <v>136</v>
      </c>
      <c r="C71" s="54">
        <f>Proforma!H71</f>
        <v>8895</v>
      </c>
      <c r="D71" s="256">
        <f t="shared" si="17"/>
        <v>5452.6350000000002</v>
      </c>
      <c r="E71" s="54">
        <f t="shared" si="16"/>
        <v>3442.3649999999998</v>
      </c>
      <c r="F71" s="68"/>
      <c r="G71" s="92"/>
      <c r="H71" s="256">
        <f t="shared" si="18"/>
        <v>3871.3708499999998</v>
      </c>
      <c r="I71" s="54">
        <f t="shared" si="19"/>
        <v>1581.2641500000004</v>
      </c>
      <c r="J71" s="52"/>
      <c r="K71" s="54"/>
      <c r="O71" s="42" t="s">
        <v>251</v>
      </c>
      <c r="P71" s="44"/>
      <c r="Q71" s="44"/>
    </row>
    <row r="72" spans="1:17" x14ac:dyDescent="0.25">
      <c r="A72" s="123"/>
      <c r="B72" s="134" t="s">
        <v>138</v>
      </c>
      <c r="C72" s="54">
        <f>Proforma!H72</f>
        <v>5104</v>
      </c>
      <c r="D72" s="256">
        <f t="shared" si="17"/>
        <v>3128.752</v>
      </c>
      <c r="E72" s="54">
        <f t="shared" si="16"/>
        <v>1975.248</v>
      </c>
      <c r="F72" s="68"/>
      <c r="G72" s="92"/>
      <c r="H72" s="256">
        <f t="shared" si="18"/>
        <v>2221.41392</v>
      </c>
      <c r="I72" s="54">
        <f t="shared" si="19"/>
        <v>907.33807999999999</v>
      </c>
      <c r="J72" s="52"/>
      <c r="K72" s="54"/>
      <c r="O72" s="42" t="s">
        <v>252</v>
      </c>
      <c r="P72" s="44">
        <v>0.05</v>
      </c>
      <c r="Q72" s="44"/>
    </row>
    <row r="73" spans="1:17" x14ac:dyDescent="0.25">
      <c r="A73" s="123"/>
      <c r="B73" s="134" t="s">
        <v>169</v>
      </c>
      <c r="C73" s="54">
        <f>Proforma!H73</f>
        <v>40481</v>
      </c>
      <c r="D73" s="54">
        <f>C73*0.05</f>
        <v>2024.0500000000002</v>
      </c>
      <c r="E73" s="54">
        <f t="shared" si="16"/>
        <v>38456.949999999997</v>
      </c>
      <c r="F73" s="68"/>
      <c r="G73" s="92"/>
      <c r="H73" s="256">
        <f t="shared" si="18"/>
        <v>1437.0755000000001</v>
      </c>
      <c r="I73" s="54">
        <f t="shared" si="19"/>
        <v>586.97450000000003</v>
      </c>
      <c r="J73" s="52"/>
      <c r="K73" s="54"/>
      <c r="O73" s="42" t="s">
        <v>265</v>
      </c>
      <c r="P73" s="44">
        <v>0.05</v>
      </c>
      <c r="Q73" s="44">
        <v>0.2</v>
      </c>
    </row>
    <row r="74" spans="1:17" x14ac:dyDescent="0.25">
      <c r="A74" s="123"/>
      <c r="B74" s="134" t="s">
        <v>70</v>
      </c>
      <c r="C74" s="54">
        <f>Proforma!H74</f>
        <v>19348</v>
      </c>
      <c r="D74" s="256">
        <f>C74*$L$63</f>
        <v>11860.324000000001</v>
      </c>
      <c r="E74" s="54">
        <f t="shared" si="16"/>
        <v>7487.6759999999995</v>
      </c>
      <c r="F74" s="68"/>
      <c r="G74" s="92"/>
      <c r="H74" s="256">
        <f t="shared" si="18"/>
        <v>8420.8300400000007</v>
      </c>
      <c r="I74" s="54">
        <f t="shared" si="19"/>
        <v>3439.4939599999998</v>
      </c>
      <c r="J74" s="52"/>
      <c r="K74" s="54"/>
      <c r="O74" s="42" t="s">
        <v>266</v>
      </c>
      <c r="P74" s="44">
        <v>0.15</v>
      </c>
      <c r="Q74" s="44">
        <v>0.05</v>
      </c>
    </row>
    <row r="75" spans="1:17" x14ac:dyDescent="0.25">
      <c r="A75" s="123"/>
      <c r="B75" s="134" t="s">
        <v>173</v>
      </c>
      <c r="C75" s="54">
        <f>Proforma!H75</f>
        <v>0</v>
      </c>
      <c r="D75" s="256">
        <f t="shared" ref="D75:D86" si="20">C75*$L$63</f>
        <v>0</v>
      </c>
      <c r="E75" s="54">
        <f t="shared" si="16"/>
        <v>0</v>
      </c>
      <c r="F75" s="68"/>
      <c r="G75" s="92"/>
      <c r="H75" s="256">
        <f t="shared" si="18"/>
        <v>0</v>
      </c>
      <c r="I75" s="54">
        <f t="shared" si="19"/>
        <v>0</v>
      </c>
      <c r="J75" s="52"/>
      <c r="K75" s="54"/>
      <c r="O75" s="42" t="s">
        <v>253</v>
      </c>
      <c r="P75" s="44"/>
      <c r="Q75" s="44"/>
    </row>
    <row r="76" spans="1:17" x14ac:dyDescent="0.25">
      <c r="A76" s="123"/>
      <c r="B76" s="134" t="s">
        <v>141</v>
      </c>
      <c r="C76" s="54">
        <f>Proforma!H76</f>
        <v>1493</v>
      </c>
      <c r="D76" s="256">
        <f t="shared" si="20"/>
        <v>915.20899999999995</v>
      </c>
      <c r="E76" s="54">
        <f t="shared" si="16"/>
        <v>577.79100000000005</v>
      </c>
      <c r="F76" s="68"/>
      <c r="G76" s="92"/>
      <c r="H76" s="256">
        <f t="shared" si="18"/>
        <v>649.79838999999993</v>
      </c>
      <c r="I76" s="54">
        <f t="shared" si="19"/>
        <v>265.41061000000002</v>
      </c>
      <c r="J76" s="52"/>
      <c r="K76" s="54"/>
      <c r="O76" s="42" t="s">
        <v>254</v>
      </c>
      <c r="P76" s="44">
        <v>7.4999999999999997E-2</v>
      </c>
      <c r="Q76" s="44"/>
    </row>
    <row r="77" spans="1:17" x14ac:dyDescent="0.25">
      <c r="A77" s="123"/>
      <c r="B77" s="134" t="s">
        <v>145</v>
      </c>
      <c r="C77" s="54">
        <f>Proforma!H77</f>
        <v>2183</v>
      </c>
      <c r="D77" s="256">
        <f t="shared" si="20"/>
        <v>1338.1790000000001</v>
      </c>
      <c r="E77" s="54">
        <f t="shared" si="16"/>
        <v>844.82099999999991</v>
      </c>
      <c r="F77" s="68"/>
      <c r="G77" s="92"/>
      <c r="H77" s="256">
        <f t="shared" si="18"/>
        <v>950.10708999999997</v>
      </c>
      <c r="I77" s="54">
        <f t="shared" si="19"/>
        <v>388.07191000000012</v>
      </c>
      <c r="J77" s="52"/>
      <c r="K77" s="54"/>
      <c r="O77" s="42" t="s">
        <v>255</v>
      </c>
      <c r="P77" s="44">
        <v>0.1</v>
      </c>
      <c r="Q77" s="44"/>
    </row>
    <row r="78" spans="1:17" x14ac:dyDescent="0.25">
      <c r="A78" s="123"/>
      <c r="B78" s="134" t="s">
        <v>72</v>
      </c>
      <c r="C78" s="54">
        <f>Proforma!H78</f>
        <v>154</v>
      </c>
      <c r="D78" s="256">
        <f t="shared" si="20"/>
        <v>94.402000000000001</v>
      </c>
      <c r="E78" s="54">
        <f t="shared" si="16"/>
        <v>59.597999999999999</v>
      </c>
      <c r="F78" s="68"/>
      <c r="G78" s="92"/>
      <c r="H78" s="256">
        <f t="shared" si="18"/>
        <v>67.025419999999997</v>
      </c>
      <c r="I78" s="54">
        <f t="shared" si="19"/>
        <v>27.376580000000004</v>
      </c>
      <c r="J78" s="52"/>
      <c r="K78" s="54"/>
      <c r="O78" s="42" t="s">
        <v>256</v>
      </c>
      <c r="P78" s="44"/>
      <c r="Q78" s="44"/>
    </row>
    <row r="79" spans="1:17" x14ac:dyDescent="0.25">
      <c r="A79" s="123"/>
      <c r="B79" s="134" t="s">
        <v>148</v>
      </c>
      <c r="C79" s="54">
        <f>Proforma!H79</f>
        <v>667</v>
      </c>
      <c r="D79" s="256">
        <f t="shared" si="20"/>
        <v>408.87099999999998</v>
      </c>
      <c r="E79" s="54">
        <f t="shared" si="16"/>
        <v>258.12900000000002</v>
      </c>
      <c r="F79" s="68"/>
      <c r="G79" s="92"/>
      <c r="H79" s="256">
        <f t="shared" si="18"/>
        <v>290.29840999999999</v>
      </c>
      <c r="I79" s="54">
        <f t="shared" si="19"/>
        <v>118.57258999999999</v>
      </c>
      <c r="J79" s="52"/>
      <c r="K79" s="54"/>
      <c r="O79" s="42" t="s">
        <v>257</v>
      </c>
      <c r="P79" s="44"/>
      <c r="Q79" s="44"/>
    </row>
    <row r="80" spans="1:17" x14ac:dyDescent="0.25">
      <c r="A80" s="123"/>
      <c r="B80" s="134" t="s">
        <v>150</v>
      </c>
      <c r="C80" s="54">
        <f>Proforma!H80</f>
        <v>10544</v>
      </c>
      <c r="D80" s="256">
        <f t="shared" si="20"/>
        <v>6463.4719999999998</v>
      </c>
      <c r="E80" s="54">
        <f t="shared" si="16"/>
        <v>4080.5280000000002</v>
      </c>
      <c r="F80" s="68"/>
      <c r="G80" s="92"/>
      <c r="H80" s="256">
        <f t="shared" si="18"/>
        <v>4589.0651199999993</v>
      </c>
      <c r="I80" s="54">
        <f t="shared" si="19"/>
        <v>1874.4068800000005</v>
      </c>
      <c r="J80" s="52"/>
      <c r="K80" s="54"/>
      <c r="O80" s="42" t="s">
        <v>258</v>
      </c>
      <c r="P80" s="44">
        <v>0.1</v>
      </c>
      <c r="Q80" s="44"/>
    </row>
    <row r="81" spans="1:21" x14ac:dyDescent="0.25">
      <c r="A81" s="123"/>
      <c r="B81" s="134" t="s">
        <v>152</v>
      </c>
      <c r="C81" s="54">
        <f>Proforma!H81</f>
        <v>1219</v>
      </c>
      <c r="D81" s="256">
        <f t="shared" si="20"/>
        <v>747.24699999999996</v>
      </c>
      <c r="E81" s="54">
        <f t="shared" si="16"/>
        <v>471.75300000000004</v>
      </c>
      <c r="F81" s="68"/>
      <c r="G81" s="92"/>
      <c r="H81" s="256">
        <f t="shared" si="18"/>
        <v>530.54536999999993</v>
      </c>
      <c r="I81" s="54">
        <f t="shared" si="19"/>
        <v>216.70163000000002</v>
      </c>
      <c r="J81" s="52"/>
      <c r="K81" s="54"/>
      <c r="O81" s="42" t="s">
        <v>259</v>
      </c>
      <c r="P81" s="44"/>
      <c r="Q81" s="44"/>
      <c r="R81" s="146" t="s">
        <v>356</v>
      </c>
    </row>
    <row r="82" spans="1:21" x14ac:dyDescent="0.25">
      <c r="A82" s="123"/>
      <c r="B82" s="134" t="s">
        <v>210</v>
      </c>
      <c r="C82" s="54">
        <f>Proforma!H82</f>
        <v>0</v>
      </c>
      <c r="D82" s="256">
        <f t="shared" si="20"/>
        <v>0</v>
      </c>
      <c r="E82" s="54">
        <f t="shared" si="16"/>
        <v>0</v>
      </c>
      <c r="F82" s="68"/>
      <c r="G82" s="92"/>
      <c r="H82" s="256">
        <f t="shared" si="18"/>
        <v>0</v>
      </c>
      <c r="I82" s="54">
        <f t="shared" si="19"/>
        <v>0</v>
      </c>
      <c r="J82" s="52"/>
      <c r="K82" s="54"/>
      <c r="O82" s="42" t="s">
        <v>260</v>
      </c>
      <c r="P82" s="44">
        <v>0.05</v>
      </c>
      <c r="Q82" s="44"/>
      <c r="R82" s="146"/>
    </row>
    <row r="83" spans="1:21" x14ac:dyDescent="0.25">
      <c r="A83" s="123"/>
      <c r="B83" s="134" t="s">
        <v>212</v>
      </c>
      <c r="C83" s="54">
        <f>Proforma!H83</f>
        <v>21119</v>
      </c>
      <c r="D83" s="256">
        <f t="shared" si="20"/>
        <v>12945.947</v>
      </c>
      <c r="E83" s="54">
        <f t="shared" si="16"/>
        <v>8173.0529999999999</v>
      </c>
      <c r="F83" s="68"/>
      <c r="G83" s="92"/>
      <c r="H83" s="256">
        <f t="shared" si="18"/>
        <v>9191.6223699999991</v>
      </c>
      <c r="I83" s="54">
        <f t="shared" si="19"/>
        <v>3754.324630000001</v>
      </c>
      <c r="J83" s="52"/>
      <c r="K83" s="54"/>
      <c r="O83" s="146" t="s">
        <v>359</v>
      </c>
      <c r="P83" s="257">
        <f>0.08/90*65</f>
        <v>5.7777777777777782E-2</v>
      </c>
      <c r="Q83" s="257">
        <f>0.08/90*25</f>
        <v>2.2222222222222223E-2</v>
      </c>
    </row>
    <row r="84" spans="1:21" ht="17.25" x14ac:dyDescent="0.4">
      <c r="A84" s="123"/>
      <c r="B84" s="134" t="s">
        <v>184</v>
      </c>
      <c r="C84" s="54">
        <f>Proforma!H84</f>
        <v>29460</v>
      </c>
      <c r="D84" s="256">
        <f t="shared" si="20"/>
        <v>18058.98</v>
      </c>
      <c r="E84" s="54">
        <f t="shared" si="16"/>
        <v>11401.02</v>
      </c>
      <c r="F84" s="68"/>
      <c r="G84" s="92"/>
      <c r="H84" s="256">
        <f t="shared" si="18"/>
        <v>12821.8758</v>
      </c>
      <c r="I84" s="54">
        <f t="shared" si="19"/>
        <v>5237.1041999999998</v>
      </c>
      <c r="J84" s="52"/>
      <c r="K84" s="54"/>
      <c r="O84" s="146" t="s">
        <v>270</v>
      </c>
      <c r="P84" s="258">
        <f>0.02/3</f>
        <v>6.6666666666666671E-3</v>
      </c>
      <c r="Q84" s="258">
        <f>0.02/3*2</f>
        <v>1.3333333333333334E-2</v>
      </c>
      <c r="R84" s="146" t="s">
        <v>332</v>
      </c>
      <c r="U84" s="44"/>
    </row>
    <row r="85" spans="1:21" x14ac:dyDescent="0.25">
      <c r="A85" s="123"/>
      <c r="B85" s="134" t="s">
        <v>154</v>
      </c>
      <c r="C85" s="54">
        <f>Proforma!H85</f>
        <v>74</v>
      </c>
      <c r="D85" s="256">
        <f t="shared" si="20"/>
        <v>45.362000000000002</v>
      </c>
      <c r="E85" s="54">
        <f t="shared" si="16"/>
        <v>28.637999999999998</v>
      </c>
      <c r="F85" s="68"/>
      <c r="G85" s="92"/>
      <c r="H85" s="256">
        <f t="shared" si="18"/>
        <v>32.20702</v>
      </c>
      <c r="I85" s="54">
        <f t="shared" si="19"/>
        <v>13.154980000000002</v>
      </c>
      <c r="J85" s="52"/>
      <c r="K85" s="54"/>
      <c r="O85" s="244" t="s">
        <v>344</v>
      </c>
      <c r="P85" s="245">
        <f>SUM(P70:P84)</f>
        <v>0.71444444444444455</v>
      </c>
      <c r="Q85" s="245">
        <f>SUM(Q70:Q84)</f>
        <v>0.28555555555555551</v>
      </c>
    </row>
    <row r="86" spans="1:21" x14ac:dyDescent="0.25">
      <c r="A86" s="123"/>
      <c r="B86" s="134" t="s">
        <v>216</v>
      </c>
      <c r="C86" s="54">
        <f>Proforma!H86</f>
        <v>-5000</v>
      </c>
      <c r="D86" s="256">
        <f t="shared" si="20"/>
        <v>-3065</v>
      </c>
      <c r="E86" s="54">
        <f t="shared" si="16"/>
        <v>-1935</v>
      </c>
      <c r="F86" s="68"/>
      <c r="G86" s="92"/>
      <c r="H86" s="256">
        <f t="shared" si="18"/>
        <v>-2176.15</v>
      </c>
      <c r="I86" s="54">
        <f t="shared" si="19"/>
        <v>-888.84999999999991</v>
      </c>
      <c r="J86" s="52"/>
      <c r="K86" s="54"/>
      <c r="P86" s="147"/>
      <c r="Q86" s="147"/>
    </row>
    <row r="87" spans="1:21" x14ac:dyDescent="0.25">
      <c r="A87" s="91"/>
      <c r="B87" s="54">
        <f ca="1">SUM(C61:C86)</f>
        <v>688459.2102187447</v>
      </c>
      <c r="C87" s="54"/>
      <c r="D87" s="54"/>
      <c r="E87" s="54"/>
      <c r="F87" s="68"/>
      <c r="G87" s="92"/>
      <c r="H87" s="92"/>
      <c r="I87" s="54"/>
      <c r="J87" s="52"/>
      <c r="K87" s="54"/>
    </row>
    <row r="88" spans="1:21" x14ac:dyDescent="0.25">
      <c r="A88" s="123" t="s">
        <v>219</v>
      </c>
      <c r="B88" s="54"/>
      <c r="C88" s="54"/>
      <c r="D88" s="54"/>
      <c r="E88" s="54"/>
      <c r="F88" s="68"/>
      <c r="G88" s="54"/>
      <c r="H88" s="54"/>
      <c r="I88" s="54"/>
      <c r="J88" s="52"/>
      <c r="K88" s="54"/>
      <c r="N88" s="48" t="s">
        <v>261</v>
      </c>
      <c r="O88" s="50">
        <v>461</v>
      </c>
      <c r="Q88" s="233">
        <f>O88/$R$90</f>
        <v>0.33333333333333331</v>
      </c>
    </row>
    <row r="89" spans="1:21" x14ac:dyDescent="0.25">
      <c r="A89" s="91"/>
      <c r="B89" s="134" t="s">
        <v>221</v>
      </c>
      <c r="C89" s="54">
        <f>Proforma!H90</f>
        <v>9000</v>
      </c>
      <c r="D89" s="54">
        <f>C89*0.5</f>
        <v>4500</v>
      </c>
      <c r="E89" s="54">
        <f t="shared" ref="E89" si="21">C89-D89</f>
        <v>4500</v>
      </c>
      <c r="F89" s="94"/>
      <c r="G89" s="92"/>
      <c r="H89" s="92"/>
      <c r="I89" s="54"/>
      <c r="J89" s="52">
        <f>D89</f>
        <v>4500</v>
      </c>
      <c r="K89" s="54"/>
      <c r="N89" s="91" t="s">
        <v>262</v>
      </c>
      <c r="O89" s="52">
        <v>437</v>
      </c>
      <c r="Q89" s="233">
        <f t="shared" ref="Q89" si="22">O89/$R$90</f>
        <v>0.31597975415762836</v>
      </c>
      <c r="T89" s="44"/>
    </row>
    <row r="90" spans="1:21" x14ac:dyDescent="0.25">
      <c r="A90" s="91"/>
      <c r="B90" s="134" t="s">
        <v>70</v>
      </c>
      <c r="C90" s="54">
        <f>Proforma!H91</f>
        <v>4971</v>
      </c>
      <c r="D90" s="54">
        <f t="shared" ref="D90:D91" si="23">C90*0.5</f>
        <v>2485.5</v>
      </c>
      <c r="E90" s="54">
        <f t="shared" ref="E90:E91" si="24">C90-D90</f>
        <v>2485.5</v>
      </c>
      <c r="F90" s="68"/>
      <c r="G90" s="54"/>
      <c r="H90" s="54"/>
      <c r="I90" s="54"/>
      <c r="J90" s="52">
        <f t="shared" ref="J90:J91" si="25">D90</f>
        <v>2485.5</v>
      </c>
      <c r="K90" s="54"/>
      <c r="N90" s="91" t="s">
        <v>263</v>
      </c>
      <c r="O90" s="52">
        <f>537-O91</f>
        <v>485</v>
      </c>
      <c r="P90" s="233">
        <f>Q90</f>
        <v>0.17534345625451916</v>
      </c>
      <c r="Q90" s="233">
        <f>(O90/$R$90)/2</f>
        <v>0.17534345625451916</v>
      </c>
      <c r="R90" s="42">
        <f>SUM(O88:O90)</f>
        <v>1383</v>
      </c>
      <c r="S90" s="47" t="s">
        <v>355</v>
      </c>
      <c r="T90" s="44"/>
    </row>
    <row r="91" spans="1:21" ht="17.25" x14ac:dyDescent="0.4">
      <c r="A91" s="91"/>
      <c r="B91" s="134" t="s">
        <v>224</v>
      </c>
      <c r="C91" s="54">
        <f>Proforma!H92</f>
        <v>6000</v>
      </c>
      <c r="D91" s="54">
        <f t="shared" si="23"/>
        <v>3000</v>
      </c>
      <c r="E91" s="54">
        <f t="shared" si="24"/>
        <v>3000</v>
      </c>
      <c r="F91" s="68"/>
      <c r="G91" s="92"/>
      <c r="H91" s="92"/>
      <c r="I91" s="54"/>
      <c r="J91" s="52">
        <f t="shared" si="25"/>
        <v>3000</v>
      </c>
      <c r="K91" s="54"/>
      <c r="N91" s="91" t="s">
        <v>264</v>
      </c>
      <c r="O91" s="234">
        <v>52</v>
      </c>
      <c r="P91" s="45">
        <v>0</v>
      </c>
      <c r="Q91" s="45">
        <v>0</v>
      </c>
      <c r="R91" s="233"/>
      <c r="T91" s="44"/>
    </row>
    <row r="92" spans="1:21" x14ac:dyDescent="0.25">
      <c r="A92" s="91"/>
      <c r="B92" s="54">
        <f>SUM(C89:C91)</f>
        <v>19971</v>
      </c>
      <c r="C92" s="54"/>
      <c r="D92" s="54"/>
      <c r="E92" s="54"/>
      <c r="F92" s="68"/>
      <c r="G92" s="54"/>
      <c r="H92" s="54"/>
      <c r="I92" s="54"/>
      <c r="J92" s="52"/>
      <c r="K92" s="54"/>
      <c r="N92" s="97"/>
      <c r="O92" s="235">
        <f>SUM(O88:O91)</f>
        <v>1435</v>
      </c>
      <c r="P92" s="233">
        <f>SUM(P88:P91)</f>
        <v>0.17534345625451916</v>
      </c>
      <c r="Q92" s="233">
        <f>SUM(Q88:Q91)</f>
        <v>0.82465654374548081</v>
      </c>
    </row>
    <row r="93" spans="1:21" x14ac:dyDescent="0.25">
      <c r="A93" s="91"/>
      <c r="B93" s="96" t="s">
        <v>312</v>
      </c>
      <c r="C93" s="39">
        <f ca="1">SUM(C11:C92)</f>
        <v>1792570.151099043</v>
      </c>
      <c r="D93" s="236">
        <f ca="1">SUM(D11:D92)</f>
        <v>1307972.9559224786</v>
      </c>
      <c r="E93" s="39">
        <f ca="1">SUM(E11:E92)</f>
        <v>484597.19517656486</v>
      </c>
      <c r="F93" s="237"/>
      <c r="G93" s="39">
        <f t="shared" ref="G93:J93" si="26">SUM(G11:G92)</f>
        <v>697040.08500979841</v>
      </c>
      <c r="H93" s="39">
        <f t="shared" ca="1" si="26"/>
        <v>283456.63193350413</v>
      </c>
      <c r="I93" s="39">
        <f t="shared" ca="1" si="26"/>
        <v>206094.71314919548</v>
      </c>
      <c r="J93" s="238">
        <f t="shared" si="26"/>
        <v>121381.52582998016</v>
      </c>
      <c r="K93" s="54"/>
      <c r="L93" s="82">
        <f ca="1">SUM(G93:K93)</f>
        <v>1307972.9559224781</v>
      </c>
      <c r="T93" s="44"/>
    </row>
    <row r="94" spans="1:21" x14ac:dyDescent="0.25">
      <c r="A94" s="97"/>
      <c r="B94" s="98"/>
      <c r="C94" s="98"/>
      <c r="D94" s="98"/>
      <c r="E94" s="98"/>
      <c r="F94" s="98"/>
      <c r="G94" s="98"/>
      <c r="H94" s="98"/>
      <c r="I94" s="99"/>
      <c r="J94" s="100"/>
      <c r="K94" s="54"/>
    </row>
    <row r="95" spans="1:21" x14ac:dyDescent="0.25">
      <c r="K95" s="54"/>
    </row>
    <row r="96" spans="1:21" x14ac:dyDescent="0.25">
      <c r="K96" s="47"/>
    </row>
  </sheetData>
  <mergeCells count="5">
    <mergeCell ref="L63:M63"/>
    <mergeCell ref="A3:J3"/>
    <mergeCell ref="A4:J4"/>
    <mergeCell ref="A5:J5"/>
    <mergeCell ref="L62:M62"/>
  </mergeCells>
  <pageMargins left="0.45" right="0.35" top="0.75" bottom="0.75" header="0.3" footer="0.3"/>
  <pageSetup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54"/>
  <sheetViews>
    <sheetView zoomScale="95" zoomScaleNormal="95" workbookViewId="0">
      <selection activeCell="I20" sqref="I20"/>
    </sheetView>
  </sheetViews>
  <sheetFormatPr defaultRowHeight="15" x14ac:dyDescent="0.25"/>
  <cols>
    <col min="1" max="1" width="3.109375" style="13" customWidth="1"/>
    <col min="2" max="2" width="1.33203125" style="13" customWidth="1"/>
    <col min="3" max="3" width="25.44140625" style="13" customWidth="1"/>
    <col min="4" max="7" width="9.77734375" style="13" customWidth="1"/>
    <col min="8" max="9" width="8.77734375" style="13" customWidth="1"/>
    <col min="10" max="10" width="1.33203125" style="13" customWidth="1"/>
    <col min="11" max="11" width="9.6640625" style="13" customWidth="1"/>
    <col min="12" max="15" width="8.88671875" style="13"/>
    <col min="16" max="16" width="2.44140625" style="13" customWidth="1"/>
    <col min="17" max="17" width="34.44140625" style="13" customWidth="1"/>
    <col min="18" max="18" width="11" style="13" customWidth="1"/>
    <col min="19" max="19" width="10.77734375" style="13" bestFit="1" customWidth="1"/>
    <col min="20" max="16384" width="8.88671875" style="13"/>
  </cols>
  <sheetData>
    <row r="2" spans="2:19" ht="15.75" x14ac:dyDescent="0.25">
      <c r="B2" s="24"/>
      <c r="C2" s="25"/>
      <c r="D2" s="25"/>
      <c r="E2" s="25"/>
      <c r="F2" s="25"/>
      <c r="G2" s="25"/>
      <c r="H2" s="25"/>
      <c r="I2" s="25"/>
      <c r="J2" s="26"/>
      <c r="P2" s="243" t="s">
        <v>339</v>
      </c>
    </row>
    <row r="3" spans="2:19" ht="18.75" x14ac:dyDescent="0.3">
      <c r="B3" s="14"/>
      <c r="C3" s="393" t="s">
        <v>0</v>
      </c>
      <c r="D3" s="393"/>
      <c r="E3" s="393"/>
      <c r="F3" s="393"/>
      <c r="G3" s="393"/>
      <c r="H3" s="393"/>
      <c r="I3" s="393"/>
      <c r="J3" s="27"/>
      <c r="K3" s="28"/>
      <c r="P3" s="151"/>
      <c r="Q3" s="152"/>
      <c r="R3" s="153"/>
      <c r="S3" s="242"/>
    </row>
    <row r="4" spans="2:19" ht="18.75" x14ac:dyDescent="0.3">
      <c r="B4" s="14"/>
      <c r="C4" s="16" t="s">
        <v>98</v>
      </c>
      <c r="D4" s="87"/>
      <c r="E4" s="87"/>
      <c r="F4" s="87"/>
      <c r="G4" s="87"/>
      <c r="H4" s="87"/>
      <c r="I4" s="87"/>
      <c r="J4" s="27"/>
      <c r="K4" s="28"/>
      <c r="P4" s="151"/>
      <c r="Q4" s="152"/>
      <c r="R4" s="153"/>
      <c r="S4" s="156" t="s">
        <v>242</v>
      </c>
    </row>
    <row r="5" spans="2:19" x14ac:dyDescent="0.25">
      <c r="B5" s="14"/>
      <c r="C5" s="157"/>
      <c r="D5" s="17"/>
      <c r="E5" s="17"/>
      <c r="F5" s="17"/>
      <c r="G5" s="17"/>
      <c r="H5" s="17"/>
      <c r="I5" s="17"/>
      <c r="J5" s="27"/>
      <c r="K5" s="28"/>
      <c r="P5" s="158"/>
      <c r="Q5" s="148"/>
      <c r="R5" s="159" t="s">
        <v>272</v>
      </c>
      <c r="S5" s="156" t="s">
        <v>273</v>
      </c>
    </row>
    <row r="6" spans="2:19" x14ac:dyDescent="0.25">
      <c r="B6" s="14"/>
      <c r="C6" s="19"/>
      <c r="D6" s="19"/>
      <c r="E6" s="19"/>
      <c r="F6" s="19"/>
      <c r="G6" s="19"/>
      <c r="H6" s="19"/>
      <c r="I6" s="19"/>
      <c r="J6" s="27"/>
      <c r="K6" s="28"/>
      <c r="P6" s="160" t="s">
        <v>274</v>
      </c>
      <c r="Q6" s="161"/>
      <c r="R6" s="162" t="s">
        <v>275</v>
      </c>
      <c r="S6" s="163" t="s">
        <v>276</v>
      </c>
    </row>
    <row r="7" spans="2:19" x14ac:dyDescent="0.25">
      <c r="B7" s="14"/>
      <c r="C7" s="19"/>
      <c r="D7" s="36" t="s">
        <v>242</v>
      </c>
      <c r="E7" s="145" t="s">
        <v>66</v>
      </c>
      <c r="F7" s="145" t="s">
        <v>24</v>
      </c>
      <c r="G7" s="145" t="s">
        <v>88</v>
      </c>
      <c r="H7" s="145" t="s">
        <v>25</v>
      </c>
      <c r="I7" s="145"/>
      <c r="J7" s="27"/>
      <c r="K7" s="28"/>
      <c r="P7" s="151"/>
      <c r="Q7" s="152"/>
      <c r="R7" s="153"/>
      <c r="S7" s="154"/>
    </row>
    <row r="8" spans="2:19" x14ac:dyDescent="0.25">
      <c r="B8" s="14"/>
      <c r="C8" s="19"/>
      <c r="D8" s="145" t="s">
        <v>5</v>
      </c>
      <c r="E8" s="145" t="s">
        <v>67</v>
      </c>
      <c r="F8" s="145" t="s">
        <v>26</v>
      </c>
      <c r="G8" s="145" t="s">
        <v>89</v>
      </c>
      <c r="H8" s="145" t="s">
        <v>27</v>
      </c>
      <c r="I8" s="145" t="s">
        <v>20</v>
      </c>
      <c r="J8" s="27"/>
      <c r="K8" s="28"/>
      <c r="P8" s="164" t="s">
        <v>113</v>
      </c>
      <c r="Q8" s="165"/>
      <c r="R8" s="153"/>
      <c r="S8" s="154"/>
    </row>
    <row r="9" spans="2:19" x14ac:dyDescent="0.25">
      <c r="B9" s="14"/>
      <c r="C9" s="19"/>
      <c r="D9" s="145"/>
      <c r="E9" s="145"/>
      <c r="F9" s="145"/>
      <c r="G9" s="145"/>
      <c r="H9" s="145"/>
      <c r="I9" s="145"/>
      <c r="J9" s="27"/>
      <c r="K9" s="28"/>
      <c r="P9" s="151"/>
      <c r="Q9" s="152" t="s">
        <v>8</v>
      </c>
      <c r="R9" s="153">
        <v>119783</v>
      </c>
      <c r="S9" s="154">
        <v>473.91111111111115</v>
      </c>
    </row>
    <row r="10" spans="2:19" x14ac:dyDescent="0.25">
      <c r="B10" s="14"/>
      <c r="C10" s="152" t="s">
        <v>293</v>
      </c>
      <c r="D10" s="38">
        <f>S15+S45+S46</f>
        <v>132016.51577696973</v>
      </c>
      <c r="E10" s="19"/>
      <c r="F10" s="19">
        <f>D10</f>
        <v>132016.51577696973</v>
      </c>
      <c r="G10" s="19"/>
      <c r="H10" s="19"/>
      <c r="I10" s="19"/>
      <c r="J10" s="27"/>
      <c r="K10" s="28"/>
      <c r="P10" s="151"/>
      <c r="Q10" s="152" t="s">
        <v>277</v>
      </c>
      <c r="R10" s="153">
        <v>152081</v>
      </c>
      <c r="S10" s="154">
        <v>4753.0400000000009</v>
      </c>
    </row>
    <row r="11" spans="2:19" x14ac:dyDescent="0.25">
      <c r="B11" s="14"/>
      <c r="C11" s="152" t="s">
        <v>294</v>
      </c>
      <c r="D11" s="275">
        <f>S16+(14544.07-6399.39)</f>
        <v>163842.64339393933</v>
      </c>
      <c r="E11" s="38">
        <f>D11</f>
        <v>163842.64339393933</v>
      </c>
      <c r="F11" s="38"/>
      <c r="G11" s="38"/>
      <c r="H11" s="38"/>
      <c r="I11" s="38"/>
      <c r="J11" s="27"/>
      <c r="K11" s="29"/>
      <c r="P11" s="151"/>
      <c r="Q11" s="152" t="s">
        <v>278</v>
      </c>
      <c r="R11" s="166">
        <v>38942.199999999997</v>
      </c>
      <c r="S11" s="167">
        <v>5563.1714285714279</v>
      </c>
    </row>
    <row r="12" spans="2:19" x14ac:dyDescent="0.25">
      <c r="B12" s="14"/>
      <c r="C12" s="152" t="s">
        <v>81</v>
      </c>
      <c r="D12" s="38">
        <f>S17</f>
        <v>1181.2</v>
      </c>
      <c r="E12" s="38"/>
      <c r="F12" s="38"/>
      <c r="G12" s="38"/>
      <c r="H12" s="38"/>
      <c r="I12" s="38">
        <f>D12</f>
        <v>1181.2</v>
      </c>
      <c r="J12" s="27"/>
      <c r="K12" s="28"/>
      <c r="P12" s="151"/>
      <c r="Q12" s="168" t="s">
        <v>279</v>
      </c>
      <c r="R12" s="149">
        <v>310806.2</v>
      </c>
      <c r="S12" s="150">
        <v>10790.122539682539</v>
      </c>
    </row>
    <row r="13" spans="2:19" x14ac:dyDescent="0.25">
      <c r="B13" s="14"/>
      <c r="C13" s="152" t="s">
        <v>295</v>
      </c>
      <c r="D13" s="38">
        <f>S18+S47+S48</f>
        <v>80909.056222222222</v>
      </c>
      <c r="E13" s="38"/>
      <c r="F13" s="38"/>
      <c r="G13" s="38">
        <f>D13</f>
        <v>80909.056222222222</v>
      </c>
      <c r="H13" s="38"/>
      <c r="I13" s="38"/>
      <c r="J13" s="27"/>
      <c r="K13" s="28"/>
      <c r="P13" s="151"/>
      <c r="Q13" s="152"/>
      <c r="R13" s="153"/>
      <c r="S13" s="154"/>
    </row>
    <row r="14" spans="2:19" x14ac:dyDescent="0.25">
      <c r="B14" s="14"/>
      <c r="C14" s="152" t="s">
        <v>296</v>
      </c>
      <c r="D14" s="38">
        <f>S19</f>
        <v>2732.0670793650793</v>
      </c>
      <c r="E14" s="38">
        <f t="shared" ref="E14:E16" si="0">D14</f>
        <v>2732.0670793650793</v>
      </c>
      <c r="F14" s="38"/>
      <c r="G14" s="38"/>
      <c r="H14" s="38"/>
      <c r="I14" s="38"/>
      <c r="J14" s="27"/>
      <c r="K14" s="28"/>
      <c r="P14" s="164" t="s">
        <v>280</v>
      </c>
      <c r="Q14" s="165"/>
      <c r="R14" s="153"/>
      <c r="S14" s="154"/>
    </row>
    <row r="15" spans="2:19" x14ac:dyDescent="0.25">
      <c r="B15" s="14"/>
      <c r="C15" s="152" t="s">
        <v>278</v>
      </c>
      <c r="D15" s="38">
        <f>S20</f>
        <v>1171.4285714285713</v>
      </c>
      <c r="E15" s="38">
        <f t="shared" si="0"/>
        <v>1171.4285714285713</v>
      </c>
      <c r="F15" s="38"/>
      <c r="G15" s="38"/>
      <c r="H15" s="38"/>
      <c r="I15" s="38"/>
      <c r="J15" s="27"/>
      <c r="K15" s="28"/>
      <c r="P15" s="151"/>
      <c r="Q15" s="152" t="s">
        <v>281</v>
      </c>
      <c r="R15" s="153">
        <v>4265308</v>
      </c>
      <c r="S15" s="154">
        <v>97118.94569696972</v>
      </c>
    </row>
    <row r="16" spans="2:19" x14ac:dyDescent="0.25">
      <c r="B16" s="14"/>
      <c r="C16" s="152" t="s">
        <v>8</v>
      </c>
      <c r="D16" s="38">
        <f>S21</f>
        <v>154.97777777777776</v>
      </c>
      <c r="E16" s="38">
        <f t="shared" si="0"/>
        <v>154.97777777777776</v>
      </c>
      <c r="F16" s="38"/>
      <c r="G16" s="38"/>
      <c r="H16" s="38"/>
      <c r="I16" s="38"/>
      <c r="J16" s="27"/>
      <c r="K16" s="28"/>
      <c r="P16" s="151"/>
      <c r="Q16" s="152" t="s">
        <v>282</v>
      </c>
      <c r="R16" s="153">
        <v>5237931.4800000004</v>
      </c>
      <c r="S16" s="154">
        <v>155697.96339393934</v>
      </c>
    </row>
    <row r="17" spans="2:19" x14ac:dyDescent="0.25">
      <c r="B17" s="14"/>
      <c r="C17" s="35" t="s">
        <v>297</v>
      </c>
      <c r="D17" s="38">
        <f>S37</f>
        <v>36794.562457142856</v>
      </c>
      <c r="E17" s="38"/>
      <c r="F17" s="38">
        <f>D17*0.65</f>
        <v>23916.465597142858</v>
      </c>
      <c r="G17" s="38"/>
      <c r="H17" s="38"/>
      <c r="I17" s="38">
        <f>D17-F17</f>
        <v>12878.096859999998</v>
      </c>
      <c r="J17" s="27"/>
      <c r="K17" s="28"/>
      <c r="P17" s="151"/>
      <c r="Q17" s="152" t="s">
        <v>81</v>
      </c>
      <c r="R17" s="153">
        <v>59060</v>
      </c>
      <c r="S17" s="154">
        <v>1181.2</v>
      </c>
    </row>
    <row r="18" spans="2:19" x14ac:dyDescent="0.25">
      <c r="B18" s="14"/>
      <c r="C18" s="19" t="s">
        <v>298</v>
      </c>
      <c r="D18" s="38">
        <f>S12</f>
        <v>10790.122539682539</v>
      </c>
      <c r="E18" s="38"/>
      <c r="F18" s="38"/>
      <c r="G18" s="38"/>
      <c r="H18" s="38">
        <f>S12*AlocDep!F27</f>
        <v>5958.8558377554764</v>
      </c>
      <c r="I18" s="38">
        <f>D18-H18</f>
        <v>4831.266701927063</v>
      </c>
      <c r="J18" s="27"/>
      <c r="K18" s="28"/>
      <c r="P18" s="151"/>
      <c r="Q18" s="152" t="s">
        <v>283</v>
      </c>
      <c r="R18" s="153">
        <v>2491375</v>
      </c>
      <c r="S18" s="154">
        <v>54105.748888888891</v>
      </c>
    </row>
    <row r="19" spans="2:19" x14ac:dyDescent="0.25">
      <c r="B19" s="14"/>
      <c r="C19" s="19"/>
      <c r="D19" s="19"/>
      <c r="E19" s="19"/>
      <c r="F19" s="19"/>
      <c r="G19" s="19"/>
      <c r="H19" s="19"/>
      <c r="I19" s="19"/>
      <c r="J19" s="27"/>
      <c r="K19" s="28"/>
      <c r="P19" s="151"/>
      <c r="Q19" s="152" t="s">
        <v>284</v>
      </c>
      <c r="R19" s="153">
        <v>69597.540000000008</v>
      </c>
      <c r="S19" s="154">
        <v>2732.0670793650793</v>
      </c>
    </row>
    <row r="20" spans="2:19" x14ac:dyDescent="0.25">
      <c r="B20" s="14"/>
      <c r="C20" s="22" t="s">
        <v>292</v>
      </c>
      <c r="D20" s="96">
        <f t="shared" ref="D20:I20" si="1">SUM(D10:D18)</f>
        <v>429592.57381852815</v>
      </c>
      <c r="E20" s="96">
        <f t="shared" si="1"/>
        <v>167901.11682251075</v>
      </c>
      <c r="F20" s="96">
        <f t="shared" si="1"/>
        <v>155932.9813741126</v>
      </c>
      <c r="G20" s="96">
        <f t="shared" si="1"/>
        <v>80909.056222222222</v>
      </c>
      <c r="H20" s="96">
        <f t="shared" si="1"/>
        <v>5958.8558377554764</v>
      </c>
      <c r="I20" s="96">
        <f t="shared" si="1"/>
        <v>18890.563561927062</v>
      </c>
      <c r="J20" s="27"/>
      <c r="K20" s="28"/>
      <c r="L20" s="28">
        <f>SUM(E20:I20)</f>
        <v>429592.57381852815</v>
      </c>
      <c r="P20" s="151"/>
      <c r="Q20" s="152" t="s">
        <v>278</v>
      </c>
      <c r="R20" s="153">
        <v>8200</v>
      </c>
      <c r="S20" s="154">
        <v>1171.4285714285713</v>
      </c>
    </row>
    <row r="21" spans="2:19" x14ac:dyDescent="0.25">
      <c r="B21" s="31"/>
      <c r="C21" s="32"/>
      <c r="D21" s="32"/>
      <c r="E21" s="32"/>
      <c r="F21" s="32"/>
      <c r="G21" s="32"/>
      <c r="H21" s="32"/>
      <c r="I21" s="32"/>
      <c r="J21" s="33"/>
      <c r="K21" s="28"/>
      <c r="P21" s="151"/>
      <c r="Q21" s="152" t="s">
        <v>8</v>
      </c>
      <c r="R21" s="153">
        <v>19358</v>
      </c>
      <c r="S21" s="154">
        <v>154.97777777777776</v>
      </c>
    </row>
    <row r="22" spans="2:19" x14ac:dyDescent="0.25">
      <c r="B22" s="15"/>
      <c r="C22" s="28"/>
      <c r="D22" s="19"/>
      <c r="E22" s="34"/>
      <c r="F22" s="30"/>
      <c r="G22" s="30"/>
      <c r="H22" s="34"/>
      <c r="I22" s="34"/>
      <c r="J22" s="28"/>
      <c r="K22" s="28"/>
      <c r="P22" s="151"/>
      <c r="Q22" s="152" t="s">
        <v>285</v>
      </c>
      <c r="R22" s="166">
        <v>2583147.7399999998</v>
      </c>
      <c r="S22" s="369">
        <f>S49</f>
        <v>61700.877413333328</v>
      </c>
    </row>
    <row r="23" spans="2:19" x14ac:dyDescent="0.25">
      <c r="C23" s="28"/>
      <c r="E23" s="28"/>
      <c r="F23" s="28"/>
      <c r="G23" s="28"/>
      <c r="H23" s="28"/>
      <c r="I23" s="28"/>
      <c r="J23" s="28"/>
      <c r="K23" s="28"/>
      <c r="P23" s="151"/>
      <c r="Q23" s="168" t="s">
        <v>286</v>
      </c>
      <c r="R23" s="149">
        <v>14733977.76</v>
      </c>
      <c r="S23" s="150">
        <f>SUM(S15:S22)</f>
        <v>373863.20882170275</v>
      </c>
    </row>
    <row r="24" spans="2:19" x14ac:dyDescent="0.25">
      <c r="P24" s="151"/>
      <c r="Q24" s="152"/>
      <c r="R24" s="153"/>
      <c r="S24" s="154"/>
    </row>
    <row r="25" spans="2:19" x14ac:dyDescent="0.25">
      <c r="K25" s="28"/>
      <c r="P25" s="164" t="s">
        <v>287</v>
      </c>
      <c r="Q25" s="165"/>
      <c r="R25" s="153"/>
      <c r="S25" s="154"/>
    </row>
    <row r="26" spans="2:19" x14ac:dyDescent="0.25">
      <c r="C26" s="42" t="s">
        <v>335</v>
      </c>
      <c r="D26" s="42"/>
      <c r="E26" s="42">
        <f>SUM(mtrx!I11:J32)</f>
        <v>201712.67804858933</v>
      </c>
      <c r="F26" s="42"/>
      <c r="K26" s="34"/>
      <c r="P26" s="151"/>
      <c r="Q26" s="152" t="s">
        <v>288</v>
      </c>
      <c r="R26" s="153">
        <v>10971980.459999999</v>
      </c>
      <c r="S26" s="154">
        <v>254190.01910173157</v>
      </c>
    </row>
    <row r="27" spans="2:19" x14ac:dyDescent="0.25">
      <c r="C27" s="42" t="s">
        <v>336</v>
      </c>
      <c r="D27" s="42"/>
      <c r="E27" s="42">
        <f>SUM(mtrx!J11:J32)</f>
        <v>111396.02582998016</v>
      </c>
      <c r="F27" s="46">
        <f>E27/$E$26</f>
        <v>0.55225098842397335</v>
      </c>
      <c r="K27" s="28"/>
      <c r="P27" s="151"/>
      <c r="Q27" s="152" t="s">
        <v>289</v>
      </c>
      <c r="R27" s="153">
        <v>7182862</v>
      </c>
      <c r="S27" s="154">
        <v>113043.45600000001</v>
      </c>
    </row>
    <row r="28" spans="2:19" x14ac:dyDescent="0.25">
      <c r="C28" s="42" t="s">
        <v>337</v>
      </c>
      <c r="D28" s="42"/>
      <c r="E28" s="42">
        <f>SUM(mtrx!I11:I32)</f>
        <v>90316.652218609262</v>
      </c>
      <c r="F28" s="46">
        <f>E28/$E$26</f>
        <v>0.44774901157602714</v>
      </c>
      <c r="P28" s="151"/>
      <c r="Q28" s="152" t="s">
        <v>8</v>
      </c>
      <c r="R28" s="153">
        <v>1595</v>
      </c>
      <c r="S28" s="154">
        <v>0</v>
      </c>
    </row>
    <row r="29" spans="2:19" x14ac:dyDescent="0.25">
      <c r="C29" s="169"/>
      <c r="D29" s="19"/>
      <c r="P29" s="151"/>
      <c r="Q29" s="152" t="s">
        <v>278</v>
      </c>
      <c r="R29" s="166">
        <v>34995</v>
      </c>
      <c r="S29" s="167">
        <v>3570.7142857142858</v>
      </c>
    </row>
    <row r="30" spans="2:19" x14ac:dyDescent="0.25">
      <c r="C30" s="169"/>
      <c r="D30" s="19"/>
      <c r="P30" s="151"/>
      <c r="Q30" s="152"/>
      <c r="R30" s="149">
        <v>18191432.460000001</v>
      </c>
      <c r="S30" s="150">
        <v>370804.18938744586</v>
      </c>
    </row>
    <row r="31" spans="2:19" x14ac:dyDescent="0.25">
      <c r="C31" s="169"/>
      <c r="D31" s="19"/>
      <c r="P31" s="151"/>
      <c r="Q31" s="152"/>
      <c r="R31" s="153"/>
      <c r="S31" s="154"/>
    </row>
    <row r="32" spans="2:19" x14ac:dyDescent="0.25">
      <c r="P32" s="151" t="s">
        <v>71</v>
      </c>
      <c r="Q32" s="152"/>
      <c r="R32" s="153"/>
      <c r="S32" s="154"/>
    </row>
    <row r="33" spans="16:19" x14ac:dyDescent="0.25">
      <c r="P33" s="151"/>
      <c r="Q33" s="152" t="s">
        <v>277</v>
      </c>
      <c r="R33" s="153">
        <v>155060.39000000001</v>
      </c>
      <c r="S33" s="154">
        <v>4177.6103999999996</v>
      </c>
    </row>
    <row r="34" spans="16:19" x14ac:dyDescent="0.25">
      <c r="P34" s="151"/>
      <c r="Q34" s="152" t="s">
        <v>8</v>
      </c>
      <c r="R34" s="153">
        <v>12236</v>
      </c>
      <c r="S34" s="154">
        <v>175.88571428571427</v>
      </c>
    </row>
    <row r="35" spans="16:19" x14ac:dyDescent="0.25">
      <c r="P35" s="151"/>
      <c r="Q35" s="152" t="s">
        <v>290</v>
      </c>
      <c r="R35" s="153">
        <v>305804.24</v>
      </c>
      <c r="S35" s="154">
        <v>18646.923485714287</v>
      </c>
    </row>
    <row r="36" spans="16:19" x14ac:dyDescent="0.25">
      <c r="P36" s="151"/>
      <c r="Q36" s="152" t="s">
        <v>278</v>
      </c>
      <c r="R36" s="166">
        <v>147385</v>
      </c>
      <c r="S36" s="167">
        <v>13794.142857142857</v>
      </c>
    </row>
    <row r="37" spans="16:19" x14ac:dyDescent="0.25">
      <c r="P37" s="151"/>
      <c r="Q37" s="152"/>
      <c r="R37" s="149">
        <v>620485.63</v>
      </c>
      <c r="S37" s="150">
        <v>36794.562457142856</v>
      </c>
    </row>
    <row r="38" spans="16:19" x14ac:dyDescent="0.25">
      <c r="P38" s="151"/>
      <c r="Q38" s="152"/>
      <c r="R38" s="153"/>
      <c r="S38" s="154"/>
    </row>
    <row r="39" spans="16:19" x14ac:dyDescent="0.25">
      <c r="P39" s="170"/>
      <c r="Q39" s="148" t="s">
        <v>291</v>
      </c>
      <c r="R39" s="149">
        <v>33856702.050000004</v>
      </c>
      <c r="S39" s="150">
        <f>S37+S30+S23+S12</f>
        <v>792252.08320597396</v>
      </c>
    </row>
    <row r="40" spans="16:19" x14ac:dyDescent="0.25">
      <c r="P40" s="151"/>
      <c r="Q40" s="152" t="s">
        <v>333</v>
      </c>
      <c r="R40" s="153"/>
      <c r="S40" s="171">
        <f>-S30</f>
        <v>-370804.18938744586</v>
      </c>
    </row>
    <row r="41" spans="16:19" x14ac:dyDescent="0.25">
      <c r="Q41" s="239" t="s">
        <v>334</v>
      </c>
      <c r="S41" s="370">
        <f>S39+S40</f>
        <v>421447.8938185281</v>
      </c>
    </row>
    <row r="42" spans="16:19" x14ac:dyDescent="0.25">
      <c r="Q42" s="239"/>
      <c r="S42" s="240"/>
    </row>
    <row r="43" spans="16:19" x14ac:dyDescent="0.25">
      <c r="Q43" s="239"/>
      <c r="S43" s="240"/>
    </row>
    <row r="44" spans="16:19" x14ac:dyDescent="0.25">
      <c r="Q44" s="241" t="s">
        <v>338</v>
      </c>
      <c r="R44" s="201"/>
      <c r="S44" s="201"/>
    </row>
    <row r="45" spans="16:19" x14ac:dyDescent="0.25">
      <c r="Q45" s="201" t="s">
        <v>299</v>
      </c>
      <c r="R45" s="202">
        <v>1880520.73</v>
      </c>
      <c r="S45" s="202">
        <v>30088.331679999999</v>
      </c>
    </row>
    <row r="46" spans="16:19" x14ac:dyDescent="0.25">
      <c r="Q46" s="201" t="s">
        <v>352</v>
      </c>
      <c r="R46" s="202">
        <v>300577.40000000002</v>
      </c>
      <c r="S46" s="202">
        <v>4809.2384000000002</v>
      </c>
    </row>
    <row r="47" spans="16:19" x14ac:dyDescent="0.25">
      <c r="Q47" s="201" t="s">
        <v>300</v>
      </c>
      <c r="R47" s="202">
        <v>334058.5</v>
      </c>
      <c r="S47" s="277">
        <f>R47/15</f>
        <v>22270.566666666666</v>
      </c>
    </row>
    <row r="48" spans="16:19" ht="17.25" x14ac:dyDescent="0.4">
      <c r="Q48" s="201" t="s">
        <v>353</v>
      </c>
      <c r="R48" s="203">
        <v>67991.11</v>
      </c>
      <c r="S48" s="276">
        <f>R48/15</f>
        <v>4532.7406666666666</v>
      </c>
    </row>
    <row r="49" spans="17:19" x14ac:dyDescent="0.25">
      <c r="Q49" s="201"/>
      <c r="R49" s="202">
        <v>2583147.7399999998</v>
      </c>
      <c r="S49" s="262">
        <f>SUM(S45:S48)</f>
        <v>61700.877413333328</v>
      </c>
    </row>
    <row r="52" spans="17:19" x14ac:dyDescent="0.25">
      <c r="R52" s="114"/>
      <c r="S52" s="114"/>
    </row>
    <row r="53" spans="17:19" x14ac:dyDescent="0.25">
      <c r="R53" s="114"/>
      <c r="S53" s="114"/>
    </row>
    <row r="54" spans="17:19" x14ac:dyDescent="0.25">
      <c r="R54" s="114"/>
      <c r="S54" s="114"/>
    </row>
  </sheetData>
  <mergeCells count="1">
    <mergeCell ref="C3:I3"/>
  </mergeCells>
  <printOptions horizontalCentered="1"/>
  <pageMargins left="0.7" right="0.7" top="1.25" bottom="0.75" header="0.3" footer="0.3"/>
  <pageSetup scale="94" orientation="portrait" r:id="rId1"/>
  <ignoredErrors>
    <ignoredError sqref="D1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2" zoomScaleNormal="82" workbookViewId="0">
      <selection activeCell="P10" sqref="P10"/>
    </sheetView>
  </sheetViews>
  <sheetFormatPr defaultRowHeight="15" x14ac:dyDescent="0.25"/>
  <cols>
    <col min="1" max="1" width="1.6640625" style="13" customWidth="1"/>
    <col min="2" max="2" width="15.6640625" style="13" customWidth="1"/>
    <col min="3" max="3" width="7.77734375" style="13" customWidth="1"/>
    <col min="4" max="4" width="8" style="13" customWidth="1"/>
    <col min="5" max="8" width="7.77734375" style="13" customWidth="1"/>
    <col min="9" max="9" width="11" style="13" customWidth="1"/>
    <col min="10" max="10" width="9.44140625" style="13" customWidth="1"/>
    <col min="11" max="11" width="11.77734375" style="13" customWidth="1"/>
    <col min="12" max="12" width="1.33203125" style="13" customWidth="1"/>
    <col min="13" max="13" width="5.77734375" style="13" customWidth="1"/>
    <col min="14" max="16384" width="8.88671875" style="13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4"/>
    </row>
    <row r="2" spans="1:13" x14ac:dyDescent="0.25">
      <c r="A2" s="42"/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  <c r="M2" s="54"/>
    </row>
    <row r="3" spans="1:13" ht="18.75" x14ac:dyDescent="0.3">
      <c r="A3" s="42"/>
      <c r="B3" s="383" t="s">
        <v>28</v>
      </c>
      <c r="C3" s="384"/>
      <c r="D3" s="384"/>
      <c r="E3" s="384"/>
      <c r="F3" s="384"/>
      <c r="G3" s="384"/>
      <c r="H3" s="384"/>
      <c r="I3" s="384"/>
      <c r="J3" s="384"/>
      <c r="K3" s="384"/>
      <c r="L3" s="78"/>
      <c r="M3" s="51"/>
    </row>
    <row r="4" spans="1:13" ht="18.75" x14ac:dyDescent="0.3">
      <c r="A4" s="42"/>
      <c r="B4" s="386" t="s">
        <v>346</v>
      </c>
      <c r="C4" s="387"/>
      <c r="D4" s="387"/>
      <c r="E4" s="387"/>
      <c r="F4" s="387"/>
      <c r="G4" s="387"/>
      <c r="H4" s="387"/>
      <c r="I4" s="387"/>
      <c r="J4" s="387"/>
      <c r="K4" s="387"/>
      <c r="L4" s="63"/>
      <c r="M4" s="53"/>
    </row>
    <row r="5" spans="1:13" x14ac:dyDescent="0.25">
      <c r="A5" s="42"/>
      <c r="B5" s="394"/>
      <c r="C5" s="395"/>
      <c r="D5" s="395"/>
      <c r="E5" s="395"/>
      <c r="F5" s="395"/>
      <c r="G5" s="395"/>
      <c r="H5" s="395"/>
      <c r="I5" s="395"/>
      <c r="J5" s="395"/>
      <c r="K5" s="395"/>
      <c r="L5" s="78"/>
      <c r="M5" s="51"/>
    </row>
    <row r="6" spans="1:13" x14ac:dyDescent="0.25">
      <c r="A6" s="42"/>
      <c r="B6" s="396" t="s">
        <v>303</v>
      </c>
      <c r="C6" s="397"/>
      <c r="D6" s="397"/>
      <c r="E6" s="397"/>
      <c r="F6" s="397"/>
      <c r="G6" s="397"/>
      <c r="H6" s="397"/>
      <c r="I6" s="397"/>
      <c r="J6" s="397"/>
      <c r="K6" s="397"/>
      <c r="L6" s="79"/>
      <c r="M6" s="55"/>
    </row>
    <row r="7" spans="1:13" x14ac:dyDescent="0.25">
      <c r="A7" s="42"/>
      <c r="B7" s="56"/>
      <c r="C7" s="55"/>
      <c r="D7" s="55"/>
      <c r="E7" s="55"/>
      <c r="F7" s="55"/>
      <c r="G7" s="55"/>
      <c r="H7" s="55"/>
      <c r="I7" s="55"/>
      <c r="J7" s="55"/>
      <c r="K7" s="55"/>
      <c r="L7" s="79"/>
      <c r="M7" s="55"/>
    </row>
    <row r="8" spans="1:13" x14ac:dyDescent="0.25">
      <c r="A8" s="42"/>
      <c r="B8" s="57"/>
      <c r="C8" s="58"/>
      <c r="D8" s="59"/>
      <c r="E8" s="58"/>
      <c r="F8" s="60"/>
      <c r="G8" s="58"/>
      <c r="H8" s="60"/>
      <c r="I8" s="58"/>
      <c r="J8" s="60"/>
      <c r="K8" s="59"/>
      <c r="L8" s="60"/>
      <c r="M8" s="81"/>
    </row>
    <row r="9" spans="1:13" ht="17.25" x14ac:dyDescent="0.4">
      <c r="A9" s="42"/>
      <c r="B9" s="61"/>
      <c r="C9" s="64" t="s">
        <v>9</v>
      </c>
      <c r="D9" s="53"/>
      <c r="E9" s="62" t="s">
        <v>10</v>
      </c>
      <c r="F9" s="63"/>
      <c r="G9" s="62" t="s">
        <v>74</v>
      </c>
      <c r="H9" s="63"/>
      <c r="I9" s="174" t="s">
        <v>76</v>
      </c>
      <c r="J9" s="175" t="s">
        <v>316</v>
      </c>
      <c r="K9" s="77" t="s">
        <v>79</v>
      </c>
      <c r="L9" s="80"/>
      <c r="M9" s="76"/>
    </row>
    <row r="10" spans="1:13" ht="17.25" x14ac:dyDescent="0.4">
      <c r="A10" s="42"/>
      <c r="B10" s="61"/>
      <c r="C10" s="65" t="s">
        <v>3</v>
      </c>
      <c r="D10" s="66" t="s">
        <v>4</v>
      </c>
      <c r="E10" s="65" t="s">
        <v>3</v>
      </c>
      <c r="F10" s="67" t="s">
        <v>4</v>
      </c>
      <c r="G10" s="65" t="s">
        <v>3</v>
      </c>
      <c r="H10" s="67" t="s">
        <v>4</v>
      </c>
      <c r="I10" s="174" t="s">
        <v>77</v>
      </c>
      <c r="J10" s="175" t="s">
        <v>340</v>
      </c>
      <c r="K10" s="77" t="s">
        <v>78</v>
      </c>
      <c r="L10" s="67"/>
      <c r="M10" s="66"/>
    </row>
    <row r="11" spans="1:13" x14ac:dyDescent="0.25">
      <c r="A11" s="42"/>
      <c r="B11" s="8" t="s">
        <v>301</v>
      </c>
      <c r="C11" s="263">
        <v>35000</v>
      </c>
      <c r="D11" s="264">
        <f>19141.25+19141.25</f>
        <v>38282.5</v>
      </c>
      <c r="E11" s="263">
        <v>40000</v>
      </c>
      <c r="F11" s="265">
        <f>18266.25*2</f>
        <v>36532.5</v>
      </c>
      <c r="G11" s="263">
        <v>40000</v>
      </c>
      <c r="H11" s="265">
        <f>17266.25*2</f>
        <v>34532.5</v>
      </c>
      <c r="I11" s="263">
        <f>SUM(C11:H11)/3</f>
        <v>74782.5</v>
      </c>
      <c r="J11" s="265">
        <f>I11*0.2</f>
        <v>14956.5</v>
      </c>
      <c r="K11" s="371">
        <f>J11+I11</f>
        <v>89739</v>
      </c>
      <c r="L11" s="9"/>
      <c r="M11" s="68"/>
    </row>
    <row r="12" spans="1:13" x14ac:dyDescent="0.25">
      <c r="A12" s="42"/>
      <c r="B12" s="7" t="s">
        <v>302</v>
      </c>
      <c r="C12" s="263">
        <v>43000</v>
      </c>
      <c r="D12" s="264">
        <f>29101.88*2</f>
        <v>58203.76</v>
      </c>
      <c r="E12" s="263">
        <v>44000</v>
      </c>
      <c r="F12" s="265">
        <f>28645*2</f>
        <v>57290</v>
      </c>
      <c r="G12" s="263">
        <v>45000</v>
      </c>
      <c r="H12" s="265">
        <f>28177.5*2</f>
        <v>56355</v>
      </c>
      <c r="I12" s="263">
        <f>SUM(C12:H12)/3</f>
        <v>101282.92</v>
      </c>
      <c r="J12" s="265">
        <f>I12*0.2</f>
        <v>20256.584000000003</v>
      </c>
      <c r="K12" s="371">
        <f t="shared" ref="K12" si="0">J12+I12</f>
        <v>121539.504</v>
      </c>
      <c r="L12" s="9"/>
      <c r="M12" s="68"/>
    </row>
    <row r="13" spans="1:13" x14ac:dyDescent="0.25">
      <c r="A13" s="42"/>
      <c r="B13" s="7"/>
      <c r="C13" s="266"/>
      <c r="D13" s="267"/>
      <c r="E13" s="266"/>
      <c r="F13" s="268"/>
      <c r="G13" s="266"/>
      <c r="H13" s="268"/>
      <c r="I13" s="266"/>
      <c r="J13" s="268"/>
      <c r="K13" s="372"/>
      <c r="L13" s="12"/>
      <c r="M13" s="69"/>
    </row>
    <row r="14" spans="1:13" x14ac:dyDescent="0.25">
      <c r="A14" s="42"/>
      <c r="B14" s="70" t="s">
        <v>1</v>
      </c>
      <c r="C14" s="269">
        <f t="shared" ref="C14:K14" si="1">SUM(C11:C13)</f>
        <v>78000</v>
      </c>
      <c r="D14" s="270">
        <f t="shared" si="1"/>
        <v>96486.260000000009</v>
      </c>
      <c r="E14" s="269">
        <f t="shared" si="1"/>
        <v>84000</v>
      </c>
      <c r="F14" s="271">
        <f t="shared" si="1"/>
        <v>93822.5</v>
      </c>
      <c r="G14" s="269">
        <f t="shared" si="1"/>
        <v>85000</v>
      </c>
      <c r="H14" s="271">
        <f t="shared" si="1"/>
        <v>90887.5</v>
      </c>
      <c r="I14" s="269">
        <f t="shared" si="1"/>
        <v>176065.41999999998</v>
      </c>
      <c r="J14" s="271">
        <f t="shared" si="1"/>
        <v>35213.084000000003</v>
      </c>
      <c r="K14" s="373">
        <f t="shared" si="1"/>
        <v>211278.50400000002</v>
      </c>
      <c r="L14" s="72"/>
      <c r="M14" s="71"/>
    </row>
    <row r="15" spans="1:13" x14ac:dyDescent="0.25">
      <c r="A15" s="42"/>
      <c r="B15" s="73"/>
      <c r="C15" s="10"/>
      <c r="D15" s="74"/>
      <c r="E15" s="10"/>
      <c r="F15" s="11"/>
      <c r="G15" s="10"/>
      <c r="H15" s="11"/>
      <c r="I15" s="10"/>
      <c r="J15" s="11"/>
      <c r="K15" s="74"/>
      <c r="L15" s="11"/>
      <c r="M15" s="75"/>
    </row>
    <row r="16" spans="1:13" x14ac:dyDescent="0.25">
      <c r="D16" s="137"/>
      <c r="F16" s="137"/>
      <c r="H16" s="137"/>
      <c r="M16" s="15"/>
    </row>
    <row r="17" spans="3:8" x14ac:dyDescent="0.25">
      <c r="C17" s="13" t="s">
        <v>341</v>
      </c>
    </row>
    <row r="18" spans="3:8" x14ac:dyDescent="0.25">
      <c r="C18" s="278" t="s">
        <v>360</v>
      </c>
    </row>
    <row r="22" spans="3:8" x14ac:dyDescent="0.25">
      <c r="D22" s="137"/>
      <c r="F22" s="137"/>
      <c r="H22" s="137"/>
    </row>
  </sheetData>
  <mergeCells count="4">
    <mergeCell ref="B3:K3"/>
    <mergeCell ref="B4:K4"/>
    <mergeCell ref="B5:K5"/>
    <mergeCell ref="B6:K6"/>
  </mergeCells>
  <pageMargins left="0.95" right="0.95" top="2" bottom="0.75" header="0.3" footer="0.3"/>
  <pageSetup scale="8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H19" sqref="H19"/>
    </sheetView>
  </sheetViews>
  <sheetFormatPr defaultColWidth="8.88671875" defaultRowHeight="15" x14ac:dyDescent="0.25"/>
  <cols>
    <col min="1" max="1" width="4.21875" style="13" customWidth="1"/>
    <col min="2" max="2" width="1.109375" style="13" customWidth="1"/>
    <col min="3" max="3" width="12.33203125" style="13" customWidth="1"/>
    <col min="4" max="4" width="19.21875" style="13" customWidth="1"/>
    <col min="5" max="8" width="9.77734375" style="13" customWidth="1"/>
    <col min="9" max="9" width="1.33203125" style="13" customWidth="1"/>
    <col min="10" max="10" width="9.6640625" style="13" customWidth="1"/>
    <col min="11" max="16384" width="8.88671875" style="13"/>
  </cols>
  <sheetData>
    <row r="2" spans="2:14" x14ac:dyDescent="0.25">
      <c r="B2" s="24"/>
      <c r="C2" s="25"/>
      <c r="D2" s="25"/>
      <c r="E2" s="25"/>
      <c r="F2" s="25"/>
      <c r="G2" s="25"/>
      <c r="H2" s="25"/>
      <c r="I2" s="26"/>
    </row>
    <row r="3" spans="2:14" ht="18.75" x14ac:dyDescent="0.3">
      <c r="B3" s="14"/>
      <c r="C3" s="393" t="s">
        <v>43</v>
      </c>
      <c r="D3" s="393"/>
      <c r="E3" s="393"/>
      <c r="F3" s="393"/>
      <c r="G3" s="393"/>
      <c r="H3" s="393"/>
      <c r="I3" s="27"/>
      <c r="J3" s="28"/>
    </row>
    <row r="4" spans="2:14" ht="18.75" x14ac:dyDescent="0.3">
      <c r="B4" s="14"/>
      <c r="C4" s="16" t="s">
        <v>80</v>
      </c>
      <c r="D4" s="16"/>
      <c r="E4" s="87"/>
      <c r="F4" s="87"/>
      <c r="G4" s="87"/>
      <c r="H4" s="87"/>
      <c r="I4" s="27"/>
      <c r="J4" s="28"/>
    </row>
    <row r="5" spans="2:14" ht="15.75" x14ac:dyDescent="0.25">
      <c r="B5" s="14"/>
      <c r="C5" s="390"/>
      <c r="D5" s="390"/>
      <c r="E5" s="390"/>
      <c r="F5" s="390"/>
      <c r="G5" s="390"/>
      <c r="H5" s="390"/>
      <c r="I5" s="27"/>
      <c r="J5" s="85"/>
      <c r="K5" s="85"/>
      <c r="L5" s="85"/>
      <c r="M5" s="85"/>
      <c r="N5" s="85"/>
    </row>
    <row r="6" spans="2:14" ht="17.25" x14ac:dyDescent="0.4">
      <c r="B6" s="14"/>
      <c r="C6" s="19"/>
      <c r="D6" s="19"/>
      <c r="E6" s="43" t="s">
        <v>93</v>
      </c>
      <c r="F6" s="20" t="s">
        <v>66</v>
      </c>
      <c r="G6" s="20" t="s">
        <v>24</v>
      </c>
      <c r="H6" s="20" t="s">
        <v>88</v>
      </c>
      <c r="I6" s="27"/>
      <c r="J6" s="28"/>
    </row>
    <row r="7" spans="2:14" ht="17.25" x14ac:dyDescent="0.4">
      <c r="B7" s="14"/>
      <c r="C7" s="19"/>
      <c r="D7" s="77" t="s">
        <v>75</v>
      </c>
      <c r="E7" s="43" t="s">
        <v>318</v>
      </c>
      <c r="F7" s="20" t="s">
        <v>67</v>
      </c>
      <c r="G7" s="20" t="s">
        <v>26</v>
      </c>
      <c r="H7" s="20" t="s">
        <v>89</v>
      </c>
      <c r="I7" s="27"/>
      <c r="J7" s="28"/>
    </row>
    <row r="8" spans="2:14" x14ac:dyDescent="0.25">
      <c r="B8" s="14"/>
      <c r="C8" s="68" t="s">
        <v>301</v>
      </c>
      <c r="D8" s="81" t="s">
        <v>304</v>
      </c>
      <c r="E8" s="38">
        <f>Debt!K11</f>
        <v>89739</v>
      </c>
      <c r="F8" s="38">
        <f>E8</f>
        <v>89739</v>
      </c>
      <c r="H8" s="38"/>
      <c r="I8" s="27"/>
      <c r="J8" s="28"/>
    </row>
    <row r="9" spans="2:14" x14ac:dyDescent="0.25">
      <c r="B9" s="14"/>
      <c r="C9" s="176" t="s">
        <v>302</v>
      </c>
      <c r="D9" s="81" t="s">
        <v>305</v>
      </c>
      <c r="E9" s="38">
        <f>Debt!K12</f>
        <v>121539.504</v>
      </c>
      <c r="F9" s="38">
        <f>$E9*G22</f>
        <v>6915.7379984224426</v>
      </c>
      <c r="G9" s="38">
        <f>$E9*G20</f>
        <v>96783.346073577035</v>
      </c>
      <c r="H9" s="38">
        <f>$E9*G21</f>
        <v>17840.419928000527</v>
      </c>
      <c r="I9" s="27"/>
      <c r="J9" s="28"/>
      <c r="K9" s="137">
        <f>SUM(F9:H9)</f>
        <v>121539.504</v>
      </c>
    </row>
    <row r="10" spans="2:14" x14ac:dyDescent="0.25">
      <c r="B10" s="14"/>
      <c r="C10" s="19"/>
      <c r="D10" s="19"/>
      <c r="E10" s="38"/>
      <c r="F10" s="38"/>
      <c r="G10" s="38"/>
      <c r="H10" s="38"/>
      <c r="I10" s="27"/>
      <c r="J10" s="28"/>
    </row>
    <row r="11" spans="2:14" x14ac:dyDescent="0.25">
      <c r="B11" s="14"/>
      <c r="C11" s="21" t="s">
        <v>5</v>
      </c>
      <c r="D11" s="21"/>
      <c r="E11" s="39">
        <f>SUM(E8:E9)</f>
        <v>211278.50400000002</v>
      </c>
      <c r="F11" s="39">
        <f>SUM(F8:F9)</f>
        <v>96654.737998422439</v>
      </c>
      <c r="G11" s="39">
        <f>SUM(G8:G9)</f>
        <v>96783.346073577035</v>
      </c>
      <c r="H11" s="39">
        <f>SUM(H8:H9)</f>
        <v>17840.419928000527</v>
      </c>
      <c r="I11" s="27"/>
      <c r="K11" s="88">
        <f>SUM(F11:J11)</f>
        <v>211278.50400000002</v>
      </c>
    </row>
    <row r="12" spans="2:14" x14ac:dyDescent="0.25">
      <c r="B12" s="31"/>
      <c r="C12" s="40"/>
      <c r="D12" s="40"/>
      <c r="E12" s="41"/>
      <c r="F12" s="41"/>
      <c r="G12" s="41"/>
      <c r="H12" s="41"/>
      <c r="I12" s="33"/>
      <c r="J12" s="28"/>
    </row>
    <row r="13" spans="2:14" x14ac:dyDescent="0.25">
      <c r="B13" s="15"/>
      <c r="C13" s="22"/>
      <c r="D13" s="22"/>
      <c r="E13" s="236"/>
      <c r="F13" s="236"/>
      <c r="G13" s="236"/>
      <c r="H13" s="236"/>
      <c r="I13" s="19"/>
      <c r="J13" s="28"/>
    </row>
    <row r="14" spans="2:14" x14ac:dyDescent="0.25">
      <c r="B14" s="15"/>
      <c r="C14" s="22"/>
      <c r="D14" s="22"/>
      <c r="E14" s="236"/>
      <c r="F14" s="236"/>
      <c r="G14" s="236"/>
      <c r="H14" s="236"/>
      <c r="I14" s="19"/>
      <c r="J14" s="28"/>
    </row>
    <row r="15" spans="2:14" x14ac:dyDescent="0.25">
      <c r="B15" s="15"/>
      <c r="C15" s="22"/>
      <c r="D15" s="22"/>
      <c r="E15" s="236"/>
      <c r="F15" s="236"/>
      <c r="G15" s="236"/>
      <c r="H15" s="236"/>
      <c r="I15" s="19"/>
      <c r="J15" s="28"/>
    </row>
    <row r="16" spans="2:14" x14ac:dyDescent="0.25">
      <c r="B16" s="15"/>
      <c r="C16" s="19"/>
      <c r="D16" s="19"/>
      <c r="E16" s="19"/>
      <c r="F16" s="19"/>
      <c r="G16" s="19"/>
      <c r="H16" s="19"/>
      <c r="I16" s="19"/>
      <c r="J16" s="28"/>
    </row>
    <row r="17" spans="5:9" x14ac:dyDescent="0.25">
      <c r="I17" s="28"/>
    </row>
    <row r="19" spans="5:9" x14ac:dyDescent="0.25">
      <c r="E19" s="196"/>
      <c r="F19" s="197" t="s">
        <v>309</v>
      </c>
      <c r="G19" s="196"/>
    </row>
    <row r="20" spans="5:9" x14ac:dyDescent="0.25">
      <c r="E20" s="13" t="s">
        <v>306</v>
      </c>
      <c r="F20" s="42">
        <f>AlocDep!R45+AlocDep!R46</f>
        <v>2181098.13</v>
      </c>
      <c r="G20" s="46">
        <f>F20/$F$23</f>
        <v>0.79631184008762312</v>
      </c>
    </row>
    <row r="21" spans="5:9" x14ac:dyDescent="0.25">
      <c r="E21" s="13" t="s">
        <v>307</v>
      </c>
      <c r="F21" s="42">
        <f>AlocDep!R47+AlocDep!R48</f>
        <v>402049.61</v>
      </c>
      <c r="G21" s="46">
        <f t="shared" ref="G21:G22" si="0">F21/$F$23</f>
        <v>0.14678700620664475</v>
      </c>
    </row>
    <row r="22" spans="5:9" ht="17.25" x14ac:dyDescent="0.4">
      <c r="E22" s="13" t="s">
        <v>308</v>
      </c>
      <c r="F22" s="45">
        <f>2739000-(F20+F21)</f>
        <v>155852.26000000024</v>
      </c>
      <c r="G22" s="46">
        <f t="shared" si="0"/>
        <v>5.6901153705732108E-2</v>
      </c>
    </row>
    <row r="23" spans="5:9" x14ac:dyDescent="0.25">
      <c r="F23" s="137">
        <f>SUM(F20:F22)</f>
        <v>2739000</v>
      </c>
    </row>
  </sheetData>
  <mergeCells count="2">
    <mergeCell ref="C3:H3"/>
    <mergeCell ref="C5:H5"/>
  </mergeCells>
  <pageMargins left="0.7" right="0.7" top="1.2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2"/>
  <sheetViews>
    <sheetView topLeftCell="A6" workbookViewId="0">
      <selection activeCell="G23" sqref="G23"/>
    </sheetView>
  </sheetViews>
  <sheetFormatPr defaultRowHeight="15" x14ac:dyDescent="0.25"/>
  <cols>
    <col min="1" max="1" width="3.44140625" style="13" customWidth="1"/>
    <col min="2" max="2" width="2.6640625" style="13" customWidth="1"/>
    <col min="3" max="7" width="9.6640625" style="13" customWidth="1"/>
    <col min="8" max="8" width="2.77734375" style="13" customWidth="1"/>
    <col min="9" max="9" width="8.88671875" style="13"/>
    <col min="10" max="10" width="11.77734375" style="13" bestFit="1" customWidth="1"/>
    <col min="11" max="11" width="10.21875" style="13" bestFit="1" customWidth="1"/>
    <col min="12" max="16384" width="8.88671875" style="13"/>
  </cols>
  <sheetData>
    <row r="2" spans="2:14" x14ac:dyDescent="0.25">
      <c r="B2" s="24"/>
      <c r="C2" s="25"/>
      <c r="D2" s="25"/>
      <c r="E2" s="25"/>
      <c r="F2" s="25"/>
      <c r="G2" s="25"/>
      <c r="H2" s="26"/>
    </row>
    <row r="3" spans="2:14" ht="18.75" x14ac:dyDescent="0.3">
      <c r="B3" s="14"/>
      <c r="C3" s="393" t="s">
        <v>68</v>
      </c>
      <c r="D3" s="393"/>
      <c r="E3" s="393"/>
      <c r="F3" s="393"/>
      <c r="G3" s="393"/>
      <c r="H3" s="192"/>
    </row>
    <row r="4" spans="2:14" ht="18.75" x14ac:dyDescent="0.3">
      <c r="B4" s="14"/>
      <c r="C4" s="16" t="s">
        <v>29</v>
      </c>
      <c r="D4" s="87"/>
      <c r="E4" s="87"/>
      <c r="F4" s="87"/>
      <c r="G4" s="87"/>
      <c r="H4" s="192"/>
    </row>
    <row r="5" spans="2:14" x14ac:dyDescent="0.25">
      <c r="B5" s="14"/>
      <c r="C5" s="157"/>
      <c r="D5" s="17"/>
      <c r="E5" s="17"/>
      <c r="F5" s="17"/>
      <c r="G5" s="17"/>
      <c r="H5" s="192"/>
    </row>
    <row r="6" spans="2:14" x14ac:dyDescent="0.25">
      <c r="B6" s="14"/>
      <c r="C6" s="21"/>
      <c r="D6" s="21"/>
      <c r="E6" s="21"/>
      <c r="F6" s="21"/>
      <c r="G6" s="21"/>
      <c r="H6" s="192"/>
    </row>
    <row r="7" spans="2:14" x14ac:dyDescent="0.25">
      <c r="B7" s="14"/>
      <c r="C7" s="21"/>
      <c r="D7" s="21"/>
      <c r="E7" s="21"/>
      <c r="F7" s="21"/>
      <c r="G7" s="21"/>
      <c r="H7" s="192"/>
    </row>
    <row r="8" spans="2:14" x14ac:dyDescent="0.25">
      <c r="B8" s="14"/>
      <c r="C8" s="177" t="s">
        <v>30</v>
      </c>
      <c r="D8" s="155"/>
      <c r="E8" s="155"/>
      <c r="F8" s="155"/>
      <c r="G8" s="155"/>
      <c r="H8" s="192"/>
    </row>
    <row r="9" spans="2:14" ht="6.95" customHeight="1" x14ac:dyDescent="0.25">
      <c r="B9" s="14"/>
      <c r="C9" s="178"/>
      <c r="D9" s="178"/>
      <c r="E9" s="178"/>
      <c r="F9" s="178"/>
      <c r="G9" s="178"/>
      <c r="H9" s="192"/>
    </row>
    <row r="10" spans="2:14" x14ac:dyDescent="0.25">
      <c r="B10" s="14"/>
      <c r="C10" s="19"/>
      <c r="D10" s="17" t="s">
        <v>311</v>
      </c>
      <c r="E10" s="17"/>
      <c r="F10" s="398" t="s">
        <v>31</v>
      </c>
      <c r="G10" s="399"/>
      <c r="H10" s="192"/>
    </row>
    <row r="11" spans="2:14" x14ac:dyDescent="0.25">
      <c r="B11" s="14"/>
      <c r="C11" s="145" t="s">
        <v>32</v>
      </c>
      <c r="D11" s="179" t="s">
        <v>33</v>
      </c>
      <c r="E11" s="179" t="s">
        <v>34</v>
      </c>
      <c r="F11" s="180" t="s">
        <v>33</v>
      </c>
      <c r="G11" s="179" t="s">
        <v>34</v>
      </c>
      <c r="H11" s="192"/>
    </row>
    <row r="12" spans="2:14" x14ac:dyDescent="0.25">
      <c r="B12" s="14"/>
      <c r="C12" s="145" t="s">
        <v>6</v>
      </c>
      <c r="D12" s="145" t="s">
        <v>35</v>
      </c>
      <c r="E12" s="145" t="s">
        <v>36</v>
      </c>
      <c r="F12" s="181" t="s">
        <v>35</v>
      </c>
      <c r="G12" s="145" t="s">
        <v>36</v>
      </c>
      <c r="H12" s="192"/>
    </row>
    <row r="13" spans="2:14" x14ac:dyDescent="0.25">
      <c r="B13" s="14"/>
      <c r="C13" s="117">
        <v>18</v>
      </c>
      <c r="D13" s="182">
        <v>0.7</v>
      </c>
      <c r="E13" s="116">
        <f t="shared" ref="E13:E21" si="0">D13*C13</f>
        <v>12.6</v>
      </c>
      <c r="F13" s="183">
        <v>0.7</v>
      </c>
      <c r="G13" s="116">
        <f>F13*C13</f>
        <v>12.6</v>
      </c>
      <c r="H13" s="192"/>
    </row>
    <row r="14" spans="2:14" x14ac:dyDescent="0.25">
      <c r="B14" s="14"/>
      <c r="C14" s="184">
        <v>16</v>
      </c>
      <c r="D14" s="182">
        <v>15.3</v>
      </c>
      <c r="E14" s="116">
        <f t="shared" si="0"/>
        <v>244.8</v>
      </c>
      <c r="F14" s="183">
        <v>15.3</v>
      </c>
      <c r="G14" s="116">
        <f>F14*C14</f>
        <v>244.8</v>
      </c>
      <c r="H14" s="192"/>
    </row>
    <row r="15" spans="2:14" ht="15.75" x14ac:dyDescent="0.25">
      <c r="B15" s="14"/>
      <c r="C15" s="184">
        <v>12</v>
      </c>
      <c r="D15" s="182">
        <v>1.2</v>
      </c>
      <c r="E15" s="116">
        <f t="shared" si="0"/>
        <v>14.399999999999999</v>
      </c>
      <c r="F15" s="183">
        <v>1.2</v>
      </c>
      <c r="G15" s="116">
        <f>F15*C15</f>
        <v>14.399999999999999</v>
      </c>
      <c r="H15" s="192"/>
      <c r="J15"/>
      <c r="K15"/>
      <c r="L15"/>
      <c r="M15"/>
      <c r="N15"/>
    </row>
    <row r="16" spans="2:14" ht="15.75" x14ac:dyDescent="0.25">
      <c r="B16" s="14"/>
      <c r="C16" s="184">
        <v>10</v>
      </c>
      <c r="D16" s="182">
        <v>5.7</v>
      </c>
      <c r="E16" s="116">
        <f t="shared" si="0"/>
        <v>57</v>
      </c>
      <c r="F16" s="259">
        <v>5.5</v>
      </c>
      <c r="G16" s="260">
        <f>F16*C16</f>
        <v>55</v>
      </c>
      <c r="H16" s="192"/>
      <c r="J16"/>
      <c r="K16"/>
      <c r="L16"/>
      <c r="M16"/>
      <c r="N16"/>
    </row>
    <row r="17" spans="2:14" ht="15.75" x14ac:dyDescent="0.25">
      <c r="B17" s="14"/>
      <c r="C17" s="184">
        <v>8</v>
      </c>
      <c r="D17" s="182">
        <v>21.2</v>
      </c>
      <c r="E17" s="116">
        <f t="shared" si="0"/>
        <v>169.6</v>
      </c>
      <c r="F17" s="259">
        <v>12.4</v>
      </c>
      <c r="G17" s="260">
        <f>F17*C17</f>
        <v>99.2</v>
      </c>
      <c r="H17" s="192"/>
      <c r="J17"/>
      <c r="K17"/>
      <c r="L17"/>
      <c r="M17"/>
      <c r="N17"/>
    </row>
    <row r="18" spans="2:14" ht="15.75" x14ac:dyDescent="0.25">
      <c r="B18" s="14"/>
      <c r="C18" s="184">
        <v>6</v>
      </c>
      <c r="D18" s="182">
        <v>23.1</v>
      </c>
      <c r="E18" s="116">
        <f t="shared" si="0"/>
        <v>138.60000000000002</v>
      </c>
      <c r="F18" s="259">
        <v>6.2</v>
      </c>
      <c r="G18" s="260">
        <f t="shared" ref="G18:G19" si="1">F18*C18</f>
        <v>37.200000000000003</v>
      </c>
      <c r="H18" s="192"/>
      <c r="J18"/>
      <c r="K18"/>
      <c r="L18"/>
      <c r="M18"/>
      <c r="N18"/>
    </row>
    <row r="19" spans="2:14" ht="15.75" x14ac:dyDescent="0.25">
      <c r="B19" s="14"/>
      <c r="C19" s="184">
        <v>4</v>
      </c>
      <c r="D19" s="182">
        <v>12.4</v>
      </c>
      <c r="E19" s="116">
        <f t="shared" si="0"/>
        <v>49.6</v>
      </c>
      <c r="F19" s="259">
        <v>7.4</v>
      </c>
      <c r="G19" s="260">
        <f t="shared" si="1"/>
        <v>29.6</v>
      </c>
      <c r="H19" s="192"/>
      <c r="J19"/>
      <c r="K19"/>
      <c r="L19"/>
      <c r="M19"/>
      <c r="N19"/>
    </row>
    <row r="20" spans="2:14" ht="15.75" x14ac:dyDescent="0.25">
      <c r="B20" s="14"/>
      <c r="C20" s="184">
        <v>3</v>
      </c>
      <c r="D20" s="182">
        <v>6.3</v>
      </c>
      <c r="E20" s="116">
        <f t="shared" si="0"/>
        <v>18.899999999999999</v>
      </c>
      <c r="F20" s="259">
        <v>0.1</v>
      </c>
      <c r="G20" s="260">
        <f>F20*C20</f>
        <v>0.30000000000000004</v>
      </c>
      <c r="H20" s="192"/>
      <c r="J20"/>
      <c r="K20"/>
      <c r="L20"/>
      <c r="M20"/>
      <c r="N20"/>
    </row>
    <row r="21" spans="2:14" ht="15.75" x14ac:dyDescent="0.25">
      <c r="B21" s="14"/>
      <c r="C21" s="184">
        <v>2</v>
      </c>
      <c r="D21" s="182">
        <v>4.5999999999999996</v>
      </c>
      <c r="E21" s="116">
        <f t="shared" si="0"/>
        <v>9.1999999999999993</v>
      </c>
      <c r="F21" s="261">
        <v>1.6</v>
      </c>
      <c r="G21" s="260">
        <f>F21*C21</f>
        <v>3.2</v>
      </c>
      <c r="H21" s="192"/>
      <c r="J21"/>
      <c r="K21"/>
      <c r="L21"/>
      <c r="M21"/>
      <c r="N21"/>
    </row>
    <row r="22" spans="2:14" ht="15.75" x14ac:dyDescent="0.25">
      <c r="B22" s="14"/>
      <c r="C22" s="184"/>
      <c r="D22" s="173"/>
      <c r="E22" s="172"/>
      <c r="F22" s="185"/>
      <c r="G22" s="116"/>
      <c r="H22" s="192"/>
      <c r="J22"/>
      <c r="K22"/>
      <c r="L22"/>
      <c r="M22"/>
      <c r="N22"/>
    </row>
    <row r="23" spans="2:14" ht="15.75" x14ac:dyDescent="0.25">
      <c r="B23" s="14"/>
      <c r="C23" s="184" t="s">
        <v>5</v>
      </c>
      <c r="D23" s="182">
        <f t="shared" ref="D23:E23" si="2">SUM(D13:D22)</f>
        <v>90.499999999999986</v>
      </c>
      <c r="E23" s="182">
        <f t="shared" si="2"/>
        <v>714.7</v>
      </c>
      <c r="F23" s="259">
        <f t="shared" ref="F23" si="3">SUM(F13:F22)</f>
        <v>50.400000000000006</v>
      </c>
      <c r="G23" s="260">
        <f t="shared" ref="G23" si="4">SUM(G13:G22)</f>
        <v>496.3</v>
      </c>
      <c r="H23" s="192"/>
      <c r="J23"/>
      <c r="K23"/>
      <c r="L23"/>
      <c r="M23"/>
      <c r="N23"/>
    </row>
    <row r="24" spans="2:14" ht="15.75" x14ac:dyDescent="0.25">
      <c r="B24" s="14"/>
      <c r="C24" s="21"/>
      <c r="D24" s="21"/>
      <c r="E24" s="186"/>
      <c r="F24" s="21"/>
      <c r="G24" s="21"/>
      <c r="H24" s="192"/>
      <c r="J24"/>
      <c r="K24"/>
      <c r="L24"/>
      <c r="M24"/>
      <c r="N24"/>
    </row>
    <row r="25" spans="2:14" ht="15.75" x14ac:dyDescent="0.25">
      <c r="B25" s="14"/>
      <c r="C25" s="21"/>
      <c r="D25" s="21"/>
      <c r="E25" s="21"/>
      <c r="F25" s="21"/>
      <c r="G25" s="21"/>
      <c r="H25" s="192"/>
      <c r="J25"/>
      <c r="K25"/>
      <c r="L25"/>
      <c r="M25"/>
      <c r="N25"/>
    </row>
    <row r="26" spans="2:14" ht="15.75" x14ac:dyDescent="0.25">
      <c r="B26" s="14"/>
      <c r="C26" s="21"/>
      <c r="D26" s="21"/>
      <c r="E26" s="21"/>
      <c r="F26" s="21"/>
      <c r="G26" s="21"/>
      <c r="H26" s="192"/>
      <c r="J26"/>
      <c r="K26"/>
      <c r="L26"/>
      <c r="M26"/>
      <c r="N26"/>
    </row>
    <row r="27" spans="2:14" x14ac:dyDescent="0.25">
      <c r="B27" s="14"/>
      <c r="C27" s="15"/>
      <c r="D27" s="177"/>
      <c r="E27" s="177"/>
      <c r="F27" s="177"/>
      <c r="G27" s="21"/>
      <c r="H27" s="192"/>
    </row>
    <row r="28" spans="2:14" ht="6.95" customHeight="1" x14ac:dyDescent="0.25">
      <c r="B28" s="14"/>
      <c r="C28" s="15"/>
      <c r="D28" s="178"/>
      <c r="E28" s="178"/>
      <c r="F28" s="178"/>
      <c r="G28" s="21"/>
      <c r="H28" s="192"/>
    </row>
    <row r="29" spans="2:14" x14ac:dyDescent="0.25">
      <c r="B29" s="14"/>
      <c r="C29" s="15"/>
      <c r="D29" s="21"/>
      <c r="E29" s="145" t="s">
        <v>37</v>
      </c>
      <c r="F29" s="145"/>
      <c r="G29" s="21"/>
      <c r="H29" s="192"/>
    </row>
    <row r="30" spans="2:14" x14ac:dyDescent="0.25">
      <c r="B30" s="14"/>
      <c r="C30" s="15"/>
      <c r="D30" s="21"/>
      <c r="E30" s="145" t="s">
        <v>38</v>
      </c>
      <c r="F30" s="145" t="s">
        <v>7</v>
      </c>
      <c r="G30" s="21"/>
      <c r="H30" s="192"/>
    </row>
    <row r="31" spans="2:14" x14ac:dyDescent="0.25">
      <c r="B31" s="14"/>
      <c r="C31" s="187" t="s">
        <v>60</v>
      </c>
      <c r="E31" s="188">
        <f>SUM(E34:E39)</f>
        <v>502417</v>
      </c>
      <c r="F31" s="187"/>
      <c r="G31" s="21"/>
      <c r="H31" s="192"/>
    </row>
    <row r="32" spans="2:14" x14ac:dyDescent="0.25">
      <c r="B32" s="14"/>
      <c r="C32" s="187" t="s">
        <v>39</v>
      </c>
      <c r="E32" s="188">
        <v>195867.9</v>
      </c>
      <c r="F32" s="189">
        <f>E32/E34</f>
        <v>0.54300988223709057</v>
      </c>
      <c r="G32" s="21"/>
      <c r="H32" s="192"/>
    </row>
    <row r="33" spans="2:10" x14ac:dyDescent="0.25">
      <c r="B33" s="14"/>
      <c r="C33" s="187" t="s">
        <v>40</v>
      </c>
      <c r="E33" s="188">
        <f>65311.9+99528</f>
        <v>164839.9</v>
      </c>
      <c r="F33" s="189">
        <f>E33/E34</f>
        <v>0.45699011776290949</v>
      </c>
      <c r="G33" s="21"/>
      <c r="H33" s="192"/>
    </row>
    <row r="34" spans="2:10" x14ac:dyDescent="0.25">
      <c r="B34" s="14"/>
      <c r="C34" s="187" t="s">
        <v>41</v>
      </c>
      <c r="E34" s="188">
        <f>SUM(E32:E33)</f>
        <v>360707.8</v>
      </c>
      <c r="F34" s="187"/>
      <c r="G34" s="21"/>
      <c r="H34" s="192"/>
    </row>
    <row r="35" spans="2:10" x14ac:dyDescent="0.25">
      <c r="B35" s="14"/>
      <c r="C35" s="187"/>
      <c r="E35" s="188"/>
      <c r="F35" s="189"/>
      <c r="G35" s="21"/>
      <c r="H35" s="192"/>
    </row>
    <row r="36" spans="2:10" x14ac:dyDescent="0.25">
      <c r="B36" s="14"/>
      <c r="C36" s="187" t="s">
        <v>61</v>
      </c>
      <c r="E36" s="188">
        <v>12815.9</v>
      </c>
      <c r="F36" s="189">
        <f>E36/$E$31</f>
        <v>2.5508491949914114E-2</v>
      </c>
      <c r="G36" s="21"/>
      <c r="H36" s="192"/>
    </row>
    <row r="37" spans="2:10" x14ac:dyDescent="0.25">
      <c r="B37" s="14"/>
      <c r="C37" s="187" t="s">
        <v>310</v>
      </c>
      <c r="E37" s="188">
        <v>33527.300000000003</v>
      </c>
      <c r="F37" s="189">
        <f>E37/$E$31</f>
        <v>6.6732017427754239E-2</v>
      </c>
      <c r="G37" s="21"/>
      <c r="H37" s="192"/>
    </row>
    <row r="38" spans="2:10" x14ac:dyDescent="0.25">
      <c r="B38" s="14"/>
      <c r="C38" s="199" t="s">
        <v>342</v>
      </c>
      <c r="E38" s="250">
        <v>5769.1</v>
      </c>
      <c r="F38" s="189"/>
      <c r="G38" s="21"/>
      <c r="H38" s="192"/>
    </row>
    <row r="39" spans="2:10" x14ac:dyDescent="0.25">
      <c r="B39" s="14"/>
      <c r="C39" s="187" t="s">
        <v>42</v>
      </c>
      <c r="E39" s="188">
        <v>89596.9</v>
      </c>
      <c r="F39" s="189">
        <f>E39/$E$31</f>
        <v>0.17833174434782262</v>
      </c>
      <c r="G39" s="21"/>
      <c r="H39" s="192"/>
      <c r="J39" s="194"/>
    </row>
    <row r="40" spans="2:10" x14ac:dyDescent="0.25">
      <c r="B40" s="31"/>
      <c r="C40" s="190"/>
      <c r="D40" s="191"/>
      <c r="E40" s="190"/>
      <c r="F40" s="190"/>
      <c r="G40" s="190"/>
      <c r="H40" s="193"/>
    </row>
    <row r="42" spans="2:10" x14ac:dyDescent="0.25">
      <c r="E42" s="194"/>
    </row>
  </sheetData>
  <mergeCells count="2">
    <mergeCell ref="C3:G3"/>
    <mergeCell ref="F10:G10"/>
  </mergeCells>
  <printOptions horizontalCentered="1"/>
  <pageMargins left="0.7" right="0.7" top="1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topLeftCell="A22" workbookViewId="0"/>
  </sheetViews>
  <sheetFormatPr defaultRowHeight="15" x14ac:dyDescent="0.25"/>
  <cols>
    <col min="1" max="1" width="3.77734375" style="13" customWidth="1"/>
    <col min="2" max="2" width="2.77734375" style="13" customWidth="1"/>
    <col min="3" max="3" width="26.6640625" style="13" customWidth="1"/>
    <col min="4" max="4" width="1.21875" style="13" customWidth="1"/>
    <col min="5" max="5" width="9.6640625" style="13" customWidth="1"/>
    <col min="6" max="6" width="2.5546875" style="13" customWidth="1"/>
    <col min="7" max="7" width="9.6640625" style="13" customWidth="1"/>
    <col min="8" max="8" width="3.6640625" style="13" customWidth="1"/>
    <col min="9" max="9" width="10.88671875" style="13" customWidth="1"/>
    <col min="10" max="10" width="2.77734375" style="13" customWidth="1"/>
    <col min="11" max="11" width="9.6640625" style="13" customWidth="1"/>
    <col min="12" max="16384" width="8.88671875" style="13"/>
  </cols>
  <sheetData>
    <row r="2" spans="2:11" x14ac:dyDescent="0.25">
      <c r="B2" s="24"/>
      <c r="C2" s="400"/>
      <c r="D2" s="400"/>
      <c r="E2" s="400"/>
      <c r="F2" s="400"/>
      <c r="G2" s="400"/>
      <c r="H2" s="400"/>
      <c r="I2" s="400"/>
      <c r="J2" s="226"/>
      <c r="K2" s="227"/>
    </row>
    <row r="3" spans="2:11" ht="18.75" x14ac:dyDescent="0.3">
      <c r="B3" s="14"/>
      <c r="C3" s="393" t="s">
        <v>69</v>
      </c>
      <c r="D3" s="393"/>
      <c r="E3" s="393"/>
      <c r="F3" s="393"/>
      <c r="G3" s="393"/>
      <c r="H3" s="393"/>
      <c r="I3" s="393"/>
      <c r="J3" s="186"/>
      <c r="K3" s="29"/>
    </row>
    <row r="4" spans="2:11" ht="18.75" x14ac:dyDescent="0.3">
      <c r="B4" s="14"/>
      <c r="C4" s="16" t="s">
        <v>44</v>
      </c>
      <c r="D4" s="16"/>
      <c r="E4" s="16"/>
      <c r="F4" s="16"/>
      <c r="G4" s="16"/>
      <c r="H4" s="16"/>
      <c r="I4" s="16"/>
      <c r="J4" s="186"/>
      <c r="K4" s="29"/>
    </row>
    <row r="5" spans="2:11" x14ac:dyDescent="0.25">
      <c r="B5" s="14"/>
      <c r="C5" s="157"/>
      <c r="D5" s="177"/>
      <c r="E5" s="177"/>
      <c r="F5" s="177"/>
      <c r="G5" s="177"/>
      <c r="H5" s="177"/>
      <c r="I5" s="177"/>
      <c r="J5" s="186"/>
      <c r="K5" s="29"/>
    </row>
    <row r="6" spans="2:11" x14ac:dyDescent="0.25">
      <c r="B6" s="14"/>
      <c r="C6" s="21"/>
      <c r="D6" s="21"/>
      <c r="E6" s="21"/>
      <c r="F6" s="21"/>
      <c r="G6" s="21"/>
      <c r="H6" s="21"/>
      <c r="I6" s="21"/>
      <c r="J6" s="186"/>
      <c r="K6" s="29"/>
    </row>
    <row r="7" spans="2:11" x14ac:dyDescent="0.25">
      <c r="B7" s="14"/>
      <c r="C7" s="187"/>
      <c r="D7" s="206"/>
      <c r="E7" s="187"/>
      <c r="F7" s="206"/>
      <c r="G7" s="187"/>
      <c r="H7" s="187"/>
      <c r="I7" s="207" t="s">
        <v>45</v>
      </c>
      <c r="J7" s="186"/>
      <c r="K7" s="29"/>
    </row>
    <row r="8" spans="2:11" ht="6.95" customHeight="1" x14ac:dyDescent="0.25">
      <c r="B8" s="14"/>
      <c r="C8" s="187"/>
      <c r="D8" s="206"/>
      <c r="E8" s="187"/>
      <c r="F8" s="206"/>
      <c r="G8" s="187"/>
      <c r="H8" s="187"/>
      <c r="I8" s="207"/>
      <c r="J8" s="186"/>
      <c r="K8" s="29"/>
    </row>
    <row r="9" spans="2:11" x14ac:dyDescent="0.25">
      <c r="B9" s="14"/>
      <c r="C9" s="187" t="s">
        <v>46</v>
      </c>
      <c r="D9" s="206"/>
      <c r="E9" s="187"/>
      <c r="F9" s="206"/>
      <c r="G9" s="187"/>
      <c r="H9" s="187"/>
      <c r="I9" s="208">
        <f>Sys!F39</f>
        <v>0.17833174434782262</v>
      </c>
      <c r="J9" s="186"/>
      <c r="K9" s="29"/>
    </row>
    <row r="10" spans="2:11" x14ac:dyDescent="0.25">
      <c r="B10" s="14"/>
      <c r="C10" s="187" t="s">
        <v>63</v>
      </c>
      <c r="D10" s="206"/>
      <c r="E10" s="187"/>
      <c r="F10" s="206"/>
      <c r="G10" s="187"/>
      <c r="H10" s="187"/>
      <c r="I10" s="208">
        <f>Sys!F36</f>
        <v>2.5508491949914114E-2</v>
      </c>
      <c r="J10" s="186"/>
      <c r="K10" s="29"/>
    </row>
    <row r="11" spans="2:11" x14ac:dyDescent="0.25">
      <c r="B11" s="14"/>
      <c r="C11" s="187" t="s">
        <v>62</v>
      </c>
      <c r="D11" s="206"/>
      <c r="E11" s="187"/>
      <c r="F11" s="206"/>
      <c r="G11" s="187"/>
      <c r="H11" s="187"/>
      <c r="I11" s="208">
        <f>I10+I9</f>
        <v>0.20384023629773673</v>
      </c>
      <c r="J11" s="186"/>
      <c r="K11" s="29"/>
    </row>
    <row r="12" spans="2:11" x14ac:dyDescent="0.25">
      <c r="B12" s="14"/>
      <c r="C12" s="187" t="s">
        <v>47</v>
      </c>
      <c r="D12" s="206"/>
      <c r="E12" s="187"/>
      <c r="F12" s="206"/>
      <c r="G12" s="187"/>
      <c r="H12" s="187"/>
      <c r="I12" s="209">
        <f>Sys!G23</f>
        <v>496.3</v>
      </c>
      <c r="J12" s="186"/>
    </row>
    <row r="13" spans="2:11" x14ac:dyDescent="0.25">
      <c r="B13" s="14"/>
      <c r="C13" s="187" t="s">
        <v>48</v>
      </c>
      <c r="D13" s="206"/>
      <c r="E13" s="187"/>
      <c r="F13" s="206"/>
      <c r="G13" s="187"/>
      <c r="H13" s="187"/>
      <c r="I13" s="209">
        <f>Sys!E23</f>
        <v>714.7</v>
      </c>
      <c r="J13" s="186"/>
    </row>
    <row r="14" spans="2:11" x14ac:dyDescent="0.25">
      <c r="B14" s="14"/>
      <c r="C14" s="187" t="s">
        <v>49</v>
      </c>
      <c r="D14" s="206"/>
      <c r="E14" s="187"/>
      <c r="F14" s="206"/>
      <c r="G14" s="187"/>
      <c r="H14" s="187"/>
      <c r="I14" s="209">
        <f>Sys!E33</f>
        <v>164839.9</v>
      </c>
      <c r="J14" s="186"/>
    </row>
    <row r="15" spans="2:11" x14ac:dyDescent="0.25">
      <c r="B15" s="14"/>
      <c r="C15" s="187" t="s">
        <v>50</v>
      </c>
      <c r="D15" s="206"/>
      <c r="E15" s="187"/>
      <c r="F15" s="206"/>
      <c r="G15" s="187"/>
      <c r="H15" s="187"/>
      <c r="I15" s="209">
        <f>Sys!E34</f>
        <v>360707.8</v>
      </c>
      <c r="J15" s="186"/>
    </row>
    <row r="16" spans="2:11" x14ac:dyDescent="0.25">
      <c r="B16" s="14"/>
      <c r="C16" s="187"/>
      <c r="D16" s="206"/>
      <c r="E16" s="187"/>
      <c r="F16" s="206"/>
      <c r="G16" s="187"/>
      <c r="H16" s="187"/>
      <c r="I16" s="208"/>
      <c r="J16" s="186"/>
    </row>
    <row r="17" spans="2:10" x14ac:dyDescent="0.25">
      <c r="B17" s="14"/>
      <c r="C17" s="187"/>
      <c r="D17" s="206"/>
      <c r="E17" s="187"/>
      <c r="F17" s="206"/>
      <c r="G17" s="210">
        <v>1</v>
      </c>
      <c r="H17" s="187"/>
      <c r="I17" s="208"/>
      <c r="J17" s="186"/>
    </row>
    <row r="18" spans="2:10" x14ac:dyDescent="0.25">
      <c r="B18" s="14"/>
      <c r="C18" s="187" t="s">
        <v>51</v>
      </c>
      <c r="D18" s="206"/>
      <c r="E18" s="21" t="s">
        <v>90</v>
      </c>
      <c r="F18" s="21"/>
      <c r="G18" s="21"/>
      <c r="H18" s="206" t="s">
        <v>52</v>
      </c>
      <c r="I18" s="208">
        <f>1/(1-I11)</f>
        <v>1.2560293116922272</v>
      </c>
      <c r="J18" s="186"/>
    </row>
    <row r="19" spans="2:10" x14ac:dyDescent="0.25">
      <c r="B19" s="14"/>
      <c r="C19" s="187"/>
      <c r="D19" s="206"/>
      <c r="E19" s="187">
        <v>1</v>
      </c>
      <c r="F19" s="206" t="s">
        <v>53</v>
      </c>
      <c r="G19" s="211">
        <f>I11</f>
        <v>0.20384023629773673</v>
      </c>
      <c r="H19" s="206"/>
      <c r="I19" s="208"/>
      <c r="J19" s="186"/>
    </row>
    <row r="20" spans="2:10" x14ac:dyDescent="0.25">
      <c r="B20" s="14"/>
      <c r="C20" s="187"/>
      <c r="D20" s="206"/>
      <c r="E20" s="187"/>
      <c r="F20" s="206"/>
      <c r="G20" s="212"/>
      <c r="H20" s="206"/>
      <c r="I20" s="208"/>
      <c r="J20" s="186"/>
    </row>
    <row r="21" spans="2:10" x14ac:dyDescent="0.25">
      <c r="B21" s="14"/>
      <c r="C21" s="187"/>
      <c r="D21" s="206"/>
      <c r="E21" s="187"/>
      <c r="F21" s="21"/>
      <c r="G21" s="213">
        <f>I12</f>
        <v>496.3</v>
      </c>
      <c r="H21" s="206"/>
      <c r="I21" s="208"/>
      <c r="J21" s="186"/>
    </row>
    <row r="22" spans="2:10" x14ac:dyDescent="0.25">
      <c r="B22" s="14"/>
      <c r="C22" s="187" t="s">
        <v>54</v>
      </c>
      <c r="D22" s="206"/>
      <c r="E22" s="21"/>
      <c r="F22" s="210" t="s">
        <v>91</v>
      </c>
      <c r="G22" s="210"/>
      <c r="H22" s="206" t="s">
        <v>52</v>
      </c>
      <c r="I22" s="208">
        <f>G21/G23</f>
        <v>0.69441723800195887</v>
      </c>
      <c r="J22" s="186"/>
    </row>
    <row r="23" spans="2:10" x14ac:dyDescent="0.25">
      <c r="B23" s="14"/>
      <c r="C23" s="187"/>
      <c r="D23" s="206"/>
      <c r="E23" s="214"/>
      <c r="F23" s="206"/>
      <c r="G23" s="213">
        <f>I13</f>
        <v>714.7</v>
      </c>
      <c r="H23" s="206"/>
      <c r="I23" s="208"/>
      <c r="J23" s="186"/>
    </row>
    <row r="24" spans="2:10" x14ac:dyDescent="0.25">
      <c r="B24" s="14"/>
      <c r="C24" s="187"/>
      <c r="D24" s="206"/>
      <c r="E24" s="214"/>
      <c r="F24" s="206"/>
      <c r="G24" s="187"/>
      <c r="H24" s="206"/>
      <c r="I24" s="208"/>
      <c r="J24" s="186"/>
    </row>
    <row r="25" spans="2:10" x14ac:dyDescent="0.25">
      <c r="B25" s="14"/>
      <c r="C25" s="187" t="s">
        <v>103</v>
      </c>
      <c r="D25" s="215"/>
      <c r="E25" s="216">
        <f>I9</f>
        <v>0.17833174434782262</v>
      </c>
      <c r="F25" s="206" t="s">
        <v>55</v>
      </c>
      <c r="G25" s="217">
        <f>I22</f>
        <v>0.69441723800195887</v>
      </c>
      <c r="H25" s="206" t="s">
        <v>52</v>
      </c>
      <c r="I25" s="208">
        <f>E25*G25</f>
        <v>0.12383663735808642</v>
      </c>
      <c r="J25" s="186"/>
    </row>
    <row r="26" spans="2:10" x14ac:dyDescent="0.25">
      <c r="B26" s="14"/>
      <c r="C26" s="187"/>
      <c r="D26" s="215"/>
      <c r="E26" s="216"/>
      <c r="F26" s="206"/>
      <c r="G26" s="217"/>
      <c r="H26" s="206"/>
      <c r="I26" s="208"/>
      <c r="J26" s="186"/>
    </row>
    <row r="27" spans="2:10" x14ac:dyDescent="0.25">
      <c r="B27" s="14"/>
      <c r="C27" s="187"/>
      <c r="D27" s="215"/>
      <c r="E27" s="216"/>
      <c r="F27" s="206"/>
      <c r="G27" s="217"/>
      <c r="H27" s="206"/>
      <c r="I27" s="208"/>
      <c r="J27" s="186"/>
    </row>
    <row r="28" spans="2:10" x14ac:dyDescent="0.25">
      <c r="B28" s="14"/>
      <c r="C28" s="187" t="s">
        <v>64</v>
      </c>
      <c r="D28" s="215"/>
      <c r="E28" s="216">
        <f>I25</f>
        <v>0.12383663735808642</v>
      </c>
      <c r="F28" s="206" t="s">
        <v>65</v>
      </c>
      <c r="G28" s="217">
        <f>I10</f>
        <v>2.5508491949914114E-2</v>
      </c>
      <c r="H28" s="206" t="s">
        <v>52</v>
      </c>
      <c r="I28" s="208">
        <f>E28+G28</f>
        <v>0.14934512930800053</v>
      </c>
      <c r="J28" s="186"/>
    </row>
    <row r="29" spans="2:10" x14ac:dyDescent="0.25">
      <c r="B29" s="14"/>
      <c r="C29" s="187"/>
      <c r="D29" s="215"/>
      <c r="E29" s="216"/>
      <c r="F29" s="206"/>
      <c r="G29" s="187"/>
      <c r="H29" s="206"/>
      <c r="I29" s="208"/>
      <c r="J29" s="186"/>
    </row>
    <row r="30" spans="2:10" x14ac:dyDescent="0.25">
      <c r="B30" s="14"/>
      <c r="C30" s="187"/>
      <c r="D30" s="206"/>
      <c r="E30" s="187"/>
      <c r="F30" s="206"/>
      <c r="G30" s="210">
        <v>1</v>
      </c>
      <c r="H30" s="206"/>
      <c r="I30" s="218"/>
      <c r="J30" s="186"/>
    </row>
    <row r="31" spans="2:10" x14ac:dyDescent="0.25">
      <c r="B31" s="14"/>
      <c r="C31" s="187" t="s">
        <v>56</v>
      </c>
      <c r="D31" s="206"/>
      <c r="E31" s="21" t="s">
        <v>354</v>
      </c>
      <c r="F31" s="21"/>
      <c r="G31" s="21"/>
      <c r="H31" s="206" t="s">
        <v>52</v>
      </c>
      <c r="I31" s="208">
        <f>1/(1-G32)</f>
        <v>1.1755648905960061</v>
      </c>
      <c r="J31" s="186"/>
    </row>
    <row r="32" spans="2:10" x14ac:dyDescent="0.25">
      <c r="B32" s="14"/>
      <c r="C32" s="187"/>
      <c r="D32" s="206"/>
      <c r="E32" s="187">
        <v>1</v>
      </c>
      <c r="F32" s="206" t="s">
        <v>53</v>
      </c>
      <c r="G32" s="211">
        <f>I28</f>
        <v>0.14934512930800053</v>
      </c>
      <c r="H32" s="206"/>
      <c r="I32" s="208"/>
      <c r="J32" s="186"/>
    </row>
    <row r="33" spans="2:10" x14ac:dyDescent="0.25">
      <c r="B33" s="14"/>
      <c r="C33" s="187"/>
      <c r="D33" s="206"/>
      <c r="E33" s="187"/>
      <c r="F33" s="206"/>
      <c r="G33" s="211"/>
      <c r="H33" s="206"/>
      <c r="I33" s="208"/>
      <c r="J33" s="186"/>
    </row>
    <row r="34" spans="2:10" x14ac:dyDescent="0.25">
      <c r="B34" s="14"/>
      <c r="C34" s="187"/>
      <c r="D34" s="206"/>
      <c r="E34" s="219">
        <f>I31</f>
        <v>1.1755648905960061</v>
      </c>
      <c r="F34" s="206"/>
      <c r="G34" s="220">
        <f>$I$14</f>
        <v>164839.9</v>
      </c>
      <c r="H34" s="206"/>
      <c r="I34" s="208"/>
      <c r="J34" s="186"/>
    </row>
    <row r="35" spans="2:10" x14ac:dyDescent="0.25">
      <c r="B35" s="14"/>
      <c r="C35" s="221" t="s">
        <v>94</v>
      </c>
      <c r="D35" s="206"/>
      <c r="E35" s="206" t="s">
        <v>57</v>
      </c>
      <c r="F35" s="206" t="s">
        <v>55</v>
      </c>
      <c r="G35" s="206" t="s">
        <v>57</v>
      </c>
      <c r="H35" s="206" t="s">
        <v>52</v>
      </c>
      <c r="I35" s="222">
        <f>(I31/I18)*(+G34/G36)</f>
        <v>0.42771417258377603</v>
      </c>
      <c r="J35" s="186"/>
    </row>
    <row r="36" spans="2:10" x14ac:dyDescent="0.25">
      <c r="B36" s="14"/>
      <c r="C36" s="187"/>
      <c r="D36" s="206"/>
      <c r="E36" s="219">
        <f>I18</f>
        <v>1.2560293116922272</v>
      </c>
      <c r="F36" s="206"/>
      <c r="G36" s="220">
        <f>$I$15</f>
        <v>360707.8</v>
      </c>
      <c r="H36" s="206"/>
      <c r="I36" s="222"/>
      <c r="J36" s="186"/>
    </row>
    <row r="37" spans="2:10" x14ac:dyDescent="0.25">
      <c r="B37" s="14"/>
      <c r="C37" s="187"/>
      <c r="D37" s="206"/>
      <c r="E37" s="219"/>
      <c r="F37" s="206"/>
      <c r="G37" s="220"/>
      <c r="H37" s="206"/>
      <c r="I37" s="222"/>
      <c r="J37" s="186"/>
    </row>
    <row r="38" spans="2:10" x14ac:dyDescent="0.25">
      <c r="B38" s="14"/>
      <c r="C38" s="187"/>
      <c r="D38" s="206"/>
      <c r="E38" s="220">
        <f>$I$14</f>
        <v>164839.9</v>
      </c>
      <c r="F38" s="206"/>
      <c r="G38" s="187"/>
      <c r="H38" s="206"/>
      <c r="I38" s="222"/>
      <c r="J38" s="186"/>
    </row>
    <row r="39" spans="2:10" x14ac:dyDescent="0.25">
      <c r="B39" s="14"/>
      <c r="C39" s="221" t="s">
        <v>58</v>
      </c>
      <c r="D39" s="206"/>
      <c r="E39" s="206" t="s">
        <v>57</v>
      </c>
      <c r="F39" s="206" t="s">
        <v>55</v>
      </c>
      <c r="G39" s="211">
        <f>I22</f>
        <v>0.69441723800195887</v>
      </c>
      <c r="H39" s="206" t="s">
        <v>52</v>
      </c>
      <c r="I39" s="222">
        <f>(+E38/E40)*I22</f>
        <v>0.3173418153711095</v>
      </c>
      <c r="J39" s="186"/>
    </row>
    <row r="40" spans="2:10" x14ac:dyDescent="0.25">
      <c r="B40" s="14"/>
      <c r="C40" s="187"/>
      <c r="D40" s="206"/>
      <c r="E40" s="220">
        <f>$I$15</f>
        <v>360707.8</v>
      </c>
      <c r="F40" s="206"/>
      <c r="G40" s="187"/>
      <c r="H40" s="206"/>
      <c r="I40" s="222"/>
      <c r="J40" s="186"/>
    </row>
    <row r="41" spans="2:10" x14ac:dyDescent="0.25">
      <c r="B41" s="14"/>
      <c r="C41" s="187"/>
      <c r="D41" s="206"/>
      <c r="E41" s="187"/>
      <c r="F41" s="206"/>
      <c r="G41" s="187"/>
      <c r="H41" s="206"/>
      <c r="I41" s="222"/>
      <c r="J41" s="186"/>
    </row>
    <row r="42" spans="2:10" x14ac:dyDescent="0.25">
      <c r="B42" s="14"/>
      <c r="C42" s="187"/>
      <c r="D42" s="206"/>
      <c r="E42" s="187"/>
      <c r="F42" s="206"/>
      <c r="G42" s="220">
        <f>$I$14</f>
        <v>164839.9</v>
      </c>
      <c r="H42" s="206"/>
      <c r="I42" s="222"/>
      <c r="J42" s="186"/>
    </row>
    <row r="43" spans="2:10" x14ac:dyDescent="0.25">
      <c r="B43" s="14"/>
      <c r="C43" s="221" t="s">
        <v>314</v>
      </c>
      <c r="D43" s="206"/>
      <c r="E43" s="187"/>
      <c r="F43" s="206"/>
      <c r="G43" s="206" t="s">
        <v>57</v>
      </c>
      <c r="H43" s="206" t="s">
        <v>52</v>
      </c>
      <c r="I43" s="222">
        <f>G42/G44</f>
        <v>0.45699011776290949</v>
      </c>
      <c r="J43" s="186"/>
    </row>
    <row r="44" spans="2:10" x14ac:dyDescent="0.25">
      <c r="B44" s="14"/>
      <c r="C44" s="21"/>
      <c r="D44" s="117"/>
      <c r="E44" s="21"/>
      <c r="F44" s="117"/>
      <c r="G44" s="220">
        <f>$I$15</f>
        <v>360707.8</v>
      </c>
      <c r="H44" s="21"/>
      <c r="I44" s="102"/>
      <c r="J44" s="186"/>
    </row>
    <row r="45" spans="2:10" x14ac:dyDescent="0.25">
      <c r="B45" s="31"/>
      <c r="C45" s="190"/>
      <c r="D45" s="223"/>
      <c r="E45" s="190"/>
      <c r="F45" s="223"/>
      <c r="G45" s="190"/>
      <c r="H45" s="190"/>
      <c r="I45" s="190"/>
      <c r="J45" s="224"/>
    </row>
    <row r="46" spans="2:10" x14ac:dyDescent="0.25">
      <c r="C46" s="29"/>
      <c r="D46" s="225"/>
      <c r="E46" s="29"/>
      <c r="F46" s="225"/>
      <c r="G46" s="29"/>
      <c r="H46" s="29"/>
      <c r="I46" s="29"/>
      <c r="J46" s="29"/>
    </row>
    <row r="47" spans="2:10" x14ac:dyDescent="0.25">
      <c r="C47" s="29"/>
      <c r="D47" s="29"/>
      <c r="E47" s="29"/>
      <c r="F47" s="29"/>
      <c r="G47" s="29"/>
      <c r="H47" s="29"/>
      <c r="I47" s="29"/>
      <c r="J47" s="29"/>
    </row>
    <row r="48" spans="2:10" x14ac:dyDescent="0.25">
      <c r="C48" s="29"/>
      <c r="D48" s="29"/>
      <c r="E48" s="29"/>
      <c r="F48" s="29"/>
      <c r="G48" s="29"/>
      <c r="H48" s="29"/>
      <c r="I48" s="29"/>
      <c r="J48" s="29"/>
    </row>
  </sheetData>
  <mergeCells count="2">
    <mergeCell ref="C2:I2"/>
    <mergeCell ref="C3:I3"/>
  </mergeCells>
  <printOptions horizontalCentered="1"/>
  <pageMargins left="0.75" right="0.75" top="1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3"/>
  <sheetViews>
    <sheetView tabSelected="1" workbookViewId="0">
      <selection activeCell="G35" sqref="G35"/>
    </sheetView>
  </sheetViews>
  <sheetFormatPr defaultRowHeight="15.75" x14ac:dyDescent="0.25"/>
  <cols>
    <col min="1" max="1" width="2.6640625" customWidth="1"/>
    <col min="2" max="2" width="1.77734375" customWidth="1"/>
    <col min="3" max="3" width="4.6640625" customWidth="1"/>
    <col min="4" max="4" width="18.5546875" customWidth="1"/>
    <col min="5" max="5" width="11.6640625" customWidth="1"/>
    <col min="6" max="6" width="8.21875" customWidth="1"/>
    <col min="7" max="7" width="8.77734375" customWidth="1"/>
    <col min="8" max="8" width="12.6640625" customWidth="1"/>
    <col min="9" max="9" width="11.33203125" customWidth="1"/>
    <col min="10" max="10" width="1.33203125" customWidth="1"/>
    <col min="11" max="11" width="6.6640625" customWidth="1"/>
    <col min="12" max="12" width="14" style="13" customWidth="1"/>
    <col min="13" max="14" width="10.6640625" customWidth="1"/>
  </cols>
  <sheetData>
    <row r="2" spans="2:14" x14ac:dyDescent="0.25">
      <c r="B2" s="3"/>
      <c r="C2" s="4"/>
      <c r="D2" s="4"/>
      <c r="E2" s="4"/>
      <c r="F2" s="4"/>
      <c r="G2" s="4"/>
      <c r="H2" s="4"/>
      <c r="I2" s="4"/>
      <c r="J2" s="5"/>
      <c r="K2" s="1"/>
    </row>
    <row r="3" spans="2:14" ht="18.75" x14ac:dyDescent="0.3">
      <c r="B3" s="2"/>
      <c r="C3" s="393" t="s">
        <v>99</v>
      </c>
      <c r="D3" s="393"/>
      <c r="E3" s="393"/>
      <c r="F3" s="393"/>
      <c r="G3" s="393"/>
      <c r="H3" s="393"/>
      <c r="I3" s="393"/>
      <c r="J3" s="252"/>
      <c r="K3" s="251"/>
      <c r="M3" s="13"/>
      <c r="N3" s="13"/>
    </row>
    <row r="4" spans="2:14" ht="18.75" x14ac:dyDescent="0.3">
      <c r="B4" s="2"/>
      <c r="C4" s="402" t="s">
        <v>11</v>
      </c>
      <c r="D4" s="402"/>
      <c r="E4" s="402"/>
      <c r="F4" s="402"/>
      <c r="G4" s="402"/>
      <c r="H4" s="402"/>
      <c r="I4" s="402"/>
      <c r="J4" s="103"/>
      <c r="K4" s="17"/>
      <c r="L4" s="18"/>
      <c r="M4" s="19"/>
      <c r="N4" s="19"/>
    </row>
    <row r="5" spans="2:14" x14ac:dyDescent="0.25">
      <c r="B5" s="2"/>
      <c r="C5" s="104"/>
      <c r="D5" s="17"/>
      <c r="E5" s="17"/>
      <c r="F5" s="17"/>
      <c r="G5" s="17"/>
      <c r="H5" s="17"/>
      <c r="I5" s="17"/>
      <c r="J5" s="103"/>
      <c r="K5" s="17"/>
      <c r="L5" s="18"/>
      <c r="M5" s="19"/>
      <c r="N5" s="19"/>
    </row>
    <row r="6" spans="2:14" x14ac:dyDescent="0.25">
      <c r="B6" s="2"/>
      <c r="C6" s="18"/>
      <c r="D6" s="19"/>
      <c r="E6" s="19"/>
      <c r="F6" s="19"/>
      <c r="G6" s="19"/>
      <c r="H6" s="19"/>
      <c r="I6" s="19"/>
      <c r="J6" s="27"/>
      <c r="K6" s="19"/>
      <c r="L6" s="18"/>
      <c r="M6" s="19"/>
      <c r="N6" s="20"/>
    </row>
    <row r="7" spans="2:14" x14ac:dyDescent="0.25">
      <c r="B7" s="2"/>
      <c r="C7" s="18"/>
      <c r="D7" s="19"/>
      <c r="E7" s="20"/>
      <c r="F7" s="401" t="s">
        <v>101</v>
      </c>
      <c r="G7" s="401"/>
      <c r="H7" s="20" t="s">
        <v>13</v>
      </c>
      <c r="I7" s="20"/>
      <c r="J7" s="105"/>
      <c r="K7" s="253"/>
      <c r="L7" s="195"/>
      <c r="M7" s="20"/>
      <c r="N7" s="20"/>
    </row>
    <row r="8" spans="2:14" x14ac:dyDescent="0.25">
      <c r="B8" s="2"/>
      <c r="C8" s="18"/>
      <c r="D8" s="19"/>
      <c r="E8" s="20" t="s">
        <v>14</v>
      </c>
      <c r="F8" s="20" t="s">
        <v>102</v>
      </c>
      <c r="G8" s="20" t="s">
        <v>15</v>
      </c>
      <c r="H8" s="20" t="s">
        <v>12</v>
      </c>
      <c r="I8" s="20" t="s">
        <v>16</v>
      </c>
      <c r="J8" s="105"/>
      <c r="K8" s="253"/>
      <c r="L8" s="195"/>
      <c r="M8" s="20"/>
      <c r="N8" s="20"/>
    </row>
    <row r="9" spans="2:14" x14ac:dyDescent="0.25">
      <c r="B9" s="2"/>
      <c r="C9" s="21" t="s">
        <v>313</v>
      </c>
      <c r="D9" s="19"/>
      <c r="E9" s="19"/>
      <c r="F9" s="19"/>
      <c r="G9" s="19"/>
      <c r="H9" s="19"/>
      <c r="I9" s="19"/>
      <c r="J9" s="27"/>
      <c r="K9" s="19"/>
      <c r="L9" s="198"/>
      <c r="M9" s="19"/>
      <c r="N9" s="19"/>
    </row>
    <row r="10" spans="2:14" x14ac:dyDescent="0.25">
      <c r="B10" s="2"/>
      <c r="C10" s="21"/>
      <c r="D10" s="19" t="s">
        <v>59</v>
      </c>
      <c r="E10" s="38">
        <f>mtrx!G93</f>
        <v>697040.08500979841</v>
      </c>
      <c r="F10" s="117" t="s">
        <v>95</v>
      </c>
      <c r="G10" s="101">
        <f>Fac!$I$35</f>
        <v>0.42771417258377603</v>
      </c>
      <c r="H10" s="38">
        <f t="shared" ref="H10:H11" si="0">E10*G10</f>
        <v>298133.92321769084</v>
      </c>
      <c r="I10" s="38">
        <f t="shared" ref="I10:I11" si="1">E10-H10</f>
        <v>398906.16179210757</v>
      </c>
      <c r="J10" s="27"/>
      <c r="K10" s="19"/>
      <c r="L10" s="18"/>
      <c r="M10" s="19"/>
      <c r="N10" s="19"/>
    </row>
    <row r="11" spans="2:14" x14ac:dyDescent="0.25">
      <c r="B11" s="2"/>
      <c r="C11" s="21"/>
      <c r="D11" s="21" t="s">
        <v>19</v>
      </c>
      <c r="E11" s="38">
        <f ca="1">mtrx!H93</f>
        <v>283456.63193350413</v>
      </c>
      <c r="F11" s="117" t="s">
        <v>17</v>
      </c>
      <c r="G11" s="101">
        <f>Fac!$I$39</f>
        <v>0.3173418153711095</v>
      </c>
      <c r="H11" s="38">
        <f t="shared" ca="1" si="0"/>
        <v>89952.642156758608</v>
      </c>
      <c r="I11" s="38">
        <f t="shared" ca="1" si="1"/>
        <v>193503.98977674553</v>
      </c>
      <c r="J11" s="27"/>
      <c r="K11" s="19"/>
      <c r="L11" s="18"/>
      <c r="M11" s="19"/>
      <c r="N11" s="19"/>
    </row>
    <row r="12" spans="2:14" x14ac:dyDescent="0.25">
      <c r="B12" s="2"/>
      <c r="C12" s="18"/>
      <c r="D12" s="19" t="s">
        <v>18</v>
      </c>
      <c r="E12" s="38">
        <f>mtrx!J93</f>
        <v>121381.52582998016</v>
      </c>
      <c r="F12" s="117" t="s">
        <v>17</v>
      </c>
      <c r="G12" s="101">
        <f>Fac!$I$39</f>
        <v>0.3173418153711095</v>
      </c>
      <c r="H12" s="38">
        <f t="shared" ref="H12" si="2">E12*G12</f>
        <v>38519.433759401123</v>
      </c>
      <c r="I12" s="38">
        <f t="shared" ref="I12:I13" si="3">E12-H12</f>
        <v>82862.092070579034</v>
      </c>
      <c r="J12" s="106"/>
      <c r="K12" s="38"/>
      <c r="M12" s="19"/>
      <c r="N12" s="19"/>
    </row>
    <row r="13" spans="2:14" x14ac:dyDescent="0.25">
      <c r="B13" s="2"/>
      <c r="C13" s="18"/>
      <c r="D13" s="35" t="s">
        <v>20</v>
      </c>
      <c r="E13" s="38">
        <f ca="1">mtrx!I93</f>
        <v>206094.71314919548</v>
      </c>
      <c r="F13" s="118"/>
      <c r="G13" s="101"/>
      <c r="H13" s="38"/>
      <c r="I13" s="38">
        <f t="shared" ca="1" si="3"/>
        <v>206094.71314919548</v>
      </c>
      <c r="J13" s="106"/>
      <c r="K13" s="38"/>
      <c r="L13" s="19">
        <f ca="1">SUM(E10:E13)</f>
        <v>1307972.9559224783</v>
      </c>
      <c r="M13" s="19"/>
      <c r="N13" s="19"/>
    </row>
    <row r="14" spans="2:14" ht="6.95" customHeight="1" x14ac:dyDescent="0.25">
      <c r="B14" s="2"/>
      <c r="C14" s="18"/>
      <c r="D14" s="19"/>
      <c r="E14" s="38"/>
      <c r="F14" s="117"/>
      <c r="G14" s="102"/>
      <c r="H14" s="38"/>
      <c r="I14" s="38"/>
      <c r="J14" s="106"/>
      <c r="K14" s="38"/>
      <c r="M14" s="19"/>
      <c r="N14" s="19"/>
    </row>
    <row r="15" spans="2:14" x14ac:dyDescent="0.25">
      <c r="B15" s="2"/>
      <c r="C15" s="18" t="s">
        <v>2</v>
      </c>
      <c r="D15" s="19"/>
      <c r="E15" s="38"/>
      <c r="F15" s="117"/>
      <c r="G15" s="102"/>
      <c r="H15" s="38"/>
      <c r="I15" s="38"/>
      <c r="J15" s="106"/>
      <c r="K15" s="38"/>
      <c r="M15" s="19"/>
      <c r="N15" s="19"/>
    </row>
    <row r="16" spans="2:14" x14ac:dyDescent="0.25">
      <c r="B16" s="2"/>
      <c r="C16" s="18"/>
      <c r="D16" s="19" t="s">
        <v>59</v>
      </c>
      <c r="E16" s="38">
        <f>AlocDep!E20</f>
        <v>167901.11682251075</v>
      </c>
      <c r="F16" s="117" t="s">
        <v>95</v>
      </c>
      <c r="G16" s="101">
        <f>Fac!$I$35</f>
        <v>0.42771417258377603</v>
      </c>
      <c r="H16" s="38">
        <f>E16*G16</f>
        <v>71813.687257632104</v>
      </c>
      <c r="I16" s="38">
        <f>E16-H16</f>
        <v>96087.42956487865</v>
      </c>
      <c r="J16" s="106"/>
      <c r="K16" s="38"/>
      <c r="M16" s="19"/>
      <c r="N16" s="19"/>
    </row>
    <row r="17" spans="2:15" x14ac:dyDescent="0.25">
      <c r="B17" s="2"/>
      <c r="C17" s="18"/>
      <c r="D17" s="21" t="s">
        <v>19</v>
      </c>
      <c r="E17" s="38">
        <f>AlocDep!F20</f>
        <v>155932.9813741126</v>
      </c>
      <c r="F17" s="117" t="s">
        <v>17</v>
      </c>
      <c r="G17" s="101">
        <f>Fac!$I$39</f>
        <v>0.3173418153711095</v>
      </c>
      <c r="H17" s="38">
        <f>E17*G17</f>
        <v>49484.055385490297</v>
      </c>
      <c r="I17" s="38">
        <f>E17-H17</f>
        <v>106448.9259886223</v>
      </c>
      <c r="J17" s="106"/>
      <c r="K17" s="38"/>
      <c r="M17" s="19"/>
      <c r="N17" s="19"/>
    </row>
    <row r="18" spans="2:15" x14ac:dyDescent="0.25">
      <c r="B18" s="2"/>
      <c r="C18" s="18"/>
      <c r="D18" s="21" t="s">
        <v>92</v>
      </c>
      <c r="E18" s="38">
        <f>AlocDep!G20</f>
        <v>80909.056222222222</v>
      </c>
      <c r="F18" s="117" t="s">
        <v>315</v>
      </c>
      <c r="G18" s="101">
        <f>Fac!$I$43</f>
        <v>0.45699011776290949</v>
      </c>
      <c r="H18" s="38">
        <f>E18*G18</f>
        <v>36974.639131079195</v>
      </c>
      <c r="I18" s="38">
        <f>E18-H18</f>
        <v>43934.417091143026</v>
      </c>
      <c r="J18" s="106"/>
      <c r="K18" s="38"/>
      <c r="M18" s="19"/>
      <c r="N18" s="19"/>
    </row>
    <row r="19" spans="2:15" x14ac:dyDescent="0.25">
      <c r="B19" s="2"/>
      <c r="C19" s="18"/>
      <c r="D19" s="19" t="s">
        <v>18</v>
      </c>
      <c r="E19" s="38">
        <f>AlocDep!H20</f>
        <v>5958.8558377554764</v>
      </c>
      <c r="F19" s="117" t="s">
        <v>17</v>
      </c>
      <c r="G19" s="101">
        <f>Fac!$I$39</f>
        <v>0.3173418153711095</v>
      </c>
      <c r="H19" s="38">
        <f>E19*G19</f>
        <v>1890.9941290880565</v>
      </c>
      <c r="I19" s="38">
        <f>E19-H19</f>
        <v>4067.8617086674199</v>
      </c>
      <c r="J19" s="106"/>
      <c r="K19" s="38"/>
      <c r="M19" s="19"/>
      <c r="N19" s="19"/>
    </row>
    <row r="20" spans="2:15" x14ac:dyDescent="0.25">
      <c r="B20" s="2"/>
      <c r="C20" s="18"/>
      <c r="D20" s="19" t="s">
        <v>20</v>
      </c>
      <c r="E20" s="38">
        <f>AlocDep!I20</f>
        <v>18890.563561927062</v>
      </c>
      <c r="F20" s="117"/>
      <c r="G20" s="102"/>
      <c r="H20" s="38"/>
      <c r="I20" s="38">
        <f>E20</f>
        <v>18890.563561927062</v>
      </c>
      <c r="J20" s="106"/>
      <c r="K20" s="38"/>
      <c r="L20" s="137">
        <f>SUM(E16:E20)</f>
        <v>429592.57381852815</v>
      </c>
      <c r="M20" s="19"/>
      <c r="N20" s="19"/>
    </row>
    <row r="21" spans="2:15" ht="6.95" customHeight="1" x14ac:dyDescent="0.25">
      <c r="B21" s="2"/>
      <c r="C21" s="18"/>
      <c r="D21" s="19"/>
      <c r="E21" s="38"/>
      <c r="F21" s="117"/>
      <c r="G21" s="102"/>
      <c r="H21" s="38"/>
      <c r="I21" s="38"/>
      <c r="J21" s="106"/>
      <c r="K21" s="38"/>
      <c r="M21" s="19"/>
      <c r="N21" s="19"/>
    </row>
    <row r="22" spans="2:15" x14ac:dyDescent="0.25">
      <c r="B22" s="2"/>
      <c r="C22" s="18" t="s">
        <v>319</v>
      </c>
      <c r="D22" s="19"/>
      <c r="E22" s="38"/>
      <c r="F22" s="117"/>
      <c r="G22" s="102"/>
      <c r="H22" s="38"/>
      <c r="I22" s="38"/>
      <c r="J22" s="106"/>
      <c r="K22" s="38"/>
      <c r="M22" s="19"/>
      <c r="N22" s="19"/>
    </row>
    <row r="23" spans="2:15" x14ac:dyDescent="0.25">
      <c r="B23" s="2"/>
      <c r="C23" s="18"/>
      <c r="D23" s="19" t="s">
        <v>59</v>
      </c>
      <c r="E23" s="38">
        <f>DSalloc!F11</f>
        <v>96654.737998422439</v>
      </c>
      <c r="F23" s="117" t="s">
        <v>95</v>
      </c>
      <c r="G23" s="101">
        <f>Fac!$I$35</f>
        <v>0.42771417258377603</v>
      </c>
      <c r="H23" s="38">
        <f>E23*G23</f>
        <v>41340.601289296908</v>
      </c>
      <c r="I23" s="38">
        <f>E23-H23</f>
        <v>55314.136709125531</v>
      </c>
      <c r="J23" s="106"/>
      <c r="K23" s="38"/>
      <c r="M23" s="19"/>
      <c r="N23" s="19"/>
    </row>
    <row r="24" spans="2:15" x14ac:dyDescent="0.25">
      <c r="B24" s="2"/>
      <c r="C24" s="18"/>
      <c r="D24" s="21" t="s">
        <v>19</v>
      </c>
      <c r="E24" s="38">
        <f>DSalloc!G11</f>
        <v>96783.346073577035</v>
      </c>
      <c r="F24" s="117" t="s">
        <v>17</v>
      </c>
      <c r="G24" s="101">
        <f>Fac!$I$39</f>
        <v>0.3173418153711095</v>
      </c>
      <c r="H24" s="38">
        <f>E24*G24</f>
        <v>30713.402740679281</v>
      </c>
      <c r="I24" s="38">
        <f>E24-H24</f>
        <v>66069.943332897761</v>
      </c>
      <c r="J24" s="106"/>
      <c r="K24" s="38"/>
      <c r="M24" s="19"/>
      <c r="N24" s="19"/>
    </row>
    <row r="25" spans="2:15" x14ac:dyDescent="0.25">
      <c r="B25" s="2"/>
      <c r="C25" s="18"/>
      <c r="D25" s="21" t="s">
        <v>92</v>
      </c>
      <c r="E25" s="38">
        <f>DSalloc!H11</f>
        <v>17840.419928000527</v>
      </c>
      <c r="F25" s="117" t="s">
        <v>315</v>
      </c>
      <c r="G25" s="101">
        <f>Fac!$I$43</f>
        <v>0.45699011776290949</v>
      </c>
      <c r="H25" s="38">
        <f>E25*G25</f>
        <v>8152.8956038367178</v>
      </c>
      <c r="I25" s="38">
        <f>E25-H25</f>
        <v>9687.5243241638091</v>
      </c>
      <c r="J25" s="106"/>
      <c r="K25" s="38"/>
      <c r="L25" s="137">
        <f>SUM(E23:E25)</f>
        <v>211278.50400000002</v>
      </c>
      <c r="M25" s="19"/>
      <c r="N25" s="19"/>
    </row>
    <row r="26" spans="2:15" ht="6.95" customHeight="1" x14ac:dyDescent="0.25">
      <c r="B26" s="2"/>
      <c r="C26" s="18"/>
      <c r="D26" s="19"/>
      <c r="E26" s="38"/>
      <c r="F26" s="38"/>
      <c r="G26" s="102"/>
      <c r="H26" s="38"/>
      <c r="I26" s="38"/>
      <c r="J26" s="106"/>
      <c r="K26" s="38"/>
      <c r="L26" s="18"/>
      <c r="M26" s="19"/>
      <c r="N26" s="19"/>
    </row>
    <row r="27" spans="2:15" x14ac:dyDescent="0.25">
      <c r="B27" s="2"/>
      <c r="C27" s="22" t="s">
        <v>21</v>
      </c>
      <c r="D27" s="15"/>
      <c r="E27" s="204">
        <f ca="1">SUM(E10:E25)</f>
        <v>1948844.0337410064</v>
      </c>
      <c r="F27" s="204"/>
      <c r="G27" s="205"/>
      <c r="H27" s="204">
        <f ca="1">SUM(H10:H25)</f>
        <v>666976.27467095316</v>
      </c>
      <c r="I27" s="204">
        <f ca="1">SUM(I10:I25)</f>
        <v>1281867.7590700532</v>
      </c>
      <c r="J27" s="106"/>
      <c r="K27" s="38"/>
      <c r="L27" s="19">
        <f ca="1">I27+H27</f>
        <v>1948844.0337410064</v>
      </c>
      <c r="N27" s="19"/>
    </row>
    <row r="28" spans="2:15" ht="6.95" customHeight="1" x14ac:dyDescent="0.25">
      <c r="B28" s="2"/>
      <c r="C28" s="18"/>
      <c r="D28" s="19"/>
      <c r="E28" s="19"/>
      <c r="F28" s="19"/>
      <c r="G28" s="19"/>
      <c r="H28" s="38"/>
      <c r="I28" s="38"/>
      <c r="J28" s="106"/>
      <c r="K28" s="38"/>
      <c r="L28" s="18"/>
      <c r="M28" s="19"/>
      <c r="N28" s="19"/>
    </row>
    <row r="29" spans="2:15" x14ac:dyDescent="0.25">
      <c r="B29" s="2"/>
      <c r="C29" s="18"/>
      <c r="D29" s="19" t="s">
        <v>22</v>
      </c>
      <c r="E29" s="19"/>
      <c r="F29" s="19"/>
      <c r="G29" s="19"/>
      <c r="H29" s="38">
        <f>Fac!I14</f>
        <v>164839.9</v>
      </c>
      <c r="I29" s="38"/>
      <c r="J29" s="106"/>
      <c r="K29" s="38"/>
      <c r="L29" s="18"/>
      <c r="M29" s="19"/>
      <c r="N29" s="19"/>
    </row>
    <row r="30" spans="2:15" ht="6.95" customHeight="1" x14ac:dyDescent="0.25">
      <c r="B30" s="2"/>
      <c r="C30" s="18"/>
      <c r="D30" s="19"/>
      <c r="E30" s="19"/>
      <c r="F30" s="19"/>
      <c r="G30" s="19"/>
      <c r="H30" s="19"/>
      <c r="I30" s="19"/>
      <c r="J30" s="27"/>
      <c r="K30" s="19"/>
      <c r="L30" s="18"/>
      <c r="M30" s="19"/>
      <c r="N30" s="19"/>
    </row>
    <row r="31" spans="2:15" ht="18" x14ac:dyDescent="0.4">
      <c r="B31" s="2"/>
      <c r="C31" s="109" t="s">
        <v>23</v>
      </c>
      <c r="D31" s="110"/>
      <c r="E31" s="110"/>
      <c r="F31" s="110"/>
      <c r="G31" s="110"/>
      <c r="H31" s="115">
        <f ca="1">(H27/H29)</f>
        <v>4.0462064989784219</v>
      </c>
      <c r="I31" s="23"/>
      <c r="J31" s="107"/>
      <c r="K31" s="23"/>
      <c r="L31" s="229" t="s">
        <v>405</v>
      </c>
      <c r="M31" s="229" t="s">
        <v>357</v>
      </c>
    </row>
    <row r="32" spans="2:15" ht="18" x14ac:dyDescent="0.4">
      <c r="B32" s="2"/>
      <c r="C32" s="109"/>
      <c r="D32" s="110"/>
      <c r="E32" s="110"/>
      <c r="F32" s="110"/>
      <c r="G32" s="110"/>
      <c r="H32" s="115"/>
      <c r="I32" s="23"/>
      <c r="J32" s="107"/>
      <c r="K32" s="23"/>
      <c r="L32" s="13">
        <v>3.05</v>
      </c>
      <c r="M32" s="44">
        <f ca="1">(H31-L32)/L32</f>
        <v>0.32662508163226955</v>
      </c>
      <c r="N32" s="44"/>
      <c r="O32" s="239"/>
    </row>
    <row r="33" spans="2:14" ht="18" x14ac:dyDescent="0.4">
      <c r="B33" s="2"/>
      <c r="C33" s="109" t="s">
        <v>317</v>
      </c>
      <c r="D33" s="110"/>
      <c r="E33" s="110"/>
      <c r="F33" s="110"/>
      <c r="G33" s="110"/>
      <c r="H33" s="374">
        <f ca="1">(H31*(748/1000))</f>
        <v>3.0265624612358595</v>
      </c>
      <c r="I33" s="23"/>
      <c r="J33" s="107"/>
      <c r="K33" s="23"/>
      <c r="L33" s="37"/>
      <c r="M33" s="13"/>
      <c r="N33" s="44"/>
    </row>
    <row r="34" spans="2:14" x14ac:dyDescent="0.25">
      <c r="B34" s="6"/>
      <c r="C34" s="108"/>
      <c r="D34" s="32"/>
      <c r="E34" s="32"/>
      <c r="F34" s="32"/>
      <c r="G34" s="32"/>
      <c r="H34" s="108"/>
      <c r="I34" s="32"/>
      <c r="J34" s="33"/>
      <c r="K34" s="19"/>
      <c r="L34" s="18"/>
      <c r="M34" s="19"/>
      <c r="N34" s="19"/>
    </row>
    <row r="35" spans="2:14" x14ac:dyDescent="0.25">
      <c r="B35" s="1"/>
      <c r="C35" s="18"/>
      <c r="D35" s="19"/>
      <c r="E35" s="19"/>
      <c r="F35" s="19"/>
      <c r="G35" s="19"/>
      <c r="H35" s="18"/>
      <c r="I35" s="19"/>
      <c r="J35" s="19"/>
      <c r="K35" s="19"/>
      <c r="L35" s="18"/>
      <c r="M35" s="19"/>
      <c r="N35" s="1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M36" s="13"/>
      <c r="N36" s="13"/>
    </row>
    <row r="37" spans="2:14" x14ac:dyDescent="0.25">
      <c r="B37" s="13"/>
      <c r="C37" s="22"/>
      <c r="D37" s="15"/>
      <c r="E37" s="204"/>
      <c r="F37" s="204"/>
      <c r="G37" s="205"/>
      <c r="H37" s="204"/>
      <c r="I37" s="204"/>
      <c r="J37" s="13"/>
      <c r="K37" s="13"/>
      <c r="M37" s="13"/>
      <c r="N37" s="13"/>
    </row>
    <row r="38" spans="2:14" x14ac:dyDescent="0.25">
      <c r="B38" s="13"/>
      <c r="C38" s="18"/>
      <c r="D38" s="19"/>
      <c r="E38" s="19"/>
      <c r="F38" s="19"/>
      <c r="G38" s="19"/>
      <c r="H38" s="38"/>
      <c r="I38" s="38"/>
      <c r="J38" s="13"/>
      <c r="K38" s="13"/>
      <c r="M38" s="13"/>
      <c r="N38" s="13"/>
    </row>
    <row r="39" spans="2:14" x14ac:dyDescent="0.25">
      <c r="B39" s="13"/>
      <c r="C39" s="18"/>
      <c r="D39" s="19"/>
      <c r="E39" s="19"/>
      <c r="F39" s="19"/>
      <c r="G39" s="19"/>
      <c r="H39" s="38"/>
      <c r="I39" s="38"/>
      <c r="J39" s="13"/>
      <c r="K39" s="13"/>
      <c r="M39" s="13"/>
      <c r="N39" s="13"/>
    </row>
    <row r="40" spans="2:14" x14ac:dyDescent="0.25">
      <c r="B40" s="13"/>
      <c r="C40" s="18"/>
      <c r="D40" s="19"/>
      <c r="E40" s="19"/>
      <c r="F40" s="19"/>
      <c r="G40" s="19"/>
      <c r="H40" s="19"/>
      <c r="I40" s="19"/>
      <c r="J40" s="13"/>
      <c r="K40" s="13"/>
      <c r="M40" s="13"/>
      <c r="N40" s="13"/>
    </row>
    <row r="41" spans="2:14" ht="18" x14ac:dyDescent="0.4">
      <c r="B41" s="13"/>
      <c r="C41" s="109"/>
      <c r="D41" s="110"/>
      <c r="E41" s="110"/>
      <c r="F41" s="110"/>
      <c r="G41" s="110"/>
      <c r="H41" s="115"/>
      <c r="I41" s="23"/>
      <c r="J41" s="13"/>
      <c r="K41" s="13"/>
      <c r="M41" s="13"/>
      <c r="N41" s="13"/>
    </row>
    <row r="42" spans="2:14" ht="18" x14ac:dyDescent="0.4">
      <c r="B42" s="13"/>
      <c r="C42" s="109"/>
      <c r="D42" s="110"/>
      <c r="E42" s="110"/>
      <c r="F42" s="110"/>
      <c r="G42" s="110"/>
      <c r="H42" s="115"/>
      <c r="I42" s="23"/>
      <c r="J42" s="13"/>
      <c r="K42" s="13"/>
      <c r="M42" s="13"/>
      <c r="N42" s="13"/>
    </row>
    <row r="43" spans="2:14" ht="18" x14ac:dyDescent="0.4">
      <c r="B43" s="13"/>
      <c r="C43" s="109"/>
      <c r="D43" s="110"/>
      <c r="E43" s="110"/>
      <c r="F43" s="110"/>
      <c r="G43" s="110"/>
      <c r="H43" s="115"/>
      <c r="I43" s="23"/>
      <c r="J43" s="13"/>
      <c r="K43" s="13"/>
      <c r="L43" s="114"/>
      <c r="M43" s="13"/>
      <c r="N43" s="13"/>
    </row>
    <row r="44" spans="2:14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M44" s="13"/>
      <c r="N44" s="13"/>
    </row>
    <row r="45" spans="2:14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M45" s="13"/>
      <c r="N45" s="13"/>
    </row>
    <row r="46" spans="2:14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M46" s="13"/>
      <c r="N46" s="13"/>
    </row>
    <row r="47" spans="2:14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M47" s="13"/>
      <c r="N47" s="13"/>
    </row>
    <row r="48" spans="2:1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M48" s="13"/>
      <c r="N48" s="13"/>
    </row>
    <row r="49" spans="2:14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M49" s="13"/>
      <c r="N49" s="13"/>
    </row>
    <row r="50" spans="2:14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</row>
    <row r="51" spans="2:14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M51" s="13"/>
      <c r="N51" s="13"/>
    </row>
    <row r="52" spans="2:14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</row>
    <row r="53" spans="2:14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M53" s="13"/>
      <c r="N53" s="13"/>
    </row>
  </sheetData>
  <mergeCells count="3">
    <mergeCell ref="F7:G7"/>
    <mergeCell ref="C3:I3"/>
    <mergeCell ref="C4:I4"/>
  </mergeCells>
  <printOptions horizontalCentered="1"/>
  <pageMargins left="0.45" right="0.45" top="0.3" bottom="0.3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0"/>
  <sheetViews>
    <sheetView topLeftCell="E3" zoomScale="66" zoomScaleNormal="66" workbookViewId="0">
      <selection activeCell="V21" sqref="V21"/>
    </sheetView>
  </sheetViews>
  <sheetFormatPr defaultRowHeight="15" x14ac:dyDescent="0.2"/>
  <cols>
    <col min="1" max="1" width="11.44140625" customWidth="1"/>
    <col min="2" max="2" width="8.77734375" style="313" bestFit="1" customWidth="1"/>
    <col min="3" max="3" width="7.5546875" style="313" bestFit="1" customWidth="1"/>
    <col min="4" max="4" width="8.5546875" style="313" bestFit="1" customWidth="1"/>
    <col min="5" max="5" width="29.21875" style="313" bestFit="1" customWidth="1"/>
    <col min="6" max="6" width="8.5546875" bestFit="1" customWidth="1"/>
    <col min="7" max="7" width="8.5546875" style="313" bestFit="1" customWidth="1"/>
    <col min="8" max="8" width="11" style="313" bestFit="1" customWidth="1"/>
    <col min="9" max="9" width="10" style="313" bestFit="1" customWidth="1"/>
    <col min="10" max="10" width="10.21875" style="313" hidden="1" customWidth="1"/>
    <col min="11" max="11" width="8.109375" style="313" hidden="1" customWidth="1"/>
    <col min="12" max="12" width="8.77734375" style="313" customWidth="1"/>
    <col min="13" max="13" width="7.21875" style="313" customWidth="1"/>
    <col min="14" max="14" width="11" bestFit="1" customWidth="1"/>
    <col min="15" max="15" width="9.109375" hidden="1" customWidth="1"/>
    <col min="16" max="16" width="11" bestFit="1" customWidth="1"/>
    <col min="17" max="17" width="8.88671875" hidden="1" customWidth="1"/>
    <col min="18" max="18" width="8" hidden="1" customWidth="1"/>
    <col min="19" max="19" width="9.109375" hidden="1" customWidth="1"/>
    <col min="20" max="21" width="11" bestFit="1" customWidth="1"/>
    <col min="22" max="22" width="9" customWidth="1"/>
    <col min="23" max="23" width="10" bestFit="1" customWidth="1"/>
    <col min="27" max="27" width="9" customWidth="1"/>
    <col min="256" max="256" width="11.88671875" customWidth="1"/>
    <col min="257" max="257" width="8.88671875" customWidth="1"/>
    <col min="258" max="258" width="8.88671875" bestFit="1" customWidth="1"/>
    <col min="259" max="260" width="6.88671875" customWidth="1"/>
    <col min="261" max="261" width="7.33203125" customWidth="1"/>
    <col min="262" max="262" width="7.77734375" customWidth="1"/>
    <col min="263" max="263" width="7.6640625" customWidth="1"/>
    <col min="264" max="264" width="8.88671875" bestFit="1" customWidth="1"/>
    <col min="265" max="265" width="8.44140625" bestFit="1" customWidth="1"/>
    <col min="266" max="266" width="10.21875" customWidth="1"/>
    <col min="267" max="267" width="8.109375" bestFit="1" customWidth="1"/>
    <col min="268" max="268" width="8.77734375" customWidth="1"/>
    <col min="269" max="269" width="7.21875" customWidth="1"/>
    <col min="270" max="271" width="9.109375" customWidth="1"/>
    <col min="272" max="273" width="8.88671875" bestFit="1" customWidth="1"/>
    <col min="274" max="274" width="8" customWidth="1"/>
    <col min="275" max="275" width="9.109375" customWidth="1"/>
    <col min="276" max="276" width="9.33203125" customWidth="1"/>
    <col min="512" max="512" width="11.88671875" customWidth="1"/>
    <col min="513" max="513" width="8.88671875" customWidth="1"/>
    <col min="514" max="514" width="8.88671875" bestFit="1" customWidth="1"/>
    <col min="515" max="516" width="6.88671875" customWidth="1"/>
    <col min="517" max="517" width="7.33203125" customWidth="1"/>
    <col min="518" max="518" width="7.77734375" customWidth="1"/>
    <col min="519" max="519" width="7.6640625" customWidth="1"/>
    <col min="520" max="520" width="8.88671875" bestFit="1" customWidth="1"/>
    <col min="521" max="521" width="8.44140625" bestFit="1" customWidth="1"/>
    <col min="522" max="522" width="10.21875" customWidth="1"/>
    <col min="523" max="523" width="8.109375" bestFit="1" customWidth="1"/>
    <col min="524" max="524" width="8.77734375" customWidth="1"/>
    <col min="525" max="525" width="7.21875" customWidth="1"/>
    <col min="526" max="527" width="9.109375" customWidth="1"/>
    <col min="528" max="529" width="8.88671875" bestFit="1" customWidth="1"/>
    <col min="530" max="530" width="8" customWidth="1"/>
    <col min="531" max="531" width="9.109375" customWidth="1"/>
    <col min="532" max="532" width="9.33203125" customWidth="1"/>
    <col min="768" max="768" width="11.88671875" customWidth="1"/>
    <col min="769" max="769" width="8.88671875" customWidth="1"/>
    <col min="770" max="770" width="8.88671875" bestFit="1" customWidth="1"/>
    <col min="771" max="772" width="6.88671875" customWidth="1"/>
    <col min="773" max="773" width="7.33203125" customWidth="1"/>
    <col min="774" max="774" width="7.77734375" customWidth="1"/>
    <col min="775" max="775" width="7.6640625" customWidth="1"/>
    <col min="776" max="776" width="8.88671875" bestFit="1" customWidth="1"/>
    <col min="777" max="777" width="8.44140625" bestFit="1" customWidth="1"/>
    <col min="778" max="778" width="10.21875" customWidth="1"/>
    <col min="779" max="779" width="8.109375" bestFit="1" customWidth="1"/>
    <col min="780" max="780" width="8.77734375" customWidth="1"/>
    <col min="781" max="781" width="7.21875" customWidth="1"/>
    <col min="782" max="783" width="9.109375" customWidth="1"/>
    <col min="784" max="785" width="8.88671875" bestFit="1" customWidth="1"/>
    <col min="786" max="786" width="8" customWidth="1"/>
    <col min="787" max="787" width="9.109375" customWidth="1"/>
    <col min="788" max="788" width="9.33203125" customWidth="1"/>
    <col min="1024" max="1024" width="11.88671875" customWidth="1"/>
    <col min="1025" max="1025" width="8.88671875" customWidth="1"/>
    <col min="1026" max="1026" width="8.88671875" bestFit="1" customWidth="1"/>
    <col min="1027" max="1028" width="6.88671875" customWidth="1"/>
    <col min="1029" max="1029" width="7.33203125" customWidth="1"/>
    <col min="1030" max="1030" width="7.77734375" customWidth="1"/>
    <col min="1031" max="1031" width="7.6640625" customWidth="1"/>
    <col min="1032" max="1032" width="8.88671875" bestFit="1" customWidth="1"/>
    <col min="1033" max="1033" width="8.44140625" bestFit="1" customWidth="1"/>
    <col min="1034" max="1034" width="10.21875" customWidth="1"/>
    <col min="1035" max="1035" width="8.109375" bestFit="1" customWidth="1"/>
    <col min="1036" max="1036" width="8.77734375" customWidth="1"/>
    <col min="1037" max="1037" width="7.21875" customWidth="1"/>
    <col min="1038" max="1039" width="9.109375" customWidth="1"/>
    <col min="1040" max="1041" width="8.88671875" bestFit="1" customWidth="1"/>
    <col min="1042" max="1042" width="8" customWidth="1"/>
    <col min="1043" max="1043" width="9.109375" customWidth="1"/>
    <col min="1044" max="1044" width="9.33203125" customWidth="1"/>
    <col min="1280" max="1280" width="11.88671875" customWidth="1"/>
    <col min="1281" max="1281" width="8.88671875" customWidth="1"/>
    <col min="1282" max="1282" width="8.88671875" bestFit="1" customWidth="1"/>
    <col min="1283" max="1284" width="6.88671875" customWidth="1"/>
    <col min="1285" max="1285" width="7.33203125" customWidth="1"/>
    <col min="1286" max="1286" width="7.77734375" customWidth="1"/>
    <col min="1287" max="1287" width="7.6640625" customWidth="1"/>
    <col min="1288" max="1288" width="8.88671875" bestFit="1" customWidth="1"/>
    <col min="1289" max="1289" width="8.44140625" bestFit="1" customWidth="1"/>
    <col min="1290" max="1290" width="10.21875" customWidth="1"/>
    <col min="1291" max="1291" width="8.109375" bestFit="1" customWidth="1"/>
    <col min="1292" max="1292" width="8.77734375" customWidth="1"/>
    <col min="1293" max="1293" width="7.21875" customWidth="1"/>
    <col min="1294" max="1295" width="9.109375" customWidth="1"/>
    <col min="1296" max="1297" width="8.88671875" bestFit="1" customWidth="1"/>
    <col min="1298" max="1298" width="8" customWidth="1"/>
    <col min="1299" max="1299" width="9.109375" customWidth="1"/>
    <col min="1300" max="1300" width="9.33203125" customWidth="1"/>
    <col min="1536" max="1536" width="11.88671875" customWidth="1"/>
    <col min="1537" max="1537" width="8.88671875" customWidth="1"/>
    <col min="1538" max="1538" width="8.88671875" bestFit="1" customWidth="1"/>
    <col min="1539" max="1540" width="6.88671875" customWidth="1"/>
    <col min="1541" max="1541" width="7.33203125" customWidth="1"/>
    <col min="1542" max="1542" width="7.77734375" customWidth="1"/>
    <col min="1543" max="1543" width="7.6640625" customWidth="1"/>
    <col min="1544" max="1544" width="8.88671875" bestFit="1" customWidth="1"/>
    <col min="1545" max="1545" width="8.44140625" bestFit="1" customWidth="1"/>
    <col min="1546" max="1546" width="10.21875" customWidth="1"/>
    <col min="1547" max="1547" width="8.109375" bestFit="1" customWidth="1"/>
    <col min="1548" max="1548" width="8.77734375" customWidth="1"/>
    <col min="1549" max="1549" width="7.21875" customWidth="1"/>
    <col min="1550" max="1551" width="9.109375" customWidth="1"/>
    <col min="1552" max="1553" width="8.88671875" bestFit="1" customWidth="1"/>
    <col min="1554" max="1554" width="8" customWidth="1"/>
    <col min="1555" max="1555" width="9.109375" customWidth="1"/>
    <col min="1556" max="1556" width="9.33203125" customWidth="1"/>
    <col min="1792" max="1792" width="11.88671875" customWidth="1"/>
    <col min="1793" max="1793" width="8.88671875" customWidth="1"/>
    <col min="1794" max="1794" width="8.88671875" bestFit="1" customWidth="1"/>
    <col min="1795" max="1796" width="6.88671875" customWidth="1"/>
    <col min="1797" max="1797" width="7.33203125" customWidth="1"/>
    <col min="1798" max="1798" width="7.77734375" customWidth="1"/>
    <col min="1799" max="1799" width="7.6640625" customWidth="1"/>
    <col min="1800" max="1800" width="8.88671875" bestFit="1" customWidth="1"/>
    <col min="1801" max="1801" width="8.44140625" bestFit="1" customWidth="1"/>
    <col min="1802" max="1802" width="10.21875" customWidth="1"/>
    <col min="1803" max="1803" width="8.109375" bestFit="1" customWidth="1"/>
    <col min="1804" max="1804" width="8.77734375" customWidth="1"/>
    <col min="1805" max="1805" width="7.21875" customWidth="1"/>
    <col min="1806" max="1807" width="9.109375" customWidth="1"/>
    <col min="1808" max="1809" width="8.88671875" bestFit="1" customWidth="1"/>
    <col min="1810" max="1810" width="8" customWidth="1"/>
    <col min="1811" max="1811" width="9.109375" customWidth="1"/>
    <col min="1812" max="1812" width="9.33203125" customWidth="1"/>
    <col min="2048" max="2048" width="11.88671875" customWidth="1"/>
    <col min="2049" max="2049" width="8.88671875" customWidth="1"/>
    <col min="2050" max="2050" width="8.88671875" bestFit="1" customWidth="1"/>
    <col min="2051" max="2052" width="6.88671875" customWidth="1"/>
    <col min="2053" max="2053" width="7.33203125" customWidth="1"/>
    <col min="2054" max="2054" width="7.77734375" customWidth="1"/>
    <col min="2055" max="2055" width="7.6640625" customWidth="1"/>
    <col min="2056" max="2056" width="8.88671875" bestFit="1" customWidth="1"/>
    <col min="2057" max="2057" width="8.44140625" bestFit="1" customWidth="1"/>
    <col min="2058" max="2058" width="10.21875" customWidth="1"/>
    <col min="2059" max="2059" width="8.109375" bestFit="1" customWidth="1"/>
    <col min="2060" max="2060" width="8.77734375" customWidth="1"/>
    <col min="2061" max="2061" width="7.21875" customWidth="1"/>
    <col min="2062" max="2063" width="9.109375" customWidth="1"/>
    <col min="2064" max="2065" width="8.88671875" bestFit="1" customWidth="1"/>
    <col min="2066" max="2066" width="8" customWidth="1"/>
    <col min="2067" max="2067" width="9.109375" customWidth="1"/>
    <col min="2068" max="2068" width="9.33203125" customWidth="1"/>
    <col min="2304" max="2304" width="11.88671875" customWidth="1"/>
    <col min="2305" max="2305" width="8.88671875" customWidth="1"/>
    <col min="2306" max="2306" width="8.88671875" bestFit="1" customWidth="1"/>
    <col min="2307" max="2308" width="6.88671875" customWidth="1"/>
    <col min="2309" max="2309" width="7.33203125" customWidth="1"/>
    <col min="2310" max="2310" width="7.77734375" customWidth="1"/>
    <col min="2311" max="2311" width="7.6640625" customWidth="1"/>
    <col min="2312" max="2312" width="8.88671875" bestFit="1" customWidth="1"/>
    <col min="2313" max="2313" width="8.44140625" bestFit="1" customWidth="1"/>
    <col min="2314" max="2314" width="10.21875" customWidth="1"/>
    <col min="2315" max="2315" width="8.109375" bestFit="1" customWidth="1"/>
    <col min="2316" max="2316" width="8.77734375" customWidth="1"/>
    <col min="2317" max="2317" width="7.21875" customWidth="1"/>
    <col min="2318" max="2319" width="9.109375" customWidth="1"/>
    <col min="2320" max="2321" width="8.88671875" bestFit="1" customWidth="1"/>
    <col min="2322" max="2322" width="8" customWidth="1"/>
    <col min="2323" max="2323" width="9.109375" customWidth="1"/>
    <col min="2324" max="2324" width="9.33203125" customWidth="1"/>
    <col min="2560" max="2560" width="11.88671875" customWidth="1"/>
    <col min="2561" max="2561" width="8.88671875" customWidth="1"/>
    <col min="2562" max="2562" width="8.88671875" bestFit="1" customWidth="1"/>
    <col min="2563" max="2564" width="6.88671875" customWidth="1"/>
    <col min="2565" max="2565" width="7.33203125" customWidth="1"/>
    <col min="2566" max="2566" width="7.77734375" customWidth="1"/>
    <col min="2567" max="2567" width="7.6640625" customWidth="1"/>
    <col min="2568" max="2568" width="8.88671875" bestFit="1" customWidth="1"/>
    <col min="2569" max="2569" width="8.44140625" bestFit="1" customWidth="1"/>
    <col min="2570" max="2570" width="10.21875" customWidth="1"/>
    <col min="2571" max="2571" width="8.109375" bestFit="1" customWidth="1"/>
    <col min="2572" max="2572" width="8.77734375" customWidth="1"/>
    <col min="2573" max="2573" width="7.21875" customWidth="1"/>
    <col min="2574" max="2575" width="9.109375" customWidth="1"/>
    <col min="2576" max="2577" width="8.88671875" bestFit="1" customWidth="1"/>
    <col min="2578" max="2578" width="8" customWidth="1"/>
    <col min="2579" max="2579" width="9.109375" customWidth="1"/>
    <col min="2580" max="2580" width="9.33203125" customWidth="1"/>
    <col min="2816" max="2816" width="11.88671875" customWidth="1"/>
    <col min="2817" max="2817" width="8.88671875" customWidth="1"/>
    <col min="2818" max="2818" width="8.88671875" bestFit="1" customWidth="1"/>
    <col min="2819" max="2820" width="6.88671875" customWidth="1"/>
    <col min="2821" max="2821" width="7.33203125" customWidth="1"/>
    <col min="2822" max="2822" width="7.77734375" customWidth="1"/>
    <col min="2823" max="2823" width="7.6640625" customWidth="1"/>
    <col min="2824" max="2824" width="8.88671875" bestFit="1" customWidth="1"/>
    <col min="2825" max="2825" width="8.44140625" bestFit="1" customWidth="1"/>
    <col min="2826" max="2826" width="10.21875" customWidth="1"/>
    <col min="2827" max="2827" width="8.109375" bestFit="1" customWidth="1"/>
    <col min="2828" max="2828" width="8.77734375" customWidth="1"/>
    <col min="2829" max="2829" width="7.21875" customWidth="1"/>
    <col min="2830" max="2831" width="9.109375" customWidth="1"/>
    <col min="2832" max="2833" width="8.88671875" bestFit="1" customWidth="1"/>
    <col min="2834" max="2834" width="8" customWidth="1"/>
    <col min="2835" max="2835" width="9.109375" customWidth="1"/>
    <col min="2836" max="2836" width="9.33203125" customWidth="1"/>
    <col min="3072" max="3072" width="11.88671875" customWidth="1"/>
    <col min="3073" max="3073" width="8.88671875" customWidth="1"/>
    <col min="3074" max="3074" width="8.88671875" bestFit="1" customWidth="1"/>
    <col min="3075" max="3076" width="6.88671875" customWidth="1"/>
    <col min="3077" max="3077" width="7.33203125" customWidth="1"/>
    <col min="3078" max="3078" width="7.77734375" customWidth="1"/>
    <col min="3079" max="3079" width="7.6640625" customWidth="1"/>
    <col min="3080" max="3080" width="8.88671875" bestFit="1" customWidth="1"/>
    <col min="3081" max="3081" width="8.44140625" bestFit="1" customWidth="1"/>
    <col min="3082" max="3082" width="10.21875" customWidth="1"/>
    <col min="3083" max="3083" width="8.109375" bestFit="1" customWidth="1"/>
    <col min="3084" max="3084" width="8.77734375" customWidth="1"/>
    <col min="3085" max="3085" width="7.21875" customWidth="1"/>
    <col min="3086" max="3087" width="9.109375" customWidth="1"/>
    <col min="3088" max="3089" width="8.88671875" bestFit="1" customWidth="1"/>
    <col min="3090" max="3090" width="8" customWidth="1"/>
    <col min="3091" max="3091" width="9.109375" customWidth="1"/>
    <col min="3092" max="3092" width="9.33203125" customWidth="1"/>
    <col min="3328" max="3328" width="11.88671875" customWidth="1"/>
    <col min="3329" max="3329" width="8.88671875" customWidth="1"/>
    <col min="3330" max="3330" width="8.88671875" bestFit="1" customWidth="1"/>
    <col min="3331" max="3332" width="6.88671875" customWidth="1"/>
    <col min="3333" max="3333" width="7.33203125" customWidth="1"/>
    <col min="3334" max="3334" width="7.77734375" customWidth="1"/>
    <col min="3335" max="3335" width="7.6640625" customWidth="1"/>
    <col min="3336" max="3336" width="8.88671875" bestFit="1" customWidth="1"/>
    <col min="3337" max="3337" width="8.44140625" bestFit="1" customWidth="1"/>
    <col min="3338" max="3338" width="10.21875" customWidth="1"/>
    <col min="3339" max="3339" width="8.109375" bestFit="1" customWidth="1"/>
    <col min="3340" max="3340" width="8.77734375" customWidth="1"/>
    <col min="3341" max="3341" width="7.21875" customWidth="1"/>
    <col min="3342" max="3343" width="9.109375" customWidth="1"/>
    <col min="3344" max="3345" width="8.88671875" bestFit="1" customWidth="1"/>
    <col min="3346" max="3346" width="8" customWidth="1"/>
    <col min="3347" max="3347" width="9.109375" customWidth="1"/>
    <col min="3348" max="3348" width="9.33203125" customWidth="1"/>
    <col min="3584" max="3584" width="11.88671875" customWidth="1"/>
    <col min="3585" max="3585" width="8.88671875" customWidth="1"/>
    <col min="3586" max="3586" width="8.88671875" bestFit="1" customWidth="1"/>
    <col min="3587" max="3588" width="6.88671875" customWidth="1"/>
    <col min="3589" max="3589" width="7.33203125" customWidth="1"/>
    <col min="3590" max="3590" width="7.77734375" customWidth="1"/>
    <col min="3591" max="3591" width="7.6640625" customWidth="1"/>
    <col min="3592" max="3592" width="8.88671875" bestFit="1" customWidth="1"/>
    <col min="3593" max="3593" width="8.44140625" bestFit="1" customWidth="1"/>
    <col min="3594" max="3594" width="10.21875" customWidth="1"/>
    <col min="3595" max="3595" width="8.109375" bestFit="1" customWidth="1"/>
    <col min="3596" max="3596" width="8.77734375" customWidth="1"/>
    <col min="3597" max="3597" width="7.21875" customWidth="1"/>
    <col min="3598" max="3599" width="9.109375" customWidth="1"/>
    <col min="3600" max="3601" width="8.88671875" bestFit="1" customWidth="1"/>
    <col min="3602" max="3602" width="8" customWidth="1"/>
    <col min="3603" max="3603" width="9.109375" customWidth="1"/>
    <col min="3604" max="3604" width="9.33203125" customWidth="1"/>
    <col min="3840" max="3840" width="11.88671875" customWidth="1"/>
    <col min="3841" max="3841" width="8.88671875" customWidth="1"/>
    <col min="3842" max="3842" width="8.88671875" bestFit="1" customWidth="1"/>
    <col min="3843" max="3844" width="6.88671875" customWidth="1"/>
    <col min="3845" max="3845" width="7.33203125" customWidth="1"/>
    <col min="3846" max="3846" width="7.77734375" customWidth="1"/>
    <col min="3847" max="3847" width="7.6640625" customWidth="1"/>
    <col min="3848" max="3848" width="8.88671875" bestFit="1" customWidth="1"/>
    <col min="3849" max="3849" width="8.44140625" bestFit="1" customWidth="1"/>
    <col min="3850" max="3850" width="10.21875" customWidth="1"/>
    <col min="3851" max="3851" width="8.109375" bestFit="1" customWidth="1"/>
    <col min="3852" max="3852" width="8.77734375" customWidth="1"/>
    <col min="3853" max="3853" width="7.21875" customWidth="1"/>
    <col min="3854" max="3855" width="9.109375" customWidth="1"/>
    <col min="3856" max="3857" width="8.88671875" bestFit="1" customWidth="1"/>
    <col min="3858" max="3858" width="8" customWidth="1"/>
    <col min="3859" max="3859" width="9.109375" customWidth="1"/>
    <col min="3860" max="3860" width="9.33203125" customWidth="1"/>
    <col min="4096" max="4096" width="11.88671875" customWidth="1"/>
    <col min="4097" max="4097" width="8.88671875" customWidth="1"/>
    <col min="4098" max="4098" width="8.88671875" bestFit="1" customWidth="1"/>
    <col min="4099" max="4100" width="6.88671875" customWidth="1"/>
    <col min="4101" max="4101" width="7.33203125" customWidth="1"/>
    <col min="4102" max="4102" width="7.77734375" customWidth="1"/>
    <col min="4103" max="4103" width="7.6640625" customWidth="1"/>
    <col min="4104" max="4104" width="8.88671875" bestFit="1" customWidth="1"/>
    <col min="4105" max="4105" width="8.44140625" bestFit="1" customWidth="1"/>
    <col min="4106" max="4106" width="10.21875" customWidth="1"/>
    <col min="4107" max="4107" width="8.109375" bestFit="1" customWidth="1"/>
    <col min="4108" max="4108" width="8.77734375" customWidth="1"/>
    <col min="4109" max="4109" width="7.21875" customWidth="1"/>
    <col min="4110" max="4111" width="9.109375" customWidth="1"/>
    <col min="4112" max="4113" width="8.88671875" bestFit="1" customWidth="1"/>
    <col min="4114" max="4114" width="8" customWidth="1"/>
    <col min="4115" max="4115" width="9.109375" customWidth="1"/>
    <col min="4116" max="4116" width="9.33203125" customWidth="1"/>
    <col min="4352" max="4352" width="11.88671875" customWidth="1"/>
    <col min="4353" max="4353" width="8.88671875" customWidth="1"/>
    <col min="4354" max="4354" width="8.88671875" bestFit="1" customWidth="1"/>
    <col min="4355" max="4356" width="6.88671875" customWidth="1"/>
    <col min="4357" max="4357" width="7.33203125" customWidth="1"/>
    <col min="4358" max="4358" width="7.77734375" customWidth="1"/>
    <col min="4359" max="4359" width="7.6640625" customWidth="1"/>
    <col min="4360" max="4360" width="8.88671875" bestFit="1" customWidth="1"/>
    <col min="4361" max="4361" width="8.44140625" bestFit="1" customWidth="1"/>
    <col min="4362" max="4362" width="10.21875" customWidth="1"/>
    <col min="4363" max="4363" width="8.109375" bestFit="1" customWidth="1"/>
    <col min="4364" max="4364" width="8.77734375" customWidth="1"/>
    <col min="4365" max="4365" width="7.21875" customWidth="1"/>
    <col min="4366" max="4367" width="9.109375" customWidth="1"/>
    <col min="4368" max="4369" width="8.88671875" bestFit="1" customWidth="1"/>
    <col min="4370" max="4370" width="8" customWidth="1"/>
    <col min="4371" max="4371" width="9.109375" customWidth="1"/>
    <col min="4372" max="4372" width="9.33203125" customWidth="1"/>
    <col min="4608" max="4608" width="11.88671875" customWidth="1"/>
    <col min="4609" max="4609" width="8.88671875" customWidth="1"/>
    <col min="4610" max="4610" width="8.88671875" bestFit="1" customWidth="1"/>
    <col min="4611" max="4612" width="6.88671875" customWidth="1"/>
    <col min="4613" max="4613" width="7.33203125" customWidth="1"/>
    <col min="4614" max="4614" width="7.77734375" customWidth="1"/>
    <col min="4615" max="4615" width="7.6640625" customWidth="1"/>
    <col min="4616" max="4616" width="8.88671875" bestFit="1" customWidth="1"/>
    <col min="4617" max="4617" width="8.44140625" bestFit="1" customWidth="1"/>
    <col min="4618" max="4618" width="10.21875" customWidth="1"/>
    <col min="4619" max="4619" width="8.109375" bestFit="1" customWidth="1"/>
    <col min="4620" max="4620" width="8.77734375" customWidth="1"/>
    <col min="4621" max="4621" width="7.21875" customWidth="1"/>
    <col min="4622" max="4623" width="9.109375" customWidth="1"/>
    <col min="4624" max="4625" width="8.88671875" bestFit="1" customWidth="1"/>
    <col min="4626" max="4626" width="8" customWidth="1"/>
    <col min="4627" max="4627" width="9.109375" customWidth="1"/>
    <col min="4628" max="4628" width="9.33203125" customWidth="1"/>
    <col min="4864" max="4864" width="11.88671875" customWidth="1"/>
    <col min="4865" max="4865" width="8.88671875" customWidth="1"/>
    <col min="4866" max="4866" width="8.88671875" bestFit="1" customWidth="1"/>
    <col min="4867" max="4868" width="6.88671875" customWidth="1"/>
    <col min="4869" max="4869" width="7.33203125" customWidth="1"/>
    <col min="4870" max="4870" width="7.77734375" customWidth="1"/>
    <col min="4871" max="4871" width="7.6640625" customWidth="1"/>
    <col min="4872" max="4872" width="8.88671875" bestFit="1" customWidth="1"/>
    <col min="4873" max="4873" width="8.44140625" bestFit="1" customWidth="1"/>
    <col min="4874" max="4874" width="10.21875" customWidth="1"/>
    <col min="4875" max="4875" width="8.109375" bestFit="1" customWidth="1"/>
    <col min="4876" max="4876" width="8.77734375" customWidth="1"/>
    <col min="4877" max="4877" width="7.21875" customWidth="1"/>
    <col min="4878" max="4879" width="9.109375" customWidth="1"/>
    <col min="4880" max="4881" width="8.88671875" bestFit="1" customWidth="1"/>
    <col min="4882" max="4882" width="8" customWidth="1"/>
    <col min="4883" max="4883" width="9.109375" customWidth="1"/>
    <col min="4884" max="4884" width="9.33203125" customWidth="1"/>
    <col min="5120" max="5120" width="11.88671875" customWidth="1"/>
    <col min="5121" max="5121" width="8.88671875" customWidth="1"/>
    <col min="5122" max="5122" width="8.88671875" bestFit="1" customWidth="1"/>
    <col min="5123" max="5124" width="6.88671875" customWidth="1"/>
    <col min="5125" max="5125" width="7.33203125" customWidth="1"/>
    <col min="5126" max="5126" width="7.77734375" customWidth="1"/>
    <col min="5127" max="5127" width="7.6640625" customWidth="1"/>
    <col min="5128" max="5128" width="8.88671875" bestFit="1" customWidth="1"/>
    <col min="5129" max="5129" width="8.44140625" bestFit="1" customWidth="1"/>
    <col min="5130" max="5130" width="10.21875" customWidth="1"/>
    <col min="5131" max="5131" width="8.109375" bestFit="1" customWidth="1"/>
    <col min="5132" max="5132" width="8.77734375" customWidth="1"/>
    <col min="5133" max="5133" width="7.21875" customWidth="1"/>
    <col min="5134" max="5135" width="9.109375" customWidth="1"/>
    <col min="5136" max="5137" width="8.88671875" bestFit="1" customWidth="1"/>
    <col min="5138" max="5138" width="8" customWidth="1"/>
    <col min="5139" max="5139" width="9.109375" customWidth="1"/>
    <col min="5140" max="5140" width="9.33203125" customWidth="1"/>
    <col min="5376" max="5376" width="11.88671875" customWidth="1"/>
    <col min="5377" max="5377" width="8.88671875" customWidth="1"/>
    <col min="5378" max="5378" width="8.88671875" bestFit="1" customWidth="1"/>
    <col min="5379" max="5380" width="6.88671875" customWidth="1"/>
    <col min="5381" max="5381" width="7.33203125" customWidth="1"/>
    <col min="5382" max="5382" width="7.77734375" customWidth="1"/>
    <col min="5383" max="5383" width="7.6640625" customWidth="1"/>
    <col min="5384" max="5384" width="8.88671875" bestFit="1" customWidth="1"/>
    <col min="5385" max="5385" width="8.44140625" bestFit="1" customWidth="1"/>
    <col min="5386" max="5386" width="10.21875" customWidth="1"/>
    <col min="5387" max="5387" width="8.109375" bestFit="1" customWidth="1"/>
    <col min="5388" max="5388" width="8.77734375" customWidth="1"/>
    <col min="5389" max="5389" width="7.21875" customWidth="1"/>
    <col min="5390" max="5391" width="9.109375" customWidth="1"/>
    <col min="5392" max="5393" width="8.88671875" bestFit="1" customWidth="1"/>
    <col min="5394" max="5394" width="8" customWidth="1"/>
    <col min="5395" max="5395" width="9.109375" customWidth="1"/>
    <col min="5396" max="5396" width="9.33203125" customWidth="1"/>
    <col min="5632" max="5632" width="11.88671875" customWidth="1"/>
    <col min="5633" max="5633" width="8.88671875" customWidth="1"/>
    <col min="5634" max="5634" width="8.88671875" bestFit="1" customWidth="1"/>
    <col min="5635" max="5636" width="6.88671875" customWidth="1"/>
    <col min="5637" max="5637" width="7.33203125" customWidth="1"/>
    <col min="5638" max="5638" width="7.77734375" customWidth="1"/>
    <col min="5639" max="5639" width="7.6640625" customWidth="1"/>
    <col min="5640" max="5640" width="8.88671875" bestFit="1" customWidth="1"/>
    <col min="5641" max="5641" width="8.44140625" bestFit="1" customWidth="1"/>
    <col min="5642" max="5642" width="10.21875" customWidth="1"/>
    <col min="5643" max="5643" width="8.109375" bestFit="1" customWidth="1"/>
    <col min="5644" max="5644" width="8.77734375" customWidth="1"/>
    <col min="5645" max="5645" width="7.21875" customWidth="1"/>
    <col min="5646" max="5647" width="9.109375" customWidth="1"/>
    <col min="5648" max="5649" width="8.88671875" bestFit="1" customWidth="1"/>
    <col min="5650" max="5650" width="8" customWidth="1"/>
    <col min="5651" max="5651" width="9.109375" customWidth="1"/>
    <col min="5652" max="5652" width="9.33203125" customWidth="1"/>
    <col min="5888" max="5888" width="11.88671875" customWidth="1"/>
    <col min="5889" max="5889" width="8.88671875" customWidth="1"/>
    <col min="5890" max="5890" width="8.88671875" bestFit="1" customWidth="1"/>
    <col min="5891" max="5892" width="6.88671875" customWidth="1"/>
    <col min="5893" max="5893" width="7.33203125" customWidth="1"/>
    <col min="5894" max="5894" width="7.77734375" customWidth="1"/>
    <col min="5895" max="5895" width="7.6640625" customWidth="1"/>
    <col min="5896" max="5896" width="8.88671875" bestFit="1" customWidth="1"/>
    <col min="5897" max="5897" width="8.44140625" bestFit="1" customWidth="1"/>
    <col min="5898" max="5898" width="10.21875" customWidth="1"/>
    <col min="5899" max="5899" width="8.109375" bestFit="1" customWidth="1"/>
    <col min="5900" max="5900" width="8.77734375" customWidth="1"/>
    <col min="5901" max="5901" width="7.21875" customWidth="1"/>
    <col min="5902" max="5903" width="9.109375" customWidth="1"/>
    <col min="5904" max="5905" width="8.88671875" bestFit="1" customWidth="1"/>
    <col min="5906" max="5906" width="8" customWidth="1"/>
    <col min="5907" max="5907" width="9.109375" customWidth="1"/>
    <col min="5908" max="5908" width="9.33203125" customWidth="1"/>
    <col min="6144" max="6144" width="11.88671875" customWidth="1"/>
    <col min="6145" max="6145" width="8.88671875" customWidth="1"/>
    <col min="6146" max="6146" width="8.88671875" bestFit="1" customWidth="1"/>
    <col min="6147" max="6148" width="6.88671875" customWidth="1"/>
    <col min="6149" max="6149" width="7.33203125" customWidth="1"/>
    <col min="6150" max="6150" width="7.77734375" customWidth="1"/>
    <col min="6151" max="6151" width="7.6640625" customWidth="1"/>
    <col min="6152" max="6152" width="8.88671875" bestFit="1" customWidth="1"/>
    <col min="6153" max="6153" width="8.44140625" bestFit="1" customWidth="1"/>
    <col min="6154" max="6154" width="10.21875" customWidth="1"/>
    <col min="6155" max="6155" width="8.109375" bestFit="1" customWidth="1"/>
    <col min="6156" max="6156" width="8.77734375" customWidth="1"/>
    <col min="6157" max="6157" width="7.21875" customWidth="1"/>
    <col min="6158" max="6159" width="9.109375" customWidth="1"/>
    <col min="6160" max="6161" width="8.88671875" bestFit="1" customWidth="1"/>
    <col min="6162" max="6162" width="8" customWidth="1"/>
    <col min="6163" max="6163" width="9.109375" customWidth="1"/>
    <col min="6164" max="6164" width="9.33203125" customWidth="1"/>
    <col min="6400" max="6400" width="11.88671875" customWidth="1"/>
    <col min="6401" max="6401" width="8.88671875" customWidth="1"/>
    <col min="6402" max="6402" width="8.88671875" bestFit="1" customWidth="1"/>
    <col min="6403" max="6404" width="6.88671875" customWidth="1"/>
    <col min="6405" max="6405" width="7.33203125" customWidth="1"/>
    <col min="6406" max="6406" width="7.77734375" customWidth="1"/>
    <col min="6407" max="6407" width="7.6640625" customWidth="1"/>
    <col min="6408" max="6408" width="8.88671875" bestFit="1" customWidth="1"/>
    <col min="6409" max="6409" width="8.44140625" bestFit="1" customWidth="1"/>
    <col min="6410" max="6410" width="10.21875" customWidth="1"/>
    <col min="6411" max="6411" width="8.109375" bestFit="1" customWidth="1"/>
    <col min="6412" max="6412" width="8.77734375" customWidth="1"/>
    <col min="6413" max="6413" width="7.21875" customWidth="1"/>
    <col min="6414" max="6415" width="9.109375" customWidth="1"/>
    <col min="6416" max="6417" width="8.88671875" bestFit="1" customWidth="1"/>
    <col min="6418" max="6418" width="8" customWidth="1"/>
    <col min="6419" max="6419" width="9.109375" customWidth="1"/>
    <col min="6420" max="6420" width="9.33203125" customWidth="1"/>
    <col min="6656" max="6656" width="11.88671875" customWidth="1"/>
    <col min="6657" max="6657" width="8.88671875" customWidth="1"/>
    <col min="6658" max="6658" width="8.88671875" bestFit="1" customWidth="1"/>
    <col min="6659" max="6660" width="6.88671875" customWidth="1"/>
    <col min="6661" max="6661" width="7.33203125" customWidth="1"/>
    <col min="6662" max="6662" width="7.77734375" customWidth="1"/>
    <col min="6663" max="6663" width="7.6640625" customWidth="1"/>
    <col min="6664" max="6664" width="8.88671875" bestFit="1" customWidth="1"/>
    <col min="6665" max="6665" width="8.44140625" bestFit="1" customWidth="1"/>
    <col min="6666" max="6666" width="10.21875" customWidth="1"/>
    <col min="6667" max="6667" width="8.109375" bestFit="1" customWidth="1"/>
    <col min="6668" max="6668" width="8.77734375" customWidth="1"/>
    <col min="6669" max="6669" width="7.21875" customWidth="1"/>
    <col min="6670" max="6671" width="9.109375" customWidth="1"/>
    <col min="6672" max="6673" width="8.88671875" bestFit="1" customWidth="1"/>
    <col min="6674" max="6674" width="8" customWidth="1"/>
    <col min="6675" max="6675" width="9.109375" customWidth="1"/>
    <col min="6676" max="6676" width="9.33203125" customWidth="1"/>
    <col min="6912" max="6912" width="11.88671875" customWidth="1"/>
    <col min="6913" max="6913" width="8.88671875" customWidth="1"/>
    <col min="6914" max="6914" width="8.88671875" bestFit="1" customWidth="1"/>
    <col min="6915" max="6916" width="6.88671875" customWidth="1"/>
    <col min="6917" max="6917" width="7.33203125" customWidth="1"/>
    <col min="6918" max="6918" width="7.77734375" customWidth="1"/>
    <col min="6919" max="6919" width="7.6640625" customWidth="1"/>
    <col min="6920" max="6920" width="8.88671875" bestFit="1" customWidth="1"/>
    <col min="6921" max="6921" width="8.44140625" bestFit="1" customWidth="1"/>
    <col min="6922" max="6922" width="10.21875" customWidth="1"/>
    <col min="6923" max="6923" width="8.109375" bestFit="1" customWidth="1"/>
    <col min="6924" max="6924" width="8.77734375" customWidth="1"/>
    <col min="6925" max="6925" width="7.21875" customWidth="1"/>
    <col min="6926" max="6927" width="9.109375" customWidth="1"/>
    <col min="6928" max="6929" width="8.88671875" bestFit="1" customWidth="1"/>
    <col min="6930" max="6930" width="8" customWidth="1"/>
    <col min="6931" max="6931" width="9.109375" customWidth="1"/>
    <col min="6932" max="6932" width="9.33203125" customWidth="1"/>
    <col min="7168" max="7168" width="11.88671875" customWidth="1"/>
    <col min="7169" max="7169" width="8.88671875" customWidth="1"/>
    <col min="7170" max="7170" width="8.88671875" bestFit="1" customWidth="1"/>
    <col min="7171" max="7172" width="6.88671875" customWidth="1"/>
    <col min="7173" max="7173" width="7.33203125" customWidth="1"/>
    <col min="7174" max="7174" width="7.77734375" customWidth="1"/>
    <col min="7175" max="7175" width="7.6640625" customWidth="1"/>
    <col min="7176" max="7176" width="8.88671875" bestFit="1" customWidth="1"/>
    <col min="7177" max="7177" width="8.44140625" bestFit="1" customWidth="1"/>
    <col min="7178" max="7178" width="10.21875" customWidth="1"/>
    <col min="7179" max="7179" width="8.109375" bestFit="1" customWidth="1"/>
    <col min="7180" max="7180" width="8.77734375" customWidth="1"/>
    <col min="7181" max="7181" width="7.21875" customWidth="1"/>
    <col min="7182" max="7183" width="9.109375" customWidth="1"/>
    <col min="7184" max="7185" width="8.88671875" bestFit="1" customWidth="1"/>
    <col min="7186" max="7186" width="8" customWidth="1"/>
    <col min="7187" max="7187" width="9.109375" customWidth="1"/>
    <col min="7188" max="7188" width="9.33203125" customWidth="1"/>
    <col min="7424" max="7424" width="11.88671875" customWidth="1"/>
    <col min="7425" max="7425" width="8.88671875" customWidth="1"/>
    <col min="7426" max="7426" width="8.88671875" bestFit="1" customWidth="1"/>
    <col min="7427" max="7428" width="6.88671875" customWidth="1"/>
    <col min="7429" max="7429" width="7.33203125" customWidth="1"/>
    <col min="7430" max="7430" width="7.77734375" customWidth="1"/>
    <col min="7431" max="7431" width="7.6640625" customWidth="1"/>
    <col min="7432" max="7432" width="8.88671875" bestFit="1" customWidth="1"/>
    <col min="7433" max="7433" width="8.44140625" bestFit="1" customWidth="1"/>
    <col min="7434" max="7434" width="10.21875" customWidth="1"/>
    <col min="7435" max="7435" width="8.109375" bestFit="1" customWidth="1"/>
    <col min="7436" max="7436" width="8.77734375" customWidth="1"/>
    <col min="7437" max="7437" width="7.21875" customWidth="1"/>
    <col min="7438" max="7439" width="9.109375" customWidth="1"/>
    <col min="7440" max="7441" width="8.88671875" bestFit="1" customWidth="1"/>
    <col min="7442" max="7442" width="8" customWidth="1"/>
    <col min="7443" max="7443" width="9.109375" customWidth="1"/>
    <col min="7444" max="7444" width="9.33203125" customWidth="1"/>
    <col min="7680" max="7680" width="11.88671875" customWidth="1"/>
    <col min="7681" max="7681" width="8.88671875" customWidth="1"/>
    <col min="7682" max="7682" width="8.88671875" bestFit="1" customWidth="1"/>
    <col min="7683" max="7684" width="6.88671875" customWidth="1"/>
    <col min="7685" max="7685" width="7.33203125" customWidth="1"/>
    <col min="7686" max="7686" width="7.77734375" customWidth="1"/>
    <col min="7687" max="7687" width="7.6640625" customWidth="1"/>
    <col min="7688" max="7688" width="8.88671875" bestFit="1" customWidth="1"/>
    <col min="7689" max="7689" width="8.44140625" bestFit="1" customWidth="1"/>
    <col min="7690" max="7690" width="10.21875" customWidth="1"/>
    <col min="7691" max="7691" width="8.109375" bestFit="1" customWidth="1"/>
    <col min="7692" max="7692" width="8.77734375" customWidth="1"/>
    <col min="7693" max="7693" width="7.21875" customWidth="1"/>
    <col min="7694" max="7695" width="9.109375" customWidth="1"/>
    <col min="7696" max="7697" width="8.88671875" bestFit="1" customWidth="1"/>
    <col min="7698" max="7698" width="8" customWidth="1"/>
    <col min="7699" max="7699" width="9.109375" customWidth="1"/>
    <col min="7700" max="7700" width="9.33203125" customWidth="1"/>
    <col min="7936" max="7936" width="11.88671875" customWidth="1"/>
    <col min="7937" max="7937" width="8.88671875" customWidth="1"/>
    <col min="7938" max="7938" width="8.88671875" bestFit="1" customWidth="1"/>
    <col min="7939" max="7940" width="6.88671875" customWidth="1"/>
    <col min="7941" max="7941" width="7.33203125" customWidth="1"/>
    <col min="7942" max="7942" width="7.77734375" customWidth="1"/>
    <col min="7943" max="7943" width="7.6640625" customWidth="1"/>
    <col min="7944" max="7944" width="8.88671875" bestFit="1" customWidth="1"/>
    <col min="7945" max="7945" width="8.44140625" bestFit="1" customWidth="1"/>
    <col min="7946" max="7946" width="10.21875" customWidth="1"/>
    <col min="7947" max="7947" width="8.109375" bestFit="1" customWidth="1"/>
    <col min="7948" max="7948" width="8.77734375" customWidth="1"/>
    <col min="7949" max="7949" width="7.21875" customWidth="1"/>
    <col min="7950" max="7951" width="9.109375" customWidth="1"/>
    <col min="7952" max="7953" width="8.88671875" bestFit="1" customWidth="1"/>
    <col min="7954" max="7954" width="8" customWidth="1"/>
    <col min="7955" max="7955" width="9.109375" customWidth="1"/>
    <col min="7956" max="7956" width="9.33203125" customWidth="1"/>
    <col min="8192" max="8192" width="11.88671875" customWidth="1"/>
    <col min="8193" max="8193" width="8.88671875" customWidth="1"/>
    <col min="8194" max="8194" width="8.88671875" bestFit="1" customWidth="1"/>
    <col min="8195" max="8196" width="6.88671875" customWidth="1"/>
    <col min="8197" max="8197" width="7.33203125" customWidth="1"/>
    <col min="8198" max="8198" width="7.77734375" customWidth="1"/>
    <col min="8199" max="8199" width="7.6640625" customWidth="1"/>
    <col min="8200" max="8200" width="8.88671875" bestFit="1" customWidth="1"/>
    <col min="8201" max="8201" width="8.44140625" bestFit="1" customWidth="1"/>
    <col min="8202" max="8202" width="10.21875" customWidth="1"/>
    <col min="8203" max="8203" width="8.109375" bestFit="1" customWidth="1"/>
    <col min="8204" max="8204" width="8.77734375" customWidth="1"/>
    <col min="8205" max="8205" width="7.21875" customWidth="1"/>
    <col min="8206" max="8207" width="9.109375" customWidth="1"/>
    <col min="8208" max="8209" width="8.88671875" bestFit="1" customWidth="1"/>
    <col min="8210" max="8210" width="8" customWidth="1"/>
    <col min="8211" max="8211" width="9.109375" customWidth="1"/>
    <col min="8212" max="8212" width="9.33203125" customWidth="1"/>
    <col min="8448" max="8448" width="11.88671875" customWidth="1"/>
    <col min="8449" max="8449" width="8.88671875" customWidth="1"/>
    <col min="8450" max="8450" width="8.88671875" bestFit="1" customWidth="1"/>
    <col min="8451" max="8452" width="6.88671875" customWidth="1"/>
    <col min="8453" max="8453" width="7.33203125" customWidth="1"/>
    <col min="8454" max="8454" width="7.77734375" customWidth="1"/>
    <col min="8455" max="8455" width="7.6640625" customWidth="1"/>
    <col min="8456" max="8456" width="8.88671875" bestFit="1" customWidth="1"/>
    <col min="8457" max="8457" width="8.44140625" bestFit="1" customWidth="1"/>
    <col min="8458" max="8458" width="10.21875" customWidth="1"/>
    <col min="8459" max="8459" width="8.109375" bestFit="1" customWidth="1"/>
    <col min="8460" max="8460" width="8.77734375" customWidth="1"/>
    <col min="8461" max="8461" width="7.21875" customWidth="1"/>
    <col min="8462" max="8463" width="9.109375" customWidth="1"/>
    <col min="8464" max="8465" width="8.88671875" bestFit="1" customWidth="1"/>
    <col min="8466" max="8466" width="8" customWidth="1"/>
    <col min="8467" max="8467" width="9.109375" customWidth="1"/>
    <col min="8468" max="8468" width="9.33203125" customWidth="1"/>
    <col min="8704" max="8704" width="11.88671875" customWidth="1"/>
    <col min="8705" max="8705" width="8.88671875" customWidth="1"/>
    <col min="8706" max="8706" width="8.88671875" bestFit="1" customWidth="1"/>
    <col min="8707" max="8708" width="6.88671875" customWidth="1"/>
    <col min="8709" max="8709" width="7.33203125" customWidth="1"/>
    <col min="8710" max="8710" width="7.77734375" customWidth="1"/>
    <col min="8711" max="8711" width="7.6640625" customWidth="1"/>
    <col min="8712" max="8712" width="8.88671875" bestFit="1" customWidth="1"/>
    <col min="8713" max="8713" width="8.44140625" bestFit="1" customWidth="1"/>
    <col min="8714" max="8714" width="10.21875" customWidth="1"/>
    <col min="8715" max="8715" width="8.109375" bestFit="1" customWidth="1"/>
    <col min="8716" max="8716" width="8.77734375" customWidth="1"/>
    <col min="8717" max="8717" width="7.21875" customWidth="1"/>
    <col min="8718" max="8719" width="9.109375" customWidth="1"/>
    <col min="8720" max="8721" width="8.88671875" bestFit="1" customWidth="1"/>
    <col min="8722" max="8722" width="8" customWidth="1"/>
    <col min="8723" max="8723" width="9.109375" customWidth="1"/>
    <col min="8724" max="8724" width="9.33203125" customWidth="1"/>
    <col min="8960" max="8960" width="11.88671875" customWidth="1"/>
    <col min="8961" max="8961" width="8.88671875" customWidth="1"/>
    <col min="8962" max="8962" width="8.88671875" bestFit="1" customWidth="1"/>
    <col min="8963" max="8964" width="6.88671875" customWidth="1"/>
    <col min="8965" max="8965" width="7.33203125" customWidth="1"/>
    <col min="8966" max="8966" width="7.77734375" customWidth="1"/>
    <col min="8967" max="8967" width="7.6640625" customWidth="1"/>
    <col min="8968" max="8968" width="8.88671875" bestFit="1" customWidth="1"/>
    <col min="8969" max="8969" width="8.44140625" bestFit="1" customWidth="1"/>
    <col min="8970" max="8970" width="10.21875" customWidth="1"/>
    <col min="8971" max="8971" width="8.109375" bestFit="1" customWidth="1"/>
    <col min="8972" max="8972" width="8.77734375" customWidth="1"/>
    <col min="8973" max="8973" width="7.21875" customWidth="1"/>
    <col min="8974" max="8975" width="9.109375" customWidth="1"/>
    <col min="8976" max="8977" width="8.88671875" bestFit="1" customWidth="1"/>
    <col min="8978" max="8978" width="8" customWidth="1"/>
    <col min="8979" max="8979" width="9.109375" customWidth="1"/>
    <col min="8980" max="8980" width="9.33203125" customWidth="1"/>
    <col min="9216" max="9216" width="11.88671875" customWidth="1"/>
    <col min="9217" max="9217" width="8.88671875" customWidth="1"/>
    <col min="9218" max="9218" width="8.88671875" bestFit="1" customWidth="1"/>
    <col min="9219" max="9220" width="6.88671875" customWidth="1"/>
    <col min="9221" max="9221" width="7.33203125" customWidth="1"/>
    <col min="9222" max="9222" width="7.77734375" customWidth="1"/>
    <col min="9223" max="9223" width="7.6640625" customWidth="1"/>
    <col min="9224" max="9224" width="8.88671875" bestFit="1" customWidth="1"/>
    <col min="9225" max="9225" width="8.44140625" bestFit="1" customWidth="1"/>
    <col min="9226" max="9226" width="10.21875" customWidth="1"/>
    <col min="9227" max="9227" width="8.109375" bestFit="1" customWidth="1"/>
    <col min="9228" max="9228" width="8.77734375" customWidth="1"/>
    <col min="9229" max="9229" width="7.21875" customWidth="1"/>
    <col min="9230" max="9231" width="9.109375" customWidth="1"/>
    <col min="9232" max="9233" width="8.88671875" bestFit="1" customWidth="1"/>
    <col min="9234" max="9234" width="8" customWidth="1"/>
    <col min="9235" max="9235" width="9.109375" customWidth="1"/>
    <col min="9236" max="9236" width="9.33203125" customWidth="1"/>
    <col min="9472" max="9472" width="11.88671875" customWidth="1"/>
    <col min="9473" max="9473" width="8.88671875" customWidth="1"/>
    <col min="9474" max="9474" width="8.88671875" bestFit="1" customWidth="1"/>
    <col min="9475" max="9476" width="6.88671875" customWidth="1"/>
    <col min="9477" max="9477" width="7.33203125" customWidth="1"/>
    <col min="9478" max="9478" width="7.77734375" customWidth="1"/>
    <col min="9479" max="9479" width="7.6640625" customWidth="1"/>
    <col min="9480" max="9480" width="8.88671875" bestFit="1" customWidth="1"/>
    <col min="9481" max="9481" width="8.44140625" bestFit="1" customWidth="1"/>
    <col min="9482" max="9482" width="10.21875" customWidth="1"/>
    <col min="9483" max="9483" width="8.109375" bestFit="1" customWidth="1"/>
    <col min="9484" max="9484" width="8.77734375" customWidth="1"/>
    <col min="9485" max="9485" width="7.21875" customWidth="1"/>
    <col min="9486" max="9487" width="9.109375" customWidth="1"/>
    <col min="9488" max="9489" width="8.88671875" bestFit="1" customWidth="1"/>
    <col min="9490" max="9490" width="8" customWidth="1"/>
    <col min="9491" max="9491" width="9.109375" customWidth="1"/>
    <col min="9492" max="9492" width="9.33203125" customWidth="1"/>
    <col min="9728" max="9728" width="11.88671875" customWidth="1"/>
    <col min="9729" max="9729" width="8.88671875" customWidth="1"/>
    <col min="9730" max="9730" width="8.88671875" bestFit="1" customWidth="1"/>
    <col min="9731" max="9732" width="6.88671875" customWidth="1"/>
    <col min="9733" max="9733" width="7.33203125" customWidth="1"/>
    <col min="9734" max="9734" width="7.77734375" customWidth="1"/>
    <col min="9735" max="9735" width="7.6640625" customWidth="1"/>
    <col min="9736" max="9736" width="8.88671875" bestFit="1" customWidth="1"/>
    <col min="9737" max="9737" width="8.44140625" bestFit="1" customWidth="1"/>
    <col min="9738" max="9738" width="10.21875" customWidth="1"/>
    <col min="9739" max="9739" width="8.109375" bestFit="1" customWidth="1"/>
    <col min="9740" max="9740" width="8.77734375" customWidth="1"/>
    <col min="9741" max="9741" width="7.21875" customWidth="1"/>
    <col min="9742" max="9743" width="9.109375" customWidth="1"/>
    <col min="9744" max="9745" width="8.88671875" bestFit="1" customWidth="1"/>
    <col min="9746" max="9746" width="8" customWidth="1"/>
    <col min="9747" max="9747" width="9.109375" customWidth="1"/>
    <col min="9748" max="9748" width="9.33203125" customWidth="1"/>
    <col min="9984" max="9984" width="11.88671875" customWidth="1"/>
    <col min="9985" max="9985" width="8.88671875" customWidth="1"/>
    <col min="9986" max="9986" width="8.88671875" bestFit="1" customWidth="1"/>
    <col min="9987" max="9988" width="6.88671875" customWidth="1"/>
    <col min="9989" max="9989" width="7.33203125" customWidth="1"/>
    <col min="9990" max="9990" width="7.77734375" customWidth="1"/>
    <col min="9991" max="9991" width="7.6640625" customWidth="1"/>
    <col min="9992" max="9992" width="8.88671875" bestFit="1" customWidth="1"/>
    <col min="9993" max="9993" width="8.44140625" bestFit="1" customWidth="1"/>
    <col min="9994" max="9994" width="10.21875" customWidth="1"/>
    <col min="9995" max="9995" width="8.109375" bestFit="1" customWidth="1"/>
    <col min="9996" max="9996" width="8.77734375" customWidth="1"/>
    <col min="9997" max="9997" width="7.21875" customWidth="1"/>
    <col min="9998" max="9999" width="9.109375" customWidth="1"/>
    <col min="10000" max="10001" width="8.88671875" bestFit="1" customWidth="1"/>
    <col min="10002" max="10002" width="8" customWidth="1"/>
    <col min="10003" max="10003" width="9.109375" customWidth="1"/>
    <col min="10004" max="10004" width="9.33203125" customWidth="1"/>
    <col min="10240" max="10240" width="11.88671875" customWidth="1"/>
    <col min="10241" max="10241" width="8.88671875" customWidth="1"/>
    <col min="10242" max="10242" width="8.88671875" bestFit="1" customWidth="1"/>
    <col min="10243" max="10244" width="6.88671875" customWidth="1"/>
    <col min="10245" max="10245" width="7.33203125" customWidth="1"/>
    <col min="10246" max="10246" width="7.77734375" customWidth="1"/>
    <col min="10247" max="10247" width="7.6640625" customWidth="1"/>
    <col min="10248" max="10248" width="8.88671875" bestFit="1" customWidth="1"/>
    <col min="10249" max="10249" width="8.44140625" bestFit="1" customWidth="1"/>
    <col min="10250" max="10250" width="10.21875" customWidth="1"/>
    <col min="10251" max="10251" width="8.109375" bestFit="1" customWidth="1"/>
    <col min="10252" max="10252" width="8.77734375" customWidth="1"/>
    <col min="10253" max="10253" width="7.21875" customWidth="1"/>
    <col min="10254" max="10255" width="9.109375" customWidth="1"/>
    <col min="10256" max="10257" width="8.88671875" bestFit="1" customWidth="1"/>
    <col min="10258" max="10258" width="8" customWidth="1"/>
    <col min="10259" max="10259" width="9.109375" customWidth="1"/>
    <col min="10260" max="10260" width="9.33203125" customWidth="1"/>
    <col min="10496" max="10496" width="11.88671875" customWidth="1"/>
    <col min="10497" max="10497" width="8.88671875" customWidth="1"/>
    <col min="10498" max="10498" width="8.88671875" bestFit="1" customWidth="1"/>
    <col min="10499" max="10500" width="6.88671875" customWidth="1"/>
    <col min="10501" max="10501" width="7.33203125" customWidth="1"/>
    <col min="10502" max="10502" width="7.77734375" customWidth="1"/>
    <col min="10503" max="10503" width="7.6640625" customWidth="1"/>
    <col min="10504" max="10504" width="8.88671875" bestFit="1" customWidth="1"/>
    <col min="10505" max="10505" width="8.44140625" bestFit="1" customWidth="1"/>
    <col min="10506" max="10506" width="10.21875" customWidth="1"/>
    <col min="10507" max="10507" width="8.109375" bestFit="1" customWidth="1"/>
    <col min="10508" max="10508" width="8.77734375" customWidth="1"/>
    <col min="10509" max="10509" width="7.21875" customWidth="1"/>
    <col min="10510" max="10511" width="9.109375" customWidth="1"/>
    <col min="10512" max="10513" width="8.88671875" bestFit="1" customWidth="1"/>
    <col min="10514" max="10514" width="8" customWidth="1"/>
    <col min="10515" max="10515" width="9.109375" customWidth="1"/>
    <col min="10516" max="10516" width="9.33203125" customWidth="1"/>
    <col min="10752" max="10752" width="11.88671875" customWidth="1"/>
    <col min="10753" max="10753" width="8.88671875" customWidth="1"/>
    <col min="10754" max="10754" width="8.88671875" bestFit="1" customWidth="1"/>
    <col min="10755" max="10756" width="6.88671875" customWidth="1"/>
    <col min="10757" max="10757" width="7.33203125" customWidth="1"/>
    <col min="10758" max="10758" width="7.77734375" customWidth="1"/>
    <col min="10759" max="10759" width="7.6640625" customWidth="1"/>
    <col min="10760" max="10760" width="8.88671875" bestFit="1" customWidth="1"/>
    <col min="10761" max="10761" width="8.44140625" bestFit="1" customWidth="1"/>
    <col min="10762" max="10762" width="10.21875" customWidth="1"/>
    <col min="10763" max="10763" width="8.109375" bestFit="1" customWidth="1"/>
    <col min="10764" max="10764" width="8.77734375" customWidth="1"/>
    <col min="10765" max="10765" width="7.21875" customWidth="1"/>
    <col min="10766" max="10767" width="9.109375" customWidth="1"/>
    <col min="10768" max="10769" width="8.88671875" bestFit="1" customWidth="1"/>
    <col min="10770" max="10770" width="8" customWidth="1"/>
    <col min="10771" max="10771" width="9.109375" customWidth="1"/>
    <col min="10772" max="10772" width="9.33203125" customWidth="1"/>
    <col min="11008" max="11008" width="11.88671875" customWidth="1"/>
    <col min="11009" max="11009" width="8.88671875" customWidth="1"/>
    <col min="11010" max="11010" width="8.88671875" bestFit="1" customWidth="1"/>
    <col min="11011" max="11012" width="6.88671875" customWidth="1"/>
    <col min="11013" max="11013" width="7.33203125" customWidth="1"/>
    <col min="11014" max="11014" width="7.77734375" customWidth="1"/>
    <col min="11015" max="11015" width="7.6640625" customWidth="1"/>
    <col min="11016" max="11016" width="8.88671875" bestFit="1" customWidth="1"/>
    <col min="11017" max="11017" width="8.44140625" bestFit="1" customWidth="1"/>
    <col min="11018" max="11018" width="10.21875" customWidth="1"/>
    <col min="11019" max="11019" width="8.109375" bestFit="1" customWidth="1"/>
    <col min="11020" max="11020" width="8.77734375" customWidth="1"/>
    <col min="11021" max="11021" width="7.21875" customWidth="1"/>
    <col min="11022" max="11023" width="9.109375" customWidth="1"/>
    <col min="11024" max="11025" width="8.88671875" bestFit="1" customWidth="1"/>
    <col min="11026" max="11026" width="8" customWidth="1"/>
    <col min="11027" max="11027" width="9.109375" customWidth="1"/>
    <col min="11028" max="11028" width="9.33203125" customWidth="1"/>
    <col min="11264" max="11264" width="11.88671875" customWidth="1"/>
    <col min="11265" max="11265" width="8.88671875" customWidth="1"/>
    <col min="11266" max="11266" width="8.88671875" bestFit="1" customWidth="1"/>
    <col min="11267" max="11268" width="6.88671875" customWidth="1"/>
    <col min="11269" max="11269" width="7.33203125" customWidth="1"/>
    <col min="11270" max="11270" width="7.77734375" customWidth="1"/>
    <col min="11271" max="11271" width="7.6640625" customWidth="1"/>
    <col min="11272" max="11272" width="8.88671875" bestFit="1" customWidth="1"/>
    <col min="11273" max="11273" width="8.44140625" bestFit="1" customWidth="1"/>
    <col min="11274" max="11274" width="10.21875" customWidth="1"/>
    <col min="11275" max="11275" width="8.109375" bestFit="1" customWidth="1"/>
    <col min="11276" max="11276" width="8.77734375" customWidth="1"/>
    <col min="11277" max="11277" width="7.21875" customWidth="1"/>
    <col min="11278" max="11279" width="9.109375" customWidth="1"/>
    <col min="11280" max="11281" width="8.88671875" bestFit="1" customWidth="1"/>
    <col min="11282" max="11282" width="8" customWidth="1"/>
    <col min="11283" max="11283" width="9.109375" customWidth="1"/>
    <col min="11284" max="11284" width="9.33203125" customWidth="1"/>
    <col min="11520" max="11520" width="11.88671875" customWidth="1"/>
    <col min="11521" max="11521" width="8.88671875" customWidth="1"/>
    <col min="11522" max="11522" width="8.88671875" bestFit="1" customWidth="1"/>
    <col min="11523" max="11524" width="6.88671875" customWidth="1"/>
    <col min="11525" max="11525" width="7.33203125" customWidth="1"/>
    <col min="11526" max="11526" width="7.77734375" customWidth="1"/>
    <col min="11527" max="11527" width="7.6640625" customWidth="1"/>
    <col min="11528" max="11528" width="8.88671875" bestFit="1" customWidth="1"/>
    <col min="11529" max="11529" width="8.44140625" bestFit="1" customWidth="1"/>
    <col min="11530" max="11530" width="10.21875" customWidth="1"/>
    <col min="11531" max="11531" width="8.109375" bestFit="1" customWidth="1"/>
    <col min="11532" max="11532" width="8.77734375" customWidth="1"/>
    <col min="11533" max="11533" width="7.21875" customWidth="1"/>
    <col min="11534" max="11535" width="9.109375" customWidth="1"/>
    <col min="11536" max="11537" width="8.88671875" bestFit="1" customWidth="1"/>
    <col min="11538" max="11538" width="8" customWidth="1"/>
    <col min="11539" max="11539" width="9.109375" customWidth="1"/>
    <col min="11540" max="11540" width="9.33203125" customWidth="1"/>
    <col min="11776" max="11776" width="11.88671875" customWidth="1"/>
    <col min="11777" max="11777" width="8.88671875" customWidth="1"/>
    <col min="11778" max="11778" width="8.88671875" bestFit="1" customWidth="1"/>
    <col min="11779" max="11780" width="6.88671875" customWidth="1"/>
    <col min="11781" max="11781" width="7.33203125" customWidth="1"/>
    <col min="11782" max="11782" width="7.77734375" customWidth="1"/>
    <col min="11783" max="11783" width="7.6640625" customWidth="1"/>
    <col min="11784" max="11784" width="8.88671875" bestFit="1" customWidth="1"/>
    <col min="11785" max="11785" width="8.44140625" bestFit="1" customWidth="1"/>
    <col min="11786" max="11786" width="10.21875" customWidth="1"/>
    <col min="11787" max="11787" width="8.109375" bestFit="1" customWidth="1"/>
    <col min="11788" max="11788" width="8.77734375" customWidth="1"/>
    <col min="11789" max="11789" width="7.21875" customWidth="1"/>
    <col min="11790" max="11791" width="9.109375" customWidth="1"/>
    <col min="11792" max="11793" width="8.88671875" bestFit="1" customWidth="1"/>
    <col min="11794" max="11794" width="8" customWidth="1"/>
    <col min="11795" max="11795" width="9.109375" customWidth="1"/>
    <col min="11796" max="11796" width="9.33203125" customWidth="1"/>
    <col min="12032" max="12032" width="11.88671875" customWidth="1"/>
    <col min="12033" max="12033" width="8.88671875" customWidth="1"/>
    <col min="12034" max="12034" width="8.88671875" bestFit="1" customWidth="1"/>
    <col min="12035" max="12036" width="6.88671875" customWidth="1"/>
    <col min="12037" max="12037" width="7.33203125" customWidth="1"/>
    <col min="12038" max="12038" width="7.77734375" customWidth="1"/>
    <col min="12039" max="12039" width="7.6640625" customWidth="1"/>
    <col min="12040" max="12040" width="8.88671875" bestFit="1" customWidth="1"/>
    <col min="12041" max="12041" width="8.44140625" bestFit="1" customWidth="1"/>
    <col min="12042" max="12042" width="10.21875" customWidth="1"/>
    <col min="12043" max="12043" width="8.109375" bestFit="1" customWidth="1"/>
    <col min="12044" max="12044" width="8.77734375" customWidth="1"/>
    <col min="12045" max="12045" width="7.21875" customWidth="1"/>
    <col min="12046" max="12047" width="9.109375" customWidth="1"/>
    <col min="12048" max="12049" width="8.88671875" bestFit="1" customWidth="1"/>
    <col min="12050" max="12050" width="8" customWidth="1"/>
    <col min="12051" max="12051" width="9.109375" customWidth="1"/>
    <col min="12052" max="12052" width="9.33203125" customWidth="1"/>
    <col min="12288" max="12288" width="11.88671875" customWidth="1"/>
    <col min="12289" max="12289" width="8.88671875" customWidth="1"/>
    <col min="12290" max="12290" width="8.88671875" bestFit="1" customWidth="1"/>
    <col min="12291" max="12292" width="6.88671875" customWidth="1"/>
    <col min="12293" max="12293" width="7.33203125" customWidth="1"/>
    <col min="12294" max="12294" width="7.77734375" customWidth="1"/>
    <col min="12295" max="12295" width="7.6640625" customWidth="1"/>
    <col min="12296" max="12296" width="8.88671875" bestFit="1" customWidth="1"/>
    <col min="12297" max="12297" width="8.44140625" bestFit="1" customWidth="1"/>
    <col min="12298" max="12298" width="10.21875" customWidth="1"/>
    <col min="12299" max="12299" width="8.109375" bestFit="1" customWidth="1"/>
    <col min="12300" max="12300" width="8.77734375" customWidth="1"/>
    <col min="12301" max="12301" width="7.21875" customWidth="1"/>
    <col min="12302" max="12303" width="9.109375" customWidth="1"/>
    <col min="12304" max="12305" width="8.88671875" bestFit="1" customWidth="1"/>
    <col min="12306" max="12306" width="8" customWidth="1"/>
    <col min="12307" max="12307" width="9.109375" customWidth="1"/>
    <col min="12308" max="12308" width="9.33203125" customWidth="1"/>
    <col min="12544" max="12544" width="11.88671875" customWidth="1"/>
    <col min="12545" max="12545" width="8.88671875" customWidth="1"/>
    <col min="12546" max="12546" width="8.88671875" bestFit="1" customWidth="1"/>
    <col min="12547" max="12548" width="6.88671875" customWidth="1"/>
    <col min="12549" max="12549" width="7.33203125" customWidth="1"/>
    <col min="12550" max="12550" width="7.77734375" customWidth="1"/>
    <col min="12551" max="12551" width="7.6640625" customWidth="1"/>
    <col min="12552" max="12552" width="8.88671875" bestFit="1" customWidth="1"/>
    <col min="12553" max="12553" width="8.44140625" bestFit="1" customWidth="1"/>
    <col min="12554" max="12554" width="10.21875" customWidth="1"/>
    <col min="12555" max="12555" width="8.109375" bestFit="1" customWidth="1"/>
    <col min="12556" max="12556" width="8.77734375" customWidth="1"/>
    <col min="12557" max="12557" width="7.21875" customWidth="1"/>
    <col min="12558" max="12559" width="9.109375" customWidth="1"/>
    <col min="12560" max="12561" width="8.88671875" bestFit="1" customWidth="1"/>
    <col min="12562" max="12562" width="8" customWidth="1"/>
    <col min="12563" max="12563" width="9.109375" customWidth="1"/>
    <col min="12564" max="12564" width="9.33203125" customWidth="1"/>
    <col min="12800" max="12800" width="11.88671875" customWidth="1"/>
    <col min="12801" max="12801" width="8.88671875" customWidth="1"/>
    <col min="12802" max="12802" width="8.88671875" bestFit="1" customWidth="1"/>
    <col min="12803" max="12804" width="6.88671875" customWidth="1"/>
    <col min="12805" max="12805" width="7.33203125" customWidth="1"/>
    <col min="12806" max="12806" width="7.77734375" customWidth="1"/>
    <col min="12807" max="12807" width="7.6640625" customWidth="1"/>
    <col min="12808" max="12808" width="8.88671875" bestFit="1" customWidth="1"/>
    <col min="12809" max="12809" width="8.44140625" bestFit="1" customWidth="1"/>
    <col min="12810" max="12810" width="10.21875" customWidth="1"/>
    <col min="12811" max="12811" width="8.109375" bestFit="1" customWidth="1"/>
    <col min="12812" max="12812" width="8.77734375" customWidth="1"/>
    <col min="12813" max="12813" width="7.21875" customWidth="1"/>
    <col min="12814" max="12815" width="9.109375" customWidth="1"/>
    <col min="12816" max="12817" width="8.88671875" bestFit="1" customWidth="1"/>
    <col min="12818" max="12818" width="8" customWidth="1"/>
    <col min="12819" max="12819" width="9.109375" customWidth="1"/>
    <col min="12820" max="12820" width="9.33203125" customWidth="1"/>
    <col min="13056" max="13056" width="11.88671875" customWidth="1"/>
    <col min="13057" max="13057" width="8.88671875" customWidth="1"/>
    <col min="13058" max="13058" width="8.88671875" bestFit="1" customWidth="1"/>
    <col min="13059" max="13060" width="6.88671875" customWidth="1"/>
    <col min="13061" max="13061" width="7.33203125" customWidth="1"/>
    <col min="13062" max="13062" width="7.77734375" customWidth="1"/>
    <col min="13063" max="13063" width="7.6640625" customWidth="1"/>
    <col min="13064" max="13064" width="8.88671875" bestFit="1" customWidth="1"/>
    <col min="13065" max="13065" width="8.44140625" bestFit="1" customWidth="1"/>
    <col min="13066" max="13066" width="10.21875" customWidth="1"/>
    <col min="13067" max="13067" width="8.109375" bestFit="1" customWidth="1"/>
    <col min="13068" max="13068" width="8.77734375" customWidth="1"/>
    <col min="13069" max="13069" width="7.21875" customWidth="1"/>
    <col min="13070" max="13071" width="9.109375" customWidth="1"/>
    <col min="13072" max="13073" width="8.88671875" bestFit="1" customWidth="1"/>
    <col min="13074" max="13074" width="8" customWidth="1"/>
    <col min="13075" max="13075" width="9.109375" customWidth="1"/>
    <col min="13076" max="13076" width="9.33203125" customWidth="1"/>
    <col min="13312" max="13312" width="11.88671875" customWidth="1"/>
    <col min="13313" max="13313" width="8.88671875" customWidth="1"/>
    <col min="13314" max="13314" width="8.88671875" bestFit="1" customWidth="1"/>
    <col min="13315" max="13316" width="6.88671875" customWidth="1"/>
    <col min="13317" max="13317" width="7.33203125" customWidth="1"/>
    <col min="13318" max="13318" width="7.77734375" customWidth="1"/>
    <col min="13319" max="13319" width="7.6640625" customWidth="1"/>
    <col min="13320" max="13320" width="8.88671875" bestFit="1" customWidth="1"/>
    <col min="13321" max="13321" width="8.44140625" bestFit="1" customWidth="1"/>
    <col min="13322" max="13322" width="10.21875" customWidth="1"/>
    <col min="13323" max="13323" width="8.109375" bestFit="1" customWidth="1"/>
    <col min="13324" max="13324" width="8.77734375" customWidth="1"/>
    <col min="13325" max="13325" width="7.21875" customWidth="1"/>
    <col min="13326" max="13327" width="9.109375" customWidth="1"/>
    <col min="13328" max="13329" width="8.88671875" bestFit="1" customWidth="1"/>
    <col min="13330" max="13330" width="8" customWidth="1"/>
    <col min="13331" max="13331" width="9.109375" customWidth="1"/>
    <col min="13332" max="13332" width="9.33203125" customWidth="1"/>
    <col min="13568" max="13568" width="11.88671875" customWidth="1"/>
    <col min="13569" max="13569" width="8.88671875" customWidth="1"/>
    <col min="13570" max="13570" width="8.88671875" bestFit="1" customWidth="1"/>
    <col min="13571" max="13572" width="6.88671875" customWidth="1"/>
    <col min="13573" max="13573" width="7.33203125" customWidth="1"/>
    <col min="13574" max="13574" width="7.77734375" customWidth="1"/>
    <col min="13575" max="13575" width="7.6640625" customWidth="1"/>
    <col min="13576" max="13576" width="8.88671875" bestFit="1" customWidth="1"/>
    <col min="13577" max="13577" width="8.44140625" bestFit="1" customWidth="1"/>
    <col min="13578" max="13578" width="10.21875" customWidth="1"/>
    <col min="13579" max="13579" width="8.109375" bestFit="1" customWidth="1"/>
    <col min="13580" max="13580" width="8.77734375" customWidth="1"/>
    <col min="13581" max="13581" width="7.21875" customWidth="1"/>
    <col min="13582" max="13583" width="9.109375" customWidth="1"/>
    <col min="13584" max="13585" width="8.88671875" bestFit="1" customWidth="1"/>
    <col min="13586" max="13586" width="8" customWidth="1"/>
    <col min="13587" max="13587" width="9.109375" customWidth="1"/>
    <col min="13588" max="13588" width="9.33203125" customWidth="1"/>
    <col min="13824" max="13824" width="11.88671875" customWidth="1"/>
    <col min="13825" max="13825" width="8.88671875" customWidth="1"/>
    <col min="13826" max="13826" width="8.88671875" bestFit="1" customWidth="1"/>
    <col min="13827" max="13828" width="6.88671875" customWidth="1"/>
    <col min="13829" max="13829" width="7.33203125" customWidth="1"/>
    <col min="13830" max="13830" width="7.77734375" customWidth="1"/>
    <col min="13831" max="13831" width="7.6640625" customWidth="1"/>
    <col min="13832" max="13832" width="8.88671875" bestFit="1" customWidth="1"/>
    <col min="13833" max="13833" width="8.44140625" bestFit="1" customWidth="1"/>
    <col min="13834" max="13834" width="10.21875" customWidth="1"/>
    <col min="13835" max="13835" width="8.109375" bestFit="1" customWidth="1"/>
    <col min="13836" max="13836" width="8.77734375" customWidth="1"/>
    <col min="13837" max="13837" width="7.21875" customWidth="1"/>
    <col min="13838" max="13839" width="9.109375" customWidth="1"/>
    <col min="13840" max="13841" width="8.88671875" bestFit="1" customWidth="1"/>
    <col min="13842" max="13842" width="8" customWidth="1"/>
    <col min="13843" max="13843" width="9.109375" customWidth="1"/>
    <col min="13844" max="13844" width="9.33203125" customWidth="1"/>
    <col min="14080" max="14080" width="11.88671875" customWidth="1"/>
    <col min="14081" max="14081" width="8.88671875" customWidth="1"/>
    <col min="14082" max="14082" width="8.88671875" bestFit="1" customWidth="1"/>
    <col min="14083" max="14084" width="6.88671875" customWidth="1"/>
    <col min="14085" max="14085" width="7.33203125" customWidth="1"/>
    <col min="14086" max="14086" width="7.77734375" customWidth="1"/>
    <col min="14087" max="14087" width="7.6640625" customWidth="1"/>
    <col min="14088" max="14088" width="8.88671875" bestFit="1" customWidth="1"/>
    <col min="14089" max="14089" width="8.44140625" bestFit="1" customWidth="1"/>
    <col min="14090" max="14090" width="10.21875" customWidth="1"/>
    <col min="14091" max="14091" width="8.109375" bestFit="1" customWidth="1"/>
    <col min="14092" max="14092" width="8.77734375" customWidth="1"/>
    <col min="14093" max="14093" width="7.21875" customWidth="1"/>
    <col min="14094" max="14095" width="9.109375" customWidth="1"/>
    <col min="14096" max="14097" width="8.88671875" bestFit="1" customWidth="1"/>
    <col min="14098" max="14098" width="8" customWidth="1"/>
    <col min="14099" max="14099" width="9.109375" customWidth="1"/>
    <col min="14100" max="14100" width="9.33203125" customWidth="1"/>
    <col min="14336" max="14336" width="11.88671875" customWidth="1"/>
    <col min="14337" max="14337" width="8.88671875" customWidth="1"/>
    <col min="14338" max="14338" width="8.88671875" bestFit="1" customWidth="1"/>
    <col min="14339" max="14340" width="6.88671875" customWidth="1"/>
    <col min="14341" max="14341" width="7.33203125" customWidth="1"/>
    <col min="14342" max="14342" width="7.77734375" customWidth="1"/>
    <col min="14343" max="14343" width="7.6640625" customWidth="1"/>
    <col min="14344" max="14344" width="8.88671875" bestFit="1" customWidth="1"/>
    <col min="14345" max="14345" width="8.44140625" bestFit="1" customWidth="1"/>
    <col min="14346" max="14346" width="10.21875" customWidth="1"/>
    <col min="14347" max="14347" width="8.109375" bestFit="1" customWidth="1"/>
    <col min="14348" max="14348" width="8.77734375" customWidth="1"/>
    <col min="14349" max="14349" width="7.21875" customWidth="1"/>
    <col min="14350" max="14351" width="9.109375" customWidth="1"/>
    <col min="14352" max="14353" width="8.88671875" bestFit="1" customWidth="1"/>
    <col min="14354" max="14354" width="8" customWidth="1"/>
    <col min="14355" max="14355" width="9.109375" customWidth="1"/>
    <col min="14356" max="14356" width="9.33203125" customWidth="1"/>
    <col min="14592" max="14592" width="11.88671875" customWidth="1"/>
    <col min="14593" max="14593" width="8.88671875" customWidth="1"/>
    <col min="14594" max="14594" width="8.88671875" bestFit="1" customWidth="1"/>
    <col min="14595" max="14596" width="6.88671875" customWidth="1"/>
    <col min="14597" max="14597" width="7.33203125" customWidth="1"/>
    <col min="14598" max="14598" width="7.77734375" customWidth="1"/>
    <col min="14599" max="14599" width="7.6640625" customWidth="1"/>
    <col min="14600" max="14600" width="8.88671875" bestFit="1" customWidth="1"/>
    <col min="14601" max="14601" width="8.44140625" bestFit="1" customWidth="1"/>
    <col min="14602" max="14602" width="10.21875" customWidth="1"/>
    <col min="14603" max="14603" width="8.109375" bestFit="1" customWidth="1"/>
    <col min="14604" max="14604" width="8.77734375" customWidth="1"/>
    <col min="14605" max="14605" width="7.21875" customWidth="1"/>
    <col min="14606" max="14607" width="9.109375" customWidth="1"/>
    <col min="14608" max="14609" width="8.88671875" bestFit="1" customWidth="1"/>
    <col min="14610" max="14610" width="8" customWidth="1"/>
    <col min="14611" max="14611" width="9.109375" customWidth="1"/>
    <col min="14612" max="14612" width="9.33203125" customWidth="1"/>
    <col min="14848" max="14848" width="11.88671875" customWidth="1"/>
    <col min="14849" max="14849" width="8.88671875" customWidth="1"/>
    <col min="14850" max="14850" width="8.88671875" bestFit="1" customWidth="1"/>
    <col min="14851" max="14852" width="6.88671875" customWidth="1"/>
    <col min="14853" max="14853" width="7.33203125" customWidth="1"/>
    <col min="14854" max="14854" width="7.77734375" customWidth="1"/>
    <col min="14855" max="14855" width="7.6640625" customWidth="1"/>
    <col min="14856" max="14856" width="8.88671875" bestFit="1" customWidth="1"/>
    <col min="14857" max="14857" width="8.44140625" bestFit="1" customWidth="1"/>
    <col min="14858" max="14858" width="10.21875" customWidth="1"/>
    <col min="14859" max="14859" width="8.109375" bestFit="1" customWidth="1"/>
    <col min="14860" max="14860" width="8.77734375" customWidth="1"/>
    <col min="14861" max="14861" width="7.21875" customWidth="1"/>
    <col min="14862" max="14863" width="9.109375" customWidth="1"/>
    <col min="14864" max="14865" width="8.88671875" bestFit="1" customWidth="1"/>
    <col min="14866" max="14866" width="8" customWidth="1"/>
    <col min="14867" max="14867" width="9.109375" customWidth="1"/>
    <col min="14868" max="14868" width="9.33203125" customWidth="1"/>
    <col min="15104" max="15104" width="11.88671875" customWidth="1"/>
    <col min="15105" max="15105" width="8.88671875" customWidth="1"/>
    <col min="15106" max="15106" width="8.88671875" bestFit="1" customWidth="1"/>
    <col min="15107" max="15108" width="6.88671875" customWidth="1"/>
    <col min="15109" max="15109" width="7.33203125" customWidth="1"/>
    <col min="15110" max="15110" width="7.77734375" customWidth="1"/>
    <col min="15111" max="15111" width="7.6640625" customWidth="1"/>
    <col min="15112" max="15112" width="8.88671875" bestFit="1" customWidth="1"/>
    <col min="15113" max="15113" width="8.44140625" bestFit="1" customWidth="1"/>
    <col min="15114" max="15114" width="10.21875" customWidth="1"/>
    <col min="15115" max="15115" width="8.109375" bestFit="1" customWidth="1"/>
    <col min="15116" max="15116" width="8.77734375" customWidth="1"/>
    <col min="15117" max="15117" width="7.21875" customWidth="1"/>
    <col min="15118" max="15119" width="9.109375" customWidth="1"/>
    <col min="15120" max="15121" width="8.88671875" bestFit="1" customWidth="1"/>
    <col min="15122" max="15122" width="8" customWidth="1"/>
    <col min="15123" max="15123" width="9.109375" customWidth="1"/>
    <col min="15124" max="15124" width="9.33203125" customWidth="1"/>
    <col min="15360" max="15360" width="11.88671875" customWidth="1"/>
    <col min="15361" max="15361" width="8.88671875" customWidth="1"/>
    <col min="15362" max="15362" width="8.88671875" bestFit="1" customWidth="1"/>
    <col min="15363" max="15364" width="6.88671875" customWidth="1"/>
    <col min="15365" max="15365" width="7.33203125" customWidth="1"/>
    <col min="15366" max="15366" width="7.77734375" customWidth="1"/>
    <col min="15367" max="15367" width="7.6640625" customWidth="1"/>
    <col min="15368" max="15368" width="8.88671875" bestFit="1" customWidth="1"/>
    <col min="15369" max="15369" width="8.44140625" bestFit="1" customWidth="1"/>
    <col min="15370" max="15370" width="10.21875" customWidth="1"/>
    <col min="15371" max="15371" width="8.109375" bestFit="1" customWidth="1"/>
    <col min="15372" max="15372" width="8.77734375" customWidth="1"/>
    <col min="15373" max="15373" width="7.21875" customWidth="1"/>
    <col min="15374" max="15375" width="9.109375" customWidth="1"/>
    <col min="15376" max="15377" width="8.88671875" bestFit="1" customWidth="1"/>
    <col min="15378" max="15378" width="8" customWidth="1"/>
    <col min="15379" max="15379" width="9.109375" customWidth="1"/>
    <col min="15380" max="15380" width="9.33203125" customWidth="1"/>
    <col min="15616" max="15616" width="11.88671875" customWidth="1"/>
    <col min="15617" max="15617" width="8.88671875" customWidth="1"/>
    <col min="15618" max="15618" width="8.88671875" bestFit="1" customWidth="1"/>
    <col min="15619" max="15620" width="6.88671875" customWidth="1"/>
    <col min="15621" max="15621" width="7.33203125" customWidth="1"/>
    <col min="15622" max="15622" width="7.77734375" customWidth="1"/>
    <col min="15623" max="15623" width="7.6640625" customWidth="1"/>
    <col min="15624" max="15624" width="8.88671875" bestFit="1" customWidth="1"/>
    <col min="15625" max="15625" width="8.44140625" bestFit="1" customWidth="1"/>
    <col min="15626" max="15626" width="10.21875" customWidth="1"/>
    <col min="15627" max="15627" width="8.109375" bestFit="1" customWidth="1"/>
    <col min="15628" max="15628" width="8.77734375" customWidth="1"/>
    <col min="15629" max="15629" width="7.21875" customWidth="1"/>
    <col min="15630" max="15631" width="9.109375" customWidth="1"/>
    <col min="15632" max="15633" width="8.88671875" bestFit="1" customWidth="1"/>
    <col min="15634" max="15634" width="8" customWidth="1"/>
    <col min="15635" max="15635" width="9.109375" customWidth="1"/>
    <col min="15636" max="15636" width="9.33203125" customWidth="1"/>
    <col min="15872" max="15872" width="11.88671875" customWidth="1"/>
    <col min="15873" max="15873" width="8.88671875" customWidth="1"/>
    <col min="15874" max="15874" width="8.88671875" bestFit="1" customWidth="1"/>
    <col min="15875" max="15876" width="6.88671875" customWidth="1"/>
    <col min="15877" max="15877" width="7.33203125" customWidth="1"/>
    <col min="15878" max="15878" width="7.77734375" customWidth="1"/>
    <col min="15879" max="15879" width="7.6640625" customWidth="1"/>
    <col min="15880" max="15880" width="8.88671875" bestFit="1" customWidth="1"/>
    <col min="15881" max="15881" width="8.44140625" bestFit="1" customWidth="1"/>
    <col min="15882" max="15882" width="10.21875" customWidth="1"/>
    <col min="15883" max="15883" width="8.109375" bestFit="1" customWidth="1"/>
    <col min="15884" max="15884" width="8.77734375" customWidth="1"/>
    <col min="15885" max="15885" width="7.21875" customWidth="1"/>
    <col min="15886" max="15887" width="9.109375" customWidth="1"/>
    <col min="15888" max="15889" width="8.88671875" bestFit="1" customWidth="1"/>
    <col min="15890" max="15890" width="8" customWidth="1"/>
    <col min="15891" max="15891" width="9.109375" customWidth="1"/>
    <col min="15892" max="15892" width="9.33203125" customWidth="1"/>
    <col min="16128" max="16128" width="11.88671875" customWidth="1"/>
    <col min="16129" max="16129" width="8.88671875" customWidth="1"/>
    <col min="16130" max="16130" width="8.88671875" bestFit="1" customWidth="1"/>
    <col min="16131" max="16132" width="6.88671875" customWidth="1"/>
    <col min="16133" max="16133" width="7.33203125" customWidth="1"/>
    <col min="16134" max="16134" width="7.77734375" customWidth="1"/>
    <col min="16135" max="16135" width="7.6640625" customWidth="1"/>
    <col min="16136" max="16136" width="8.88671875" bestFit="1" customWidth="1"/>
    <col min="16137" max="16137" width="8.44140625" bestFit="1" customWidth="1"/>
    <col min="16138" max="16138" width="10.21875" customWidth="1"/>
    <col min="16139" max="16139" width="8.109375" bestFit="1" customWidth="1"/>
    <col min="16140" max="16140" width="8.77734375" customWidth="1"/>
    <col min="16141" max="16141" width="7.21875" customWidth="1"/>
    <col min="16142" max="16143" width="9.109375" customWidth="1"/>
    <col min="16144" max="16145" width="8.88671875" bestFit="1" customWidth="1"/>
    <col min="16146" max="16146" width="8" customWidth="1"/>
    <col min="16147" max="16147" width="9.109375" customWidth="1"/>
    <col min="16148" max="16148" width="9.33203125" customWidth="1"/>
  </cols>
  <sheetData>
    <row r="1" spans="1:27" s="279" customFormat="1" ht="15.75" thickBot="1" x14ac:dyDescent="0.25">
      <c r="A1" s="279" t="s">
        <v>361</v>
      </c>
      <c r="B1" s="280"/>
      <c r="C1" s="280"/>
      <c r="D1" s="280"/>
      <c r="E1" s="280"/>
      <c r="G1" s="280"/>
      <c r="H1" s="280"/>
      <c r="I1" s="280"/>
      <c r="J1" s="280"/>
      <c r="K1" s="280"/>
      <c r="L1" s="280"/>
      <c r="M1" s="280"/>
    </row>
    <row r="2" spans="1:27" s="284" customFormat="1" ht="90.75" thickBot="1" x14ac:dyDescent="0.25">
      <c r="A2" s="281" t="s">
        <v>362</v>
      </c>
      <c r="B2" s="282" t="s">
        <v>363</v>
      </c>
      <c r="C2" s="282" t="s">
        <v>364</v>
      </c>
      <c r="D2" s="282" t="s">
        <v>364</v>
      </c>
      <c r="E2" s="282" t="s">
        <v>365</v>
      </c>
      <c r="F2" s="283" t="s">
        <v>366</v>
      </c>
      <c r="G2" s="282" t="s">
        <v>367</v>
      </c>
      <c r="H2" s="282" t="s">
        <v>368</v>
      </c>
      <c r="I2" s="282" t="s">
        <v>369</v>
      </c>
      <c r="J2" s="282" t="s">
        <v>370</v>
      </c>
      <c r="K2" s="282" t="s">
        <v>371</v>
      </c>
      <c r="L2" s="282" t="s">
        <v>372</v>
      </c>
      <c r="M2" s="282" t="s">
        <v>373</v>
      </c>
      <c r="N2" s="283" t="s">
        <v>374</v>
      </c>
      <c r="O2" s="283" t="s">
        <v>375</v>
      </c>
      <c r="P2" s="283" t="s">
        <v>376</v>
      </c>
      <c r="Q2" s="283" t="s">
        <v>377</v>
      </c>
      <c r="R2" s="283" t="s">
        <v>378</v>
      </c>
      <c r="S2" s="283" t="s">
        <v>379</v>
      </c>
      <c r="T2" s="283" t="s">
        <v>380</v>
      </c>
      <c r="V2" s="285" t="s">
        <v>381</v>
      </c>
      <c r="W2" s="286" t="s">
        <v>382</v>
      </c>
      <c r="X2" s="286"/>
      <c r="Y2" s="286"/>
      <c r="Z2" s="286"/>
      <c r="AA2" s="287"/>
    </row>
    <row r="3" spans="1:27" s="294" customFormat="1" x14ac:dyDescent="0.2">
      <c r="A3" s="288">
        <v>205</v>
      </c>
      <c r="B3" s="289">
        <v>1</v>
      </c>
      <c r="C3" s="290">
        <v>13.8</v>
      </c>
      <c r="D3" s="290">
        <v>21.08</v>
      </c>
      <c r="E3" s="290">
        <v>83.5</v>
      </c>
      <c r="F3" s="290"/>
      <c r="G3" s="291">
        <v>8.2799999999999994</v>
      </c>
      <c r="H3" s="291">
        <v>1489.76</v>
      </c>
      <c r="I3" s="290">
        <v>0</v>
      </c>
      <c r="J3" s="290">
        <v>0</v>
      </c>
      <c r="K3" s="290">
        <v>0</v>
      </c>
      <c r="L3" s="290">
        <v>0</v>
      </c>
      <c r="M3" s="290"/>
      <c r="N3" s="290">
        <v>0</v>
      </c>
      <c r="O3" s="290"/>
      <c r="P3" s="292">
        <f>SUM(B3:O3)</f>
        <v>1617.42</v>
      </c>
      <c r="Q3" s="293">
        <v>0</v>
      </c>
      <c r="R3" s="292">
        <f>SUM(Q3*4)</f>
        <v>0</v>
      </c>
      <c r="S3" s="292">
        <f>SUM(Q3*5)</f>
        <v>0</v>
      </c>
      <c r="T3" s="292">
        <f>SUM(G3:O3)</f>
        <v>1498.04</v>
      </c>
      <c r="V3" s="362">
        <v>0.33</v>
      </c>
      <c r="W3" s="295">
        <f>V3*T3</f>
        <v>494.35320000000002</v>
      </c>
      <c r="X3" s="296"/>
      <c r="Y3" s="296"/>
      <c r="Z3" s="296"/>
      <c r="AA3" s="297"/>
    </row>
    <row r="4" spans="1:27" s="294" customFormat="1" x14ac:dyDescent="0.2">
      <c r="A4" s="288">
        <v>202</v>
      </c>
      <c r="B4" s="289">
        <v>1</v>
      </c>
      <c r="C4" s="290">
        <v>0</v>
      </c>
      <c r="D4" s="290">
        <v>0</v>
      </c>
      <c r="E4" s="290">
        <v>0</v>
      </c>
      <c r="F4" s="290"/>
      <c r="G4" s="291">
        <v>8.2799999999999994</v>
      </c>
      <c r="H4" s="291">
        <v>0</v>
      </c>
      <c r="I4" s="290">
        <v>0</v>
      </c>
      <c r="J4" s="290"/>
      <c r="K4" s="290">
        <v>0</v>
      </c>
      <c r="L4" s="290">
        <v>0</v>
      </c>
      <c r="M4" s="290"/>
      <c r="N4" s="290">
        <v>709.46</v>
      </c>
      <c r="O4" s="290"/>
      <c r="P4" s="292">
        <f>SUM(B4:O4)</f>
        <v>718.74</v>
      </c>
      <c r="Q4" s="293">
        <v>0</v>
      </c>
      <c r="R4" s="292">
        <f>SUM(Q4*4)</f>
        <v>0</v>
      </c>
      <c r="S4" s="292">
        <f>SUM(Q4*5)</f>
        <v>0</v>
      </c>
      <c r="T4" s="292">
        <f>SUM(G4:O4)</f>
        <v>717.74</v>
      </c>
      <c r="V4" s="363">
        <v>0.2</v>
      </c>
      <c r="W4" s="298">
        <f t="shared" ref="W4:W18" si="0">V4*T4</f>
        <v>143.548</v>
      </c>
      <c r="X4" s="299"/>
      <c r="Y4" s="299"/>
      <c r="Z4" s="299"/>
      <c r="AA4" s="300"/>
    </row>
    <row r="5" spans="1:27" s="302" customFormat="1" x14ac:dyDescent="0.2">
      <c r="A5" s="301">
        <v>188</v>
      </c>
      <c r="B5" s="289">
        <v>1</v>
      </c>
      <c r="C5" s="291">
        <v>0</v>
      </c>
      <c r="D5" s="291">
        <v>0</v>
      </c>
      <c r="E5" s="291">
        <v>0</v>
      </c>
      <c r="F5" s="291">
        <v>0</v>
      </c>
      <c r="G5" s="291">
        <v>8.2799999999999994</v>
      </c>
      <c r="H5" s="291">
        <v>1489.76</v>
      </c>
      <c r="I5" s="291">
        <v>0</v>
      </c>
      <c r="J5" s="291"/>
      <c r="K5" s="291">
        <v>0</v>
      </c>
      <c r="L5" s="291">
        <v>0</v>
      </c>
      <c r="M5" s="291"/>
      <c r="N5" s="291">
        <v>0</v>
      </c>
      <c r="O5" s="291"/>
      <c r="P5" s="292">
        <f t="shared" ref="P5:P16" si="1">SUM(B5:O5)</f>
        <v>1499.04</v>
      </c>
      <c r="Q5" s="292">
        <v>0</v>
      </c>
      <c r="R5" s="292">
        <f t="shared" ref="R5:R15" si="2">SUM(Q5*4)</f>
        <v>0</v>
      </c>
      <c r="S5" s="292">
        <f t="shared" ref="S5:S15" si="3">SUM(Q5*5)</f>
        <v>0</v>
      </c>
      <c r="T5" s="292">
        <f t="shared" ref="T5:T15" si="4">SUM(G5:O5)</f>
        <v>1498.04</v>
      </c>
      <c r="V5" s="363">
        <v>0.33</v>
      </c>
      <c r="W5" s="298">
        <f t="shared" si="0"/>
        <v>494.35320000000002</v>
      </c>
      <c r="X5" s="303"/>
      <c r="Y5" s="303"/>
      <c r="Z5" s="303"/>
      <c r="AA5" s="304"/>
    </row>
    <row r="6" spans="1:27" s="302" customFormat="1" x14ac:dyDescent="0.2">
      <c r="A6" s="301">
        <v>191</v>
      </c>
      <c r="B6" s="289">
        <v>1</v>
      </c>
      <c r="C6" s="291">
        <v>0</v>
      </c>
      <c r="D6" s="291">
        <v>8.42</v>
      </c>
      <c r="E6" s="291">
        <v>0</v>
      </c>
      <c r="F6" s="291">
        <v>0</v>
      </c>
      <c r="G6" s="291">
        <v>8.2799999999999994</v>
      </c>
      <c r="H6" s="291">
        <v>0</v>
      </c>
      <c r="I6" s="291">
        <v>1333.64</v>
      </c>
      <c r="J6" s="291"/>
      <c r="K6" s="291">
        <v>0</v>
      </c>
      <c r="L6" s="291">
        <v>0</v>
      </c>
      <c r="M6" s="291"/>
      <c r="N6" s="291">
        <v>0</v>
      </c>
      <c r="O6" s="291"/>
      <c r="P6" s="292">
        <f t="shared" si="1"/>
        <v>1351.3400000000001</v>
      </c>
      <c r="Q6" s="292">
        <v>0</v>
      </c>
      <c r="R6" s="292">
        <f t="shared" si="2"/>
        <v>0</v>
      </c>
      <c r="S6" s="292">
        <f t="shared" si="3"/>
        <v>0</v>
      </c>
      <c r="T6" s="292">
        <f t="shared" si="4"/>
        <v>1341.92</v>
      </c>
      <c r="V6" s="363">
        <v>0.2</v>
      </c>
      <c r="W6" s="298">
        <f t="shared" si="0"/>
        <v>268.38400000000001</v>
      </c>
      <c r="X6" s="303"/>
      <c r="Y6" s="303"/>
      <c r="Z6" s="303"/>
      <c r="AA6" s="304"/>
    </row>
    <row r="7" spans="1:27" s="302" customFormat="1" x14ac:dyDescent="0.2">
      <c r="A7" s="301">
        <v>206</v>
      </c>
      <c r="B7" s="289">
        <v>1</v>
      </c>
      <c r="C7" s="291">
        <v>0</v>
      </c>
      <c r="D7" s="291">
        <v>0</v>
      </c>
      <c r="E7" s="291">
        <v>0</v>
      </c>
      <c r="F7" s="291">
        <v>0</v>
      </c>
      <c r="G7" s="291">
        <v>8.2799999999999994</v>
      </c>
      <c r="H7" s="291">
        <v>0</v>
      </c>
      <c r="I7" s="291">
        <v>1333.64</v>
      </c>
      <c r="J7" s="291"/>
      <c r="K7" s="291">
        <v>0</v>
      </c>
      <c r="L7" s="291">
        <v>0</v>
      </c>
      <c r="M7" s="291"/>
      <c r="N7" s="291">
        <v>0</v>
      </c>
      <c r="O7" s="291"/>
      <c r="P7" s="292">
        <f>SUM(B7:O7)</f>
        <v>1342.92</v>
      </c>
      <c r="Q7" s="292">
        <v>0</v>
      </c>
      <c r="R7" s="292">
        <f>SUM(Q7*4)</f>
        <v>0</v>
      </c>
      <c r="S7" s="292">
        <f>SUM(Q7*5)</f>
        <v>0</v>
      </c>
      <c r="T7" s="292">
        <f>SUM(G7:O7)</f>
        <v>1341.92</v>
      </c>
      <c r="V7" s="363">
        <v>0.2</v>
      </c>
      <c r="W7" s="298">
        <f t="shared" si="0"/>
        <v>268.38400000000001</v>
      </c>
      <c r="X7" s="303"/>
      <c r="Y7" s="303"/>
      <c r="Z7" s="303"/>
      <c r="AA7" s="304"/>
    </row>
    <row r="8" spans="1:27" s="294" customFormat="1" x14ac:dyDescent="0.2">
      <c r="A8" s="288">
        <v>189</v>
      </c>
      <c r="B8" s="289">
        <v>1</v>
      </c>
      <c r="C8" s="290">
        <v>0</v>
      </c>
      <c r="D8" s="290">
        <v>0</v>
      </c>
      <c r="E8" s="290">
        <v>0</v>
      </c>
      <c r="F8" s="290">
        <v>0</v>
      </c>
      <c r="G8" s="291">
        <v>8.2799999999999994</v>
      </c>
      <c r="H8" s="291">
        <v>1489.76</v>
      </c>
      <c r="I8" s="290">
        <v>0</v>
      </c>
      <c r="J8" s="290"/>
      <c r="K8" s="290">
        <v>0</v>
      </c>
      <c r="L8" s="290">
        <v>0</v>
      </c>
      <c r="M8" s="290"/>
      <c r="N8" s="290">
        <v>0</v>
      </c>
      <c r="O8" s="290"/>
      <c r="P8" s="292">
        <f t="shared" si="1"/>
        <v>1499.04</v>
      </c>
      <c r="Q8" s="293">
        <v>0</v>
      </c>
      <c r="R8" s="292">
        <f t="shared" si="2"/>
        <v>0</v>
      </c>
      <c r="S8" s="292">
        <f t="shared" si="3"/>
        <v>0</v>
      </c>
      <c r="T8" s="292">
        <f t="shared" si="4"/>
        <v>1498.04</v>
      </c>
      <c r="V8" s="363">
        <v>0.33</v>
      </c>
      <c r="W8" s="298">
        <f t="shared" si="0"/>
        <v>494.35320000000002</v>
      </c>
      <c r="X8" s="299"/>
      <c r="Y8" s="299"/>
      <c r="Z8" s="299"/>
      <c r="AA8" s="300"/>
    </row>
    <row r="9" spans="1:27" s="302" customFormat="1" x14ac:dyDescent="0.2">
      <c r="A9" s="301">
        <v>193</v>
      </c>
      <c r="B9" s="289">
        <v>1</v>
      </c>
      <c r="C9" s="291">
        <v>45.08</v>
      </c>
      <c r="D9" s="291">
        <v>16.82</v>
      </c>
      <c r="E9" s="291">
        <v>0</v>
      </c>
      <c r="F9" s="291">
        <v>0</v>
      </c>
      <c r="G9" s="291">
        <v>8.2799999999999994</v>
      </c>
      <c r="H9" s="291"/>
      <c r="I9" s="291">
        <v>1333.64</v>
      </c>
      <c r="J9" s="291"/>
      <c r="K9" s="291">
        <v>0</v>
      </c>
      <c r="L9" s="291">
        <v>0</v>
      </c>
      <c r="M9" s="291"/>
      <c r="N9" s="291">
        <v>0</v>
      </c>
      <c r="O9" s="291"/>
      <c r="P9" s="292">
        <f t="shared" si="1"/>
        <v>1404.8200000000002</v>
      </c>
      <c r="Q9" s="292">
        <v>0</v>
      </c>
      <c r="R9" s="292">
        <f t="shared" si="2"/>
        <v>0</v>
      </c>
      <c r="S9" s="292">
        <f t="shared" si="3"/>
        <v>0</v>
      </c>
      <c r="T9" s="292">
        <f t="shared" si="4"/>
        <v>1341.92</v>
      </c>
      <c r="V9" s="363">
        <v>0.2</v>
      </c>
      <c r="W9" s="298">
        <f t="shared" si="0"/>
        <v>268.38400000000001</v>
      </c>
      <c r="X9" s="303"/>
      <c r="Y9" s="303"/>
      <c r="Z9" s="303"/>
      <c r="AA9" s="304"/>
    </row>
    <row r="10" spans="1:27" s="302" customFormat="1" x14ac:dyDescent="0.2">
      <c r="A10" s="301">
        <v>175</v>
      </c>
      <c r="B10" s="289">
        <v>1</v>
      </c>
      <c r="C10" s="291">
        <v>0</v>
      </c>
      <c r="D10" s="291">
        <v>0</v>
      </c>
      <c r="E10" s="291">
        <v>220.82</v>
      </c>
      <c r="F10" s="291">
        <v>0</v>
      </c>
      <c r="G10" s="291">
        <v>8.2799999999999994</v>
      </c>
      <c r="H10" s="291">
        <v>1489.76</v>
      </c>
      <c r="I10" s="291">
        <v>0</v>
      </c>
      <c r="J10" s="291"/>
      <c r="K10" s="291">
        <v>0</v>
      </c>
      <c r="L10" s="291">
        <v>0</v>
      </c>
      <c r="M10" s="291"/>
      <c r="N10" s="291">
        <v>0</v>
      </c>
      <c r="O10" s="291"/>
      <c r="P10" s="292">
        <f t="shared" si="1"/>
        <v>1719.86</v>
      </c>
      <c r="Q10" s="292">
        <v>0</v>
      </c>
      <c r="R10" s="292">
        <f t="shared" si="2"/>
        <v>0</v>
      </c>
      <c r="S10" s="292">
        <f t="shared" si="3"/>
        <v>0</v>
      </c>
      <c r="T10" s="292">
        <f t="shared" si="4"/>
        <v>1498.04</v>
      </c>
      <c r="V10" s="363">
        <v>0.33</v>
      </c>
      <c r="W10" s="298">
        <f t="shared" si="0"/>
        <v>494.35320000000002</v>
      </c>
      <c r="X10" s="303"/>
      <c r="Y10" s="303"/>
      <c r="Z10" s="303"/>
      <c r="AA10" s="304"/>
    </row>
    <row r="11" spans="1:27" s="302" customFormat="1" x14ac:dyDescent="0.2">
      <c r="A11" s="301">
        <v>192</v>
      </c>
      <c r="B11" s="289">
        <v>1</v>
      </c>
      <c r="C11" s="291">
        <v>2.2200000000000002</v>
      </c>
      <c r="D11" s="291">
        <v>0</v>
      </c>
      <c r="E11" s="291">
        <v>0</v>
      </c>
      <c r="F11" s="291">
        <v>0</v>
      </c>
      <c r="G11" s="291">
        <v>8.2799999999999994</v>
      </c>
      <c r="H11" s="291">
        <v>1489.76</v>
      </c>
      <c r="I11" s="291">
        <v>0</v>
      </c>
      <c r="J11" s="291"/>
      <c r="K11" s="291">
        <v>0</v>
      </c>
      <c r="L11" s="291">
        <v>0</v>
      </c>
      <c r="M11" s="291"/>
      <c r="N11" s="291">
        <v>0</v>
      </c>
      <c r="O11" s="291"/>
      <c r="P11" s="292">
        <f t="shared" si="1"/>
        <v>1501.26</v>
      </c>
      <c r="Q11" s="292">
        <v>0</v>
      </c>
      <c r="R11" s="292">
        <f t="shared" si="2"/>
        <v>0</v>
      </c>
      <c r="S11" s="292">
        <f t="shared" si="3"/>
        <v>0</v>
      </c>
      <c r="T11" s="292">
        <f t="shared" si="4"/>
        <v>1498.04</v>
      </c>
      <c r="V11" s="363">
        <v>0.33</v>
      </c>
      <c r="W11" s="298">
        <f t="shared" si="0"/>
        <v>494.35320000000002</v>
      </c>
      <c r="X11" s="303"/>
      <c r="Y11" s="303"/>
      <c r="Z11" s="303"/>
      <c r="AA11" s="304"/>
    </row>
    <row r="12" spans="1:27" s="302" customFormat="1" x14ac:dyDescent="0.2">
      <c r="A12" s="301">
        <v>186</v>
      </c>
      <c r="B12" s="289">
        <v>1</v>
      </c>
      <c r="C12" s="291">
        <v>5.52</v>
      </c>
      <c r="D12" s="291">
        <v>10.54</v>
      </c>
      <c r="E12" s="291">
        <v>0</v>
      </c>
      <c r="F12" s="291">
        <v>0</v>
      </c>
      <c r="G12" s="291">
        <v>8.2799999999999994</v>
      </c>
      <c r="H12" s="291">
        <v>1489.76</v>
      </c>
      <c r="I12" s="291">
        <v>0</v>
      </c>
      <c r="J12" s="291"/>
      <c r="K12" s="291">
        <v>0</v>
      </c>
      <c r="L12" s="291">
        <v>0</v>
      </c>
      <c r="M12" s="291"/>
      <c r="N12" s="291">
        <v>0</v>
      </c>
      <c r="O12" s="291"/>
      <c r="P12" s="292">
        <f t="shared" si="1"/>
        <v>1515.1</v>
      </c>
      <c r="Q12" s="292">
        <v>0</v>
      </c>
      <c r="R12" s="292">
        <f t="shared" si="2"/>
        <v>0</v>
      </c>
      <c r="S12" s="292">
        <f t="shared" si="3"/>
        <v>0</v>
      </c>
      <c r="T12" s="292">
        <f t="shared" si="4"/>
        <v>1498.04</v>
      </c>
      <c r="V12" s="363">
        <v>0.33</v>
      </c>
      <c r="W12" s="298">
        <f t="shared" si="0"/>
        <v>494.35320000000002</v>
      </c>
      <c r="X12" s="303"/>
      <c r="Y12" s="303"/>
      <c r="Z12" s="303"/>
      <c r="AA12" s="304"/>
    </row>
    <row r="13" spans="1:27" s="302" customFormat="1" x14ac:dyDescent="0.2">
      <c r="A13" s="301">
        <v>199</v>
      </c>
      <c r="B13" s="289">
        <v>1</v>
      </c>
      <c r="C13" s="291">
        <v>0</v>
      </c>
      <c r="D13" s="291">
        <v>0</v>
      </c>
      <c r="E13" s="291">
        <v>0</v>
      </c>
      <c r="F13" s="291">
        <v>0</v>
      </c>
      <c r="G13" s="291">
        <v>8.2799999999999994</v>
      </c>
      <c r="H13" s="291">
        <v>0</v>
      </c>
      <c r="I13" s="291">
        <v>1333.64</v>
      </c>
      <c r="J13" s="291"/>
      <c r="K13" s="291">
        <v>0</v>
      </c>
      <c r="L13" s="291">
        <v>0</v>
      </c>
      <c r="M13" s="291"/>
      <c r="N13" s="291">
        <v>0</v>
      </c>
      <c r="O13" s="291"/>
      <c r="P13" s="292">
        <f t="shared" si="1"/>
        <v>1342.92</v>
      </c>
      <c r="Q13" s="292">
        <v>0</v>
      </c>
      <c r="R13" s="292">
        <f t="shared" si="2"/>
        <v>0</v>
      </c>
      <c r="S13" s="292">
        <f t="shared" si="3"/>
        <v>0</v>
      </c>
      <c r="T13" s="292">
        <f>SUM(F13:O13)</f>
        <v>1341.92</v>
      </c>
      <c r="V13" s="363">
        <v>0.2</v>
      </c>
      <c r="W13" s="298">
        <f t="shared" si="0"/>
        <v>268.38400000000001</v>
      </c>
      <c r="X13" s="303"/>
      <c r="Y13" s="303"/>
      <c r="Z13" s="303"/>
      <c r="AA13" s="304"/>
    </row>
    <row r="14" spans="1:27" s="302" customFormat="1" x14ac:dyDescent="0.2">
      <c r="A14" s="301">
        <v>173</v>
      </c>
      <c r="B14" s="289">
        <v>1</v>
      </c>
      <c r="C14" s="291">
        <v>0</v>
      </c>
      <c r="D14" s="291">
        <v>13.8</v>
      </c>
      <c r="E14" s="291">
        <v>83.32</v>
      </c>
      <c r="F14" s="291">
        <v>0</v>
      </c>
      <c r="G14" s="291">
        <v>8.2799999999999994</v>
      </c>
      <c r="H14" s="291">
        <v>1489.76</v>
      </c>
      <c r="I14" s="291">
        <v>0</v>
      </c>
      <c r="J14" s="291"/>
      <c r="K14" s="291">
        <v>0</v>
      </c>
      <c r="L14" s="291">
        <v>0</v>
      </c>
      <c r="M14" s="291"/>
      <c r="N14" s="291">
        <v>0</v>
      </c>
      <c r="O14" s="291"/>
      <c r="P14" s="292">
        <f t="shared" si="1"/>
        <v>1596.16</v>
      </c>
      <c r="Q14" s="292">
        <v>0</v>
      </c>
      <c r="R14" s="292">
        <f t="shared" si="2"/>
        <v>0</v>
      </c>
      <c r="S14" s="292">
        <f t="shared" si="3"/>
        <v>0</v>
      </c>
      <c r="T14" s="292">
        <f t="shared" si="4"/>
        <v>1498.04</v>
      </c>
      <c r="V14" s="363">
        <v>0.33</v>
      </c>
      <c r="W14" s="298">
        <f t="shared" si="0"/>
        <v>494.35320000000002</v>
      </c>
      <c r="X14" s="303"/>
      <c r="Y14" s="303"/>
      <c r="Z14" s="303"/>
      <c r="AA14" s="304"/>
    </row>
    <row r="15" spans="1:27" s="302" customFormat="1" x14ac:dyDescent="0.2">
      <c r="A15" s="301">
        <v>181</v>
      </c>
      <c r="B15" s="289">
        <v>1</v>
      </c>
      <c r="C15" s="291">
        <v>0</v>
      </c>
      <c r="D15" s="291">
        <v>0</v>
      </c>
      <c r="E15" s="291">
        <v>0</v>
      </c>
      <c r="F15" s="291">
        <v>0</v>
      </c>
      <c r="G15" s="291">
        <v>8.2799999999999994</v>
      </c>
      <c r="H15" s="291">
        <v>1489.76</v>
      </c>
      <c r="I15" s="291">
        <v>0</v>
      </c>
      <c r="J15" s="291"/>
      <c r="K15" s="291">
        <v>0</v>
      </c>
      <c r="L15" s="291">
        <v>0</v>
      </c>
      <c r="M15" s="291"/>
      <c r="N15" s="291">
        <v>0</v>
      </c>
      <c r="O15" s="291"/>
      <c r="P15" s="292">
        <f t="shared" si="1"/>
        <v>1499.04</v>
      </c>
      <c r="Q15" s="292">
        <v>0</v>
      </c>
      <c r="R15" s="292">
        <f t="shared" si="2"/>
        <v>0</v>
      </c>
      <c r="S15" s="292">
        <f t="shared" si="3"/>
        <v>0</v>
      </c>
      <c r="T15" s="292">
        <f t="shared" si="4"/>
        <v>1498.04</v>
      </c>
      <c r="V15" s="363">
        <v>0.33</v>
      </c>
      <c r="W15" s="298">
        <f t="shared" si="0"/>
        <v>494.35320000000002</v>
      </c>
      <c r="X15" s="303"/>
      <c r="Y15" s="303"/>
      <c r="Z15" s="303"/>
      <c r="AA15" s="304"/>
    </row>
    <row r="16" spans="1:27" s="302" customFormat="1" x14ac:dyDescent="0.2">
      <c r="A16" s="301">
        <v>198</v>
      </c>
      <c r="B16" s="289">
        <v>1</v>
      </c>
      <c r="C16" s="291">
        <v>0</v>
      </c>
      <c r="D16" s="291">
        <v>55.2</v>
      </c>
      <c r="E16" s="291">
        <v>0</v>
      </c>
      <c r="F16" s="291">
        <v>175</v>
      </c>
      <c r="G16" s="291">
        <v>8.2799999999999994</v>
      </c>
      <c r="H16" s="291">
        <v>0</v>
      </c>
      <c r="I16" s="291">
        <v>0</v>
      </c>
      <c r="J16" s="291"/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2">
        <f t="shared" si="1"/>
        <v>239.48</v>
      </c>
      <c r="Q16" s="292"/>
      <c r="R16" s="292"/>
      <c r="S16" s="292"/>
      <c r="T16" s="292">
        <f>SUM(F16:O16)</f>
        <v>183.28</v>
      </c>
      <c r="V16" s="363">
        <v>0.2</v>
      </c>
      <c r="W16" s="298">
        <f t="shared" si="0"/>
        <v>36.655999999999999</v>
      </c>
      <c r="X16" s="303"/>
      <c r="Y16" s="303"/>
      <c r="Z16" s="303"/>
      <c r="AA16" s="304"/>
    </row>
    <row r="17" spans="1:31" s="302" customFormat="1" x14ac:dyDescent="0.2">
      <c r="A17" s="301">
        <v>115</v>
      </c>
      <c r="B17" s="289">
        <v>1</v>
      </c>
      <c r="C17" s="291">
        <v>0</v>
      </c>
      <c r="D17" s="291">
        <v>0</v>
      </c>
      <c r="E17" s="291">
        <v>0</v>
      </c>
      <c r="F17" s="291">
        <v>0</v>
      </c>
      <c r="G17" s="291">
        <v>8.2799999999999994</v>
      </c>
      <c r="H17" s="291">
        <v>0</v>
      </c>
      <c r="I17" s="291">
        <v>1333.64</v>
      </c>
      <c r="J17" s="291"/>
      <c r="K17" s="291">
        <v>0</v>
      </c>
      <c r="L17" s="291">
        <v>0</v>
      </c>
      <c r="M17" s="291"/>
      <c r="N17" s="291">
        <v>0</v>
      </c>
      <c r="O17" s="291"/>
      <c r="P17" s="292">
        <f>SUM(B17:O17)</f>
        <v>1342.92</v>
      </c>
      <c r="Q17" s="292">
        <v>0</v>
      </c>
      <c r="R17" s="292">
        <f>SUM(Q17*4)</f>
        <v>0</v>
      </c>
      <c r="S17" s="292">
        <f>SUM(Q17*5)</f>
        <v>0</v>
      </c>
      <c r="T17" s="292">
        <f>SUM(G17:O17)</f>
        <v>1341.92</v>
      </c>
      <c r="V17" s="363">
        <v>0.2</v>
      </c>
      <c r="W17" s="298">
        <f t="shared" si="0"/>
        <v>268.38400000000001</v>
      </c>
      <c r="X17" s="303"/>
      <c r="Y17" s="303"/>
      <c r="Z17" s="303"/>
      <c r="AA17" s="304"/>
    </row>
    <row r="18" spans="1:31" s="294" customFormat="1" x14ac:dyDescent="0.2">
      <c r="A18" s="288">
        <v>208</v>
      </c>
      <c r="B18" s="289">
        <v>1</v>
      </c>
      <c r="C18" s="290">
        <v>0</v>
      </c>
      <c r="D18" s="290">
        <v>0</v>
      </c>
      <c r="E18" s="290">
        <v>0</v>
      </c>
      <c r="F18" s="290">
        <v>0</v>
      </c>
      <c r="G18" s="291">
        <v>8.2799999999999994</v>
      </c>
      <c r="H18" s="291">
        <v>1489.76</v>
      </c>
      <c r="I18" s="290">
        <v>0</v>
      </c>
      <c r="J18" s="290"/>
      <c r="K18" s="290">
        <v>0</v>
      </c>
      <c r="L18" s="290">
        <v>0</v>
      </c>
      <c r="M18" s="290"/>
      <c r="N18" s="290">
        <v>0</v>
      </c>
      <c r="O18" s="290"/>
      <c r="P18" s="292">
        <f>SUM(B18:O18)</f>
        <v>1499.04</v>
      </c>
      <c r="Q18" s="293">
        <v>0</v>
      </c>
      <c r="R18" s="292">
        <f>SUM(Q18*4)</f>
        <v>0</v>
      </c>
      <c r="S18" s="292">
        <f>SUM(Q18*5)</f>
        <v>0</v>
      </c>
      <c r="T18" s="292">
        <f>SUM(G18:O18)</f>
        <v>1498.04</v>
      </c>
      <c r="V18" s="363">
        <v>0.33</v>
      </c>
      <c r="W18" s="298">
        <f t="shared" si="0"/>
        <v>494.35320000000002</v>
      </c>
      <c r="X18" s="299"/>
      <c r="Y18" s="299"/>
      <c r="Z18" s="299"/>
      <c r="AA18" s="300"/>
    </row>
    <row r="19" spans="1:31" ht="16.5" thickBot="1" x14ac:dyDescent="0.3">
      <c r="A19" t="s">
        <v>1</v>
      </c>
      <c r="B19" s="305">
        <f t="shared" ref="B19:T19" si="5">SUM(B3:B18)</f>
        <v>16</v>
      </c>
      <c r="C19" s="306">
        <f t="shared" si="5"/>
        <v>66.61999999999999</v>
      </c>
      <c r="D19" s="306">
        <f t="shared" si="5"/>
        <v>125.86</v>
      </c>
      <c r="E19" s="305">
        <f t="shared" si="5"/>
        <v>387.64</v>
      </c>
      <c r="F19" s="307">
        <f t="shared" si="5"/>
        <v>175</v>
      </c>
      <c r="G19" s="307">
        <f t="shared" si="5"/>
        <v>132.47999999999999</v>
      </c>
      <c r="H19" s="305">
        <f t="shared" si="5"/>
        <v>13407.84</v>
      </c>
      <c r="I19" s="305">
        <f t="shared" si="5"/>
        <v>6668.2000000000007</v>
      </c>
      <c r="J19" s="305">
        <f t="shared" si="5"/>
        <v>0</v>
      </c>
      <c r="K19" s="305">
        <f t="shared" si="5"/>
        <v>0</v>
      </c>
      <c r="L19" s="305">
        <f t="shared" si="5"/>
        <v>0</v>
      </c>
      <c r="M19" s="305">
        <f t="shared" si="5"/>
        <v>0</v>
      </c>
      <c r="N19" s="307">
        <f t="shared" si="5"/>
        <v>709.46</v>
      </c>
      <c r="O19" s="307">
        <f t="shared" si="5"/>
        <v>0</v>
      </c>
      <c r="P19" s="307">
        <f t="shared" si="5"/>
        <v>21689.100000000006</v>
      </c>
      <c r="Q19" s="307">
        <f t="shared" si="5"/>
        <v>0</v>
      </c>
      <c r="R19" s="307">
        <f t="shared" si="5"/>
        <v>0</v>
      </c>
      <c r="S19" s="307">
        <f t="shared" si="5"/>
        <v>0</v>
      </c>
      <c r="T19" s="307">
        <f t="shared" si="5"/>
        <v>21092.980000000003</v>
      </c>
      <c r="V19" s="308"/>
      <c r="W19" s="309">
        <f>SUM(W3:W18)</f>
        <v>5971.3027999999995</v>
      </c>
      <c r="X19" s="364">
        <f>W19/T19</f>
        <v>0.28309431858371831</v>
      </c>
      <c r="Y19" s="310" t="s">
        <v>383</v>
      </c>
      <c r="Z19" s="311"/>
      <c r="AA19" s="312"/>
    </row>
    <row r="20" spans="1:31" x14ac:dyDescent="0.2"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</row>
    <row r="21" spans="1:31" ht="15.75" x14ac:dyDescent="0.25">
      <c r="D21" s="315">
        <f>SUM(C19:D19)</f>
        <v>192.48</v>
      </c>
      <c r="E21" s="313" t="s">
        <v>384</v>
      </c>
      <c r="V21" s="316" t="s">
        <v>406</v>
      </c>
      <c r="W21" s="314"/>
      <c r="X21" s="314"/>
      <c r="Y21" s="314"/>
      <c r="Z21" s="314"/>
      <c r="AA21" s="314"/>
      <c r="AB21" s="314"/>
      <c r="AC21" s="314"/>
      <c r="AD21" s="314"/>
      <c r="AE21" s="314"/>
    </row>
    <row r="22" spans="1:31" x14ac:dyDescent="0.2">
      <c r="L22" s="317" t="s">
        <v>385</v>
      </c>
      <c r="M22" s="318"/>
      <c r="N22" s="319"/>
      <c r="O22" s="319"/>
      <c r="P22" s="320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</row>
    <row r="23" spans="1:31" x14ac:dyDescent="0.2">
      <c r="B23" s="313">
        <f>SUM(B19:D19)</f>
        <v>208.48</v>
      </c>
      <c r="E23" s="313" t="s">
        <v>386</v>
      </c>
      <c r="H23" s="313">
        <f>SUM(H19:O19)</f>
        <v>20785.5</v>
      </c>
      <c r="L23" s="321" t="s">
        <v>387</v>
      </c>
      <c r="M23" s="322"/>
      <c r="N23" s="323">
        <f>SUM(T9+T12++T16+T10)</f>
        <v>4521.2800000000007</v>
      </c>
      <c r="O23" s="323"/>
      <c r="P23" s="324"/>
      <c r="U23" s="325">
        <f>N23*12</f>
        <v>54255.360000000008</v>
      </c>
    </row>
    <row r="24" spans="1:31" x14ac:dyDescent="0.2">
      <c r="E24" s="313" t="s">
        <v>388</v>
      </c>
      <c r="H24" s="313">
        <f>SUM(B19:D19)</f>
        <v>208.48</v>
      </c>
      <c r="L24" s="321" t="s">
        <v>308</v>
      </c>
      <c r="M24" s="322"/>
      <c r="N24" s="323">
        <f>SUM(T6+T7+T15+T17)</f>
        <v>5523.8</v>
      </c>
      <c r="O24" s="323"/>
      <c r="P24" s="324"/>
      <c r="U24" s="325">
        <f t="shared" ref="U24:U26" si="6">N24*12</f>
        <v>66285.600000000006</v>
      </c>
    </row>
    <row r="25" spans="1:31" x14ac:dyDescent="0.2">
      <c r="E25" s="313" t="s">
        <v>389</v>
      </c>
      <c r="H25" s="313">
        <f>SUM(E19)</f>
        <v>387.64</v>
      </c>
      <c r="L25" s="321" t="s">
        <v>390</v>
      </c>
      <c r="M25" s="322"/>
      <c r="N25" s="323">
        <f>SUM(T3+T4+T13)</f>
        <v>3557.7</v>
      </c>
      <c r="O25" s="323"/>
      <c r="P25" s="324"/>
      <c r="U25" s="325">
        <f t="shared" si="6"/>
        <v>42692.399999999994</v>
      </c>
    </row>
    <row r="26" spans="1:31" x14ac:dyDescent="0.2">
      <c r="A26" s="326"/>
      <c r="B26" s="327"/>
      <c r="C26" s="327"/>
      <c r="D26" s="327"/>
      <c r="E26" s="313" t="s">
        <v>391</v>
      </c>
      <c r="H26" s="313">
        <f>SUM(G19)</f>
        <v>132.47999999999999</v>
      </c>
      <c r="L26" s="321" t="s">
        <v>392</v>
      </c>
      <c r="M26" s="322"/>
      <c r="N26" s="323">
        <f>SUM(T5+T8+T11+T14+T18)</f>
        <v>7490.2</v>
      </c>
      <c r="O26" s="323"/>
      <c r="P26" s="324"/>
      <c r="U26" s="325">
        <f t="shared" si="6"/>
        <v>89882.4</v>
      </c>
    </row>
    <row r="27" spans="1:31" x14ac:dyDescent="0.2">
      <c r="A27" s="326"/>
      <c r="B27" s="327"/>
      <c r="C27" s="327"/>
      <c r="D27" s="327"/>
      <c r="E27" s="313" t="s">
        <v>393</v>
      </c>
      <c r="H27" s="313">
        <f>SUM(F19)</f>
        <v>175</v>
      </c>
      <c r="L27" s="321"/>
      <c r="M27" s="322"/>
      <c r="N27" s="328">
        <f>SUM(N23:N26)</f>
        <v>21092.980000000003</v>
      </c>
      <c r="O27" s="323"/>
      <c r="P27" s="324" t="s">
        <v>376</v>
      </c>
      <c r="X27" s="321" t="s">
        <v>387</v>
      </c>
      <c r="Y27" s="321" t="s">
        <v>308</v>
      </c>
      <c r="Z27" s="321" t="s">
        <v>390</v>
      </c>
      <c r="AA27" s="321" t="s">
        <v>392</v>
      </c>
    </row>
    <row r="28" spans="1:31" x14ac:dyDescent="0.2">
      <c r="A28" s="326"/>
      <c r="B28" s="327"/>
      <c r="C28" s="327"/>
      <c r="D28" s="327"/>
      <c r="L28" s="321"/>
      <c r="M28" s="322"/>
      <c r="N28" s="329"/>
      <c r="O28" s="329"/>
      <c r="P28" s="324"/>
      <c r="X28" s="330">
        <v>54938.05</v>
      </c>
      <c r="Y28" s="331">
        <v>72309.75</v>
      </c>
      <c r="Z28" s="330">
        <v>45425.25</v>
      </c>
      <c r="AA28" s="330">
        <v>124642.49999999997</v>
      </c>
    </row>
    <row r="29" spans="1:31" x14ac:dyDescent="0.2">
      <c r="A29" s="326"/>
      <c r="B29" s="327"/>
      <c r="C29" s="327"/>
      <c r="D29" s="327"/>
      <c r="H29" s="332">
        <f>SUM(H23:H28)</f>
        <v>21689.1</v>
      </c>
      <c r="L29" s="321" t="s">
        <v>394</v>
      </c>
      <c r="M29" s="322"/>
      <c r="N29" s="322">
        <f>SUM(R19)</f>
        <v>0</v>
      </c>
      <c r="O29" s="322"/>
      <c r="P29" s="324"/>
    </row>
    <row r="30" spans="1:31" ht="15.75" thickBot="1" x14ac:dyDescent="0.25">
      <c r="A30" s="333"/>
      <c r="B30" s="334"/>
      <c r="C30" s="334"/>
      <c r="D30" s="334"/>
      <c r="L30" s="321" t="s">
        <v>395</v>
      </c>
      <c r="M30" s="322"/>
      <c r="N30" s="322">
        <v>192.48</v>
      </c>
      <c r="O30" s="322"/>
      <c r="P30" s="324"/>
    </row>
    <row r="31" spans="1:31" ht="15.75" thickBot="1" x14ac:dyDescent="0.25">
      <c r="E31" s="335" t="s">
        <v>396</v>
      </c>
      <c r="F31" s="336"/>
      <c r="G31" s="337"/>
      <c r="L31" s="321" t="s">
        <v>397</v>
      </c>
      <c r="M31" s="322"/>
      <c r="N31" s="322">
        <f>SUM(B3:B18)</f>
        <v>16</v>
      </c>
      <c r="O31" s="322"/>
      <c r="P31" s="324"/>
    </row>
    <row r="32" spans="1:31" x14ac:dyDescent="0.2">
      <c r="A32" s="338" t="s">
        <v>398</v>
      </c>
      <c r="B32" s="339">
        <f>SUM(P19)</f>
        <v>21689.100000000006</v>
      </c>
      <c r="C32" s="340"/>
      <c r="E32" s="341"/>
      <c r="F32" s="342"/>
      <c r="G32" s="343"/>
      <c r="L32" s="321" t="s">
        <v>399</v>
      </c>
      <c r="M32" s="322"/>
      <c r="N32" s="322">
        <f>SUM(E19)</f>
        <v>387.64</v>
      </c>
      <c r="O32" s="322"/>
      <c r="P32" s="324"/>
    </row>
    <row r="33" spans="1:19" x14ac:dyDescent="0.2">
      <c r="A33" s="344" t="s">
        <v>400</v>
      </c>
      <c r="B33" s="345">
        <f>SUM(G39)</f>
        <v>193.82</v>
      </c>
      <c r="C33" s="346"/>
      <c r="E33" s="341"/>
      <c r="F33" s="347">
        <v>205</v>
      </c>
      <c r="G33" s="348">
        <f>SUM(E3/2)</f>
        <v>41.75</v>
      </c>
      <c r="L33" s="321"/>
      <c r="M33" s="322"/>
      <c r="N33" s="322"/>
      <c r="O33" s="322"/>
      <c r="P33" s="324"/>
    </row>
    <row r="34" spans="1:19" ht="15.75" thickBot="1" x14ac:dyDescent="0.25">
      <c r="A34" s="349" t="s">
        <v>401</v>
      </c>
      <c r="B34" s="350">
        <f>SUM(B32-B33)</f>
        <v>21495.280000000006</v>
      </c>
      <c r="C34" s="351"/>
      <c r="E34" s="352"/>
      <c r="F34" s="353">
        <v>175</v>
      </c>
      <c r="G34" s="348">
        <f>SUM(E10/2)</f>
        <v>110.41</v>
      </c>
      <c r="H34" s="354"/>
      <c r="I34" s="354"/>
      <c r="J34" s="354"/>
      <c r="K34" s="354"/>
      <c r="L34" s="355" t="s">
        <v>376</v>
      </c>
      <c r="M34" s="356"/>
      <c r="N34" s="356">
        <f>SUM(N27:N33)</f>
        <v>21689.100000000002</v>
      </c>
      <c r="O34" s="356"/>
      <c r="P34" s="357"/>
    </row>
    <row r="35" spans="1:19" x14ac:dyDescent="0.2">
      <c r="E35" s="352"/>
      <c r="F35" s="353">
        <v>173</v>
      </c>
      <c r="G35" s="348">
        <f>SUM(E14/2)</f>
        <v>41.66</v>
      </c>
      <c r="H35" s="354"/>
      <c r="I35" s="354"/>
      <c r="J35" s="354"/>
      <c r="K35" s="354"/>
      <c r="S35" s="313"/>
    </row>
    <row r="36" spans="1:19" x14ac:dyDescent="0.2">
      <c r="E36" s="352"/>
      <c r="F36" s="358"/>
      <c r="G36" s="348"/>
      <c r="H36" s="354"/>
      <c r="I36" s="354"/>
      <c r="J36" s="354"/>
      <c r="K36" s="354"/>
    </row>
    <row r="37" spans="1:19" x14ac:dyDescent="0.2">
      <c r="E37" s="352"/>
      <c r="F37" s="358"/>
      <c r="G37" s="348"/>
    </row>
    <row r="38" spans="1:19" x14ac:dyDescent="0.2">
      <c r="E38" s="352"/>
      <c r="F38" s="358"/>
      <c r="G38" s="348"/>
    </row>
    <row r="39" spans="1:19" x14ac:dyDescent="0.2">
      <c r="E39" s="352"/>
      <c r="F39" s="358" t="s">
        <v>376</v>
      </c>
      <c r="G39" s="348">
        <f>SUM(G33:G36)</f>
        <v>193.82</v>
      </c>
    </row>
    <row r="40" spans="1:19" ht="15.75" thickBot="1" x14ac:dyDescent="0.25">
      <c r="E40" s="359"/>
      <c r="F40" s="360"/>
      <c r="G40" s="36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Proforma</vt:lpstr>
      <vt:lpstr>mtrx</vt:lpstr>
      <vt:lpstr>AlocDep</vt:lpstr>
      <vt:lpstr>Debt</vt:lpstr>
      <vt:lpstr>DSalloc</vt:lpstr>
      <vt:lpstr>Sys</vt:lpstr>
      <vt:lpstr>Fac</vt:lpstr>
      <vt:lpstr>Whol</vt:lpstr>
      <vt:lpstr>Ins. Cont.</vt:lpstr>
      <vt:lpstr>AlocDep!Print_Area</vt:lpstr>
      <vt:lpstr>Debt!Print_Area</vt:lpstr>
      <vt:lpstr>DSalloc!Print_Area</vt:lpstr>
      <vt:lpstr>Fac!Print_Area</vt:lpstr>
      <vt:lpstr>mtrx!Print_Area</vt:lpstr>
      <vt:lpstr>Sys!Print_Area</vt:lpstr>
      <vt:lpstr>Whol!Print_Area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Todd Osterloh</cp:lastModifiedBy>
  <cp:lastPrinted>2019-05-30T19:06:20Z</cp:lastPrinted>
  <dcterms:created xsi:type="dcterms:W3CDTF">2016-05-18T14:12:06Z</dcterms:created>
  <dcterms:modified xsi:type="dcterms:W3CDTF">2020-05-22T17:58:05Z</dcterms:modified>
</cp:coreProperties>
</file>