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315" windowHeight="7995"/>
  </bookViews>
  <sheets>
    <sheet name="Data Input &amp; Totals" sheetId="4" r:id="rId1"/>
    <sheet name="Admin" sheetId="1" r:id="rId2"/>
    <sheet name="WTP" sheetId="2" r:id="rId3"/>
    <sheet name="WWTP" sheetId="3" r:id="rId4"/>
    <sheet name="MAINT" sheetId="5" r:id="rId5"/>
  </sheets>
  <calcPr calcId="125725" iterate="1" iterateCount="1"/>
</workbook>
</file>

<file path=xl/calcChain.xml><?xml version="1.0" encoding="utf-8"?>
<calcChain xmlns="http://schemas.openxmlformats.org/spreadsheetml/2006/main">
  <c r="F35" i="3"/>
  <c r="I25" i="5"/>
  <c r="I17"/>
  <c r="G13"/>
  <c r="D13"/>
  <c r="I13" s="1"/>
  <c r="E13"/>
  <c r="F13"/>
  <c r="H30"/>
  <c r="H29"/>
  <c r="H28"/>
  <c r="H27"/>
  <c r="H14"/>
  <c r="C30"/>
  <c r="C29"/>
  <c r="C28"/>
  <c r="C27"/>
  <c r="C14"/>
  <c r="D17" i="4" l="1"/>
  <c r="B10"/>
  <c r="H97"/>
  <c r="G98"/>
  <c r="G96"/>
  <c r="G95"/>
  <c r="G94"/>
  <c r="G93"/>
  <c r="G88"/>
  <c r="B88"/>
  <c r="G71"/>
  <c r="B71"/>
  <c r="G54"/>
  <c r="B54"/>
  <c r="G37"/>
  <c r="D16"/>
  <c r="B18"/>
  <c r="H18" s="1"/>
  <c r="B37"/>
  <c r="G30" i="5"/>
  <c r="G29"/>
  <c r="G28"/>
  <c r="G27"/>
  <c r="G14"/>
  <c r="I14" s="1"/>
  <c r="H13" i="2"/>
  <c r="F30" i="5"/>
  <c r="E30"/>
  <c r="D30"/>
  <c r="I30" s="1"/>
  <c r="F29"/>
  <c r="E29"/>
  <c r="D29"/>
  <c r="F28"/>
  <c r="E28"/>
  <c r="D28"/>
  <c r="F27"/>
  <c r="E27"/>
  <c r="D27"/>
  <c r="I27" s="1"/>
  <c r="B26"/>
  <c r="B22"/>
  <c r="B21"/>
  <c r="F14"/>
  <c r="E14"/>
  <c r="D14"/>
  <c r="B7"/>
  <c r="H7" s="1"/>
  <c r="H9" s="1"/>
  <c r="E30" i="3"/>
  <c r="D30"/>
  <c r="C30"/>
  <c r="E29"/>
  <c r="D29"/>
  <c r="C29"/>
  <c r="E28"/>
  <c r="D28"/>
  <c r="C28"/>
  <c r="E27"/>
  <c r="D27"/>
  <c r="C27"/>
  <c r="B26"/>
  <c r="C26" s="1"/>
  <c r="H25"/>
  <c r="B22"/>
  <c r="B21"/>
  <c r="H17"/>
  <c r="E14"/>
  <c r="D14"/>
  <c r="C14"/>
  <c r="B7"/>
  <c r="E7" s="1"/>
  <c r="E9" s="1"/>
  <c r="B30" i="1"/>
  <c r="F30" s="1"/>
  <c r="B29"/>
  <c r="C29" s="1"/>
  <c r="B28"/>
  <c r="F28" s="1"/>
  <c r="B27"/>
  <c r="D27" s="1"/>
  <c r="F30" i="2"/>
  <c r="E30"/>
  <c r="D30"/>
  <c r="F29"/>
  <c r="E29"/>
  <c r="D29"/>
  <c r="F28"/>
  <c r="E28"/>
  <c r="D28"/>
  <c r="F27"/>
  <c r="E27"/>
  <c r="D27"/>
  <c r="C30"/>
  <c r="C29"/>
  <c r="C28"/>
  <c r="C27"/>
  <c r="F14"/>
  <c r="E14"/>
  <c r="D14"/>
  <c r="C14"/>
  <c r="B26"/>
  <c r="H25"/>
  <c r="B22"/>
  <c r="B21"/>
  <c r="H17"/>
  <c r="D15" i="4" s="1"/>
  <c r="B7" i="2"/>
  <c r="F7" s="1"/>
  <c r="I25" i="1"/>
  <c r="I17"/>
  <c r="D14" i="4" s="1"/>
  <c r="I15" i="1"/>
  <c r="G9"/>
  <c r="G10" s="1"/>
  <c r="G18" s="1"/>
  <c r="B26"/>
  <c r="G26" s="1"/>
  <c r="G31" s="1"/>
  <c r="B22"/>
  <c r="B21"/>
  <c r="D7"/>
  <c r="D9" s="1"/>
  <c r="D10" s="1"/>
  <c r="I28" i="5" l="1"/>
  <c r="I29"/>
  <c r="H29" i="3"/>
  <c r="H27" i="2"/>
  <c r="H30"/>
  <c r="C26" i="5"/>
  <c r="H26"/>
  <c r="H31" s="1"/>
  <c r="H15"/>
  <c r="H10"/>
  <c r="C9"/>
  <c r="C31" i="3"/>
  <c r="D31"/>
  <c r="H30"/>
  <c r="H27"/>
  <c r="H28"/>
  <c r="H29" i="2"/>
  <c r="H14"/>
  <c r="G11" i="1"/>
  <c r="D19" i="4"/>
  <c r="C7" i="2"/>
  <c r="C9" s="1"/>
  <c r="D7"/>
  <c r="D9" s="1"/>
  <c r="D15" s="1"/>
  <c r="D30" i="1"/>
  <c r="D7" i="3"/>
  <c r="D9" s="1"/>
  <c r="F27" i="1"/>
  <c r="C7" i="3"/>
  <c r="C9" s="1"/>
  <c r="C10" s="1"/>
  <c r="E27" i="1"/>
  <c r="E26" i="2"/>
  <c r="E31" s="1"/>
  <c r="E30" i="1"/>
  <c r="E10" i="3"/>
  <c r="E16"/>
  <c r="C27" i="1"/>
  <c r="E28"/>
  <c r="F29"/>
  <c r="F9" i="2"/>
  <c r="C30" i="1"/>
  <c r="D28"/>
  <c r="E29"/>
  <c r="D29"/>
  <c r="C28"/>
  <c r="G7" i="5"/>
  <c r="G9" s="1"/>
  <c r="G16" s="1"/>
  <c r="G26"/>
  <c r="G31" s="1"/>
  <c r="F26"/>
  <c r="F31" s="1"/>
  <c r="E7"/>
  <c r="E9" s="1"/>
  <c r="D26"/>
  <c r="D7"/>
  <c r="D9" s="1"/>
  <c r="F7"/>
  <c r="F9" s="1"/>
  <c r="E26"/>
  <c r="E31" s="1"/>
  <c r="E15" i="3"/>
  <c r="E31"/>
  <c r="H28" i="2"/>
  <c r="E7"/>
  <c r="E9" s="1"/>
  <c r="E15" s="1"/>
  <c r="C26"/>
  <c r="D31" s="1"/>
  <c r="F31"/>
  <c r="G21" i="1"/>
  <c r="G33" s="1"/>
  <c r="E26"/>
  <c r="D26"/>
  <c r="D16"/>
  <c r="D18" s="1"/>
  <c r="C26"/>
  <c r="C7"/>
  <c r="C9" s="1"/>
  <c r="C10" s="1"/>
  <c r="F7"/>
  <c r="F9" s="1"/>
  <c r="F10" s="1"/>
  <c r="F18" s="1"/>
  <c r="E7"/>
  <c r="E9" s="1"/>
  <c r="I9" i="5" l="1"/>
  <c r="D10" i="3"/>
  <c r="D16"/>
  <c r="H16" s="1"/>
  <c r="C16" i="4" s="1"/>
  <c r="C15" i="2"/>
  <c r="H9"/>
  <c r="C31" i="5"/>
  <c r="I26"/>
  <c r="H18"/>
  <c r="C10"/>
  <c r="C15"/>
  <c r="H31" i="3"/>
  <c r="G16" i="4" s="1"/>
  <c r="F66" s="1"/>
  <c r="I30" i="1"/>
  <c r="I29"/>
  <c r="D10" i="2"/>
  <c r="F70" i="4"/>
  <c r="C16" i="2"/>
  <c r="D15" i="3"/>
  <c r="I27" i="1"/>
  <c r="C10" i="2"/>
  <c r="C15" i="3"/>
  <c r="C18" s="1"/>
  <c r="C21" s="1"/>
  <c r="E31" i="1"/>
  <c r="D18" i="2"/>
  <c r="D22" s="1"/>
  <c r="I28" i="1"/>
  <c r="F31"/>
  <c r="F10" i="2"/>
  <c r="F16"/>
  <c r="D31" i="1"/>
  <c r="F15" i="2"/>
  <c r="H15" s="1"/>
  <c r="E18" i="3"/>
  <c r="E21" s="1"/>
  <c r="E10" i="2"/>
  <c r="E16"/>
  <c r="G15" i="5"/>
  <c r="G10"/>
  <c r="D31"/>
  <c r="F15"/>
  <c r="F10"/>
  <c r="F16"/>
  <c r="E15"/>
  <c r="E10"/>
  <c r="D16"/>
  <c r="I16" s="1"/>
  <c r="D15"/>
  <c r="D10"/>
  <c r="H26" i="3"/>
  <c r="H10"/>
  <c r="H26" i="2"/>
  <c r="C31"/>
  <c r="H31" s="1"/>
  <c r="G15" i="4" s="1"/>
  <c r="I26" i="1"/>
  <c r="C31"/>
  <c r="D21"/>
  <c r="D22"/>
  <c r="F21"/>
  <c r="F22"/>
  <c r="E10"/>
  <c r="E16"/>
  <c r="C16"/>
  <c r="I15" i="5" l="1"/>
  <c r="D18" i="3"/>
  <c r="D21" s="1"/>
  <c r="F65" i="4"/>
  <c r="F63"/>
  <c r="F67"/>
  <c r="F60"/>
  <c r="F59"/>
  <c r="F68"/>
  <c r="I31" i="5"/>
  <c r="G17" i="4" s="1"/>
  <c r="F69"/>
  <c r="F62"/>
  <c r="F61"/>
  <c r="F64"/>
  <c r="H21" i="5"/>
  <c r="H22"/>
  <c r="I10"/>
  <c r="C18"/>
  <c r="C18" i="2"/>
  <c r="C22" s="1"/>
  <c r="C17" i="4"/>
  <c r="F50"/>
  <c r="F46"/>
  <c r="F42"/>
  <c r="F51"/>
  <c r="F47"/>
  <c r="F43"/>
  <c r="F52"/>
  <c r="F48"/>
  <c r="F44"/>
  <c r="F53"/>
  <c r="F49"/>
  <c r="F45"/>
  <c r="H15" i="3"/>
  <c r="B16" i="4" s="1"/>
  <c r="D22" i="3"/>
  <c r="D33" s="1"/>
  <c r="D21" i="2"/>
  <c r="H16"/>
  <c r="C15" i="4" s="1"/>
  <c r="F33" i="1"/>
  <c r="E22" i="3"/>
  <c r="E33" s="1"/>
  <c r="E18" i="2"/>
  <c r="E21" s="1"/>
  <c r="I31" i="1"/>
  <c r="G14" i="4" s="1"/>
  <c r="C22" i="3"/>
  <c r="C33" s="1"/>
  <c r="C35" s="1"/>
  <c r="F18" i="2"/>
  <c r="H10"/>
  <c r="B15" i="4" s="1"/>
  <c r="G18" i="5"/>
  <c r="G22" s="1"/>
  <c r="D33" i="1"/>
  <c r="F18" i="5"/>
  <c r="F22" s="1"/>
  <c r="D18"/>
  <c r="E18"/>
  <c r="H21" i="3"/>
  <c r="E16" i="4" s="1"/>
  <c r="H18" i="3"/>
  <c r="D33" i="2"/>
  <c r="C21"/>
  <c r="C18" i="1"/>
  <c r="C21" s="1"/>
  <c r="I10"/>
  <c r="B14" i="4" s="1"/>
  <c r="I16" i="1"/>
  <c r="C14" i="4" s="1"/>
  <c r="E18" i="1"/>
  <c r="I18" i="5" l="1"/>
  <c r="H33"/>
  <c r="D35" i="3"/>
  <c r="E35"/>
  <c r="D35" i="2"/>
  <c r="C22" i="5"/>
  <c r="C21"/>
  <c r="F79" i="4"/>
  <c r="F77"/>
  <c r="F80"/>
  <c r="F86"/>
  <c r="F82"/>
  <c r="F85"/>
  <c r="F87"/>
  <c r="F78"/>
  <c r="F81"/>
  <c r="F83"/>
  <c r="F76"/>
  <c r="F84"/>
  <c r="C62"/>
  <c r="E62" s="1"/>
  <c r="C67"/>
  <c r="E67" s="1"/>
  <c r="C61"/>
  <c r="E61" s="1"/>
  <c r="C63"/>
  <c r="E63" s="1"/>
  <c r="C68"/>
  <c r="E68" s="1"/>
  <c r="C64"/>
  <c r="E64" s="1"/>
  <c r="C69"/>
  <c r="E69" s="1"/>
  <c r="C65"/>
  <c r="E65" s="1"/>
  <c r="C59"/>
  <c r="E59" s="1"/>
  <c r="C70"/>
  <c r="E70" s="1"/>
  <c r="C66"/>
  <c r="E66" s="1"/>
  <c r="C60"/>
  <c r="E60" s="1"/>
  <c r="G19"/>
  <c r="F35"/>
  <c r="F33"/>
  <c r="F31"/>
  <c r="F29"/>
  <c r="F27"/>
  <c r="F25"/>
  <c r="F36"/>
  <c r="F34"/>
  <c r="F32"/>
  <c r="F30"/>
  <c r="F28"/>
  <c r="F26"/>
  <c r="C51"/>
  <c r="C52"/>
  <c r="C48"/>
  <c r="C42"/>
  <c r="C53"/>
  <c r="C49"/>
  <c r="C43"/>
  <c r="C45"/>
  <c r="C50"/>
  <c r="C44"/>
  <c r="C46"/>
  <c r="C47"/>
  <c r="F54"/>
  <c r="F94" s="1"/>
  <c r="F71"/>
  <c r="F95" s="1"/>
  <c r="C34"/>
  <c r="E34" s="1"/>
  <c r="C35"/>
  <c r="E35" s="1"/>
  <c r="C31"/>
  <c r="E31" s="1"/>
  <c r="C25"/>
  <c r="E25" s="1"/>
  <c r="C36"/>
  <c r="E36" s="1"/>
  <c r="C32"/>
  <c r="E32" s="1"/>
  <c r="C26"/>
  <c r="E26" s="1"/>
  <c r="C28"/>
  <c r="E28" s="1"/>
  <c r="C33"/>
  <c r="E33" s="1"/>
  <c r="C27"/>
  <c r="E27" s="1"/>
  <c r="C29"/>
  <c r="E29" s="1"/>
  <c r="C30"/>
  <c r="E30" s="1"/>
  <c r="C19"/>
  <c r="G21" i="5"/>
  <c r="G33" s="1"/>
  <c r="G35" s="1"/>
  <c r="B17" i="4"/>
  <c r="H22" i="3"/>
  <c r="F16" i="4" s="1"/>
  <c r="H16" s="1"/>
  <c r="H33" i="3"/>
  <c r="H18" i="2"/>
  <c r="E22"/>
  <c r="E33" s="1"/>
  <c r="E35" s="1"/>
  <c r="C22" i="1"/>
  <c r="C33" s="1"/>
  <c r="F22" i="2"/>
  <c r="F21"/>
  <c r="H21" s="1"/>
  <c r="E15" i="4" s="1"/>
  <c r="F21" i="5"/>
  <c r="F33" s="1"/>
  <c r="F35" s="1"/>
  <c r="E22"/>
  <c r="E21"/>
  <c r="D21"/>
  <c r="D22"/>
  <c r="C33" i="2"/>
  <c r="C35" s="1"/>
  <c r="I18" i="1"/>
  <c r="E22"/>
  <c r="E21"/>
  <c r="I21" s="1"/>
  <c r="E14" i="4" s="1"/>
  <c r="I22" i="5" l="1"/>
  <c r="F17" i="4" s="1"/>
  <c r="I21" i="5"/>
  <c r="E17" i="4" s="1"/>
  <c r="E19" s="1"/>
  <c r="C35" i="1"/>
  <c r="C36"/>
  <c r="H35" i="5"/>
  <c r="C33"/>
  <c r="C35" s="1"/>
  <c r="F88" i="4"/>
  <c r="F96" s="1"/>
  <c r="B19"/>
  <c r="C79"/>
  <c r="C86"/>
  <c r="C82"/>
  <c r="C76"/>
  <c r="C87"/>
  <c r="C83"/>
  <c r="C77"/>
  <c r="C84"/>
  <c r="C78"/>
  <c r="C80"/>
  <c r="C85"/>
  <c r="C81"/>
  <c r="D29"/>
  <c r="H29" s="1"/>
  <c r="D26"/>
  <c r="H26" s="1"/>
  <c r="D30"/>
  <c r="H30" s="1"/>
  <c r="D25"/>
  <c r="E44"/>
  <c r="D44"/>
  <c r="D64"/>
  <c r="H64" s="1"/>
  <c r="D52"/>
  <c r="E52"/>
  <c r="E51"/>
  <c r="D51"/>
  <c r="D33"/>
  <c r="H33" s="1"/>
  <c r="D36"/>
  <c r="H36" s="1"/>
  <c r="D34"/>
  <c r="H34" s="1"/>
  <c r="E46"/>
  <c r="D46"/>
  <c r="D70"/>
  <c r="D60"/>
  <c r="D53"/>
  <c r="E53"/>
  <c r="D48"/>
  <c r="E48"/>
  <c r="D27"/>
  <c r="H27" s="1"/>
  <c r="D32"/>
  <c r="H32" s="1"/>
  <c r="D35"/>
  <c r="H35" s="1"/>
  <c r="E47"/>
  <c r="D47"/>
  <c r="D66"/>
  <c r="D45"/>
  <c r="E45"/>
  <c r="E49"/>
  <c r="D49"/>
  <c r="E42"/>
  <c r="D42"/>
  <c r="C54"/>
  <c r="C94" s="1"/>
  <c r="D61"/>
  <c r="H61" s="1"/>
  <c r="F37"/>
  <c r="F93" s="1"/>
  <c r="D65"/>
  <c r="H65" s="1"/>
  <c r="E50"/>
  <c r="D50"/>
  <c r="E43"/>
  <c r="D43"/>
  <c r="D68"/>
  <c r="D59"/>
  <c r="C71"/>
  <c r="C95" s="1"/>
  <c r="D69"/>
  <c r="H69" s="1"/>
  <c r="C37"/>
  <c r="C93" s="1"/>
  <c r="D28"/>
  <c r="H28" s="1"/>
  <c r="D67"/>
  <c r="D31"/>
  <c r="H31" s="1"/>
  <c r="H22" i="2"/>
  <c r="F15" i="4" s="1"/>
  <c r="H15" s="1"/>
  <c r="I22" i="1"/>
  <c r="F14" i="4" s="1"/>
  <c r="D33" i="5"/>
  <c r="D35" s="1"/>
  <c r="F33" i="2"/>
  <c r="E33" i="5"/>
  <c r="E35" s="1"/>
  <c r="E33" i="1"/>
  <c r="H33" i="2" l="1"/>
  <c r="F35"/>
  <c r="I33" i="1"/>
  <c r="I33" i="5"/>
  <c r="H45" i="4"/>
  <c r="H48"/>
  <c r="F98"/>
  <c r="H52"/>
  <c r="H49"/>
  <c r="H53"/>
  <c r="H43"/>
  <c r="F19"/>
  <c r="D78"/>
  <c r="E78"/>
  <c r="D87"/>
  <c r="E87"/>
  <c r="D79"/>
  <c r="E79"/>
  <c r="E80"/>
  <c r="D80"/>
  <c r="D83"/>
  <c r="E83"/>
  <c r="E86"/>
  <c r="D86"/>
  <c r="E85"/>
  <c r="D85"/>
  <c r="E77"/>
  <c r="D77"/>
  <c r="E82"/>
  <c r="D82"/>
  <c r="E81"/>
  <c r="D81"/>
  <c r="E84"/>
  <c r="D84"/>
  <c r="E76"/>
  <c r="D76"/>
  <c r="C88"/>
  <c r="C96" s="1"/>
  <c r="C98" s="1"/>
  <c r="H50"/>
  <c r="H44"/>
  <c r="H42"/>
  <c r="H46"/>
  <c r="H66"/>
  <c r="H68"/>
  <c r="H59"/>
  <c r="D62"/>
  <c r="D63"/>
  <c r="D37"/>
  <c r="D93" s="1"/>
  <c r="H60"/>
  <c r="H47"/>
  <c r="E37"/>
  <c r="E93" s="1"/>
  <c r="H67"/>
  <c r="E54"/>
  <c r="E94" s="1"/>
  <c r="H70"/>
  <c r="H51"/>
  <c r="H25"/>
  <c r="H37" s="1"/>
  <c r="H93" s="1"/>
  <c r="D54"/>
  <c r="D94" s="1"/>
  <c r="H14"/>
  <c r="H17"/>
  <c r="H87" l="1"/>
  <c r="H82"/>
  <c r="H78"/>
  <c r="H81"/>
  <c r="H80"/>
  <c r="H83"/>
  <c r="H84"/>
  <c r="H86"/>
  <c r="H79"/>
  <c r="H76"/>
  <c r="D88"/>
  <c r="D96" s="1"/>
  <c r="H77"/>
  <c r="E88"/>
  <c r="E96" s="1"/>
  <c r="H85"/>
  <c r="H54"/>
  <c r="H94" s="1"/>
  <c r="E71"/>
  <c r="E95" s="1"/>
  <c r="D71"/>
  <c r="D95" s="1"/>
  <c r="H62"/>
  <c r="H63"/>
  <c r="H19"/>
  <c r="E98" l="1"/>
  <c r="D98"/>
  <c r="H88"/>
  <c r="H96" s="1"/>
  <c r="H71"/>
  <c r="H95" s="1"/>
  <c r="H98" l="1"/>
</calcChain>
</file>

<file path=xl/comments1.xml><?xml version="1.0" encoding="utf-8"?>
<comments xmlns="http://schemas.openxmlformats.org/spreadsheetml/2006/main">
  <authors>
    <author>Window</author>
  </authors>
  <commentList>
    <comment ref="D10" authorId="0">
      <text>
        <r>
          <rPr>
            <b/>
            <sz val="9"/>
            <color indexed="81"/>
            <rFont val="Tahoma"/>
            <family val="2"/>
          </rPr>
          <t>Window:</t>
        </r>
        <r>
          <rPr>
            <sz val="9"/>
            <color indexed="81"/>
            <rFont val="Tahoma"/>
            <family val="2"/>
          </rPr>
          <t xml:space="preserve">
July board meeting approved increase to $66,750 retroactive to July 1st paycheck.</t>
        </r>
      </text>
    </comment>
    <comment ref="G10" authorId="0">
      <text>
        <r>
          <rPr>
            <b/>
            <sz val="9"/>
            <color indexed="81"/>
            <rFont val="Tahoma"/>
            <family val="2"/>
          </rPr>
          <t>Window:</t>
        </r>
        <r>
          <rPr>
            <sz val="9"/>
            <color indexed="81"/>
            <rFont val="Tahoma"/>
            <family val="2"/>
          </rPr>
          <t xml:space="preserve">
Utilize part-time 16 days a month x 8 hrs/day x 12 months</t>
        </r>
      </text>
    </comment>
    <comment ref="G11" authorId="0">
      <text>
        <r>
          <rPr>
            <b/>
            <sz val="9"/>
            <color indexed="81"/>
            <rFont val="Tahoma"/>
            <family val="2"/>
          </rPr>
          <t>Window:</t>
        </r>
        <r>
          <rPr>
            <sz val="9"/>
            <color indexed="81"/>
            <rFont val="Tahoma"/>
            <family val="2"/>
          </rPr>
          <t xml:space="preserve">
Weekly amount of part-time not applicable to CERS
</t>
        </r>
      </text>
    </comment>
  </commentList>
</comments>
</file>

<file path=xl/comments2.xml><?xml version="1.0" encoding="utf-8"?>
<comments xmlns="http://schemas.openxmlformats.org/spreadsheetml/2006/main">
  <authors>
    <author>Window</author>
  </authors>
  <commentList>
    <comment ref="D26" authorId="0">
      <text>
        <r>
          <rPr>
            <b/>
            <sz val="9"/>
            <color indexed="81"/>
            <rFont val="Tahoma"/>
            <family val="2"/>
          </rPr>
          <t>Window:</t>
        </r>
        <r>
          <rPr>
            <sz val="9"/>
            <color indexed="81"/>
            <rFont val="Tahoma"/>
            <family val="2"/>
          </rPr>
          <t xml:space="preserve">
Use family plan to be conservative
</t>
        </r>
      </text>
    </comment>
  </commentList>
</comments>
</file>

<file path=xl/comments3.xml><?xml version="1.0" encoding="utf-8"?>
<comments xmlns="http://schemas.openxmlformats.org/spreadsheetml/2006/main">
  <authors>
    <author>Window</author>
  </authors>
  <commentList>
    <comment ref="A16" authorId="0">
      <text>
        <r>
          <rPr>
            <b/>
            <sz val="9"/>
            <color indexed="81"/>
            <rFont val="Tahoma"/>
            <family val="2"/>
          </rPr>
          <t>Window:</t>
        </r>
        <r>
          <rPr>
            <sz val="9"/>
            <color indexed="81"/>
            <rFont val="Tahoma"/>
            <family val="2"/>
          </rPr>
          <t xml:space="preserve">
Must input or delete formula based on individual employee</t>
        </r>
      </text>
    </comment>
    <comment ref="D26" authorId="0">
      <text>
        <r>
          <rPr>
            <b/>
            <sz val="9"/>
            <color indexed="81"/>
            <rFont val="Tahoma"/>
            <family val="2"/>
          </rPr>
          <t>Window:</t>
        </r>
        <r>
          <rPr>
            <sz val="9"/>
            <color indexed="81"/>
            <rFont val="Tahoma"/>
            <family val="2"/>
          </rPr>
          <t xml:space="preserve">
Use family plan to be conservative
</t>
        </r>
      </text>
    </comment>
    <comment ref="E26" authorId="0">
      <text>
        <r>
          <rPr>
            <b/>
            <sz val="9"/>
            <color indexed="81"/>
            <rFont val="Tahoma"/>
            <family val="2"/>
          </rPr>
          <t>Window:</t>
        </r>
        <r>
          <rPr>
            <sz val="9"/>
            <color indexed="81"/>
            <rFont val="Tahoma"/>
            <family val="2"/>
          </rPr>
          <t xml:space="preserve">
Use family plan to be conservative
</t>
        </r>
      </text>
    </comment>
  </commentList>
</comments>
</file>

<file path=xl/comments4.xml><?xml version="1.0" encoding="utf-8"?>
<comments xmlns="http://schemas.openxmlformats.org/spreadsheetml/2006/main">
  <authors>
    <author>Window</author>
  </authors>
  <commentList>
    <comment ref="C13" authorId="0">
      <text>
        <r>
          <rPr>
            <b/>
            <sz val="9"/>
            <color indexed="81"/>
            <rFont val="Tahoma"/>
            <family val="2"/>
          </rPr>
          <t>Window:</t>
        </r>
        <r>
          <rPr>
            <sz val="9"/>
            <color indexed="81"/>
            <rFont val="Tahoma"/>
            <family val="2"/>
          </rPr>
          <t xml:space="preserve">
Used average of other four guys
</t>
        </r>
      </text>
    </comment>
    <comment ref="H13" authorId="0">
      <text>
        <r>
          <rPr>
            <b/>
            <sz val="9"/>
            <color indexed="81"/>
            <rFont val="Tahoma"/>
            <family val="2"/>
          </rPr>
          <t>Window:</t>
        </r>
        <r>
          <rPr>
            <sz val="9"/>
            <color indexed="81"/>
            <rFont val="Tahoma"/>
            <family val="2"/>
          </rPr>
          <t xml:space="preserve">
Used average of other four guys
</t>
        </r>
      </text>
    </comment>
  </commentList>
</comments>
</file>

<file path=xl/sharedStrings.xml><?xml version="1.0" encoding="utf-8"?>
<sst xmlns="http://schemas.openxmlformats.org/spreadsheetml/2006/main" count="253" uniqueCount="74">
  <si>
    <t>Total Employee Benefits</t>
  </si>
  <si>
    <t>Xmas</t>
  </si>
  <si>
    <t>CERS</t>
  </si>
  <si>
    <t>Cost of Living Adj</t>
  </si>
  <si>
    <t>Merit Increase</t>
  </si>
  <si>
    <t>2019 Hourly Rate</t>
  </si>
  <si>
    <t>Call &amp; Overtime</t>
  </si>
  <si>
    <t>Vacation Payout</t>
  </si>
  <si>
    <t>Christmas Bonus</t>
  </si>
  <si>
    <t>Total Gross Wages</t>
  </si>
  <si>
    <t>Social Security &amp; Medicare</t>
  </si>
  <si>
    <t>CERS Employer Match</t>
  </si>
  <si>
    <t>Employee Benefits</t>
  </si>
  <si>
    <t>Wage &amp; Benefit Category</t>
  </si>
  <si>
    <t>Health Insurance Increase</t>
  </si>
  <si>
    <t>FICA &amp; Medicare</t>
  </si>
  <si>
    <t>Retirement Match</t>
  </si>
  <si>
    <t>Health Administration Fee</t>
  </si>
  <si>
    <t>Projected</t>
  </si>
  <si>
    <t>Rates/Inc</t>
  </si>
  <si>
    <t>Total Compensation Package</t>
  </si>
  <si>
    <t>Cost of Living Adjustment</t>
  </si>
  <si>
    <t>OT Hours YTD</t>
  </si>
  <si>
    <t>OT Hours Projected</t>
  </si>
  <si>
    <t># Months of OT Input</t>
  </si>
  <si>
    <t>Health (second half) / month</t>
  </si>
  <si>
    <t>Health (first half) / month</t>
  </si>
  <si>
    <t>Dental / Month</t>
  </si>
  <si>
    <t>Vision / Month</t>
  </si>
  <si>
    <t>Life / Month</t>
  </si>
  <si>
    <t>Retirement</t>
  </si>
  <si>
    <t>DEPARTMENT</t>
  </si>
  <si>
    <t>TOTALS FOR</t>
  </si>
  <si>
    <t>OT Hours Projected Annually</t>
  </si>
  <si>
    <t># Weeks</t>
  </si>
  <si>
    <t>July</t>
  </si>
  <si>
    <t>Aug</t>
  </si>
  <si>
    <t>Sept</t>
  </si>
  <si>
    <t>Dec</t>
  </si>
  <si>
    <t>Jan</t>
  </si>
  <si>
    <t>Feb</t>
  </si>
  <si>
    <t>Mar</t>
  </si>
  <si>
    <t>Apr</t>
  </si>
  <si>
    <t>May</t>
  </si>
  <si>
    <t>June</t>
  </si>
  <si>
    <t>FICA + Med</t>
  </si>
  <si>
    <t>Benefits</t>
  </si>
  <si>
    <t>Uniforms</t>
  </si>
  <si>
    <t>Gross Wages</t>
  </si>
  <si>
    <t>Administration</t>
  </si>
  <si>
    <t>Water Treatment</t>
  </si>
  <si>
    <t>Wastewater Treatment</t>
  </si>
  <si>
    <t>Maintenance</t>
  </si>
  <si>
    <t>Commission</t>
  </si>
  <si>
    <t>VAC Payout</t>
  </si>
  <si>
    <t>Base + OT</t>
  </si>
  <si>
    <t>TOTAL</t>
  </si>
  <si>
    <t>COMPENSATION</t>
  </si>
  <si>
    <t>Monthly Accruals for Administration</t>
  </si>
  <si>
    <t>Oct + Vac Payout</t>
  </si>
  <si>
    <t>Nov + Xmas Bonus</t>
  </si>
  <si>
    <t>Merit Increase per Hour</t>
  </si>
  <si>
    <t>Monthly Accruals for Water Treatment</t>
  </si>
  <si>
    <t>Monthly Accruals for WasteWater Treatment</t>
  </si>
  <si>
    <t>Monthly Accruals for Maintenance</t>
  </si>
  <si>
    <t>Updated for FY2020</t>
  </si>
  <si>
    <t>2020 Hourly Rate</t>
  </si>
  <si>
    <t>2020 Base Wages</t>
  </si>
  <si>
    <t>2020</t>
  </si>
  <si>
    <t>avg</t>
  </si>
  <si>
    <t>Hourly Cost</t>
  </si>
  <si>
    <t>Adjusted Hourly (less Holidays and accruals (VAC,SICK, MLV)</t>
  </si>
  <si>
    <t>OPEN</t>
  </si>
  <si>
    <t>POSITION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</si>
</sst>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_(* #,##0_);_(* \(#,##0\);_(* &quot;-&quot;??_);_(@_)"/>
    <numFmt numFmtId="166" formatCode="_(&quot;$&quot;* #,##0_);_(&quot;$&quot;* \(#,##0\);_(&quot;$&quot;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164" fontId="2" fillId="0" borderId="0" xfId="0" applyNumberFormat="1" applyFont="1"/>
    <xf numFmtId="44" fontId="2" fillId="0" borderId="0" xfId="0" applyNumberFormat="1" applyFont="1"/>
    <xf numFmtId="43" fontId="2" fillId="0" borderId="0" xfId="1" applyFont="1"/>
    <xf numFmtId="44" fontId="2" fillId="0" borderId="0" xfId="2" applyFo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0" fontId="3" fillId="2" borderId="2" xfId="3" applyNumberFormat="1" applyFont="1" applyFill="1" applyBorder="1"/>
    <xf numFmtId="164" fontId="3" fillId="0" borderId="0" xfId="0" quotePrefix="1" applyNumberFormat="1" applyFont="1" applyAlignment="1">
      <alignment horizontal="center"/>
    </xf>
    <xf numFmtId="10" fontId="2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right"/>
    </xf>
    <xf numFmtId="44" fontId="2" fillId="0" borderId="1" xfId="2" applyFont="1" applyBorder="1"/>
    <xf numFmtId="0" fontId="2" fillId="0" borderId="1" xfId="0" applyFont="1" applyBorder="1"/>
    <xf numFmtId="44" fontId="3" fillId="0" borderId="0" xfId="0" applyNumberFormat="1" applyFont="1"/>
    <xf numFmtId="166" fontId="3" fillId="0" borderId="0" xfId="2" applyNumberFormat="1" applyFont="1"/>
    <xf numFmtId="166" fontId="2" fillId="0" borderId="0" xfId="2" applyNumberFormat="1" applyFont="1"/>
    <xf numFmtId="166" fontId="2" fillId="0" borderId="0" xfId="0" applyNumberFormat="1" applyFont="1"/>
    <xf numFmtId="166" fontId="3" fillId="0" borderId="0" xfId="0" applyNumberFormat="1" applyFont="1"/>
    <xf numFmtId="166" fontId="2" fillId="0" borderId="1" xfId="2" applyNumberFormat="1" applyFont="1" applyBorder="1"/>
    <xf numFmtId="166" fontId="3" fillId="0" borderId="1" xfId="0" applyNumberFormat="1" applyFont="1" applyBorder="1"/>
    <xf numFmtId="0" fontId="2" fillId="0" borderId="0" xfId="0" applyFont="1" applyFill="1"/>
    <xf numFmtId="43" fontId="2" fillId="2" borderId="2" xfId="1" applyFont="1" applyFill="1" applyBorder="1"/>
    <xf numFmtId="0" fontId="2" fillId="2" borderId="2" xfId="0" applyFont="1" applyFill="1" applyBorder="1"/>
    <xf numFmtId="44" fontId="2" fillId="2" borderId="2" xfId="2" applyFont="1" applyFill="1" applyBorder="1"/>
    <xf numFmtId="166" fontId="2" fillId="2" borderId="2" xfId="2" applyNumberFormat="1" applyFont="1" applyFill="1" applyBorder="1"/>
    <xf numFmtId="44" fontId="3" fillId="2" borderId="2" xfId="2" applyFont="1" applyFill="1" applyBorder="1"/>
    <xf numFmtId="43" fontId="3" fillId="0" borderId="0" xfId="1" applyFont="1"/>
    <xf numFmtId="43" fontId="3" fillId="0" borderId="0" xfId="0" applyNumberFormat="1" applyFont="1"/>
    <xf numFmtId="0" fontId="6" fillId="0" borderId="0" xfId="0" applyFont="1"/>
    <xf numFmtId="166" fontId="3" fillId="0" borderId="1" xfId="2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5" fontId="2" fillId="2" borderId="2" xfId="1" applyNumberFormat="1" applyFont="1" applyFill="1" applyBorder="1" applyAlignment="1">
      <alignment horizontal="center"/>
    </xf>
    <xf numFmtId="165" fontId="3" fillId="0" borderId="0" xfId="1" applyNumberFormat="1" applyFont="1" applyAlignment="1">
      <alignment horizontal="center"/>
    </xf>
    <xf numFmtId="166" fontId="3" fillId="0" borderId="3" xfId="2" applyNumberFormat="1" applyFont="1" applyBorder="1" applyAlignment="1">
      <alignment horizontal="center"/>
    </xf>
    <xf numFmtId="166" fontId="3" fillId="0" borderId="4" xfId="2" applyNumberFormat="1" applyFont="1" applyBorder="1" applyAlignment="1">
      <alignment horizontal="center"/>
    </xf>
    <xf numFmtId="166" fontId="3" fillId="0" borderId="4" xfId="2" applyNumberFormat="1" applyFont="1" applyFill="1" applyBorder="1" applyAlignment="1">
      <alignment horizontal="center"/>
    </xf>
    <xf numFmtId="166" fontId="3" fillId="0" borderId="5" xfId="2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6" fontId="2" fillId="0" borderId="4" xfId="2" applyNumberFormat="1" applyFont="1" applyBorder="1"/>
    <xf numFmtId="0" fontId="2" fillId="0" borderId="4" xfId="0" applyFont="1" applyBorder="1"/>
    <xf numFmtId="166" fontId="2" fillId="0" borderId="4" xfId="0" applyNumberFormat="1" applyFont="1" applyBorder="1"/>
    <xf numFmtId="166" fontId="2" fillId="0" borderId="9" xfId="2" applyNumberFormat="1" applyFont="1" applyBorder="1"/>
    <xf numFmtId="44" fontId="2" fillId="3" borderId="2" xfId="2" applyFont="1" applyFill="1" applyBorder="1"/>
    <xf numFmtId="44" fontId="2" fillId="0" borderId="0" xfId="0" applyNumberFormat="1" applyFont="1" applyFill="1"/>
    <xf numFmtId="166" fontId="2" fillId="2" borderId="0" xfId="2" applyNumberFormat="1" applyFont="1" applyFill="1"/>
    <xf numFmtId="43" fontId="2" fillId="4" borderId="2" xfId="1" applyFont="1" applyFill="1" applyBorder="1"/>
    <xf numFmtId="43" fontId="2" fillId="0" borderId="0" xfId="0" applyNumberFormat="1" applyFont="1"/>
    <xf numFmtId="44" fontId="3" fillId="0" borderId="0" xfId="2" applyFont="1"/>
    <xf numFmtId="166" fontId="2" fillId="5" borderId="0" xfId="2" applyNumberFormat="1" applyFont="1" applyFill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98"/>
  <sheetViews>
    <sheetView tabSelected="1" workbookViewId="0">
      <selection activeCell="K10" sqref="K10"/>
    </sheetView>
  </sheetViews>
  <sheetFormatPr defaultRowHeight="12.75"/>
  <cols>
    <col min="1" max="1" width="22.85546875" style="1" customWidth="1"/>
    <col min="2" max="2" width="9.7109375" style="1" customWidth="1"/>
    <col min="3" max="3" width="12" style="1" customWidth="1"/>
    <col min="4" max="4" width="10.42578125" style="1" customWidth="1"/>
    <col min="5" max="7" width="11" style="1" bestFit="1" customWidth="1"/>
    <col min="8" max="8" width="15.140625" style="1" customWidth="1"/>
    <col min="9" max="16384" width="9.140625" style="1"/>
  </cols>
  <sheetData>
    <row r="3" spans="1:8">
      <c r="A3" s="1" t="s">
        <v>3</v>
      </c>
      <c r="B3" s="11">
        <v>2.5000000000000001E-2</v>
      </c>
    </row>
    <row r="4" spans="1:8">
      <c r="A4" s="1" t="s">
        <v>15</v>
      </c>
      <c r="B4" s="11">
        <v>7.6499999999999999E-2</v>
      </c>
    </row>
    <row r="5" spans="1:8">
      <c r="A5" s="1" t="s">
        <v>16</v>
      </c>
      <c r="B5" s="11">
        <v>0.24060000000000001</v>
      </c>
    </row>
    <row r="6" spans="1:8">
      <c r="A6" s="1" t="s">
        <v>14</v>
      </c>
      <c r="B6" s="11">
        <v>0.06</v>
      </c>
    </row>
    <row r="7" spans="1:8">
      <c r="A7" s="1" t="s">
        <v>17</v>
      </c>
      <c r="B7" s="30">
        <v>9</v>
      </c>
    </row>
    <row r="8" spans="1:8">
      <c r="A8" s="1" t="s">
        <v>27</v>
      </c>
      <c r="B8" s="30">
        <v>36.15</v>
      </c>
    </row>
    <row r="9" spans="1:8">
      <c r="A9" s="1" t="s">
        <v>28</v>
      </c>
      <c r="B9" s="30">
        <v>7.02</v>
      </c>
    </row>
    <row r="10" spans="1:8">
      <c r="A10" s="1" t="s">
        <v>29</v>
      </c>
      <c r="B10" s="30">
        <f>9.88+1</f>
        <v>10.88</v>
      </c>
    </row>
    <row r="12" spans="1:8">
      <c r="H12" s="7" t="s">
        <v>56</v>
      </c>
    </row>
    <row r="13" spans="1:8" ht="13.5" thickBot="1">
      <c r="B13" s="42" t="s">
        <v>55</v>
      </c>
      <c r="C13" s="42" t="s">
        <v>54</v>
      </c>
      <c r="D13" s="42" t="s">
        <v>1</v>
      </c>
      <c r="E13" s="39" t="s">
        <v>45</v>
      </c>
      <c r="F13" s="39" t="s">
        <v>2</v>
      </c>
      <c r="G13" s="40" t="s">
        <v>46</v>
      </c>
      <c r="H13" s="42" t="s">
        <v>57</v>
      </c>
    </row>
    <row r="14" spans="1:8">
      <c r="A14" s="1" t="s">
        <v>49</v>
      </c>
      <c r="B14" s="20">
        <f>Admin!I10</f>
        <v>218336.22000000003</v>
      </c>
      <c r="C14" s="20">
        <f>Admin!I16</f>
        <v>3552.53</v>
      </c>
      <c r="D14" s="20">
        <f>Admin!I17</f>
        <v>5950</v>
      </c>
      <c r="E14" s="20">
        <f>Admin!I21</f>
        <v>17429.664374999997</v>
      </c>
      <c r="F14" s="20">
        <f>Admin!I22</f>
        <v>49523.840850000008</v>
      </c>
      <c r="G14" s="20">
        <f>Admin!I31</f>
        <v>58447.439999999995</v>
      </c>
      <c r="H14" s="21">
        <f>SUM(B14:G14)</f>
        <v>353239.69522500003</v>
      </c>
    </row>
    <row r="15" spans="1:8">
      <c r="A15" s="1" t="s">
        <v>50</v>
      </c>
      <c r="B15" s="20">
        <f>WTP!H10+WTP!H15</f>
        <v>161379.8084375</v>
      </c>
      <c r="C15" s="20">
        <f>WTP!H16</f>
        <v>2470.66</v>
      </c>
      <c r="D15" s="20">
        <f>WTP!H17</f>
        <v>2000</v>
      </c>
      <c r="E15" s="20">
        <f>WTP!H21</f>
        <v>12687.56083546875</v>
      </c>
      <c r="F15" s="20">
        <f>WTP!H22</f>
        <v>39903.622706062502</v>
      </c>
      <c r="G15" s="20">
        <f>WTP!H31</f>
        <v>71846.64</v>
      </c>
      <c r="H15" s="21">
        <f t="shared" ref="H15:H17" si="0">SUM(B15:G15)</f>
        <v>290288.29197903129</v>
      </c>
    </row>
    <row r="16" spans="1:8">
      <c r="A16" s="1" t="s">
        <v>51</v>
      </c>
      <c r="B16" s="20">
        <f>WWTP!H10+WWTP!H15</f>
        <v>113503</v>
      </c>
      <c r="C16" s="20">
        <f>WWTP!H16</f>
        <v>1568.25</v>
      </c>
      <c r="D16" s="20">
        <f>WWTP!H17</f>
        <v>1500</v>
      </c>
      <c r="E16" s="20">
        <f>WWTP!H21</f>
        <v>8917.7006249999995</v>
      </c>
      <c r="F16" s="20">
        <f>WWTP!H22</f>
        <v>28047.042750000001</v>
      </c>
      <c r="G16" s="20">
        <f>WWTP!H31</f>
        <v>51860.4</v>
      </c>
      <c r="H16" s="21">
        <f t="shared" si="0"/>
        <v>205396.39337499999</v>
      </c>
    </row>
    <row r="17" spans="1:8">
      <c r="A17" s="1" t="s">
        <v>52</v>
      </c>
      <c r="B17" s="20">
        <f>MAINT!I10+MAINT!I15</f>
        <v>284012.053625</v>
      </c>
      <c r="C17" s="20">
        <f>MAINT!I16</f>
        <v>2411.92</v>
      </c>
      <c r="D17" s="20">
        <f>MAINT!I17</f>
        <v>3000</v>
      </c>
      <c r="E17" s="20">
        <f>MAINT!I21</f>
        <v>22140.933982312497</v>
      </c>
      <c r="F17" s="20">
        <f>MAINT!I22</f>
        <v>69635.408054175001</v>
      </c>
      <c r="G17" s="20">
        <f>MAINT!I31</f>
        <v>114962.4</v>
      </c>
      <c r="H17" s="21">
        <f t="shared" si="0"/>
        <v>496162.71566148754</v>
      </c>
    </row>
    <row r="18" spans="1:8" ht="13.5" thickBot="1">
      <c r="A18" s="1" t="s">
        <v>53</v>
      </c>
      <c r="B18" s="43">
        <f>5*150*12</f>
        <v>9000</v>
      </c>
      <c r="C18" s="44"/>
      <c r="D18" s="44"/>
      <c r="E18" s="44"/>
      <c r="F18" s="44"/>
      <c r="G18" s="44"/>
      <c r="H18" s="45">
        <f>SUM(B18:G18)</f>
        <v>9000</v>
      </c>
    </row>
    <row r="19" spans="1:8">
      <c r="B19" s="22">
        <f>SUM(B14:B18)</f>
        <v>786231.08206250006</v>
      </c>
      <c r="C19" s="22">
        <f t="shared" ref="C19:G19" si="1">SUM(C14:C18)</f>
        <v>10003.36</v>
      </c>
      <c r="D19" s="22">
        <f t="shared" si="1"/>
        <v>12450</v>
      </c>
      <c r="E19" s="22">
        <f t="shared" si="1"/>
        <v>61175.859817781246</v>
      </c>
      <c r="F19" s="22">
        <f t="shared" si="1"/>
        <v>187109.91436023751</v>
      </c>
      <c r="G19" s="22">
        <f t="shared" si="1"/>
        <v>297116.88</v>
      </c>
      <c r="H19" s="22">
        <f>SUM(H14:H18)</f>
        <v>1354087.0962405188</v>
      </c>
    </row>
    <row r="22" spans="1:8" ht="13.5" thickBot="1"/>
    <row r="23" spans="1:8">
      <c r="B23" s="20"/>
      <c r="C23" s="54" t="s">
        <v>58</v>
      </c>
      <c r="D23" s="55"/>
      <c r="E23" s="55"/>
      <c r="F23" s="55"/>
      <c r="G23" s="56"/>
      <c r="H23" s="7" t="s">
        <v>56</v>
      </c>
    </row>
    <row r="24" spans="1:8" ht="13.5" thickBot="1">
      <c r="A24" s="33" t="s">
        <v>65</v>
      </c>
      <c r="B24" s="34" t="s">
        <v>34</v>
      </c>
      <c r="C24" s="38" t="s">
        <v>48</v>
      </c>
      <c r="D24" s="39" t="s">
        <v>45</v>
      </c>
      <c r="E24" s="39" t="s">
        <v>2</v>
      </c>
      <c r="F24" s="40" t="s">
        <v>46</v>
      </c>
      <c r="G24" s="41" t="s">
        <v>47</v>
      </c>
      <c r="H24" s="42" t="s">
        <v>57</v>
      </c>
    </row>
    <row r="25" spans="1:8">
      <c r="A25" s="35" t="s">
        <v>35</v>
      </c>
      <c r="B25" s="36">
        <v>4</v>
      </c>
      <c r="C25" s="20">
        <f>B$14/52*$B25</f>
        <v>16795.09384615385</v>
      </c>
      <c r="D25" s="21">
        <f>C25*$B$4</f>
        <v>1284.8246792307696</v>
      </c>
      <c r="E25" s="21">
        <f>(C25*$B$5)-(Admin!G$10/52*B25*$B$5)</f>
        <v>3642.9101640000013</v>
      </c>
      <c r="F25" s="21">
        <f>$G$14/12</f>
        <v>4870.62</v>
      </c>
      <c r="H25" s="21">
        <f>SUM(C25:G25)</f>
        <v>26593.448689384619</v>
      </c>
    </row>
    <row r="26" spans="1:8">
      <c r="A26" s="35" t="s">
        <v>36</v>
      </c>
      <c r="B26" s="36">
        <v>5</v>
      </c>
      <c r="C26" s="20">
        <f t="shared" ref="C26:C36" si="2">B$14/52*$B26</f>
        <v>20993.867307692311</v>
      </c>
      <c r="D26" s="21">
        <f t="shared" ref="D26:D36" si="3">C26*$B$4</f>
        <v>1606.0308490384618</v>
      </c>
      <c r="E26" s="21">
        <f>(C26*$B$5)-(Admin!G$10/52*B26*$B$5)</f>
        <v>4553.637705000001</v>
      </c>
      <c r="F26" s="21">
        <f t="shared" ref="F26:F36" si="4">$G$14/12</f>
        <v>4870.62</v>
      </c>
      <c r="H26" s="21">
        <f t="shared" ref="H26:H36" si="5">SUM(C26:G26)</f>
        <v>32024.155861730775</v>
      </c>
    </row>
    <row r="27" spans="1:8">
      <c r="A27" s="35" t="s">
        <v>37</v>
      </c>
      <c r="B27" s="36">
        <v>4</v>
      </c>
      <c r="C27" s="20">
        <f t="shared" si="2"/>
        <v>16795.09384615385</v>
      </c>
      <c r="D27" s="21">
        <f t="shared" si="3"/>
        <v>1284.8246792307696</v>
      </c>
      <c r="E27" s="21">
        <f>(C27*$B$5)-(Admin!G$10/52*B27*$B$5)</f>
        <v>3642.9101640000013</v>
      </c>
      <c r="F27" s="21">
        <f t="shared" si="4"/>
        <v>4870.62</v>
      </c>
      <c r="H27" s="21">
        <f t="shared" si="5"/>
        <v>26593.448689384619</v>
      </c>
    </row>
    <row r="28" spans="1:8">
      <c r="A28" s="35" t="s">
        <v>59</v>
      </c>
      <c r="B28" s="36">
        <v>5</v>
      </c>
      <c r="C28" s="20">
        <f>(B$14/52*$B28)+C14</f>
        <v>24546.39730769231</v>
      </c>
      <c r="D28" s="21">
        <f t="shared" si="3"/>
        <v>1877.7993940384617</v>
      </c>
      <c r="E28" s="21">
        <f>(C28*$B$5)-(Admin!G$10/52*B28*$B$5)</f>
        <v>5408.3764230000015</v>
      </c>
      <c r="F28" s="21">
        <f t="shared" si="4"/>
        <v>4870.62</v>
      </c>
      <c r="H28" s="21">
        <f t="shared" si="5"/>
        <v>36703.193124730773</v>
      </c>
    </row>
    <row r="29" spans="1:8">
      <c r="A29" s="35" t="s">
        <v>60</v>
      </c>
      <c r="B29" s="36">
        <v>4</v>
      </c>
      <c r="C29" s="20">
        <f>(B$14/52*$B29)+D14</f>
        <v>22745.09384615385</v>
      </c>
      <c r="D29" s="21">
        <f t="shared" si="3"/>
        <v>1739.9996792307695</v>
      </c>
      <c r="E29" s="21">
        <f>(C29*$B$5)-(Admin!G$10/52*B29*$B$5)</f>
        <v>5074.4801640000014</v>
      </c>
      <c r="F29" s="21">
        <f t="shared" si="4"/>
        <v>4870.62</v>
      </c>
      <c r="H29" s="21">
        <f t="shared" si="5"/>
        <v>34430.193689384621</v>
      </c>
    </row>
    <row r="30" spans="1:8">
      <c r="A30" s="35" t="s">
        <v>38</v>
      </c>
      <c r="B30" s="36">
        <v>4</v>
      </c>
      <c r="C30" s="20">
        <f t="shared" si="2"/>
        <v>16795.09384615385</v>
      </c>
      <c r="D30" s="21">
        <f t="shared" si="3"/>
        <v>1284.8246792307696</v>
      </c>
      <c r="E30" s="21">
        <f>(C30*$B$5)-(Admin!G$10/52*B30*$B$5)</f>
        <v>3642.9101640000013</v>
      </c>
      <c r="F30" s="21">
        <f t="shared" si="4"/>
        <v>4870.62</v>
      </c>
      <c r="H30" s="21">
        <f t="shared" si="5"/>
        <v>26593.448689384619</v>
      </c>
    </row>
    <row r="31" spans="1:8">
      <c r="A31" s="35" t="s">
        <v>39</v>
      </c>
      <c r="B31" s="36">
        <v>5</v>
      </c>
      <c r="C31" s="20">
        <f t="shared" si="2"/>
        <v>20993.867307692311</v>
      </c>
      <c r="D31" s="21">
        <f t="shared" si="3"/>
        <v>1606.0308490384618</v>
      </c>
      <c r="E31" s="21">
        <f>(C31*$B$5)-(Admin!G$10/52*B31*$B$5)</f>
        <v>4553.637705000001</v>
      </c>
      <c r="F31" s="21">
        <f t="shared" si="4"/>
        <v>4870.62</v>
      </c>
      <c r="H31" s="21">
        <f t="shared" si="5"/>
        <v>32024.155861730775</v>
      </c>
    </row>
    <row r="32" spans="1:8">
      <c r="A32" s="35" t="s">
        <v>40</v>
      </c>
      <c r="B32" s="36">
        <v>4</v>
      </c>
      <c r="C32" s="20">
        <f t="shared" si="2"/>
        <v>16795.09384615385</v>
      </c>
      <c r="D32" s="21">
        <f t="shared" si="3"/>
        <v>1284.8246792307696</v>
      </c>
      <c r="E32" s="21">
        <f>(C32*$B$5)-(Admin!G$10/52*B32*$B$5)</f>
        <v>3642.9101640000013</v>
      </c>
      <c r="F32" s="21">
        <f t="shared" si="4"/>
        <v>4870.62</v>
      </c>
      <c r="H32" s="21">
        <f t="shared" si="5"/>
        <v>26593.448689384619</v>
      </c>
    </row>
    <row r="33" spans="1:8">
      <c r="A33" s="35" t="s">
        <v>41</v>
      </c>
      <c r="B33" s="36">
        <v>4</v>
      </c>
      <c r="C33" s="20">
        <f t="shared" si="2"/>
        <v>16795.09384615385</v>
      </c>
      <c r="D33" s="21">
        <f t="shared" si="3"/>
        <v>1284.8246792307696</v>
      </c>
      <c r="E33" s="21">
        <f>(C33*$B$5)-(Admin!G$10/52*B33*$B$5)</f>
        <v>3642.9101640000013</v>
      </c>
      <c r="F33" s="21">
        <f t="shared" si="4"/>
        <v>4870.62</v>
      </c>
      <c r="H33" s="21">
        <f t="shared" si="5"/>
        <v>26593.448689384619</v>
      </c>
    </row>
    <row r="34" spans="1:8">
      <c r="A34" s="35" t="s">
        <v>42</v>
      </c>
      <c r="B34" s="36">
        <v>5</v>
      </c>
      <c r="C34" s="20">
        <f t="shared" si="2"/>
        <v>20993.867307692311</v>
      </c>
      <c r="D34" s="21">
        <f t="shared" si="3"/>
        <v>1606.0308490384618</v>
      </c>
      <c r="E34" s="21">
        <f>(C34*$B$5)-(Admin!G$10/52*B34*$B$5)</f>
        <v>4553.637705000001</v>
      </c>
      <c r="F34" s="21">
        <f t="shared" si="4"/>
        <v>4870.62</v>
      </c>
      <c r="H34" s="21">
        <f t="shared" si="5"/>
        <v>32024.155861730775</v>
      </c>
    </row>
    <row r="35" spans="1:8">
      <c r="A35" s="35" t="s">
        <v>43</v>
      </c>
      <c r="B35" s="36">
        <v>4</v>
      </c>
      <c r="C35" s="20">
        <f t="shared" si="2"/>
        <v>16795.09384615385</v>
      </c>
      <c r="D35" s="21">
        <f t="shared" si="3"/>
        <v>1284.8246792307696</v>
      </c>
      <c r="E35" s="21">
        <f>(C35*$B$5)-(Admin!G$10/52*B35*$B$5)</f>
        <v>3642.9101640000013</v>
      </c>
      <c r="F35" s="21">
        <f t="shared" si="4"/>
        <v>4870.62</v>
      </c>
      <c r="H35" s="21">
        <f t="shared" si="5"/>
        <v>26593.448689384619</v>
      </c>
    </row>
    <row r="36" spans="1:8" ht="13.5" thickBot="1">
      <c r="A36" s="35" t="s">
        <v>44</v>
      </c>
      <c r="B36" s="36">
        <v>4</v>
      </c>
      <c r="C36" s="46">
        <f t="shared" si="2"/>
        <v>16795.09384615385</v>
      </c>
      <c r="D36" s="45">
        <f t="shared" si="3"/>
        <v>1284.8246792307696</v>
      </c>
      <c r="E36" s="45">
        <f>(C36*$B$5)-(Admin!G$10/52*B36*$B$5)</f>
        <v>3642.9101640000013</v>
      </c>
      <c r="F36" s="45">
        <f t="shared" si="4"/>
        <v>4870.62</v>
      </c>
      <c r="G36" s="44"/>
      <c r="H36" s="45">
        <f t="shared" si="5"/>
        <v>26593.448689384619</v>
      </c>
    </row>
    <row r="37" spans="1:8" s="14" customFormat="1">
      <c r="B37" s="37">
        <f>SUM(B25:B36)</f>
        <v>52</v>
      </c>
      <c r="C37" s="22">
        <f>SUM(C25:C36)</f>
        <v>227838.75</v>
      </c>
      <c r="D37" s="22">
        <f>SUM(D25:D36)</f>
        <v>17429.664375000004</v>
      </c>
      <c r="E37" s="22">
        <f t="shared" ref="E37:F37" si="6">SUM(E25:E36)</f>
        <v>49644.140850000011</v>
      </c>
      <c r="F37" s="22">
        <f t="shared" si="6"/>
        <v>58447.44000000001</v>
      </c>
      <c r="G37" s="22">
        <f>SUM(G25:G36)</f>
        <v>0</v>
      </c>
      <c r="H37" s="22">
        <f>SUM(H25:H36)</f>
        <v>353359.99522500008</v>
      </c>
    </row>
    <row r="39" spans="1:8" ht="13.5" thickBot="1"/>
    <row r="40" spans="1:8">
      <c r="B40" s="20"/>
      <c r="C40" s="54" t="s">
        <v>62</v>
      </c>
      <c r="D40" s="55"/>
      <c r="E40" s="55"/>
      <c r="F40" s="55"/>
      <c r="G40" s="56"/>
      <c r="H40" s="7" t="s">
        <v>56</v>
      </c>
    </row>
    <row r="41" spans="1:8" ht="13.5" thickBot="1">
      <c r="A41" s="33" t="s">
        <v>65</v>
      </c>
      <c r="B41" s="34" t="s">
        <v>34</v>
      </c>
      <c r="C41" s="38" t="s">
        <v>48</v>
      </c>
      <c r="D41" s="39" t="s">
        <v>45</v>
      </c>
      <c r="E41" s="39" t="s">
        <v>2</v>
      </c>
      <c r="F41" s="40" t="s">
        <v>46</v>
      </c>
      <c r="G41" s="41" t="s">
        <v>47</v>
      </c>
      <c r="H41" s="42" t="s">
        <v>57</v>
      </c>
    </row>
    <row r="42" spans="1:8">
      <c r="A42" s="35" t="s">
        <v>35</v>
      </c>
      <c r="B42" s="36">
        <v>4</v>
      </c>
      <c r="C42" s="20">
        <f>B$15/52*$B42</f>
        <v>12413.83141826923</v>
      </c>
      <c r="D42" s="21">
        <f>C42*$B$4</f>
        <v>949.65810349759613</v>
      </c>
      <c r="E42" s="21">
        <f>C42*$B$5</f>
        <v>2986.767839235577</v>
      </c>
      <c r="F42" s="21">
        <f>$G$15/12</f>
        <v>5987.22</v>
      </c>
      <c r="H42" s="21">
        <f>SUM(C42:G42)</f>
        <v>22337.477361002406</v>
      </c>
    </row>
    <row r="43" spans="1:8">
      <c r="A43" s="35" t="s">
        <v>36</v>
      </c>
      <c r="B43" s="36">
        <v>5</v>
      </c>
      <c r="C43" s="20">
        <f t="shared" ref="C43:C44" si="7">B$15/52*$B43</f>
        <v>15517.289272836537</v>
      </c>
      <c r="D43" s="21">
        <f t="shared" ref="D43:D53" si="8">C43*$B$4</f>
        <v>1187.0726293719949</v>
      </c>
      <c r="E43" s="21">
        <f t="shared" ref="E43:E53" si="9">C43*$B$5</f>
        <v>3733.4597990444709</v>
      </c>
      <c r="F43" s="21">
        <f t="shared" ref="F43:F53" si="10">$G$15/12</f>
        <v>5987.22</v>
      </c>
      <c r="H43" s="21">
        <f t="shared" ref="H43:H53" si="11">SUM(C43:G43)</f>
        <v>26425.041701253005</v>
      </c>
    </row>
    <row r="44" spans="1:8">
      <c r="A44" s="35" t="s">
        <v>37</v>
      </c>
      <c r="B44" s="36">
        <v>4</v>
      </c>
      <c r="C44" s="20">
        <f t="shared" si="7"/>
        <v>12413.83141826923</v>
      </c>
      <c r="D44" s="21">
        <f t="shared" si="8"/>
        <v>949.65810349759613</v>
      </c>
      <c r="E44" s="21">
        <f t="shared" si="9"/>
        <v>2986.767839235577</v>
      </c>
      <c r="F44" s="21">
        <f t="shared" si="10"/>
        <v>5987.22</v>
      </c>
      <c r="H44" s="21">
        <f t="shared" si="11"/>
        <v>22337.477361002406</v>
      </c>
    </row>
    <row r="45" spans="1:8">
      <c r="A45" s="35" t="s">
        <v>59</v>
      </c>
      <c r="B45" s="36">
        <v>5</v>
      </c>
      <c r="C45" s="20">
        <f>(B$15/52*$B45)+C15</f>
        <v>17987.949272836537</v>
      </c>
      <c r="D45" s="21">
        <f t="shared" si="8"/>
        <v>1376.0781193719949</v>
      </c>
      <c r="E45" s="21">
        <f t="shared" si="9"/>
        <v>4327.9005950444707</v>
      </c>
      <c r="F45" s="21">
        <f t="shared" si="10"/>
        <v>5987.22</v>
      </c>
      <c r="H45" s="21">
        <f t="shared" si="11"/>
        <v>29679.147987253004</v>
      </c>
    </row>
    <row r="46" spans="1:8">
      <c r="A46" s="35" t="s">
        <v>60</v>
      </c>
      <c r="B46" s="36">
        <v>4</v>
      </c>
      <c r="C46" s="20">
        <f>(B$15/52*$B46)+D15</f>
        <v>14413.83141826923</v>
      </c>
      <c r="D46" s="21">
        <f t="shared" si="8"/>
        <v>1102.6581034975961</v>
      </c>
      <c r="E46" s="21">
        <f t="shared" si="9"/>
        <v>3467.9678392355768</v>
      </c>
      <c r="F46" s="21">
        <f t="shared" si="10"/>
        <v>5987.22</v>
      </c>
      <c r="H46" s="21">
        <f t="shared" si="11"/>
        <v>24971.677361002407</v>
      </c>
    </row>
    <row r="47" spans="1:8">
      <c r="A47" s="35" t="s">
        <v>38</v>
      </c>
      <c r="B47" s="36">
        <v>4</v>
      </c>
      <c r="C47" s="20">
        <f t="shared" ref="C47:C53" si="12">B$15/52*$B47</f>
        <v>12413.83141826923</v>
      </c>
      <c r="D47" s="21">
        <f t="shared" si="8"/>
        <v>949.65810349759613</v>
      </c>
      <c r="E47" s="21">
        <f t="shared" si="9"/>
        <v>2986.767839235577</v>
      </c>
      <c r="F47" s="21">
        <f t="shared" si="10"/>
        <v>5987.22</v>
      </c>
      <c r="H47" s="21">
        <f t="shared" si="11"/>
        <v>22337.477361002406</v>
      </c>
    </row>
    <row r="48" spans="1:8">
      <c r="A48" s="35" t="s">
        <v>39</v>
      </c>
      <c r="B48" s="36">
        <v>5</v>
      </c>
      <c r="C48" s="20">
        <f t="shared" si="12"/>
        <v>15517.289272836537</v>
      </c>
      <c r="D48" s="21">
        <f t="shared" si="8"/>
        <v>1187.0726293719949</v>
      </c>
      <c r="E48" s="21">
        <f t="shared" si="9"/>
        <v>3733.4597990444709</v>
      </c>
      <c r="F48" s="21">
        <f t="shared" si="10"/>
        <v>5987.22</v>
      </c>
      <c r="H48" s="21">
        <f t="shared" si="11"/>
        <v>26425.041701253005</v>
      </c>
    </row>
    <row r="49" spans="1:8">
      <c r="A49" s="35" t="s">
        <v>40</v>
      </c>
      <c r="B49" s="36">
        <v>4</v>
      </c>
      <c r="C49" s="20">
        <f t="shared" si="12"/>
        <v>12413.83141826923</v>
      </c>
      <c r="D49" s="21">
        <f t="shared" si="8"/>
        <v>949.65810349759613</v>
      </c>
      <c r="E49" s="21">
        <f t="shared" si="9"/>
        <v>2986.767839235577</v>
      </c>
      <c r="F49" s="21">
        <f t="shared" si="10"/>
        <v>5987.22</v>
      </c>
      <c r="H49" s="21">
        <f t="shared" si="11"/>
        <v>22337.477361002406</v>
      </c>
    </row>
    <row r="50" spans="1:8">
      <c r="A50" s="35" t="s">
        <v>41</v>
      </c>
      <c r="B50" s="36">
        <v>4</v>
      </c>
      <c r="C50" s="20">
        <f t="shared" si="12"/>
        <v>12413.83141826923</v>
      </c>
      <c r="D50" s="21">
        <f t="shared" si="8"/>
        <v>949.65810349759613</v>
      </c>
      <c r="E50" s="21">
        <f t="shared" si="9"/>
        <v>2986.767839235577</v>
      </c>
      <c r="F50" s="21">
        <f t="shared" si="10"/>
        <v>5987.22</v>
      </c>
      <c r="H50" s="21">
        <f t="shared" si="11"/>
        <v>22337.477361002406</v>
      </c>
    </row>
    <row r="51" spans="1:8">
      <c r="A51" s="35" t="s">
        <v>42</v>
      </c>
      <c r="B51" s="36">
        <v>5</v>
      </c>
      <c r="C51" s="20">
        <f t="shared" si="12"/>
        <v>15517.289272836537</v>
      </c>
      <c r="D51" s="21">
        <f t="shared" si="8"/>
        <v>1187.0726293719949</v>
      </c>
      <c r="E51" s="21">
        <f t="shared" si="9"/>
        <v>3733.4597990444709</v>
      </c>
      <c r="F51" s="21">
        <f t="shared" si="10"/>
        <v>5987.22</v>
      </c>
      <c r="H51" s="21">
        <f t="shared" si="11"/>
        <v>26425.041701253005</v>
      </c>
    </row>
    <row r="52" spans="1:8">
      <c r="A52" s="35" t="s">
        <v>43</v>
      </c>
      <c r="B52" s="36">
        <v>4</v>
      </c>
      <c r="C52" s="20">
        <f t="shared" si="12"/>
        <v>12413.83141826923</v>
      </c>
      <c r="D52" s="21">
        <f t="shared" si="8"/>
        <v>949.65810349759613</v>
      </c>
      <c r="E52" s="21">
        <f t="shared" si="9"/>
        <v>2986.767839235577</v>
      </c>
      <c r="F52" s="21">
        <f t="shared" si="10"/>
        <v>5987.22</v>
      </c>
      <c r="H52" s="21">
        <f t="shared" si="11"/>
        <v>22337.477361002406</v>
      </c>
    </row>
    <row r="53" spans="1:8" ht="13.5" thickBot="1">
      <c r="A53" s="35" t="s">
        <v>44</v>
      </c>
      <c r="B53" s="36">
        <v>4</v>
      </c>
      <c r="C53" s="46">
        <f t="shared" si="12"/>
        <v>12413.83141826923</v>
      </c>
      <c r="D53" s="45">
        <f t="shared" si="8"/>
        <v>949.65810349759613</v>
      </c>
      <c r="E53" s="45">
        <f t="shared" si="9"/>
        <v>2986.767839235577</v>
      </c>
      <c r="F53" s="45">
        <f t="shared" si="10"/>
        <v>5987.22</v>
      </c>
      <c r="G53" s="44"/>
      <c r="H53" s="45">
        <f t="shared" si="11"/>
        <v>22337.477361002406</v>
      </c>
    </row>
    <row r="54" spans="1:8" s="14" customFormat="1">
      <c r="B54" s="37">
        <f>SUM(B42:B53)</f>
        <v>52</v>
      </c>
      <c r="C54" s="22">
        <f>SUM(C42:C53)</f>
        <v>165850.46843749998</v>
      </c>
      <c r="D54" s="22">
        <f>SUM(D42:D53)</f>
        <v>12687.56083546875</v>
      </c>
      <c r="E54" s="22">
        <f t="shared" ref="E54" si="13">SUM(E42:E53)</f>
        <v>39903.622706062495</v>
      </c>
      <c r="F54" s="22">
        <f t="shared" ref="F54" si="14">SUM(F42:F53)</f>
        <v>71846.64</v>
      </c>
      <c r="G54" s="22">
        <f>SUM(G42:G53)</f>
        <v>0</v>
      </c>
      <c r="H54" s="22">
        <f>SUM(H42:H53)</f>
        <v>290288.29197903129</v>
      </c>
    </row>
    <row r="56" spans="1:8" ht="13.5" thickBot="1"/>
    <row r="57" spans="1:8">
      <c r="B57" s="20"/>
      <c r="C57" s="54" t="s">
        <v>63</v>
      </c>
      <c r="D57" s="55"/>
      <c r="E57" s="55"/>
      <c r="F57" s="55"/>
      <c r="G57" s="56"/>
      <c r="H57" s="7" t="s">
        <v>56</v>
      </c>
    </row>
    <row r="58" spans="1:8" ht="13.5" thickBot="1">
      <c r="A58" s="33" t="s">
        <v>65</v>
      </c>
      <c r="B58" s="34" t="s">
        <v>34</v>
      </c>
      <c r="C58" s="38" t="s">
        <v>48</v>
      </c>
      <c r="D58" s="39" t="s">
        <v>45</v>
      </c>
      <c r="E58" s="39" t="s">
        <v>2</v>
      </c>
      <c r="F58" s="40" t="s">
        <v>46</v>
      </c>
      <c r="G58" s="41" t="s">
        <v>47</v>
      </c>
      <c r="H58" s="42" t="s">
        <v>57</v>
      </c>
    </row>
    <row r="59" spans="1:8">
      <c r="A59" s="35" t="s">
        <v>35</v>
      </c>
      <c r="B59" s="36">
        <v>4</v>
      </c>
      <c r="C59" s="20">
        <f>B$16/52*$B59</f>
        <v>8731</v>
      </c>
      <c r="D59" s="21">
        <f>C59*$B$4</f>
        <v>667.92150000000004</v>
      </c>
      <c r="E59" s="21">
        <f t="shared" ref="E59:E70" si="15">C59*$B$5</f>
        <v>2100.6786000000002</v>
      </c>
      <c r="F59" s="21">
        <f>$G$16/12</f>
        <v>4321.7</v>
      </c>
      <c r="H59" s="21">
        <f>SUM(C59:G59)</f>
        <v>15821.3001</v>
      </c>
    </row>
    <row r="60" spans="1:8">
      <c r="A60" s="35" t="s">
        <v>36</v>
      </c>
      <c r="B60" s="36">
        <v>5</v>
      </c>
      <c r="C60" s="20">
        <f t="shared" ref="C60:C70" si="16">B$16/52*$B60</f>
        <v>10913.75</v>
      </c>
      <c r="D60" s="21">
        <f t="shared" ref="D60:D70" si="17">C60*$B$4</f>
        <v>834.90187500000002</v>
      </c>
      <c r="E60" s="21">
        <f t="shared" si="15"/>
        <v>2625.84825</v>
      </c>
      <c r="F60" s="21">
        <f t="shared" ref="F60:F70" si="18">$G$16/12</f>
        <v>4321.7</v>
      </c>
      <c r="H60" s="21">
        <f t="shared" ref="H60:H70" si="19">SUM(C60:G60)</f>
        <v>18696.200124999999</v>
      </c>
    </row>
    <row r="61" spans="1:8">
      <c r="A61" s="35" t="s">
        <v>37</v>
      </c>
      <c r="B61" s="36">
        <v>4</v>
      </c>
      <c r="C61" s="20">
        <f t="shared" si="16"/>
        <v>8731</v>
      </c>
      <c r="D61" s="21">
        <f t="shared" si="17"/>
        <v>667.92150000000004</v>
      </c>
      <c r="E61" s="21">
        <f t="shared" si="15"/>
        <v>2100.6786000000002</v>
      </c>
      <c r="F61" s="21">
        <f t="shared" si="18"/>
        <v>4321.7</v>
      </c>
      <c r="H61" s="21">
        <f t="shared" si="19"/>
        <v>15821.3001</v>
      </c>
    </row>
    <row r="62" spans="1:8">
      <c r="A62" s="35" t="s">
        <v>59</v>
      </c>
      <c r="B62" s="36">
        <v>5</v>
      </c>
      <c r="C62" s="20">
        <f>(B$16/52*$B62)+C16</f>
        <v>12482</v>
      </c>
      <c r="D62" s="21">
        <f t="shared" si="17"/>
        <v>954.87299999999993</v>
      </c>
      <c r="E62" s="21">
        <f t="shared" si="15"/>
        <v>3003.1692000000003</v>
      </c>
      <c r="F62" s="21">
        <f t="shared" si="18"/>
        <v>4321.7</v>
      </c>
      <c r="H62" s="21">
        <f t="shared" si="19"/>
        <v>20761.742200000001</v>
      </c>
    </row>
    <row r="63" spans="1:8">
      <c r="A63" s="35" t="s">
        <v>60</v>
      </c>
      <c r="B63" s="36">
        <v>4</v>
      </c>
      <c r="C63" s="20">
        <f>(B$16/52*$B63)+D16</f>
        <v>10231</v>
      </c>
      <c r="D63" s="21">
        <f t="shared" si="17"/>
        <v>782.67150000000004</v>
      </c>
      <c r="E63" s="21">
        <f t="shared" si="15"/>
        <v>2461.5786000000003</v>
      </c>
      <c r="F63" s="21">
        <f t="shared" si="18"/>
        <v>4321.7</v>
      </c>
      <c r="H63" s="21">
        <f t="shared" si="19"/>
        <v>17796.950100000002</v>
      </c>
    </row>
    <row r="64" spans="1:8">
      <c r="A64" s="35" t="s">
        <v>38</v>
      </c>
      <c r="B64" s="36">
        <v>4</v>
      </c>
      <c r="C64" s="20">
        <f t="shared" si="16"/>
        <v>8731</v>
      </c>
      <c r="D64" s="21">
        <f t="shared" si="17"/>
        <v>667.92150000000004</v>
      </c>
      <c r="E64" s="21">
        <f t="shared" si="15"/>
        <v>2100.6786000000002</v>
      </c>
      <c r="F64" s="21">
        <f t="shared" si="18"/>
        <v>4321.7</v>
      </c>
      <c r="H64" s="21">
        <f t="shared" si="19"/>
        <v>15821.3001</v>
      </c>
    </row>
    <row r="65" spans="1:8">
      <c r="A65" s="35" t="s">
        <v>39</v>
      </c>
      <c r="B65" s="36">
        <v>5</v>
      </c>
      <c r="C65" s="20">
        <f t="shared" si="16"/>
        <v>10913.75</v>
      </c>
      <c r="D65" s="21">
        <f t="shared" si="17"/>
        <v>834.90187500000002</v>
      </c>
      <c r="E65" s="21">
        <f t="shared" si="15"/>
        <v>2625.84825</v>
      </c>
      <c r="F65" s="21">
        <f t="shared" si="18"/>
        <v>4321.7</v>
      </c>
      <c r="H65" s="21">
        <f t="shared" si="19"/>
        <v>18696.200124999999</v>
      </c>
    </row>
    <row r="66" spans="1:8">
      <c r="A66" s="35" t="s">
        <v>40</v>
      </c>
      <c r="B66" s="36">
        <v>4</v>
      </c>
      <c r="C66" s="20">
        <f t="shared" si="16"/>
        <v>8731</v>
      </c>
      <c r="D66" s="21">
        <f t="shared" si="17"/>
        <v>667.92150000000004</v>
      </c>
      <c r="E66" s="21">
        <f t="shared" si="15"/>
        <v>2100.6786000000002</v>
      </c>
      <c r="F66" s="21">
        <f t="shared" si="18"/>
        <v>4321.7</v>
      </c>
      <c r="H66" s="21">
        <f t="shared" si="19"/>
        <v>15821.3001</v>
      </c>
    </row>
    <row r="67" spans="1:8">
      <c r="A67" s="35" t="s">
        <v>41</v>
      </c>
      <c r="B67" s="36">
        <v>4</v>
      </c>
      <c r="C67" s="20">
        <f t="shared" si="16"/>
        <v>8731</v>
      </c>
      <c r="D67" s="21">
        <f t="shared" si="17"/>
        <v>667.92150000000004</v>
      </c>
      <c r="E67" s="21">
        <f t="shared" si="15"/>
        <v>2100.6786000000002</v>
      </c>
      <c r="F67" s="21">
        <f t="shared" si="18"/>
        <v>4321.7</v>
      </c>
      <c r="H67" s="21">
        <f t="shared" si="19"/>
        <v>15821.3001</v>
      </c>
    </row>
    <row r="68" spans="1:8">
      <c r="A68" s="35" t="s">
        <v>42</v>
      </c>
      <c r="B68" s="36">
        <v>5</v>
      </c>
      <c r="C68" s="20">
        <f t="shared" si="16"/>
        <v>10913.75</v>
      </c>
      <c r="D68" s="21">
        <f t="shared" si="17"/>
        <v>834.90187500000002</v>
      </c>
      <c r="E68" s="21">
        <f t="shared" si="15"/>
        <v>2625.84825</v>
      </c>
      <c r="F68" s="21">
        <f t="shared" si="18"/>
        <v>4321.7</v>
      </c>
      <c r="H68" s="21">
        <f t="shared" si="19"/>
        <v>18696.200124999999</v>
      </c>
    </row>
    <row r="69" spans="1:8">
      <c r="A69" s="35" t="s">
        <v>43</v>
      </c>
      <c r="B69" s="36">
        <v>4</v>
      </c>
      <c r="C69" s="20">
        <f t="shared" si="16"/>
        <v>8731</v>
      </c>
      <c r="D69" s="21">
        <f t="shared" si="17"/>
        <v>667.92150000000004</v>
      </c>
      <c r="E69" s="21">
        <f t="shared" si="15"/>
        <v>2100.6786000000002</v>
      </c>
      <c r="F69" s="21">
        <f t="shared" si="18"/>
        <v>4321.7</v>
      </c>
      <c r="H69" s="21">
        <f t="shared" si="19"/>
        <v>15821.3001</v>
      </c>
    </row>
    <row r="70" spans="1:8" ht="13.5" thickBot="1">
      <c r="A70" s="35" t="s">
        <v>44</v>
      </c>
      <c r="B70" s="36">
        <v>4</v>
      </c>
      <c r="C70" s="46">
        <f t="shared" si="16"/>
        <v>8731</v>
      </c>
      <c r="D70" s="45">
        <f t="shared" si="17"/>
        <v>667.92150000000004</v>
      </c>
      <c r="E70" s="45">
        <f t="shared" si="15"/>
        <v>2100.6786000000002</v>
      </c>
      <c r="F70" s="45">
        <f t="shared" si="18"/>
        <v>4321.7</v>
      </c>
      <c r="G70" s="44"/>
      <c r="H70" s="45">
        <f t="shared" si="19"/>
        <v>15821.3001</v>
      </c>
    </row>
    <row r="71" spans="1:8">
      <c r="A71" s="14"/>
      <c r="B71" s="37">
        <f>SUM(B59:B70)</f>
        <v>52</v>
      </c>
      <c r="C71" s="22">
        <f>SUM(C59:C70)</f>
        <v>116571.25</v>
      </c>
      <c r="D71" s="22">
        <f>SUM(D59:D70)</f>
        <v>8917.7006250000013</v>
      </c>
      <c r="E71" s="22">
        <f t="shared" ref="E71" si="20">SUM(E59:E70)</f>
        <v>28047.042749999997</v>
      </c>
      <c r="F71" s="22">
        <f t="shared" ref="F71" si="21">SUM(F59:F70)</f>
        <v>51860.399999999987</v>
      </c>
      <c r="G71" s="22">
        <f>SUM(G59:G70)</f>
        <v>0</v>
      </c>
      <c r="H71" s="22">
        <f>SUM(H59:H70)</f>
        <v>205396.39337499999</v>
      </c>
    </row>
    <row r="73" spans="1:8" ht="13.5" thickBot="1"/>
    <row r="74" spans="1:8">
      <c r="B74" s="20"/>
      <c r="C74" s="54" t="s">
        <v>64</v>
      </c>
      <c r="D74" s="55"/>
      <c r="E74" s="55"/>
      <c r="F74" s="55"/>
      <c r="G74" s="56"/>
      <c r="H74" s="7" t="s">
        <v>56</v>
      </c>
    </row>
    <row r="75" spans="1:8" ht="13.5" thickBot="1">
      <c r="A75" s="33" t="s">
        <v>65</v>
      </c>
      <c r="B75" s="34" t="s">
        <v>34</v>
      </c>
      <c r="C75" s="38" t="s">
        <v>48</v>
      </c>
      <c r="D75" s="39" t="s">
        <v>45</v>
      </c>
      <c r="E75" s="39" t="s">
        <v>2</v>
      </c>
      <c r="F75" s="40" t="s">
        <v>46</v>
      </c>
      <c r="G75" s="41" t="s">
        <v>47</v>
      </c>
      <c r="H75" s="42" t="s">
        <v>57</v>
      </c>
    </row>
    <row r="76" spans="1:8">
      <c r="A76" s="35" t="s">
        <v>35</v>
      </c>
      <c r="B76" s="36">
        <v>4</v>
      </c>
      <c r="C76" s="20">
        <f>B$17/52*$B76</f>
        <v>21847.081048076921</v>
      </c>
      <c r="D76" s="21">
        <f>C76*$B$4</f>
        <v>1671.3017001778844</v>
      </c>
      <c r="E76" s="21">
        <f>(C76*$B$5)</f>
        <v>5256.4077001673077</v>
      </c>
      <c r="F76" s="21">
        <f>G$17/12</f>
        <v>9580.1999999999989</v>
      </c>
      <c r="H76" s="21">
        <f>SUM(C76:G76)</f>
        <v>38354.990448422112</v>
      </c>
    </row>
    <row r="77" spans="1:8">
      <c r="A77" s="35" t="s">
        <v>36</v>
      </c>
      <c r="B77" s="36">
        <v>5</v>
      </c>
      <c r="C77" s="20">
        <f t="shared" ref="C77:C78" si="22">B$17/52*$B77</f>
        <v>27308.85131009615</v>
      </c>
      <c r="D77" s="21">
        <f t="shared" ref="D77:D87" si="23">C77*$B$4</f>
        <v>2089.1271252223555</v>
      </c>
      <c r="E77" s="21">
        <f t="shared" ref="E77:E87" si="24">(C77*$B$5)</f>
        <v>6570.5096252091344</v>
      </c>
      <c r="F77" s="21">
        <f t="shared" ref="F77:F87" si="25">G$17/12</f>
        <v>9580.1999999999989</v>
      </c>
      <c r="H77" s="21">
        <f t="shared" ref="H77:H87" si="26">SUM(C77:G77)</f>
        <v>45548.688060527638</v>
      </c>
    </row>
    <row r="78" spans="1:8">
      <c r="A78" s="35" t="s">
        <v>37</v>
      </c>
      <c r="B78" s="36">
        <v>4</v>
      </c>
      <c r="C78" s="20">
        <f t="shared" si="22"/>
        <v>21847.081048076921</v>
      </c>
      <c r="D78" s="21">
        <f t="shared" si="23"/>
        <v>1671.3017001778844</v>
      </c>
      <c r="E78" s="21">
        <f t="shared" si="24"/>
        <v>5256.4077001673077</v>
      </c>
      <c r="F78" s="21">
        <f t="shared" si="25"/>
        <v>9580.1999999999989</v>
      </c>
      <c r="H78" s="21">
        <f t="shared" si="26"/>
        <v>38354.990448422112</v>
      </c>
    </row>
    <row r="79" spans="1:8">
      <c r="A79" s="35" t="s">
        <v>59</v>
      </c>
      <c r="B79" s="36">
        <v>5</v>
      </c>
      <c r="C79" s="20">
        <f>(B$17/52*$B79)+C17</f>
        <v>29720.771310096148</v>
      </c>
      <c r="D79" s="21">
        <f t="shared" si="23"/>
        <v>2273.6390052223551</v>
      </c>
      <c r="E79" s="21">
        <f t="shared" si="24"/>
        <v>7150.8175772091336</v>
      </c>
      <c r="F79" s="21">
        <f t="shared" si="25"/>
        <v>9580.1999999999989</v>
      </c>
      <c r="H79" s="21">
        <f t="shared" si="26"/>
        <v>48725.42789252763</v>
      </c>
    </row>
    <row r="80" spans="1:8">
      <c r="A80" s="35" t="s">
        <v>60</v>
      </c>
      <c r="B80" s="36">
        <v>4</v>
      </c>
      <c r="C80" s="20">
        <f>(B$17/52*$B80)+D17</f>
        <v>24847.081048076921</v>
      </c>
      <c r="D80" s="21">
        <f t="shared" si="23"/>
        <v>1900.8017001778844</v>
      </c>
      <c r="E80" s="21">
        <f t="shared" si="24"/>
        <v>5978.2077001673078</v>
      </c>
      <c r="F80" s="21">
        <f t="shared" si="25"/>
        <v>9580.1999999999989</v>
      </c>
      <c r="H80" s="21">
        <f t="shared" si="26"/>
        <v>42306.290448422114</v>
      </c>
    </row>
    <row r="81" spans="1:8">
      <c r="A81" s="35" t="s">
        <v>38</v>
      </c>
      <c r="B81" s="36">
        <v>4</v>
      </c>
      <c r="C81" s="20">
        <f t="shared" ref="C81:C87" si="27">B$17/52*$B81</f>
        <v>21847.081048076921</v>
      </c>
      <c r="D81" s="21">
        <f t="shared" si="23"/>
        <v>1671.3017001778844</v>
      </c>
      <c r="E81" s="21">
        <f t="shared" si="24"/>
        <v>5256.4077001673077</v>
      </c>
      <c r="F81" s="21">
        <f t="shared" si="25"/>
        <v>9580.1999999999989</v>
      </c>
      <c r="H81" s="21">
        <f t="shared" si="26"/>
        <v>38354.990448422112</v>
      </c>
    </row>
    <row r="82" spans="1:8">
      <c r="A82" s="35" t="s">
        <v>39</v>
      </c>
      <c r="B82" s="36">
        <v>5</v>
      </c>
      <c r="C82" s="20">
        <f t="shared" si="27"/>
        <v>27308.85131009615</v>
      </c>
      <c r="D82" s="21">
        <f t="shared" si="23"/>
        <v>2089.1271252223555</v>
      </c>
      <c r="E82" s="21">
        <f t="shared" si="24"/>
        <v>6570.5096252091344</v>
      </c>
      <c r="F82" s="21">
        <f t="shared" si="25"/>
        <v>9580.1999999999989</v>
      </c>
      <c r="H82" s="21">
        <f t="shared" si="26"/>
        <v>45548.688060527638</v>
      </c>
    </row>
    <row r="83" spans="1:8">
      <c r="A83" s="35" t="s">
        <v>40</v>
      </c>
      <c r="B83" s="36">
        <v>4</v>
      </c>
      <c r="C83" s="20">
        <f t="shared" si="27"/>
        <v>21847.081048076921</v>
      </c>
      <c r="D83" s="21">
        <f t="shared" si="23"/>
        <v>1671.3017001778844</v>
      </c>
      <c r="E83" s="21">
        <f t="shared" si="24"/>
        <v>5256.4077001673077</v>
      </c>
      <c r="F83" s="21">
        <f t="shared" si="25"/>
        <v>9580.1999999999989</v>
      </c>
      <c r="H83" s="21">
        <f t="shared" si="26"/>
        <v>38354.990448422112</v>
      </c>
    </row>
    <row r="84" spans="1:8">
      <c r="A84" s="35" t="s">
        <v>41</v>
      </c>
      <c r="B84" s="36">
        <v>4</v>
      </c>
      <c r="C84" s="20">
        <f t="shared" si="27"/>
        <v>21847.081048076921</v>
      </c>
      <c r="D84" s="21">
        <f t="shared" si="23"/>
        <v>1671.3017001778844</v>
      </c>
      <c r="E84" s="21">
        <f t="shared" si="24"/>
        <v>5256.4077001673077</v>
      </c>
      <c r="F84" s="21">
        <f t="shared" si="25"/>
        <v>9580.1999999999989</v>
      </c>
      <c r="H84" s="21">
        <f t="shared" si="26"/>
        <v>38354.990448422112</v>
      </c>
    </row>
    <row r="85" spans="1:8">
      <c r="A85" s="35" t="s">
        <v>42</v>
      </c>
      <c r="B85" s="36">
        <v>5</v>
      </c>
      <c r="C85" s="20">
        <f t="shared" si="27"/>
        <v>27308.85131009615</v>
      </c>
      <c r="D85" s="21">
        <f t="shared" si="23"/>
        <v>2089.1271252223555</v>
      </c>
      <c r="E85" s="21">
        <f t="shared" si="24"/>
        <v>6570.5096252091344</v>
      </c>
      <c r="F85" s="21">
        <f t="shared" si="25"/>
        <v>9580.1999999999989</v>
      </c>
      <c r="H85" s="21">
        <f t="shared" si="26"/>
        <v>45548.688060527638</v>
      </c>
    </row>
    <row r="86" spans="1:8">
      <c r="A86" s="35" t="s">
        <v>43</v>
      </c>
      <c r="B86" s="36">
        <v>4</v>
      </c>
      <c r="C86" s="20">
        <f t="shared" si="27"/>
        <v>21847.081048076921</v>
      </c>
      <c r="D86" s="21">
        <f t="shared" si="23"/>
        <v>1671.3017001778844</v>
      </c>
      <c r="E86" s="21">
        <f t="shared" si="24"/>
        <v>5256.4077001673077</v>
      </c>
      <c r="F86" s="21">
        <f t="shared" si="25"/>
        <v>9580.1999999999989</v>
      </c>
      <c r="H86" s="21">
        <f t="shared" si="26"/>
        <v>38354.990448422112</v>
      </c>
    </row>
    <row r="87" spans="1:8" ht="13.5" thickBot="1">
      <c r="A87" s="35" t="s">
        <v>44</v>
      </c>
      <c r="B87" s="36">
        <v>4</v>
      </c>
      <c r="C87" s="46">
        <f t="shared" si="27"/>
        <v>21847.081048076921</v>
      </c>
      <c r="D87" s="45">
        <f t="shared" si="23"/>
        <v>1671.3017001778844</v>
      </c>
      <c r="E87" s="45">
        <f t="shared" si="24"/>
        <v>5256.4077001673077</v>
      </c>
      <c r="F87" s="45">
        <f t="shared" si="25"/>
        <v>9580.1999999999989</v>
      </c>
      <c r="G87" s="44"/>
      <c r="H87" s="45">
        <f t="shared" si="26"/>
        <v>38354.990448422112</v>
      </c>
    </row>
    <row r="88" spans="1:8">
      <c r="A88" s="14"/>
      <c r="B88" s="37">
        <f>SUM(B76:B87)</f>
        <v>52</v>
      </c>
      <c r="C88" s="22">
        <f>SUM(C76:C87)</f>
        <v>289423.97362499993</v>
      </c>
      <c r="D88" s="22">
        <f>SUM(D76:D87)</f>
        <v>22140.933982312497</v>
      </c>
      <c r="E88" s="22">
        <f t="shared" ref="E88" si="28">SUM(E76:E87)</f>
        <v>69635.408054174986</v>
      </c>
      <c r="F88" s="22">
        <f t="shared" ref="F88" si="29">SUM(F76:F87)</f>
        <v>114962.39999999998</v>
      </c>
      <c r="G88" s="22">
        <f>SUM(G76:G87)</f>
        <v>0</v>
      </c>
      <c r="H88" s="22">
        <f>SUM(H76:H87)</f>
        <v>496162.71566148743</v>
      </c>
    </row>
    <row r="92" spans="1:8" ht="13.5" thickBot="1">
      <c r="C92" s="38" t="s">
        <v>48</v>
      </c>
      <c r="D92" s="39" t="s">
        <v>45</v>
      </c>
      <c r="E92" s="39" t="s">
        <v>2</v>
      </c>
      <c r="F92" s="40" t="s">
        <v>46</v>
      </c>
      <c r="G92" s="41" t="s">
        <v>47</v>
      </c>
      <c r="H92" s="42" t="s">
        <v>57</v>
      </c>
    </row>
    <row r="93" spans="1:8">
      <c r="A93" s="1" t="s">
        <v>49</v>
      </c>
      <c r="C93" s="21">
        <f>C37</f>
        <v>227838.75</v>
      </c>
      <c r="D93" s="21">
        <f t="shared" ref="D93:H93" si="30">D37</f>
        <v>17429.664375000004</v>
      </c>
      <c r="E93" s="21">
        <f t="shared" si="30"/>
        <v>49644.140850000011</v>
      </c>
      <c r="F93" s="21">
        <f t="shared" si="30"/>
        <v>58447.44000000001</v>
      </c>
      <c r="G93" s="21">
        <f t="shared" si="30"/>
        <v>0</v>
      </c>
      <c r="H93" s="21">
        <f t="shared" si="30"/>
        <v>353359.99522500008</v>
      </c>
    </row>
    <row r="94" spans="1:8">
      <c r="A94" s="1" t="s">
        <v>50</v>
      </c>
      <c r="C94" s="21">
        <f>C54</f>
        <v>165850.46843749998</v>
      </c>
      <c r="D94" s="21">
        <f t="shared" ref="D94:H94" si="31">D54</f>
        <v>12687.56083546875</v>
      </c>
      <c r="E94" s="21">
        <f t="shared" si="31"/>
        <v>39903.622706062495</v>
      </c>
      <c r="F94" s="21">
        <f t="shared" si="31"/>
        <v>71846.64</v>
      </c>
      <c r="G94" s="21">
        <f t="shared" si="31"/>
        <v>0</v>
      </c>
      <c r="H94" s="21">
        <f t="shared" si="31"/>
        <v>290288.29197903129</v>
      </c>
    </row>
    <row r="95" spans="1:8">
      <c r="A95" s="1" t="s">
        <v>51</v>
      </c>
      <c r="C95" s="21">
        <f>C71</f>
        <v>116571.25</v>
      </c>
      <c r="D95" s="21">
        <f t="shared" ref="D95:H95" si="32">D71</f>
        <v>8917.7006250000013</v>
      </c>
      <c r="E95" s="21">
        <f t="shared" si="32"/>
        <v>28047.042749999997</v>
      </c>
      <c r="F95" s="21">
        <f t="shared" si="32"/>
        <v>51860.399999999987</v>
      </c>
      <c r="G95" s="21">
        <f t="shared" si="32"/>
        <v>0</v>
      </c>
      <c r="H95" s="21">
        <f t="shared" si="32"/>
        <v>205396.39337499999</v>
      </c>
    </row>
    <row r="96" spans="1:8">
      <c r="A96" s="1" t="s">
        <v>52</v>
      </c>
      <c r="C96" s="21">
        <f>C88</f>
        <v>289423.97362499993</v>
      </c>
      <c r="D96" s="21">
        <f t="shared" ref="D96:H96" si="33">D88</f>
        <v>22140.933982312497</v>
      </c>
      <c r="E96" s="21">
        <f t="shared" si="33"/>
        <v>69635.408054174986</v>
      </c>
      <c r="F96" s="21">
        <f t="shared" si="33"/>
        <v>114962.39999999998</v>
      </c>
      <c r="G96" s="21">
        <f t="shared" si="33"/>
        <v>0</v>
      </c>
      <c r="H96" s="21">
        <f t="shared" si="33"/>
        <v>496162.71566148743</v>
      </c>
    </row>
    <row r="97" spans="1:8" ht="13.5" thickBot="1">
      <c r="A97" s="1" t="s">
        <v>53</v>
      </c>
      <c r="C97" s="43">
        <v>9000</v>
      </c>
      <c r="D97" s="44"/>
      <c r="E97" s="44"/>
      <c r="F97" s="44"/>
      <c r="G97" s="44"/>
      <c r="H97" s="45">
        <f>C97</f>
        <v>9000</v>
      </c>
    </row>
    <row r="98" spans="1:8">
      <c r="C98" s="22">
        <f>SUM(C93:C97)</f>
        <v>808684.44206249993</v>
      </c>
      <c r="D98" s="22">
        <f t="shared" ref="D98:H98" si="34">SUM(D93:D97)</f>
        <v>61175.859817781253</v>
      </c>
      <c r="E98" s="22">
        <f t="shared" si="34"/>
        <v>187230.21436023747</v>
      </c>
      <c r="F98" s="22">
        <f t="shared" si="34"/>
        <v>297116.88</v>
      </c>
      <c r="G98" s="22">
        <f t="shared" si="34"/>
        <v>0</v>
      </c>
      <c r="H98" s="22">
        <f t="shared" si="34"/>
        <v>1354207.3962405189</v>
      </c>
    </row>
  </sheetData>
  <mergeCells count="4">
    <mergeCell ref="C23:G23"/>
    <mergeCell ref="C40:G40"/>
    <mergeCell ref="C57:G57"/>
    <mergeCell ref="C74:G74"/>
  </mergeCells>
  <pageMargins left="0.22" right="0.1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workbookViewId="0">
      <selection activeCell="G4" sqref="G4"/>
    </sheetView>
  </sheetViews>
  <sheetFormatPr defaultRowHeight="15"/>
  <cols>
    <col min="1" max="1" width="27.42578125" style="1" customWidth="1"/>
    <col min="2" max="2" width="10.42578125" style="1" customWidth="1"/>
    <col min="3" max="3" width="11.140625" style="1" bestFit="1" customWidth="1"/>
    <col min="4" max="4" width="11.5703125" style="1" customWidth="1"/>
    <col min="5" max="5" width="10" style="1" customWidth="1"/>
    <col min="6" max="7" width="9.140625" style="1" customWidth="1"/>
    <col min="8" max="8" width="2.28515625" customWidth="1"/>
    <col min="9" max="9" width="13.140625" style="1" customWidth="1"/>
    <col min="10" max="16384" width="9.140625" style="1"/>
  </cols>
  <sheetData>
    <row r="1" spans="1:9" ht="15" customHeight="1">
      <c r="B1" s="2"/>
    </row>
    <row r="2" spans="1:9" ht="15" customHeight="1">
      <c r="B2" s="12" t="s">
        <v>68</v>
      </c>
      <c r="I2" s="12" t="s">
        <v>68</v>
      </c>
    </row>
    <row r="3" spans="1:9">
      <c r="A3" s="7"/>
      <c r="B3" s="8" t="s">
        <v>18</v>
      </c>
      <c r="C3" s="58">
        <v>193</v>
      </c>
      <c r="D3" s="58">
        <v>175</v>
      </c>
      <c r="E3" s="58">
        <v>186</v>
      </c>
      <c r="F3" s="58">
        <v>198</v>
      </c>
      <c r="G3" s="60">
        <v>155</v>
      </c>
      <c r="I3" s="7" t="s">
        <v>32</v>
      </c>
    </row>
    <row r="4" spans="1:9">
      <c r="A4" s="9" t="s">
        <v>13</v>
      </c>
      <c r="B4" s="10" t="s">
        <v>19</v>
      </c>
      <c r="C4" s="59"/>
      <c r="D4" s="59"/>
      <c r="E4" s="59"/>
      <c r="F4" s="59"/>
      <c r="G4" s="61">
        <v>201</v>
      </c>
      <c r="I4" s="9" t="s">
        <v>31</v>
      </c>
    </row>
    <row r="6" spans="1:9">
      <c r="A6" s="1" t="s">
        <v>5</v>
      </c>
      <c r="C6" s="28">
        <v>33</v>
      </c>
      <c r="D6" s="28">
        <v>33.65</v>
      </c>
      <c r="E6" s="28">
        <v>19.48</v>
      </c>
      <c r="F6" s="28">
        <v>17.68</v>
      </c>
      <c r="G6" s="28">
        <v>14</v>
      </c>
    </row>
    <row r="7" spans="1:9">
      <c r="A7" s="1" t="s">
        <v>21</v>
      </c>
      <c r="B7" s="13">
        <v>2.5000000000000001E-2</v>
      </c>
      <c r="C7" s="3">
        <f>C6*$B$7</f>
        <v>0.82500000000000007</v>
      </c>
      <c r="D7" s="3">
        <f t="shared" ref="D7:F7" si="0">D6*$B$7</f>
        <v>0.84125000000000005</v>
      </c>
      <c r="E7" s="3">
        <f t="shared" si="0"/>
        <v>0.48700000000000004</v>
      </c>
      <c r="F7" s="3">
        <f t="shared" si="0"/>
        <v>0.442</v>
      </c>
      <c r="G7" s="48">
        <v>0</v>
      </c>
    </row>
    <row r="8" spans="1:9">
      <c r="A8" s="1" t="s">
        <v>61</v>
      </c>
      <c r="C8" s="16">
        <v>0</v>
      </c>
      <c r="D8" s="16">
        <v>0</v>
      </c>
      <c r="E8" s="17">
        <v>0.53</v>
      </c>
      <c r="F8" s="17">
        <v>0.38</v>
      </c>
      <c r="G8" s="17"/>
      <c r="I8" s="17"/>
    </row>
    <row r="9" spans="1:9">
      <c r="A9" s="15" t="s">
        <v>66</v>
      </c>
      <c r="C9" s="18">
        <f>SUM(C6:C8)</f>
        <v>33.825000000000003</v>
      </c>
      <c r="D9" s="18">
        <f t="shared" ref="D9:G9" si="1">SUM(D6:D8)</f>
        <v>34.491250000000001</v>
      </c>
      <c r="E9" s="18">
        <f t="shared" si="1"/>
        <v>20.497</v>
      </c>
      <c r="F9" s="18">
        <f t="shared" si="1"/>
        <v>18.501999999999999</v>
      </c>
      <c r="G9" s="18">
        <f t="shared" si="1"/>
        <v>14</v>
      </c>
    </row>
    <row r="10" spans="1:9">
      <c r="A10" s="15" t="s">
        <v>67</v>
      </c>
      <c r="C10" s="19">
        <f>C9*25*52</f>
        <v>43972.500000000007</v>
      </c>
      <c r="D10" s="19">
        <f>D9*40*52</f>
        <v>71741.8</v>
      </c>
      <c r="E10" s="19">
        <f t="shared" ref="E10:F10" si="2">E9*40*52</f>
        <v>42633.760000000002</v>
      </c>
      <c r="F10" s="19">
        <f t="shared" si="2"/>
        <v>38484.159999999996</v>
      </c>
      <c r="G10" s="19">
        <f>G9*8*16*12</f>
        <v>21504</v>
      </c>
      <c r="I10" s="22">
        <f>SUM(C10:G10)</f>
        <v>218336.22000000003</v>
      </c>
    </row>
    <row r="11" spans="1:9">
      <c r="C11" s="3"/>
      <c r="G11" s="20">
        <f>G10/52</f>
        <v>413.53846153846155</v>
      </c>
    </row>
    <row r="12" spans="1:9">
      <c r="A12" s="1" t="s">
        <v>24</v>
      </c>
      <c r="B12" s="25"/>
    </row>
    <row r="13" spans="1:9">
      <c r="A13" s="1" t="s">
        <v>22</v>
      </c>
    </row>
    <row r="14" spans="1:9">
      <c r="A14" s="1" t="s">
        <v>23</v>
      </c>
    </row>
    <row r="15" spans="1:9">
      <c r="A15" s="1" t="s">
        <v>6</v>
      </c>
      <c r="I15" s="22">
        <f>SUM(C15:G15)</f>
        <v>0</v>
      </c>
    </row>
    <row r="16" spans="1:9">
      <c r="A16" s="1" t="s">
        <v>7</v>
      </c>
      <c r="C16" s="21">
        <f>C9*40</f>
        <v>1353</v>
      </c>
      <c r="D16" s="21">
        <f t="shared" ref="D16:E16" si="3">D9*40</f>
        <v>1379.65</v>
      </c>
      <c r="E16" s="21">
        <f t="shared" si="3"/>
        <v>819.88</v>
      </c>
      <c r="F16" s="21">
        <v>0</v>
      </c>
      <c r="G16" s="1">
        <v>0</v>
      </c>
      <c r="I16" s="22">
        <f t="shared" ref="I16:I18" si="4">SUM(C16:G16)</f>
        <v>3552.53</v>
      </c>
    </row>
    <row r="17" spans="1:9">
      <c r="A17" s="1" t="s">
        <v>8</v>
      </c>
      <c r="C17" s="23">
        <v>1950</v>
      </c>
      <c r="D17" s="23">
        <v>2000</v>
      </c>
      <c r="E17" s="23">
        <v>750</v>
      </c>
      <c r="F17" s="23">
        <v>750</v>
      </c>
      <c r="G17" s="23">
        <v>500</v>
      </c>
      <c r="I17" s="24">
        <f t="shared" si="4"/>
        <v>5950</v>
      </c>
    </row>
    <row r="18" spans="1:9">
      <c r="A18" s="15" t="s">
        <v>9</v>
      </c>
      <c r="C18" s="22">
        <f>C10+C15+C16+C17</f>
        <v>47275.500000000007</v>
      </c>
      <c r="D18" s="22">
        <f t="shared" ref="D18:G18" si="5">D10+D15+D16+D17</f>
        <v>75121.45</v>
      </c>
      <c r="E18" s="22">
        <f t="shared" si="5"/>
        <v>44203.64</v>
      </c>
      <c r="F18" s="22">
        <f t="shared" si="5"/>
        <v>39234.159999999996</v>
      </c>
      <c r="G18" s="22">
        <f t="shared" si="5"/>
        <v>22004</v>
      </c>
      <c r="I18" s="22">
        <f t="shared" si="4"/>
        <v>227838.75000000003</v>
      </c>
    </row>
    <row r="20" spans="1:9">
      <c r="A20" s="14" t="s">
        <v>30</v>
      </c>
    </row>
    <row r="21" spans="1:9">
      <c r="A21" s="1" t="s">
        <v>10</v>
      </c>
      <c r="B21" s="13">
        <f>'Data Input &amp; Totals'!$B$4</f>
        <v>7.6499999999999999E-2</v>
      </c>
      <c r="C21" s="19">
        <f>C18*$B$21</f>
        <v>3616.5757500000004</v>
      </c>
      <c r="D21" s="19">
        <f t="shared" ref="D21:G21" si="6">D18*$B$21</f>
        <v>5746.7909249999993</v>
      </c>
      <c r="E21" s="19">
        <f t="shared" si="6"/>
        <v>3381.5784599999997</v>
      </c>
      <c r="F21" s="19">
        <f t="shared" si="6"/>
        <v>3001.4132399999999</v>
      </c>
      <c r="G21" s="19">
        <f t="shared" si="6"/>
        <v>1683.306</v>
      </c>
      <c r="I21" s="22">
        <f t="shared" ref="I21:I22" si="7">SUM(C21:G21)</f>
        <v>17429.664374999997</v>
      </c>
    </row>
    <row r="22" spans="1:9">
      <c r="A22" s="1" t="s">
        <v>11</v>
      </c>
      <c r="B22" s="13">
        <f>'Data Input &amp; Totals'!$B$5</f>
        <v>0.24060000000000001</v>
      </c>
      <c r="C22" s="19">
        <f>C18*$B$22</f>
        <v>11374.485300000002</v>
      </c>
      <c r="D22" s="19">
        <f>D18*$B$22</f>
        <v>18074.220870000001</v>
      </c>
      <c r="E22" s="19">
        <f>E18*$B$22</f>
        <v>10635.395784</v>
      </c>
      <c r="F22" s="19">
        <f>F18*$B$22</f>
        <v>9439.7388959999989</v>
      </c>
      <c r="G22" s="19">
        <v>0</v>
      </c>
      <c r="I22" s="22">
        <f t="shared" si="7"/>
        <v>49523.840850000008</v>
      </c>
    </row>
    <row r="23" spans="1:9">
      <c r="B23" s="13"/>
      <c r="C23" s="20"/>
      <c r="D23" s="20"/>
      <c r="E23" s="20"/>
      <c r="F23" s="20"/>
      <c r="G23" s="20"/>
    </row>
    <row r="24" spans="1:9">
      <c r="A24" s="14" t="s">
        <v>12</v>
      </c>
      <c r="B24" s="13"/>
      <c r="C24" s="20"/>
      <c r="D24" s="20"/>
      <c r="E24" s="20"/>
      <c r="F24" s="20"/>
      <c r="G24" s="20"/>
    </row>
    <row r="25" spans="1:9">
      <c r="A25" s="1" t="s">
        <v>26</v>
      </c>
      <c r="C25" s="49">
        <v>1334</v>
      </c>
      <c r="D25" s="49">
        <v>1490</v>
      </c>
      <c r="E25" s="49">
        <v>1490</v>
      </c>
      <c r="F25" s="49">
        <v>175</v>
      </c>
      <c r="G25" s="20">
        <v>0</v>
      </c>
      <c r="I25" s="22">
        <f>SUM(C25:G25)</f>
        <v>4489</v>
      </c>
    </row>
    <row r="26" spans="1:9">
      <c r="A26" s="1" t="s">
        <v>25</v>
      </c>
      <c r="B26" s="13">
        <f>'Data Input &amp; Totals'!$B$6</f>
        <v>0.06</v>
      </c>
      <c r="C26" s="20">
        <f>C25*(1+$B$26)</f>
        <v>1414.04</v>
      </c>
      <c r="D26" s="20">
        <f>D25*(1+$B$26)</f>
        <v>1579.4</v>
      </c>
      <c r="E26" s="20">
        <f>E25*(1+$B$26)</f>
        <v>1579.4</v>
      </c>
      <c r="F26" s="20">
        <v>175</v>
      </c>
      <c r="G26" s="20">
        <f>G25*(1+$B$26)</f>
        <v>0</v>
      </c>
      <c r="I26" s="22">
        <f t="shared" ref="I26:I30" si="8">SUM(C26:G26)</f>
        <v>4747.84</v>
      </c>
    </row>
    <row r="27" spans="1:9">
      <c r="A27" s="1" t="s">
        <v>17</v>
      </c>
      <c r="B27" s="3">
        <f>'Data Input &amp; Totals'!B7</f>
        <v>9</v>
      </c>
      <c r="C27" s="20">
        <f>$B27</f>
        <v>9</v>
      </c>
      <c r="D27" s="20">
        <f t="shared" ref="D27:F27" si="9">$B27</f>
        <v>9</v>
      </c>
      <c r="E27" s="20">
        <f t="shared" si="9"/>
        <v>9</v>
      </c>
      <c r="F27" s="20">
        <f t="shared" si="9"/>
        <v>9</v>
      </c>
      <c r="G27" s="20">
        <v>0</v>
      </c>
      <c r="I27" s="22">
        <f t="shared" si="8"/>
        <v>36</v>
      </c>
    </row>
    <row r="28" spans="1:9">
      <c r="A28" s="1" t="s">
        <v>27</v>
      </c>
      <c r="B28" s="3">
        <f>'Data Input &amp; Totals'!B8</f>
        <v>36.15</v>
      </c>
      <c r="C28" s="20">
        <f t="shared" ref="C28:F30" si="10">$B28</f>
        <v>36.15</v>
      </c>
      <c r="D28" s="20">
        <f t="shared" si="10"/>
        <v>36.15</v>
      </c>
      <c r="E28" s="20">
        <f t="shared" si="10"/>
        <v>36.15</v>
      </c>
      <c r="F28" s="20">
        <f t="shared" si="10"/>
        <v>36.15</v>
      </c>
      <c r="G28" s="20">
        <v>0</v>
      </c>
      <c r="I28" s="22">
        <f t="shared" si="8"/>
        <v>144.6</v>
      </c>
    </row>
    <row r="29" spans="1:9">
      <c r="A29" s="1" t="s">
        <v>28</v>
      </c>
      <c r="B29" s="3">
        <f>'Data Input &amp; Totals'!B9</f>
        <v>7.02</v>
      </c>
      <c r="C29" s="20">
        <f t="shared" si="10"/>
        <v>7.02</v>
      </c>
      <c r="D29" s="20">
        <f t="shared" si="10"/>
        <v>7.02</v>
      </c>
      <c r="E29" s="20">
        <f t="shared" si="10"/>
        <v>7.02</v>
      </c>
      <c r="F29" s="20">
        <f t="shared" si="10"/>
        <v>7.02</v>
      </c>
      <c r="G29" s="20">
        <v>0</v>
      </c>
      <c r="I29" s="22">
        <f t="shared" si="8"/>
        <v>28.08</v>
      </c>
    </row>
    <row r="30" spans="1:9">
      <c r="A30" s="1" t="s">
        <v>29</v>
      </c>
      <c r="B30" s="3">
        <f>'Data Input &amp; Totals'!B10</f>
        <v>10.88</v>
      </c>
      <c r="C30" s="23">
        <f t="shared" si="10"/>
        <v>10.88</v>
      </c>
      <c r="D30" s="23">
        <f t="shared" si="10"/>
        <v>10.88</v>
      </c>
      <c r="E30" s="23">
        <f t="shared" si="10"/>
        <v>10.88</v>
      </c>
      <c r="F30" s="23">
        <f t="shared" si="10"/>
        <v>10.88</v>
      </c>
      <c r="G30" s="23">
        <v>0</v>
      </c>
      <c r="I30" s="24">
        <f t="shared" si="8"/>
        <v>43.52</v>
      </c>
    </row>
    <row r="31" spans="1:9">
      <c r="A31" s="15" t="s">
        <v>0</v>
      </c>
      <c r="C31" s="19">
        <f>(C25*6)+(C26*6)+SUM(C27:C30)*12</f>
        <v>17244.839999999997</v>
      </c>
      <c r="D31" s="19">
        <f t="shared" ref="D31:G31" si="11">(D25*6)+(D26*6)+SUM(D27:D30)*12</f>
        <v>19173</v>
      </c>
      <c r="E31" s="19">
        <f t="shared" si="11"/>
        <v>19173</v>
      </c>
      <c r="F31" s="19">
        <f t="shared" si="11"/>
        <v>2856.6</v>
      </c>
      <c r="G31" s="19">
        <f t="shared" si="11"/>
        <v>0</v>
      </c>
      <c r="I31" s="22">
        <f t="shared" ref="I31:I33" si="12">SUM(C31:G31)</f>
        <v>58447.439999999995</v>
      </c>
    </row>
    <row r="32" spans="1:9">
      <c r="I32" s="22"/>
    </row>
    <row r="33" spans="1:9">
      <c r="A33" s="15" t="s">
        <v>20</v>
      </c>
      <c r="C33" s="22">
        <f>C18+C21+C22+C31</f>
        <v>79511.401050000015</v>
      </c>
      <c r="D33" s="22">
        <f t="shared" ref="D33:G33" si="13">D18+D21+D22+D31</f>
        <v>118115.461795</v>
      </c>
      <c r="E33" s="22">
        <f t="shared" si="13"/>
        <v>77393.614243999997</v>
      </c>
      <c r="F33" s="22">
        <f t="shared" si="13"/>
        <v>54531.912135999992</v>
      </c>
      <c r="G33" s="22">
        <f t="shared" si="13"/>
        <v>23687.306</v>
      </c>
      <c r="I33" s="22">
        <f t="shared" si="12"/>
        <v>353239.69522499997</v>
      </c>
    </row>
    <row r="35" spans="1:9">
      <c r="A35" s="15" t="s">
        <v>70</v>
      </c>
      <c r="C35" s="52">
        <f>C33/(25*52)</f>
        <v>61.162616192307702</v>
      </c>
      <c r="D35" s="52"/>
      <c r="E35" s="52"/>
      <c r="F35" s="52"/>
      <c r="G35" s="52"/>
    </row>
    <row r="36" spans="1:9">
      <c r="A36" s="57" t="s">
        <v>71</v>
      </c>
      <c r="C36" s="52">
        <f>C33/(1300-96-120-96)</f>
        <v>80.477126568825923</v>
      </c>
      <c r="D36" s="52"/>
      <c r="E36" s="52"/>
      <c r="F36" s="52"/>
      <c r="G36" s="52"/>
    </row>
    <row r="37" spans="1:9">
      <c r="A37" s="57"/>
    </row>
  </sheetData>
  <mergeCells count="5">
    <mergeCell ref="A36:A37"/>
    <mergeCell ref="C3:C4"/>
    <mergeCell ref="D3:D4"/>
    <mergeCell ref="E3:E4"/>
    <mergeCell ref="F3:F4"/>
  </mergeCells>
  <pageMargins left="0.7" right="0.7" top="0.75" bottom="0.75" header="0.3" footer="0.3"/>
  <pageSetup orientation="landscape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workbookViewId="0">
      <selection activeCell="P15" sqref="P15"/>
    </sheetView>
  </sheetViews>
  <sheetFormatPr defaultRowHeight="12.75"/>
  <cols>
    <col min="1" max="1" width="27.42578125" style="1" customWidth="1"/>
    <col min="2" max="2" width="10.42578125" style="1" customWidth="1"/>
    <col min="3" max="3" width="11.140625" style="1" bestFit="1" customWidth="1"/>
    <col min="4" max="4" width="11.5703125" style="1" customWidth="1"/>
    <col min="5" max="6" width="9.140625" style="1"/>
    <col min="7" max="7" width="2.28515625" style="1" customWidth="1"/>
    <col min="8" max="8" width="13.140625" style="1" customWidth="1"/>
    <col min="9" max="16384" width="9.140625" style="1"/>
  </cols>
  <sheetData>
    <row r="1" spans="1:9" ht="15" customHeight="1">
      <c r="B1" s="2"/>
    </row>
    <row r="2" spans="1:9" ht="15" customHeight="1">
      <c r="B2" s="12" t="s">
        <v>68</v>
      </c>
      <c r="H2" s="12" t="s">
        <v>68</v>
      </c>
    </row>
    <row r="3" spans="1:9">
      <c r="A3" s="7"/>
      <c r="B3" s="8" t="s">
        <v>18</v>
      </c>
      <c r="C3" s="7"/>
      <c r="D3" s="7"/>
      <c r="E3" s="7"/>
      <c r="F3" s="7"/>
      <c r="H3" s="7" t="s">
        <v>32</v>
      </c>
    </row>
    <row r="4" spans="1:9">
      <c r="A4" s="9" t="s">
        <v>13</v>
      </c>
      <c r="B4" s="10" t="s">
        <v>19</v>
      </c>
      <c r="C4" s="9">
        <v>191</v>
      </c>
      <c r="D4" s="9">
        <v>206</v>
      </c>
      <c r="E4" s="9">
        <v>181</v>
      </c>
      <c r="F4" s="9">
        <v>115</v>
      </c>
      <c r="G4" s="17"/>
      <c r="H4" s="9" t="s">
        <v>31</v>
      </c>
    </row>
    <row r="6" spans="1:9">
      <c r="A6" s="1" t="s">
        <v>5</v>
      </c>
      <c r="C6" s="28">
        <v>18.96</v>
      </c>
      <c r="D6" s="28">
        <v>14.86</v>
      </c>
      <c r="E6" s="28">
        <v>20.6</v>
      </c>
      <c r="F6" s="28">
        <v>20.7</v>
      </c>
    </row>
    <row r="7" spans="1:9">
      <c r="A7" s="1" t="s">
        <v>21</v>
      </c>
      <c r="B7" s="13">
        <f>'Data Input &amp; Totals'!$B$3</f>
        <v>2.5000000000000001E-2</v>
      </c>
      <c r="C7" s="3">
        <f>C6*$B$7</f>
        <v>0.47400000000000003</v>
      </c>
      <c r="D7" s="3">
        <f t="shared" ref="D7:F7" si="0">D6*$B$7</f>
        <v>0.3715</v>
      </c>
      <c r="E7" s="3">
        <f t="shared" si="0"/>
        <v>0.51500000000000001</v>
      </c>
      <c r="F7" s="3">
        <f t="shared" si="0"/>
        <v>0.51749999999999996</v>
      </c>
    </row>
    <row r="8" spans="1:9">
      <c r="A8" s="1" t="s">
        <v>4</v>
      </c>
      <c r="C8" s="28">
        <v>0</v>
      </c>
      <c r="D8" s="28">
        <v>0.5</v>
      </c>
      <c r="E8" s="47">
        <v>0</v>
      </c>
      <c r="F8" s="28">
        <v>0</v>
      </c>
      <c r="H8" s="17"/>
    </row>
    <row r="9" spans="1:9">
      <c r="A9" s="15" t="s">
        <v>66</v>
      </c>
      <c r="C9" s="18">
        <f>SUM(C6:C8)</f>
        <v>19.434000000000001</v>
      </c>
      <c r="D9" s="18">
        <f t="shared" ref="D9:F9" si="1">SUM(D6:D8)</f>
        <v>15.731499999999999</v>
      </c>
      <c r="E9" s="18">
        <f t="shared" si="1"/>
        <v>21.115000000000002</v>
      </c>
      <c r="F9" s="18">
        <f t="shared" si="1"/>
        <v>21.217499999999998</v>
      </c>
      <c r="H9" s="18">
        <f>AVERAGE(C9:G9)</f>
        <v>19.374500000000001</v>
      </c>
      <c r="I9" s="1" t="s">
        <v>69</v>
      </c>
    </row>
    <row r="10" spans="1:9">
      <c r="A10" s="15" t="s">
        <v>67</v>
      </c>
      <c r="C10" s="19">
        <f>C9*40*52</f>
        <v>40422.720000000001</v>
      </c>
      <c r="D10" s="19">
        <f>D9*40*52</f>
        <v>32721.52</v>
      </c>
      <c r="E10" s="19">
        <f t="shared" ref="E10:F10" si="2">E9*40*52</f>
        <v>43919.200000000004</v>
      </c>
      <c r="F10" s="19">
        <f t="shared" si="2"/>
        <v>44132.399999999994</v>
      </c>
      <c r="H10" s="22">
        <f>SUM(C10:F10)</f>
        <v>161195.84</v>
      </c>
    </row>
    <row r="11" spans="1:9">
      <c r="C11" s="3"/>
    </row>
    <row r="12" spans="1:9">
      <c r="A12" s="1" t="s">
        <v>24</v>
      </c>
      <c r="B12" s="27">
        <v>8</v>
      </c>
    </row>
    <row r="13" spans="1:9">
      <c r="A13" s="1" t="s">
        <v>22</v>
      </c>
      <c r="C13" s="26">
        <v>0</v>
      </c>
      <c r="D13" s="26">
        <v>2.5</v>
      </c>
      <c r="E13" s="26">
        <v>0</v>
      </c>
      <c r="F13" s="26">
        <v>2</v>
      </c>
      <c r="H13" s="31">
        <f t="shared" ref="H13:H14" si="3">SUM(C13:F13)</f>
        <v>4.5</v>
      </c>
    </row>
    <row r="14" spans="1:9">
      <c r="A14" s="1" t="s">
        <v>33</v>
      </c>
      <c r="C14" s="4">
        <f>C13/$B$12*12</f>
        <v>0</v>
      </c>
      <c r="D14" s="4">
        <f t="shared" ref="D14:F14" si="4">D13/$B$12*12</f>
        <v>3.75</v>
      </c>
      <c r="E14" s="4">
        <f t="shared" si="4"/>
        <v>0</v>
      </c>
      <c r="F14" s="4">
        <f t="shared" si="4"/>
        <v>3</v>
      </c>
      <c r="H14" s="31">
        <f t="shared" si="3"/>
        <v>6.75</v>
      </c>
    </row>
    <row r="15" spans="1:9">
      <c r="A15" s="1" t="s">
        <v>6</v>
      </c>
      <c r="C15" s="20">
        <f>C14*C9*1.5</f>
        <v>0</v>
      </c>
      <c r="D15" s="20">
        <f t="shared" ref="D15:F15" si="5">D14*D9*1.5</f>
        <v>88.489687499999988</v>
      </c>
      <c r="E15" s="20">
        <f t="shared" si="5"/>
        <v>0</v>
      </c>
      <c r="F15" s="20">
        <f t="shared" si="5"/>
        <v>95.478749999999991</v>
      </c>
      <c r="H15" s="22">
        <f>SUM(C15:F15)</f>
        <v>183.96843749999999</v>
      </c>
    </row>
    <row r="16" spans="1:9">
      <c r="A16" s="1" t="s">
        <v>7</v>
      </c>
      <c r="C16" s="21">
        <f>C9*40</f>
        <v>777.36</v>
      </c>
      <c r="D16" s="21">
        <v>0</v>
      </c>
      <c r="E16" s="21">
        <f t="shared" ref="E16:F16" si="6">E9*40</f>
        <v>844.60000000000014</v>
      </c>
      <c r="F16" s="21">
        <f t="shared" si="6"/>
        <v>848.69999999999993</v>
      </c>
      <c r="H16" s="22">
        <f t="shared" ref="H16:H18" si="7">SUM(C16:F16)</f>
        <v>2470.66</v>
      </c>
    </row>
    <row r="17" spans="1:8">
      <c r="A17" s="1" t="s">
        <v>8</v>
      </c>
      <c r="C17" s="23">
        <v>500</v>
      </c>
      <c r="D17" s="23">
        <v>500</v>
      </c>
      <c r="E17" s="23">
        <v>500</v>
      </c>
      <c r="F17" s="23">
        <v>500</v>
      </c>
      <c r="H17" s="24">
        <f t="shared" si="7"/>
        <v>2000</v>
      </c>
    </row>
    <row r="18" spans="1:8">
      <c r="A18" s="15" t="s">
        <v>9</v>
      </c>
      <c r="C18" s="22">
        <f>C10+C15+C16+C17</f>
        <v>41700.080000000002</v>
      </c>
      <c r="D18" s="22">
        <f t="shared" ref="D18:F18" si="8">D10+D15+D16+D17</f>
        <v>33310.009687500002</v>
      </c>
      <c r="E18" s="22">
        <f t="shared" si="8"/>
        <v>45263.8</v>
      </c>
      <c r="F18" s="22">
        <f t="shared" si="8"/>
        <v>45576.578749999993</v>
      </c>
      <c r="H18" s="22">
        <f t="shared" si="7"/>
        <v>165850.46843750001</v>
      </c>
    </row>
    <row r="20" spans="1:8">
      <c r="A20" s="14" t="s">
        <v>30</v>
      </c>
    </row>
    <row r="21" spans="1:8">
      <c r="A21" s="1" t="s">
        <v>10</v>
      </c>
      <c r="B21" s="13">
        <f>'Data Input &amp; Totals'!$B$4</f>
        <v>7.6499999999999999E-2</v>
      </c>
      <c r="C21" s="19">
        <f>C18*$B$21</f>
        <v>3190.0561200000002</v>
      </c>
      <c r="D21" s="19">
        <f t="shared" ref="D21:F21" si="9">D18*$B$21</f>
        <v>2548.2157410937502</v>
      </c>
      <c r="E21" s="19">
        <f t="shared" si="9"/>
        <v>3462.6807000000003</v>
      </c>
      <c r="F21" s="19">
        <f t="shared" si="9"/>
        <v>3486.6082743749994</v>
      </c>
      <c r="H21" s="22">
        <f t="shared" ref="H21:H22" si="10">SUM(C21:F21)</f>
        <v>12687.56083546875</v>
      </c>
    </row>
    <row r="22" spans="1:8">
      <c r="A22" s="1" t="s">
        <v>11</v>
      </c>
      <c r="B22" s="13">
        <f>'Data Input &amp; Totals'!$B$5</f>
        <v>0.24060000000000001</v>
      </c>
      <c r="C22" s="19">
        <f>C18*$B$22</f>
        <v>10033.039248000001</v>
      </c>
      <c r="D22" s="19">
        <f>D18*$B$22</f>
        <v>8014.3883308125005</v>
      </c>
      <c r="E22" s="19">
        <f>E18*$B$22</f>
        <v>10890.470280000001</v>
      </c>
      <c r="F22" s="19">
        <f>F18*$B$22</f>
        <v>10965.72484725</v>
      </c>
      <c r="H22" s="22">
        <f t="shared" si="10"/>
        <v>39903.622706062502</v>
      </c>
    </row>
    <row r="23" spans="1:8">
      <c r="B23" s="13"/>
      <c r="C23" s="20"/>
      <c r="D23" s="20"/>
      <c r="E23" s="20"/>
      <c r="F23" s="20"/>
    </row>
    <row r="24" spans="1:8">
      <c r="A24" s="14" t="s">
        <v>12</v>
      </c>
      <c r="B24" s="13"/>
      <c r="C24" s="20"/>
      <c r="D24" s="20"/>
      <c r="E24" s="20"/>
      <c r="F24" s="20"/>
    </row>
    <row r="25" spans="1:8">
      <c r="A25" s="1" t="s">
        <v>26</v>
      </c>
      <c r="C25" s="29">
        <v>1334</v>
      </c>
      <c r="D25" s="29">
        <v>1334</v>
      </c>
      <c r="E25" s="29">
        <v>1490</v>
      </c>
      <c r="F25" s="29">
        <v>1334</v>
      </c>
      <c r="H25" s="22">
        <f>SUM(C25:F25)</f>
        <v>5492</v>
      </c>
    </row>
    <row r="26" spans="1:8">
      <c r="A26" s="1" t="s">
        <v>25</v>
      </c>
      <c r="B26" s="13">
        <f>'Data Input &amp; Totals'!$B$6</f>
        <v>0.06</v>
      </c>
      <c r="C26" s="20">
        <f>C25*(1+$B$26)</f>
        <v>1414.04</v>
      </c>
      <c r="D26" s="53">
        <v>1579</v>
      </c>
      <c r="E26" s="20">
        <f>E25*(1+$B$26)</f>
        <v>1579.4</v>
      </c>
      <c r="F26" s="20">
        <v>1414</v>
      </c>
      <c r="H26" s="22">
        <f t="shared" ref="H26:H30" si="11">SUM(C26:F26)</f>
        <v>5986.4400000000005</v>
      </c>
    </row>
    <row r="27" spans="1:8">
      <c r="A27" s="1" t="s">
        <v>17</v>
      </c>
      <c r="B27" s="5">
        <v>9</v>
      </c>
      <c r="C27" s="20">
        <f>$B27</f>
        <v>9</v>
      </c>
      <c r="D27" s="20">
        <f t="shared" ref="D27:F27" si="12">$B27</f>
        <v>9</v>
      </c>
      <c r="E27" s="20">
        <f t="shared" si="12"/>
        <v>9</v>
      </c>
      <c r="F27" s="20">
        <f t="shared" si="12"/>
        <v>9</v>
      </c>
      <c r="H27" s="22">
        <f t="shared" si="11"/>
        <v>36</v>
      </c>
    </row>
    <row r="28" spans="1:8">
      <c r="A28" s="1" t="s">
        <v>27</v>
      </c>
      <c r="B28" s="5">
        <v>36</v>
      </c>
      <c r="C28" s="20">
        <f t="shared" ref="C28:F30" si="13">$B28</f>
        <v>36</v>
      </c>
      <c r="D28" s="20">
        <f t="shared" si="13"/>
        <v>36</v>
      </c>
      <c r="E28" s="20">
        <f t="shared" si="13"/>
        <v>36</v>
      </c>
      <c r="F28" s="20">
        <f t="shared" si="13"/>
        <v>36</v>
      </c>
      <c r="H28" s="22">
        <f t="shared" si="11"/>
        <v>144</v>
      </c>
    </row>
    <row r="29" spans="1:8">
      <c r="A29" s="1" t="s">
        <v>28</v>
      </c>
      <c r="B29" s="5">
        <v>6</v>
      </c>
      <c r="C29" s="20">
        <f t="shared" si="13"/>
        <v>6</v>
      </c>
      <c r="D29" s="20">
        <f t="shared" si="13"/>
        <v>6</v>
      </c>
      <c r="E29" s="20">
        <f t="shared" si="13"/>
        <v>6</v>
      </c>
      <c r="F29" s="20">
        <f t="shared" si="13"/>
        <v>6</v>
      </c>
      <c r="H29" s="22">
        <f t="shared" si="11"/>
        <v>24</v>
      </c>
    </row>
    <row r="30" spans="1:8">
      <c r="A30" s="1" t="s">
        <v>29</v>
      </c>
      <c r="B30" s="5">
        <v>11</v>
      </c>
      <c r="C30" s="23">
        <f t="shared" si="13"/>
        <v>11</v>
      </c>
      <c r="D30" s="23">
        <f t="shared" si="13"/>
        <v>11</v>
      </c>
      <c r="E30" s="23">
        <f t="shared" si="13"/>
        <v>11</v>
      </c>
      <c r="F30" s="23">
        <f t="shared" si="13"/>
        <v>11</v>
      </c>
      <c r="H30" s="24">
        <f t="shared" si="11"/>
        <v>44</v>
      </c>
    </row>
    <row r="31" spans="1:8">
      <c r="A31" s="15" t="s">
        <v>0</v>
      </c>
      <c r="C31" s="19">
        <f>(C25*6)+(C26*6)+SUM(C27:C30)*12</f>
        <v>17232.239999999998</v>
      </c>
      <c r="D31" s="19">
        <f t="shared" ref="D31:F31" si="14">(D25*6)+(D26*6)+SUM(D27:D30)*12</f>
        <v>18222</v>
      </c>
      <c r="E31" s="19">
        <f t="shared" si="14"/>
        <v>19160.400000000001</v>
      </c>
      <c r="F31" s="19">
        <f t="shared" si="14"/>
        <v>17232</v>
      </c>
      <c r="H31" s="22">
        <f t="shared" ref="H31:H33" si="15">SUM(C31:F31)</f>
        <v>71846.64</v>
      </c>
    </row>
    <row r="32" spans="1:8">
      <c r="H32" s="22"/>
    </row>
    <row r="33" spans="1:8">
      <c r="A33" s="15" t="s">
        <v>20</v>
      </c>
      <c r="C33" s="22">
        <f>C18+C21+C22+C31</f>
        <v>72155.415368000002</v>
      </c>
      <c r="D33" s="22">
        <f t="shared" ref="D33:F33" si="16">D18+D21+D22+D31</f>
        <v>62094.613759406253</v>
      </c>
      <c r="E33" s="22">
        <f t="shared" si="16"/>
        <v>78777.350980000003</v>
      </c>
      <c r="F33" s="22">
        <f t="shared" si="16"/>
        <v>77260.911871624994</v>
      </c>
      <c r="H33" s="22">
        <f t="shared" si="15"/>
        <v>290288.29197903123</v>
      </c>
    </row>
    <row r="35" spans="1:8">
      <c r="A35" s="15" t="s">
        <v>70</v>
      </c>
      <c r="C35" s="52">
        <f>C33/2080</f>
        <v>34.690103542307696</v>
      </c>
      <c r="D35" s="52">
        <f t="shared" ref="D35:F35" si="17">D33/2080</f>
        <v>29.853179692022238</v>
      </c>
      <c r="E35" s="52">
        <f t="shared" si="17"/>
        <v>37.873726432692308</v>
      </c>
      <c r="F35" s="52">
        <f t="shared" si="17"/>
        <v>37.144669169050481</v>
      </c>
    </row>
  </sheetData>
  <pageMargins left="0.7" right="0.7" top="0.75" bottom="0.75" header="0.3" footer="0.3"/>
  <pageSetup orientation="landscape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workbookViewId="0">
      <selection activeCell="P23" sqref="P23"/>
    </sheetView>
  </sheetViews>
  <sheetFormatPr defaultRowHeight="12.75"/>
  <cols>
    <col min="1" max="1" width="27.42578125" style="1" customWidth="1"/>
    <col min="2" max="2" width="10.42578125" style="1" customWidth="1"/>
    <col min="3" max="3" width="11.140625" style="1" bestFit="1" customWidth="1"/>
    <col min="4" max="4" width="11.5703125" style="1" customWidth="1"/>
    <col min="5" max="5" width="10" style="1" bestFit="1" customWidth="1"/>
    <col min="6" max="6" width="9.140625" style="1"/>
    <col min="7" max="7" width="2.28515625" style="1" customWidth="1"/>
    <col min="8" max="8" width="13.140625" style="1" customWidth="1"/>
    <col min="9" max="16384" width="9.140625" style="1"/>
  </cols>
  <sheetData>
    <row r="1" spans="1:8" ht="15" customHeight="1">
      <c r="B1" s="2"/>
    </row>
    <row r="2" spans="1:8" ht="15" customHeight="1">
      <c r="B2" s="12" t="s">
        <v>68</v>
      </c>
      <c r="H2" s="12" t="s">
        <v>68</v>
      </c>
    </row>
    <row r="3" spans="1:8">
      <c r="A3" s="7"/>
      <c r="B3" s="8" t="s">
        <v>18</v>
      </c>
      <c r="C3" s="7"/>
      <c r="D3" s="7"/>
      <c r="E3" s="7"/>
      <c r="F3" s="7"/>
      <c r="H3" s="7" t="s">
        <v>32</v>
      </c>
    </row>
    <row r="4" spans="1:8">
      <c r="A4" s="9" t="s">
        <v>13</v>
      </c>
      <c r="B4" s="10" t="s">
        <v>19</v>
      </c>
      <c r="C4" s="9">
        <v>205</v>
      </c>
      <c r="D4" s="9">
        <v>202</v>
      </c>
      <c r="E4" s="9">
        <v>199</v>
      </c>
      <c r="F4" s="9"/>
      <c r="G4" s="17"/>
      <c r="H4" s="9" t="s">
        <v>31</v>
      </c>
    </row>
    <row r="6" spans="1:8">
      <c r="A6" s="1" t="s">
        <v>5</v>
      </c>
      <c r="C6" s="28">
        <v>14.5</v>
      </c>
      <c r="D6" s="28">
        <v>20.5</v>
      </c>
      <c r="E6" s="28">
        <v>17.75</v>
      </c>
      <c r="F6" s="28"/>
    </row>
    <row r="7" spans="1:8">
      <c r="A7" s="1" t="s">
        <v>21</v>
      </c>
      <c r="B7" s="13">
        <f>'Data Input &amp; Totals'!$B$3</f>
        <v>2.5000000000000001E-2</v>
      </c>
      <c r="C7" s="3">
        <f>C6*$B$7</f>
        <v>0.36250000000000004</v>
      </c>
      <c r="D7" s="3">
        <f t="shared" ref="D7:E7" si="0">D6*$B$7</f>
        <v>0.51250000000000007</v>
      </c>
      <c r="E7" s="3">
        <f t="shared" si="0"/>
        <v>0.44375000000000003</v>
      </c>
      <c r="F7" s="3"/>
    </row>
    <row r="8" spans="1:8">
      <c r="A8" s="1" t="s">
        <v>4</v>
      </c>
      <c r="C8" s="28">
        <v>0.5</v>
      </c>
      <c r="D8" s="28">
        <v>0</v>
      </c>
      <c r="E8" s="28">
        <v>0</v>
      </c>
      <c r="F8" s="28"/>
      <c r="H8" s="17"/>
    </row>
    <row r="9" spans="1:8">
      <c r="A9" s="15" t="s">
        <v>66</v>
      </c>
      <c r="C9" s="18">
        <f>SUM(C6:C8)</f>
        <v>15.362500000000001</v>
      </c>
      <c r="D9" s="18">
        <f t="shared" ref="D9:E9" si="1">SUM(D6:D8)</f>
        <v>21.012499999999999</v>
      </c>
      <c r="E9" s="18">
        <f t="shared" si="1"/>
        <v>18.193750000000001</v>
      </c>
      <c r="F9" s="18"/>
    </row>
    <row r="10" spans="1:8">
      <c r="A10" s="15" t="s">
        <v>67</v>
      </c>
      <c r="C10" s="19">
        <f>C9*40*52</f>
        <v>31954</v>
      </c>
      <c r="D10" s="19">
        <f>D9*40*52</f>
        <v>43706</v>
      </c>
      <c r="E10" s="19">
        <f t="shared" ref="E10" si="2">E9*40*52</f>
        <v>37843</v>
      </c>
      <c r="F10" s="19"/>
      <c r="H10" s="22">
        <f>SUM(C10:F10)</f>
        <v>113503</v>
      </c>
    </row>
    <row r="11" spans="1:8">
      <c r="C11" s="3"/>
    </row>
    <row r="12" spans="1:8">
      <c r="A12" s="1" t="s">
        <v>24</v>
      </c>
      <c r="B12" s="27">
        <v>8</v>
      </c>
    </row>
    <row r="13" spans="1:8">
      <c r="A13" s="1" t="s">
        <v>22</v>
      </c>
      <c r="C13" s="26">
        <v>0</v>
      </c>
      <c r="D13" s="26">
        <v>0</v>
      </c>
      <c r="E13" s="26">
        <v>0</v>
      </c>
      <c r="F13" s="26"/>
    </row>
    <row r="14" spans="1:8">
      <c r="A14" s="1" t="s">
        <v>33</v>
      </c>
      <c r="C14" s="4">
        <f>C13/$B$12*12</f>
        <v>0</v>
      </c>
      <c r="D14" s="4">
        <f t="shared" ref="D14:E14" si="3">D13/$B$12*12</f>
        <v>0</v>
      </c>
      <c r="E14" s="4">
        <f t="shared" si="3"/>
        <v>0</v>
      </c>
      <c r="F14" s="4"/>
    </row>
    <row r="15" spans="1:8">
      <c r="A15" s="1" t="s">
        <v>6</v>
      </c>
      <c r="C15" s="20">
        <f>C14*C9*1.5</f>
        <v>0</v>
      </c>
      <c r="D15" s="20">
        <f t="shared" ref="D15:E15" si="4">D14*D9*1.5</f>
        <v>0</v>
      </c>
      <c r="E15" s="20">
        <f t="shared" si="4"/>
        <v>0</v>
      </c>
      <c r="F15" s="20"/>
      <c r="H15" s="22">
        <f>SUM(C15:F15)</f>
        <v>0</v>
      </c>
    </row>
    <row r="16" spans="1:8">
      <c r="A16" s="1" t="s">
        <v>7</v>
      </c>
      <c r="C16" s="21">
        <v>0</v>
      </c>
      <c r="D16" s="21">
        <f>D9*40</f>
        <v>840.5</v>
      </c>
      <c r="E16" s="21">
        <f>E9*40</f>
        <v>727.75</v>
      </c>
      <c r="F16" s="21"/>
      <c r="H16" s="22">
        <f t="shared" ref="H16:H18" si="5">SUM(C16:F16)</f>
        <v>1568.25</v>
      </c>
    </row>
    <row r="17" spans="1:8">
      <c r="A17" s="1" t="s">
        <v>8</v>
      </c>
      <c r="C17" s="23">
        <v>500</v>
      </c>
      <c r="D17" s="23">
        <v>500</v>
      </c>
      <c r="E17" s="23">
        <v>500</v>
      </c>
      <c r="F17" s="23"/>
      <c r="H17" s="24">
        <f t="shared" si="5"/>
        <v>1500</v>
      </c>
    </row>
    <row r="18" spans="1:8">
      <c r="A18" s="15" t="s">
        <v>9</v>
      </c>
      <c r="C18" s="22">
        <f>C10+C15+C16+C17</f>
        <v>32454</v>
      </c>
      <c r="D18" s="22">
        <f t="shared" ref="D18:E18" si="6">D10+D15+D16+D17</f>
        <v>45046.5</v>
      </c>
      <c r="E18" s="22">
        <f t="shared" si="6"/>
        <v>39070.75</v>
      </c>
      <c r="F18" s="22"/>
      <c r="H18" s="22">
        <f t="shared" si="5"/>
        <v>116571.25</v>
      </c>
    </row>
    <row r="20" spans="1:8">
      <c r="A20" s="14" t="s">
        <v>30</v>
      </c>
    </row>
    <row r="21" spans="1:8">
      <c r="A21" s="1" t="s">
        <v>10</v>
      </c>
      <c r="B21" s="13">
        <f>'Data Input &amp; Totals'!$B$4</f>
        <v>7.6499999999999999E-2</v>
      </c>
      <c r="C21" s="19">
        <f>C18*$B$21</f>
        <v>2482.7309999999998</v>
      </c>
      <c r="D21" s="19">
        <f t="shared" ref="D21:E21" si="7">D18*$B$21</f>
        <v>3446.0572499999998</v>
      </c>
      <c r="E21" s="19">
        <f t="shared" si="7"/>
        <v>2988.9123749999999</v>
      </c>
      <c r="F21" s="19"/>
      <c r="H21" s="22">
        <f t="shared" ref="H21:H22" si="8">SUM(C21:F21)</f>
        <v>8917.7006249999995</v>
      </c>
    </row>
    <row r="22" spans="1:8">
      <c r="A22" s="1" t="s">
        <v>11</v>
      </c>
      <c r="B22" s="13">
        <f>'Data Input &amp; Totals'!$B$5</f>
        <v>0.24060000000000001</v>
      </c>
      <c r="C22" s="19">
        <f>C18*$B$22</f>
        <v>7808.4324000000006</v>
      </c>
      <c r="D22" s="19">
        <f>D18*$B$22</f>
        <v>10838.187900000001</v>
      </c>
      <c r="E22" s="19">
        <f>E18*$B$22</f>
        <v>9400.42245</v>
      </c>
      <c r="F22" s="19"/>
      <c r="H22" s="22">
        <f t="shared" si="8"/>
        <v>28047.042750000001</v>
      </c>
    </row>
    <row r="23" spans="1:8">
      <c r="B23" s="13"/>
      <c r="C23" s="20"/>
      <c r="D23" s="20"/>
      <c r="E23" s="20"/>
      <c r="F23" s="20"/>
    </row>
    <row r="24" spans="1:8">
      <c r="A24" s="14" t="s">
        <v>12</v>
      </c>
      <c r="B24" s="13"/>
      <c r="C24" s="20"/>
      <c r="D24" s="20"/>
      <c r="E24" s="20"/>
      <c r="F24" s="20"/>
    </row>
    <row r="25" spans="1:8">
      <c r="A25" s="1" t="s">
        <v>26</v>
      </c>
      <c r="C25" s="29">
        <v>1490</v>
      </c>
      <c r="D25" s="29">
        <v>710</v>
      </c>
      <c r="E25" s="29">
        <v>1334</v>
      </c>
      <c r="F25" s="29"/>
      <c r="H25" s="22">
        <f>SUM(C25:F25)</f>
        <v>3534</v>
      </c>
    </row>
    <row r="26" spans="1:8">
      <c r="A26" s="1" t="s">
        <v>25</v>
      </c>
      <c r="B26" s="13">
        <f>'Data Input &amp; Totals'!$B$6</f>
        <v>0.06</v>
      </c>
      <c r="C26" s="20">
        <f>C25*(1+$B$26)</f>
        <v>1579.4</v>
      </c>
      <c r="D26" s="53">
        <v>1579</v>
      </c>
      <c r="E26" s="53">
        <v>1579</v>
      </c>
      <c r="F26" s="20"/>
      <c r="H26" s="22">
        <f t="shared" ref="H26:H30" si="9">SUM(C26:F26)</f>
        <v>4737.3999999999996</v>
      </c>
    </row>
    <row r="27" spans="1:8">
      <c r="A27" s="1" t="s">
        <v>17</v>
      </c>
      <c r="B27" s="5">
        <v>9</v>
      </c>
      <c r="C27" s="20">
        <f>$B27</f>
        <v>9</v>
      </c>
      <c r="D27" s="20">
        <f t="shared" ref="D27:E27" si="10">$B27</f>
        <v>9</v>
      </c>
      <c r="E27" s="20">
        <f t="shared" si="10"/>
        <v>9</v>
      </c>
      <c r="F27" s="20"/>
      <c r="H27" s="22">
        <f t="shared" si="9"/>
        <v>27</v>
      </c>
    </row>
    <row r="28" spans="1:8">
      <c r="A28" s="1" t="s">
        <v>27</v>
      </c>
      <c r="B28" s="5">
        <v>36</v>
      </c>
      <c r="C28" s="20">
        <f t="shared" ref="C28:E30" si="11">$B28</f>
        <v>36</v>
      </c>
      <c r="D28" s="20">
        <f t="shared" si="11"/>
        <v>36</v>
      </c>
      <c r="E28" s="20">
        <f t="shared" si="11"/>
        <v>36</v>
      </c>
      <c r="F28" s="20"/>
      <c r="H28" s="22">
        <f t="shared" si="9"/>
        <v>108</v>
      </c>
    </row>
    <row r="29" spans="1:8">
      <c r="A29" s="1" t="s">
        <v>28</v>
      </c>
      <c r="B29" s="5">
        <v>6</v>
      </c>
      <c r="C29" s="20">
        <f t="shared" si="11"/>
        <v>6</v>
      </c>
      <c r="D29" s="20">
        <f t="shared" si="11"/>
        <v>6</v>
      </c>
      <c r="E29" s="20">
        <f t="shared" si="11"/>
        <v>6</v>
      </c>
      <c r="F29" s="20"/>
      <c r="H29" s="22">
        <f t="shared" si="9"/>
        <v>18</v>
      </c>
    </row>
    <row r="30" spans="1:8">
      <c r="A30" s="1" t="s">
        <v>29</v>
      </c>
      <c r="B30" s="5">
        <v>11</v>
      </c>
      <c r="C30" s="23">
        <f t="shared" si="11"/>
        <v>11</v>
      </c>
      <c r="D30" s="23">
        <f t="shared" si="11"/>
        <v>11</v>
      </c>
      <c r="E30" s="23">
        <f t="shared" si="11"/>
        <v>11</v>
      </c>
      <c r="F30" s="23"/>
      <c r="H30" s="24">
        <f t="shared" si="9"/>
        <v>33</v>
      </c>
    </row>
    <row r="31" spans="1:8">
      <c r="A31" s="15" t="s">
        <v>0</v>
      </c>
      <c r="C31" s="19">
        <f>(C25*6)+(C26*6)+SUM(C27:C30)*12</f>
        <v>19160.400000000001</v>
      </c>
      <c r="D31" s="19">
        <f t="shared" ref="D31:E31" si="12">(D25*6)+(D26*6)+SUM(D27:D30)*12</f>
        <v>14478</v>
      </c>
      <c r="E31" s="19">
        <f t="shared" si="12"/>
        <v>18222</v>
      </c>
      <c r="F31" s="19"/>
      <c r="H31" s="22">
        <f t="shared" ref="H31:H33" si="13">SUM(C31:F31)</f>
        <v>51860.4</v>
      </c>
    </row>
    <row r="32" spans="1:8">
      <c r="H32" s="22"/>
    </row>
    <row r="33" spans="1:8">
      <c r="A33" s="15" t="s">
        <v>20</v>
      </c>
      <c r="C33" s="22">
        <f>C18+C21+C22+C31</f>
        <v>61905.563399999999</v>
      </c>
      <c r="D33" s="22">
        <f t="shared" ref="D33:E33" si="14">D18+D21+D22+D31</f>
        <v>73808.745150000002</v>
      </c>
      <c r="E33" s="22">
        <f t="shared" si="14"/>
        <v>69682.084824999998</v>
      </c>
      <c r="F33" s="22"/>
      <c r="H33" s="22">
        <f t="shared" si="13"/>
        <v>205396.39337500001</v>
      </c>
    </row>
    <row r="35" spans="1:8">
      <c r="A35" s="15" t="s">
        <v>70</v>
      </c>
      <c r="C35" s="52">
        <f>C33/2080</f>
        <v>29.762290096153844</v>
      </c>
      <c r="D35" s="52">
        <f t="shared" ref="D35:F35" si="15">D33/2080</f>
        <v>35.484973629807691</v>
      </c>
      <c r="E35" s="52">
        <f t="shared" si="15"/>
        <v>33.501002319711539</v>
      </c>
      <c r="F35" s="52">
        <f t="shared" si="15"/>
        <v>0</v>
      </c>
    </row>
  </sheetData>
  <pageMargins left="0.7" right="0.7" top="0.75" bottom="0.75" header="0.3" footer="0.3"/>
  <pageSetup orientation="landscape" horizontalDpi="300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5"/>
  <sheetViews>
    <sheetView workbookViewId="0">
      <selection activeCell="Q13" sqref="Q13"/>
    </sheetView>
  </sheetViews>
  <sheetFormatPr defaultRowHeight="15"/>
  <cols>
    <col min="1" max="1" width="27.42578125" style="1" customWidth="1"/>
    <col min="2" max="2" width="10.42578125" style="1" customWidth="1"/>
    <col min="3" max="3" width="11.5703125" style="1" customWidth="1"/>
    <col min="4" max="4" width="11.140625" style="1" bestFit="1" customWidth="1"/>
    <col min="5" max="5" width="10" style="1" bestFit="1" customWidth="1"/>
    <col min="6" max="6" width="9.140625" style="1"/>
    <col min="7" max="8" width="9.5703125" style="1" customWidth="1"/>
    <col min="9" max="9" width="13.140625" style="1" customWidth="1"/>
    <col min="11" max="16384" width="9.140625" style="1"/>
  </cols>
  <sheetData>
    <row r="1" spans="1:10" ht="15" customHeight="1">
      <c r="B1" s="2"/>
      <c r="I1"/>
    </row>
    <row r="2" spans="1:10" ht="15" customHeight="1">
      <c r="B2" s="12" t="s">
        <v>68</v>
      </c>
      <c r="I2" s="12" t="s">
        <v>68</v>
      </c>
    </row>
    <row r="3" spans="1:10">
      <c r="A3" s="7"/>
      <c r="B3" s="8" t="s">
        <v>18</v>
      </c>
      <c r="C3" s="7" t="s">
        <v>72</v>
      </c>
      <c r="D3" s="7"/>
      <c r="E3" s="7"/>
      <c r="F3" s="7"/>
      <c r="G3" s="6"/>
      <c r="H3" s="6"/>
      <c r="I3" s="7" t="s">
        <v>32</v>
      </c>
    </row>
    <row r="4" spans="1:10">
      <c r="A4" s="9" t="s">
        <v>13</v>
      </c>
      <c r="B4" s="10" t="s">
        <v>19</v>
      </c>
      <c r="C4" s="9" t="s">
        <v>73</v>
      </c>
      <c r="D4" s="9">
        <v>188</v>
      </c>
      <c r="E4" s="9">
        <v>189</v>
      </c>
      <c r="F4" s="9">
        <v>192</v>
      </c>
      <c r="G4" s="9">
        <v>173</v>
      </c>
      <c r="H4" s="9">
        <v>208</v>
      </c>
      <c r="I4" s="9" t="s">
        <v>31</v>
      </c>
    </row>
    <row r="6" spans="1:10">
      <c r="A6" s="1" t="s">
        <v>5</v>
      </c>
      <c r="C6" s="28">
        <v>18</v>
      </c>
      <c r="D6" s="28">
        <v>18.96</v>
      </c>
      <c r="E6" s="28">
        <v>18.190000000000001</v>
      </c>
      <c r="F6" s="28">
        <v>18.45</v>
      </c>
      <c r="G6" s="28">
        <v>20.91</v>
      </c>
      <c r="H6" s="28">
        <v>18</v>
      </c>
    </row>
    <row r="7" spans="1:10">
      <c r="A7" s="1" t="s">
        <v>21</v>
      </c>
      <c r="B7" s="13">
        <f>'Data Input &amp; Totals'!$B$3</f>
        <v>2.5000000000000001E-2</v>
      </c>
      <c r="C7" s="3">
        <v>0</v>
      </c>
      <c r="D7" s="3">
        <f>D6*$B$7</f>
        <v>0.47400000000000003</v>
      </c>
      <c r="E7" s="3">
        <f t="shared" ref="E7:G7" si="0">E6*$B$7</f>
        <v>0.45475000000000004</v>
      </c>
      <c r="F7" s="3">
        <f t="shared" si="0"/>
        <v>0.46124999999999999</v>
      </c>
      <c r="G7" s="3">
        <f t="shared" si="0"/>
        <v>0.52275000000000005</v>
      </c>
      <c r="H7" s="3">
        <f t="shared" ref="H7" si="1">H6*$B$7</f>
        <v>0.45</v>
      </c>
    </row>
    <row r="8" spans="1:10">
      <c r="A8" s="1" t="s">
        <v>4</v>
      </c>
      <c r="C8" s="28">
        <v>0</v>
      </c>
      <c r="D8" s="28">
        <v>0</v>
      </c>
      <c r="E8" s="28">
        <v>0.5</v>
      </c>
      <c r="F8" s="28">
        <v>0.52</v>
      </c>
      <c r="G8" s="28">
        <v>0</v>
      </c>
      <c r="H8" s="28">
        <v>0</v>
      </c>
      <c r="I8" s="17"/>
    </row>
    <row r="9" spans="1:10">
      <c r="A9" s="15" t="s">
        <v>66</v>
      </c>
      <c r="C9" s="18">
        <f t="shared" ref="C9" si="2">SUM(C6:C8)</f>
        <v>18</v>
      </c>
      <c r="D9" s="18">
        <f>SUM(D6:D8)</f>
        <v>19.434000000000001</v>
      </c>
      <c r="E9" s="18">
        <f t="shared" ref="E9:G9" si="3">SUM(E6:E8)</f>
        <v>19.144750000000002</v>
      </c>
      <c r="F9" s="18">
        <f t="shared" si="3"/>
        <v>19.431249999999999</v>
      </c>
      <c r="G9" s="18">
        <f t="shared" si="3"/>
        <v>21.432749999999999</v>
      </c>
      <c r="H9" s="18">
        <f t="shared" ref="H9" si="4">SUM(H6:H8)</f>
        <v>18.45</v>
      </c>
      <c r="I9" s="18">
        <f>AVERAGE(C9:H9)</f>
        <v>19.315458333333332</v>
      </c>
      <c r="J9" t="s">
        <v>69</v>
      </c>
    </row>
    <row r="10" spans="1:10">
      <c r="A10" s="15" t="s">
        <v>67</v>
      </c>
      <c r="C10" s="19">
        <f>C9*40*52</f>
        <v>37440</v>
      </c>
      <c r="D10" s="19">
        <f>D9*40*52</f>
        <v>40422.720000000001</v>
      </c>
      <c r="E10" s="19">
        <f t="shared" ref="E10:G10" si="5">E9*40*52</f>
        <v>39821.08</v>
      </c>
      <c r="F10" s="19">
        <f t="shared" si="5"/>
        <v>40417</v>
      </c>
      <c r="G10" s="19">
        <f t="shared" si="5"/>
        <v>44580.119999999995</v>
      </c>
      <c r="H10" s="19">
        <f t="shared" ref="H10" si="6">H9*40*52</f>
        <v>38376</v>
      </c>
      <c r="I10" s="22">
        <f>SUM(C10:H10)</f>
        <v>241056.91999999998</v>
      </c>
    </row>
    <row r="11" spans="1:10">
      <c r="D11" s="3"/>
    </row>
    <row r="12" spans="1:10">
      <c r="A12" s="1" t="s">
        <v>24</v>
      </c>
      <c r="B12" s="27">
        <v>8</v>
      </c>
      <c r="D12" s="51"/>
      <c r="E12" s="51"/>
    </row>
    <row r="13" spans="1:10">
      <c r="A13" s="1" t="s">
        <v>22</v>
      </c>
      <c r="C13" s="50">
        <v>164.5</v>
      </c>
      <c r="D13" s="26">
        <f>23+119</f>
        <v>142</v>
      </c>
      <c r="E13" s="26">
        <f>40.5+128</f>
        <v>168.5</v>
      </c>
      <c r="F13" s="26">
        <f>33+136</f>
        <v>169</v>
      </c>
      <c r="G13" s="26">
        <f>52.5+126</f>
        <v>178.5</v>
      </c>
      <c r="H13" s="50">
        <v>164.5</v>
      </c>
      <c r="I13" s="32">
        <f>SUM(C13:H13)</f>
        <v>987</v>
      </c>
    </row>
    <row r="14" spans="1:10">
      <c r="A14" s="1" t="s">
        <v>33</v>
      </c>
      <c r="C14" s="4">
        <f t="shared" ref="C14" si="7">C13/$B$12*12</f>
        <v>246.75</v>
      </c>
      <c r="D14" s="4">
        <f>D13/$B$12*12</f>
        <v>213</v>
      </c>
      <c r="E14" s="4">
        <f t="shared" ref="E14:G14" si="8">E13/$B$12*12</f>
        <v>252.75</v>
      </c>
      <c r="F14" s="4">
        <f t="shared" si="8"/>
        <v>253.5</v>
      </c>
      <c r="G14" s="4">
        <f t="shared" si="8"/>
        <v>267.75</v>
      </c>
      <c r="H14" s="4">
        <f t="shared" ref="H14" si="9">H13/$B$12*12</f>
        <v>246.75</v>
      </c>
      <c r="I14" s="32">
        <f t="shared" ref="I14:I17" si="10">SUM(C14:H14)</f>
        <v>1480.5</v>
      </c>
    </row>
    <row r="15" spans="1:10">
      <c r="A15" s="1" t="s">
        <v>6</v>
      </c>
      <c r="C15" s="20">
        <f t="shared" ref="C15" si="11">C14*C9*1.5</f>
        <v>6662.25</v>
      </c>
      <c r="D15" s="20">
        <f>D14*D9*1.5</f>
        <v>6209.1630000000005</v>
      </c>
      <c r="E15" s="20">
        <f t="shared" ref="E15:G15" si="12">E14*E9*1.5</f>
        <v>7258.2533437500006</v>
      </c>
      <c r="F15" s="20">
        <f t="shared" si="12"/>
        <v>7388.7328124999995</v>
      </c>
      <c r="G15" s="20">
        <f t="shared" si="12"/>
        <v>8607.9282187499994</v>
      </c>
      <c r="H15" s="20">
        <f t="shared" ref="H15" si="13">H14*H9*1.5</f>
        <v>6828.8062499999996</v>
      </c>
      <c r="I15" s="19">
        <f t="shared" si="10"/>
        <v>42955.133625000002</v>
      </c>
    </row>
    <row r="16" spans="1:10">
      <c r="A16" s="1" t="s">
        <v>7</v>
      </c>
      <c r="C16" s="21">
        <v>0</v>
      </c>
      <c r="D16" s="21">
        <f>D9*40</f>
        <v>777.36</v>
      </c>
      <c r="E16" s="21">
        <v>0</v>
      </c>
      <c r="F16" s="21">
        <f t="shared" ref="F16" si="14">F9*40</f>
        <v>777.25</v>
      </c>
      <c r="G16" s="21">
        <f t="shared" ref="G16" si="15">G9*40</f>
        <v>857.31</v>
      </c>
      <c r="H16" s="21">
        <v>0</v>
      </c>
      <c r="I16" s="19">
        <f t="shared" si="10"/>
        <v>2411.92</v>
      </c>
    </row>
    <row r="17" spans="1:9">
      <c r="A17" s="1" t="s">
        <v>8</v>
      </c>
      <c r="C17" s="23">
        <v>500</v>
      </c>
      <c r="D17" s="23">
        <v>500</v>
      </c>
      <c r="E17" s="23">
        <v>500</v>
      </c>
      <c r="F17" s="23">
        <v>500</v>
      </c>
      <c r="G17" s="23">
        <v>500</v>
      </c>
      <c r="H17" s="23">
        <v>500</v>
      </c>
      <c r="I17" s="19">
        <f t="shared" si="10"/>
        <v>3000</v>
      </c>
    </row>
    <row r="18" spans="1:9">
      <c r="A18" s="15" t="s">
        <v>9</v>
      </c>
      <c r="C18" s="22">
        <f t="shared" ref="C18" si="16">C10+C15+C16+C17</f>
        <v>44602.25</v>
      </c>
      <c r="D18" s="22">
        <f>D10+D15+D16+D17</f>
        <v>47909.243000000002</v>
      </c>
      <c r="E18" s="22">
        <f t="shared" ref="E18:G18" si="17">E10+E15+E16+E17</f>
        <v>47579.333343750004</v>
      </c>
      <c r="F18" s="22">
        <f t="shared" si="17"/>
        <v>49082.982812499999</v>
      </c>
      <c r="G18" s="22">
        <f t="shared" si="17"/>
        <v>54545.358218749992</v>
      </c>
      <c r="H18" s="22">
        <f t="shared" ref="H18:I18" si="18">H10+H15+H16+H17</f>
        <v>45704.806250000001</v>
      </c>
      <c r="I18" s="22">
        <f t="shared" si="18"/>
        <v>289423.97362499998</v>
      </c>
    </row>
    <row r="19" spans="1:9" ht="15" customHeight="1"/>
    <row r="20" spans="1:9">
      <c r="A20" s="14" t="s">
        <v>30</v>
      </c>
    </row>
    <row r="21" spans="1:9">
      <c r="A21" s="1" t="s">
        <v>10</v>
      </c>
      <c r="B21" s="13">
        <f>'Data Input &amp; Totals'!$B$4</f>
        <v>7.6499999999999999E-2</v>
      </c>
      <c r="C21" s="19">
        <f t="shared" ref="C21" si="19">C18*$B$21</f>
        <v>3412.0721250000001</v>
      </c>
      <c r="D21" s="19">
        <f>D18*$B$21</f>
        <v>3665.0570895000001</v>
      </c>
      <c r="E21" s="19">
        <f t="shared" ref="E21:F21" si="20">E18*$B$21</f>
        <v>3639.8190007968751</v>
      </c>
      <c r="F21" s="19">
        <f t="shared" si="20"/>
        <v>3754.8481851562497</v>
      </c>
      <c r="G21" s="19">
        <f t="shared" ref="G21:H21" si="21">G18*$B$21</f>
        <v>4172.7199037343744</v>
      </c>
      <c r="H21" s="19">
        <f t="shared" si="21"/>
        <v>3496.4176781249998</v>
      </c>
      <c r="I21" s="22">
        <f>SUM(C21:H21)</f>
        <v>22140.933982312497</v>
      </c>
    </row>
    <row r="22" spans="1:9">
      <c r="A22" s="1" t="s">
        <v>11</v>
      </c>
      <c r="B22" s="13">
        <f>'Data Input &amp; Totals'!$B$5</f>
        <v>0.24060000000000001</v>
      </c>
      <c r="C22" s="19">
        <f t="shared" ref="C22" si="22">C18*$B$22</f>
        <v>10731.30135</v>
      </c>
      <c r="D22" s="19">
        <f t="shared" ref="D22:G22" si="23">D18*$B$22</f>
        <v>11526.9638658</v>
      </c>
      <c r="E22" s="19">
        <f t="shared" si="23"/>
        <v>11447.587602506252</v>
      </c>
      <c r="F22" s="19">
        <f t="shared" si="23"/>
        <v>11809.365664687501</v>
      </c>
      <c r="G22" s="19">
        <f t="shared" si="23"/>
        <v>13123.613187431249</v>
      </c>
      <c r="H22" s="19">
        <f t="shared" ref="H22" si="24">H18*$B$22</f>
        <v>10996.57638375</v>
      </c>
      <c r="I22" s="22">
        <f>SUM(C22:H22)</f>
        <v>69635.408054175001</v>
      </c>
    </row>
    <row r="23" spans="1:9">
      <c r="B23" s="13"/>
      <c r="C23" s="20"/>
      <c r="D23" s="20"/>
      <c r="E23" s="20"/>
      <c r="F23" s="20"/>
      <c r="G23" s="20"/>
      <c r="H23" s="20"/>
    </row>
    <row r="24" spans="1:9">
      <c r="A24" s="14" t="s">
        <v>12</v>
      </c>
      <c r="B24" s="13"/>
      <c r="C24" s="20"/>
      <c r="D24" s="20"/>
      <c r="E24" s="20"/>
      <c r="F24" s="20"/>
      <c r="G24" s="20"/>
      <c r="H24" s="20"/>
    </row>
    <row r="25" spans="1:9">
      <c r="A25" s="1" t="s">
        <v>26</v>
      </c>
      <c r="C25" s="29">
        <v>1490</v>
      </c>
      <c r="D25" s="29">
        <v>1490</v>
      </c>
      <c r="E25" s="29">
        <v>1490</v>
      </c>
      <c r="F25" s="29">
        <v>1490</v>
      </c>
      <c r="G25" s="29">
        <v>1490</v>
      </c>
      <c r="H25" s="29">
        <v>1490</v>
      </c>
      <c r="I25" s="22">
        <f t="shared" ref="I25:I31" si="25">SUM(C25:H25)</f>
        <v>8940</v>
      </c>
    </row>
    <row r="26" spans="1:9">
      <c r="A26" s="1" t="s">
        <v>25</v>
      </c>
      <c r="B26" s="13">
        <f>'Data Input &amp; Totals'!$B$6</f>
        <v>0.06</v>
      </c>
      <c r="C26" s="20">
        <f t="shared" ref="C26" si="26">C25*(1+$B$26)</f>
        <v>1579.4</v>
      </c>
      <c r="D26" s="20">
        <f t="shared" ref="D26:G26" si="27">D25*(1+$B$26)</f>
        <v>1579.4</v>
      </c>
      <c r="E26" s="20">
        <f t="shared" si="27"/>
        <v>1579.4</v>
      </c>
      <c r="F26" s="20">
        <f t="shared" si="27"/>
        <v>1579.4</v>
      </c>
      <c r="G26" s="20">
        <f t="shared" si="27"/>
        <v>1579.4</v>
      </c>
      <c r="H26" s="20">
        <f t="shared" ref="H26" si="28">H25*(1+$B$26)</f>
        <v>1579.4</v>
      </c>
      <c r="I26" s="22">
        <f t="shared" si="25"/>
        <v>9476.4</v>
      </c>
    </row>
    <row r="27" spans="1:9">
      <c r="A27" s="1" t="s">
        <v>17</v>
      </c>
      <c r="B27" s="5">
        <v>9</v>
      </c>
      <c r="C27" s="20">
        <f t="shared" ref="C27:H27" si="29">$B27</f>
        <v>9</v>
      </c>
      <c r="D27" s="20">
        <f>$B27</f>
        <v>9</v>
      </c>
      <c r="E27" s="20">
        <f t="shared" si="29"/>
        <v>9</v>
      </c>
      <c r="F27" s="20">
        <f t="shared" si="29"/>
        <v>9</v>
      </c>
      <c r="G27" s="20">
        <f t="shared" si="29"/>
        <v>9</v>
      </c>
      <c r="H27" s="20">
        <f t="shared" si="29"/>
        <v>9</v>
      </c>
      <c r="I27" s="22">
        <f t="shared" si="25"/>
        <v>54</v>
      </c>
    </row>
    <row r="28" spans="1:9">
      <c r="A28" s="1" t="s">
        <v>27</v>
      </c>
      <c r="B28" s="5">
        <v>36</v>
      </c>
      <c r="C28" s="20">
        <f t="shared" ref="C28:H30" si="30">$B28</f>
        <v>36</v>
      </c>
      <c r="D28" s="20">
        <f t="shared" si="30"/>
        <v>36</v>
      </c>
      <c r="E28" s="20">
        <f t="shared" si="30"/>
        <v>36</v>
      </c>
      <c r="F28" s="20">
        <f t="shared" si="30"/>
        <v>36</v>
      </c>
      <c r="G28" s="20">
        <f t="shared" si="30"/>
        <v>36</v>
      </c>
      <c r="H28" s="20">
        <f t="shared" si="30"/>
        <v>36</v>
      </c>
      <c r="I28" s="22">
        <f t="shared" si="25"/>
        <v>216</v>
      </c>
    </row>
    <row r="29" spans="1:9">
      <c r="A29" s="1" t="s">
        <v>28</v>
      </c>
      <c r="B29" s="5">
        <v>6</v>
      </c>
      <c r="C29" s="20">
        <f t="shared" si="30"/>
        <v>6</v>
      </c>
      <c r="D29" s="20">
        <f t="shared" si="30"/>
        <v>6</v>
      </c>
      <c r="E29" s="20">
        <f t="shared" si="30"/>
        <v>6</v>
      </c>
      <c r="F29" s="20">
        <f t="shared" si="30"/>
        <v>6</v>
      </c>
      <c r="G29" s="20">
        <f t="shared" si="30"/>
        <v>6</v>
      </c>
      <c r="H29" s="20">
        <f t="shared" si="30"/>
        <v>6</v>
      </c>
      <c r="I29" s="22">
        <f t="shared" si="25"/>
        <v>36</v>
      </c>
    </row>
    <row r="30" spans="1:9">
      <c r="A30" s="1" t="s">
        <v>29</v>
      </c>
      <c r="B30" s="5">
        <v>11</v>
      </c>
      <c r="C30" s="23">
        <f t="shared" si="30"/>
        <v>11</v>
      </c>
      <c r="D30" s="23">
        <f t="shared" si="30"/>
        <v>11</v>
      </c>
      <c r="E30" s="23">
        <f t="shared" si="30"/>
        <v>11</v>
      </c>
      <c r="F30" s="23">
        <f t="shared" si="30"/>
        <v>11</v>
      </c>
      <c r="G30" s="23">
        <f t="shared" si="30"/>
        <v>11</v>
      </c>
      <c r="H30" s="23">
        <f t="shared" si="30"/>
        <v>11</v>
      </c>
      <c r="I30" s="24">
        <f t="shared" si="25"/>
        <v>66</v>
      </c>
    </row>
    <row r="31" spans="1:9">
      <c r="A31" s="15" t="s">
        <v>0</v>
      </c>
      <c r="C31" s="19">
        <f t="shared" ref="C31" si="31">(C25*6)+(C26*6)+SUM(C27:C30)*12</f>
        <v>19160.400000000001</v>
      </c>
      <c r="D31" s="19">
        <f>(D25*6)+(D26*6)+SUM(D27:D30)*12</f>
        <v>19160.400000000001</v>
      </c>
      <c r="E31" s="19">
        <f t="shared" ref="E31:G31" si="32">(E25*6)+(E26*6)+SUM(E27:E30)*12</f>
        <v>19160.400000000001</v>
      </c>
      <c r="F31" s="19">
        <f t="shared" si="32"/>
        <v>19160.400000000001</v>
      </c>
      <c r="G31" s="19">
        <f t="shared" si="32"/>
        <v>19160.400000000001</v>
      </c>
      <c r="H31" s="19">
        <f t="shared" ref="H31" si="33">(H25*6)+(H26*6)+SUM(H27:H30)*12</f>
        <v>19160.400000000001</v>
      </c>
      <c r="I31" s="22">
        <f t="shared" si="25"/>
        <v>114962.4</v>
      </c>
    </row>
    <row r="32" spans="1:9">
      <c r="I32" s="22"/>
    </row>
    <row r="33" spans="1:9">
      <c r="A33" s="15" t="s">
        <v>20</v>
      </c>
      <c r="C33" s="22">
        <f t="shared" ref="C33" si="34">C18+C21+C22+C31</f>
        <v>77906.023474999995</v>
      </c>
      <c r="D33" s="22">
        <f>D18+D21+D22+D31</f>
        <v>82261.663955299999</v>
      </c>
      <c r="E33" s="22">
        <f t="shared" ref="E33:F33" si="35">E18+E21+E22+E31</f>
        <v>81827.139947053132</v>
      </c>
      <c r="F33" s="22">
        <f t="shared" si="35"/>
        <v>83807.596662343742</v>
      </c>
      <c r="G33" s="22">
        <f t="shared" ref="G33:H33" si="36">G18+G21+G22+G31</f>
        <v>91002.091309915617</v>
      </c>
      <c r="H33" s="22">
        <f t="shared" si="36"/>
        <v>79358.200311875</v>
      </c>
      <c r="I33" s="19">
        <f t="shared" ref="I33" si="37">SUM(C33:H33)</f>
        <v>496162.71566148743</v>
      </c>
    </row>
    <row r="35" spans="1:9">
      <c r="A35" s="15" t="s">
        <v>70</v>
      </c>
      <c r="C35" s="52">
        <f>C33/2080</f>
        <v>37.454818978365381</v>
      </c>
      <c r="D35" s="52">
        <f t="shared" ref="D35:H35" si="38">D33/2080</f>
        <v>39.548876901586539</v>
      </c>
      <c r="E35" s="52">
        <f t="shared" si="38"/>
        <v>39.339971128390928</v>
      </c>
      <c r="F35" s="52">
        <f t="shared" si="38"/>
        <v>40.292113779972951</v>
      </c>
      <c r="G35" s="52">
        <f t="shared" si="38"/>
        <v>43.751005437459433</v>
      </c>
      <c r="H35" s="52">
        <f t="shared" si="38"/>
        <v>38.152980919170673</v>
      </c>
    </row>
  </sheetData>
  <pageMargins left="0.7" right="0.7" top="0.75" bottom="0.75" header="0.3" footer="0.3"/>
  <pageSetup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 Input &amp; Totals</vt:lpstr>
      <vt:lpstr>Admin</vt:lpstr>
      <vt:lpstr>WTP</vt:lpstr>
      <vt:lpstr>WWTP</vt:lpstr>
      <vt:lpstr>MAINT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</dc:creator>
  <cp:lastModifiedBy>Windows User</cp:lastModifiedBy>
  <cp:lastPrinted>2019-05-29T20:44:15Z</cp:lastPrinted>
  <dcterms:created xsi:type="dcterms:W3CDTF">2018-03-05T17:23:03Z</dcterms:created>
  <dcterms:modified xsi:type="dcterms:W3CDTF">2020-04-14T18:28:28Z</dcterms:modified>
</cp:coreProperties>
</file>