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4"/>
  </bookViews>
  <sheets>
    <sheet name="Data Input &amp; Totals" sheetId="4" r:id="rId1"/>
    <sheet name="Admin" sheetId="1" r:id="rId2"/>
    <sheet name="WTP" sheetId="2" r:id="rId3"/>
    <sheet name="WWTP" sheetId="3" r:id="rId4"/>
    <sheet name="MAINT" sheetId="5" r:id="rId5"/>
    <sheet name="COMBINED DEPT" sheetId="6" r:id="rId6"/>
  </sheets>
  <calcPr calcId="125725" iterate="1" iterateCount="1"/>
</workbook>
</file>

<file path=xl/calcChain.xml><?xml version="1.0" encoding="utf-8"?>
<calcChain xmlns="http://schemas.openxmlformats.org/spreadsheetml/2006/main">
  <c r="K25" i="5"/>
  <c r="K17"/>
  <c r="K14"/>
  <c r="J15"/>
  <c r="J18" s="1"/>
  <c r="J10"/>
  <c r="E10" i="6" l="1"/>
  <c r="D10"/>
  <c r="C10"/>
  <c r="B15"/>
  <c r="B14"/>
  <c r="B7" i="1"/>
  <c r="B30" i="5" l="1"/>
  <c r="J30" s="1"/>
  <c r="B29"/>
  <c r="J29" s="1"/>
  <c r="B28"/>
  <c r="J28" s="1"/>
  <c r="B27"/>
  <c r="J27" s="1"/>
  <c r="B26"/>
  <c r="J26" s="1"/>
  <c r="B30" i="3"/>
  <c r="B29"/>
  <c r="B28"/>
  <c r="B27"/>
  <c r="B26"/>
  <c r="B30" i="2"/>
  <c r="B29"/>
  <c r="B28"/>
  <c r="B27"/>
  <c r="B26"/>
  <c r="F26" s="1"/>
  <c r="J31" i="5" l="1"/>
  <c r="H7" i="1"/>
  <c r="D30" i="5" l="1"/>
  <c r="D29"/>
  <c r="D28"/>
  <c r="D27"/>
  <c r="D14"/>
  <c r="B2"/>
  <c r="I2" s="1"/>
  <c r="B2" i="3"/>
  <c r="G2" s="1"/>
  <c r="B2" i="2"/>
  <c r="H2" s="1"/>
  <c r="G7" i="1"/>
  <c r="G9" s="1"/>
  <c r="G10" s="1"/>
  <c r="G18" s="1"/>
  <c r="I25" i="5"/>
  <c r="I17"/>
  <c r="F10" i="6" s="1"/>
  <c r="G10" s="1"/>
  <c r="I13" i="5"/>
  <c r="H30"/>
  <c r="H29"/>
  <c r="H28"/>
  <c r="H27"/>
  <c r="H14"/>
  <c r="D17" i="4" l="1"/>
  <c r="B10"/>
  <c r="H97"/>
  <c r="G98"/>
  <c r="G96"/>
  <c r="G95"/>
  <c r="G94"/>
  <c r="G93"/>
  <c r="G88"/>
  <c r="B88"/>
  <c r="G71"/>
  <c r="B71"/>
  <c r="G54"/>
  <c r="B54"/>
  <c r="G37"/>
  <c r="B18"/>
  <c r="H18" s="1"/>
  <c r="B37"/>
  <c r="G30" i="5"/>
  <c r="G29"/>
  <c r="G28"/>
  <c r="G27"/>
  <c r="G14"/>
  <c r="H13" i="2"/>
  <c r="F30" i="5"/>
  <c r="E30"/>
  <c r="C30"/>
  <c r="F29"/>
  <c r="E29"/>
  <c r="C29"/>
  <c r="F28"/>
  <c r="E28"/>
  <c r="C28"/>
  <c r="F27"/>
  <c r="E27"/>
  <c r="C27"/>
  <c r="D26"/>
  <c r="D31" s="1"/>
  <c r="B22"/>
  <c r="J22" s="1"/>
  <c r="B21"/>
  <c r="J21" s="1"/>
  <c r="F14"/>
  <c r="E14"/>
  <c r="C14"/>
  <c r="B7"/>
  <c r="E30" i="3"/>
  <c r="D30"/>
  <c r="C30"/>
  <c r="E29"/>
  <c r="D29"/>
  <c r="C29"/>
  <c r="E28"/>
  <c r="D28"/>
  <c r="C28"/>
  <c r="E27"/>
  <c r="D27"/>
  <c r="C27"/>
  <c r="G25"/>
  <c r="B22"/>
  <c r="B21"/>
  <c r="G17"/>
  <c r="D16" i="4" s="1"/>
  <c r="E14" i="3"/>
  <c r="D14"/>
  <c r="C14"/>
  <c r="B7"/>
  <c r="E7" s="1"/>
  <c r="E9" s="1"/>
  <c r="B30" i="1"/>
  <c r="B29"/>
  <c r="B28"/>
  <c r="B27"/>
  <c r="F30" i="2"/>
  <c r="E30"/>
  <c r="D30"/>
  <c r="F29"/>
  <c r="E29"/>
  <c r="D29"/>
  <c r="F28"/>
  <c r="E28"/>
  <c r="D28"/>
  <c r="F27"/>
  <c r="E27"/>
  <c r="D27"/>
  <c r="C30"/>
  <c r="C29"/>
  <c r="C28"/>
  <c r="C27"/>
  <c r="F14"/>
  <c r="E14"/>
  <c r="D14"/>
  <c r="C14"/>
  <c r="D26"/>
  <c r="H25"/>
  <c r="B22"/>
  <c r="B21"/>
  <c r="H17"/>
  <c r="D15" i="4" s="1"/>
  <c r="B7" i="2"/>
  <c r="J25" i="1"/>
  <c r="J17"/>
  <c r="D14" i="4" s="1"/>
  <c r="H9" i="1"/>
  <c r="B26"/>
  <c r="B22"/>
  <c r="B21"/>
  <c r="G21" s="1"/>
  <c r="D7"/>
  <c r="D9" s="1"/>
  <c r="D10" s="1"/>
  <c r="J33" i="5" l="1"/>
  <c r="H10" i="1"/>
  <c r="H18" s="1"/>
  <c r="H21" s="1"/>
  <c r="I30" i="5"/>
  <c r="K30" s="1"/>
  <c r="I27"/>
  <c r="K27" s="1"/>
  <c r="C26" i="3"/>
  <c r="C31" s="1"/>
  <c r="E26"/>
  <c r="E31" s="1"/>
  <c r="D26"/>
  <c r="D31" s="1"/>
  <c r="H7" i="5"/>
  <c r="H9" s="1"/>
  <c r="H15" s="1"/>
  <c r="D7"/>
  <c r="D9" s="1"/>
  <c r="D27" i="1"/>
  <c r="G27"/>
  <c r="H26"/>
  <c r="H31" s="1"/>
  <c r="G26"/>
  <c r="F30"/>
  <c r="G30"/>
  <c r="C29"/>
  <c r="G29"/>
  <c r="F28"/>
  <c r="G28"/>
  <c r="I14" i="5"/>
  <c r="G22" i="1"/>
  <c r="I28" i="5"/>
  <c r="K28" s="1"/>
  <c r="I29"/>
  <c r="K29" s="1"/>
  <c r="G29" i="3"/>
  <c r="H27" i="2"/>
  <c r="H30"/>
  <c r="H26" i="5"/>
  <c r="H31" s="1"/>
  <c r="G30" i="3"/>
  <c r="G27"/>
  <c r="G28"/>
  <c r="H29" i="2"/>
  <c r="H14"/>
  <c r="D19" i="4"/>
  <c r="C7" i="2"/>
  <c r="C9" s="1"/>
  <c r="D7"/>
  <c r="D9" s="1"/>
  <c r="D15" s="1"/>
  <c r="D30" i="1"/>
  <c r="D7" i="3"/>
  <c r="D9" s="1"/>
  <c r="F27" i="1"/>
  <c r="C7" i="3"/>
  <c r="C9" s="1"/>
  <c r="C10" s="1"/>
  <c r="E27" i="1"/>
  <c r="E26" i="2"/>
  <c r="E31" s="1"/>
  <c r="E30" i="1"/>
  <c r="E10" i="3"/>
  <c r="E16"/>
  <c r="C27" i="1"/>
  <c r="E28"/>
  <c r="F29"/>
  <c r="F9" i="2"/>
  <c r="C30" i="1"/>
  <c r="D28"/>
  <c r="E29"/>
  <c r="D29"/>
  <c r="C28"/>
  <c r="G7" i="5"/>
  <c r="G9" s="1"/>
  <c r="G16" s="1"/>
  <c r="G26"/>
  <c r="G31" s="1"/>
  <c r="F26"/>
  <c r="F31" s="1"/>
  <c r="E7"/>
  <c r="E9" s="1"/>
  <c r="E16" s="1"/>
  <c r="C26"/>
  <c r="C7"/>
  <c r="C9" s="1"/>
  <c r="F7"/>
  <c r="F9" s="1"/>
  <c r="E26"/>
  <c r="E31" s="1"/>
  <c r="E15" i="3"/>
  <c r="H28" i="2"/>
  <c r="E7"/>
  <c r="E9" s="1"/>
  <c r="E15" s="1"/>
  <c r="C26"/>
  <c r="D31" s="1"/>
  <c r="F31"/>
  <c r="E26" i="1"/>
  <c r="D26"/>
  <c r="D16"/>
  <c r="D18" s="1"/>
  <c r="C7"/>
  <c r="C9" s="1"/>
  <c r="F7"/>
  <c r="F9" s="1"/>
  <c r="F10" s="1"/>
  <c r="F18" s="1"/>
  <c r="E7"/>
  <c r="E9" s="1"/>
  <c r="H33" l="1"/>
  <c r="H10" i="5"/>
  <c r="H18" s="1"/>
  <c r="D10"/>
  <c r="D15"/>
  <c r="C31" i="1"/>
  <c r="C15"/>
  <c r="J15" s="1"/>
  <c r="C8" i="6" s="1"/>
  <c r="C10" i="1"/>
  <c r="G31"/>
  <c r="G33" s="1"/>
  <c r="I9" i="5"/>
  <c r="D10" i="3"/>
  <c r="G10" s="1"/>
  <c r="E6" i="6" s="1"/>
  <c r="D16" i="3"/>
  <c r="G16" s="1"/>
  <c r="C15" i="2"/>
  <c r="H9"/>
  <c r="I26" i="5"/>
  <c r="K26" s="1"/>
  <c r="G31" i="3"/>
  <c r="J30" i="1"/>
  <c r="J29"/>
  <c r="D10" i="2"/>
  <c r="D18" s="1"/>
  <c r="D22" s="1"/>
  <c r="C16"/>
  <c r="D15" i="3"/>
  <c r="J27" i="1"/>
  <c r="C10" i="2"/>
  <c r="C15" i="3"/>
  <c r="C18" s="1"/>
  <c r="C21" s="1"/>
  <c r="E31" i="1"/>
  <c r="J28"/>
  <c r="F31"/>
  <c r="F10" i="2"/>
  <c r="F16"/>
  <c r="D31" i="1"/>
  <c r="F15" i="2"/>
  <c r="E18" i="3"/>
  <c r="E21" s="1"/>
  <c r="E10" i="2"/>
  <c r="E16"/>
  <c r="G15" i="5"/>
  <c r="G10"/>
  <c r="C31"/>
  <c r="F15"/>
  <c r="F10"/>
  <c r="F16"/>
  <c r="E15"/>
  <c r="E10"/>
  <c r="C16"/>
  <c r="C15"/>
  <c r="C10"/>
  <c r="G26" i="3"/>
  <c r="H26" i="2"/>
  <c r="C31"/>
  <c r="H31" s="1"/>
  <c r="J26" i="1"/>
  <c r="D21"/>
  <c r="D22"/>
  <c r="F21"/>
  <c r="F22"/>
  <c r="E10"/>
  <c r="E16"/>
  <c r="C16"/>
  <c r="G16" i="4" l="1"/>
  <c r="F66" s="1"/>
  <c r="E18" i="6"/>
  <c r="C16" i="4"/>
  <c r="E9" i="6"/>
  <c r="G15" i="4"/>
  <c r="F46" s="1"/>
  <c r="D18" i="6"/>
  <c r="H15" i="2"/>
  <c r="D8" i="6" s="1"/>
  <c r="D18" i="5"/>
  <c r="D22" s="1"/>
  <c r="I16"/>
  <c r="K16" s="1"/>
  <c r="I15"/>
  <c r="D18" i="3"/>
  <c r="D21" s="1"/>
  <c r="G21" s="1"/>
  <c r="I31" i="5"/>
  <c r="K31" s="1"/>
  <c r="H21"/>
  <c r="H22"/>
  <c r="I10"/>
  <c r="C18" i="2"/>
  <c r="C22" s="1"/>
  <c r="F49" i="4"/>
  <c r="G15" i="3"/>
  <c r="D21" i="2"/>
  <c r="D33" s="1"/>
  <c r="H16"/>
  <c r="F33" i="1"/>
  <c r="E22" i="3"/>
  <c r="E33" s="1"/>
  <c r="E18" i="2"/>
  <c r="E21" s="1"/>
  <c r="J31" i="1"/>
  <c r="C22" i="3"/>
  <c r="C33" s="1"/>
  <c r="F18" i="2"/>
  <c r="H10"/>
  <c r="D6" i="6" s="1"/>
  <c r="G18" i="5"/>
  <c r="G22" s="1"/>
  <c r="D33" i="1"/>
  <c r="F18" i="5"/>
  <c r="F22" s="1"/>
  <c r="C18"/>
  <c r="E18"/>
  <c r="C18" i="1"/>
  <c r="C21" s="1"/>
  <c r="J10"/>
  <c r="J16"/>
  <c r="E18"/>
  <c r="F52" i="4" l="1"/>
  <c r="F68"/>
  <c r="F6" i="6"/>
  <c r="K10" i="5"/>
  <c r="F8" i="6"/>
  <c r="K15" i="5"/>
  <c r="F61" i="4"/>
  <c r="F42"/>
  <c r="F63"/>
  <c r="F45"/>
  <c r="F48"/>
  <c r="F51"/>
  <c r="F64"/>
  <c r="F67"/>
  <c r="F44"/>
  <c r="F47"/>
  <c r="F50"/>
  <c r="F69"/>
  <c r="F60"/>
  <c r="F53"/>
  <c r="F43"/>
  <c r="F62"/>
  <c r="F59"/>
  <c r="F65"/>
  <c r="B14"/>
  <c r="C25" s="1"/>
  <c r="E25" s="1"/>
  <c r="C6" i="6"/>
  <c r="E16" i="4"/>
  <c r="E14" i="6"/>
  <c r="C14" i="4"/>
  <c r="C9" i="6"/>
  <c r="C17" i="4"/>
  <c r="F9" i="6"/>
  <c r="G17" i="4"/>
  <c r="F80" s="1"/>
  <c r="F18" i="6"/>
  <c r="B16" i="4"/>
  <c r="C63" s="1"/>
  <c r="E63" s="1"/>
  <c r="E8" i="6"/>
  <c r="E11" s="1"/>
  <c r="G14" i="4"/>
  <c r="F31" s="1"/>
  <c r="C18" i="6"/>
  <c r="G18" s="1"/>
  <c r="C15" i="4"/>
  <c r="D9" i="6"/>
  <c r="D11" s="1"/>
  <c r="F70" i="4"/>
  <c r="D21" i="5"/>
  <c r="D33" s="1"/>
  <c r="B15" i="4"/>
  <c r="C51" s="1"/>
  <c r="C21" i="2"/>
  <c r="C33" s="1"/>
  <c r="G18" i="3"/>
  <c r="D22"/>
  <c r="D33" s="1"/>
  <c r="I18" i="5"/>
  <c r="K18" s="1"/>
  <c r="H33"/>
  <c r="F86" i="4"/>
  <c r="C62"/>
  <c r="E62" s="1"/>
  <c r="C68"/>
  <c r="E68" s="1"/>
  <c r="C59"/>
  <c r="E59" s="1"/>
  <c r="F29"/>
  <c r="C43"/>
  <c r="C34"/>
  <c r="E34" s="1"/>
  <c r="C36"/>
  <c r="E36" s="1"/>
  <c r="C33"/>
  <c r="E33" s="1"/>
  <c r="C19"/>
  <c r="G21" i="5"/>
  <c r="G33" s="1"/>
  <c r="B17" i="4"/>
  <c r="H18" i="2"/>
  <c r="E22"/>
  <c r="E33" s="1"/>
  <c r="C22" i="1"/>
  <c r="C33" s="1"/>
  <c r="F22" i="2"/>
  <c r="F21"/>
  <c r="F21" i="5"/>
  <c r="F33" s="1"/>
  <c r="E22"/>
  <c r="E21"/>
  <c r="C21"/>
  <c r="C22"/>
  <c r="J18" i="1"/>
  <c r="E22"/>
  <c r="E21"/>
  <c r="J21" s="1"/>
  <c r="F34" i="4" l="1"/>
  <c r="F26"/>
  <c r="F11" i="6"/>
  <c r="F71" i="4"/>
  <c r="F95" s="1"/>
  <c r="F54"/>
  <c r="F94" s="1"/>
  <c r="F78"/>
  <c r="G19"/>
  <c r="F84"/>
  <c r="C27"/>
  <c r="E27" s="1"/>
  <c r="C32"/>
  <c r="E32" s="1"/>
  <c r="C35"/>
  <c r="E35" s="1"/>
  <c r="F32"/>
  <c r="F27"/>
  <c r="F35"/>
  <c r="F81"/>
  <c r="F82"/>
  <c r="F79"/>
  <c r="C38"/>
  <c r="C29"/>
  <c r="E29" s="1"/>
  <c r="C26"/>
  <c r="E26" s="1"/>
  <c r="F30"/>
  <c r="F25"/>
  <c r="F33"/>
  <c r="F83"/>
  <c r="F85"/>
  <c r="F77"/>
  <c r="C31"/>
  <c r="E31" s="1"/>
  <c r="H21" i="2"/>
  <c r="E15" i="4" s="1"/>
  <c r="C30"/>
  <c r="E30" s="1"/>
  <c r="C28"/>
  <c r="E28" s="1"/>
  <c r="F28"/>
  <c r="F36"/>
  <c r="F76"/>
  <c r="F87"/>
  <c r="G8" i="6"/>
  <c r="C70" i="4"/>
  <c r="E70" s="1"/>
  <c r="C64"/>
  <c r="E64" s="1"/>
  <c r="C67"/>
  <c r="E67" s="1"/>
  <c r="G6" i="6"/>
  <c r="C11"/>
  <c r="C66" i="4"/>
  <c r="E66" s="1"/>
  <c r="C69"/>
  <c r="E69" s="1"/>
  <c r="C61"/>
  <c r="E61" s="1"/>
  <c r="G9" i="6"/>
  <c r="E14" i="4"/>
  <c r="C14" i="6"/>
  <c r="D14"/>
  <c r="C60" i="4"/>
  <c r="E60" s="1"/>
  <c r="C65"/>
  <c r="E65" s="1"/>
  <c r="C46"/>
  <c r="D46" s="1"/>
  <c r="C48"/>
  <c r="D48" s="1"/>
  <c r="C49"/>
  <c r="D49" s="1"/>
  <c r="C44"/>
  <c r="D44" s="1"/>
  <c r="C52"/>
  <c r="D52" s="1"/>
  <c r="C47"/>
  <c r="D47" s="1"/>
  <c r="C45"/>
  <c r="E45" s="1"/>
  <c r="C42"/>
  <c r="D42" s="1"/>
  <c r="C50"/>
  <c r="E50" s="1"/>
  <c r="C53"/>
  <c r="D53" s="1"/>
  <c r="G22" i="3"/>
  <c r="G33"/>
  <c r="I22" i="5"/>
  <c r="K22" s="1"/>
  <c r="I21"/>
  <c r="K21" s="1"/>
  <c r="B19" i="4"/>
  <c r="C79"/>
  <c r="C86"/>
  <c r="C82"/>
  <c r="C76"/>
  <c r="C87"/>
  <c r="C83"/>
  <c r="C77"/>
  <c r="C84"/>
  <c r="C78"/>
  <c r="C80"/>
  <c r="C85"/>
  <c r="C81"/>
  <c r="D30"/>
  <c r="H30" s="1"/>
  <c r="D25"/>
  <c r="E51"/>
  <c r="D51"/>
  <c r="D33"/>
  <c r="H33" s="1"/>
  <c r="D36"/>
  <c r="H36" s="1"/>
  <c r="D34"/>
  <c r="H34" s="1"/>
  <c r="D32"/>
  <c r="H32" s="1"/>
  <c r="E42"/>
  <c r="D61"/>
  <c r="H61" s="1"/>
  <c r="D65"/>
  <c r="H65" s="1"/>
  <c r="E43"/>
  <c r="D43"/>
  <c r="D68"/>
  <c r="D59"/>
  <c r="D69"/>
  <c r="H69" s="1"/>
  <c r="D28"/>
  <c r="D31"/>
  <c r="H31" s="1"/>
  <c r="H22" i="2"/>
  <c r="J22" i="1"/>
  <c r="C33" i="5"/>
  <c r="F33" i="2"/>
  <c r="E33" i="5"/>
  <c r="E33" i="1"/>
  <c r="D45" i="4" l="1"/>
  <c r="D29"/>
  <c r="H29" s="1"/>
  <c r="D35"/>
  <c r="H35" s="1"/>
  <c r="H28"/>
  <c r="D70"/>
  <c r="D26"/>
  <c r="H26" s="1"/>
  <c r="F37"/>
  <c r="F93" s="1"/>
  <c r="F98" s="1"/>
  <c r="F88"/>
  <c r="F96" s="1"/>
  <c r="G11" i="6"/>
  <c r="D27" i="4"/>
  <c r="H27" s="1"/>
  <c r="C37"/>
  <c r="C93" s="1"/>
  <c r="D64"/>
  <c r="H64" s="1"/>
  <c r="F15"/>
  <c r="H15" s="1"/>
  <c r="D15" i="6"/>
  <c r="D20" s="1"/>
  <c r="F16" i="4"/>
  <c r="H16" s="1"/>
  <c r="E15" i="6"/>
  <c r="E20" s="1"/>
  <c r="F14" i="4"/>
  <c r="C15" i="6"/>
  <c r="C20" s="1"/>
  <c r="F17" i="4"/>
  <c r="F15" i="6"/>
  <c r="D67" i="4"/>
  <c r="C71"/>
  <c r="C95" s="1"/>
  <c r="E44"/>
  <c r="H44" s="1"/>
  <c r="E17"/>
  <c r="E19" s="1"/>
  <c r="F14" i="6"/>
  <c r="G14" s="1"/>
  <c r="D66" i="4"/>
  <c r="D60"/>
  <c r="H60" s="1"/>
  <c r="E48"/>
  <c r="E52"/>
  <c r="H52" s="1"/>
  <c r="D50"/>
  <c r="H50" s="1"/>
  <c r="E46"/>
  <c r="H46" s="1"/>
  <c r="E49"/>
  <c r="H49" s="1"/>
  <c r="E53"/>
  <c r="H53" s="1"/>
  <c r="E47"/>
  <c r="H47" s="1"/>
  <c r="C54"/>
  <c r="C94" s="1"/>
  <c r="H33" i="2"/>
  <c r="J33" i="1"/>
  <c r="I33" i="5"/>
  <c r="K33" s="1"/>
  <c r="H45" i="4"/>
  <c r="H48"/>
  <c r="H43"/>
  <c r="D78"/>
  <c r="E78"/>
  <c r="D87"/>
  <c r="E87"/>
  <c r="D79"/>
  <c r="E79"/>
  <c r="E80"/>
  <c r="D80"/>
  <c r="D83"/>
  <c r="E83"/>
  <c r="E86"/>
  <c r="D86"/>
  <c r="E85"/>
  <c r="D85"/>
  <c r="E77"/>
  <c r="D77"/>
  <c r="E82"/>
  <c r="D82"/>
  <c r="E81"/>
  <c r="D81"/>
  <c r="E84"/>
  <c r="D84"/>
  <c r="E76"/>
  <c r="D76"/>
  <c r="C88"/>
  <c r="C96" s="1"/>
  <c r="H42"/>
  <c r="H66"/>
  <c r="H68"/>
  <c r="H59"/>
  <c r="D62"/>
  <c r="D63"/>
  <c r="E37"/>
  <c r="E93" s="1"/>
  <c r="H67"/>
  <c r="H70"/>
  <c r="H51"/>
  <c r="H25"/>
  <c r="H14"/>
  <c r="H17" l="1"/>
  <c r="F19"/>
  <c r="D37"/>
  <c r="D93" s="1"/>
  <c r="H37"/>
  <c r="H93" s="1"/>
  <c r="F20" i="6"/>
  <c r="G15"/>
  <c r="G20" s="1"/>
  <c r="D54" i="4"/>
  <c r="D94" s="1"/>
  <c r="C98"/>
  <c r="E54"/>
  <c r="E94" s="1"/>
  <c r="H87"/>
  <c r="H82"/>
  <c r="H78"/>
  <c r="H81"/>
  <c r="H80"/>
  <c r="H83"/>
  <c r="H84"/>
  <c r="H86"/>
  <c r="H79"/>
  <c r="H76"/>
  <c r="D88"/>
  <c r="D96" s="1"/>
  <c r="H77"/>
  <c r="E88"/>
  <c r="E96" s="1"/>
  <c r="H85"/>
  <c r="H54"/>
  <c r="H94" s="1"/>
  <c r="E71"/>
  <c r="E95" s="1"/>
  <c r="D71"/>
  <c r="D95" s="1"/>
  <c r="H62"/>
  <c r="H63"/>
  <c r="H19"/>
  <c r="E98" l="1"/>
  <c r="D98"/>
  <c r="H88"/>
  <c r="H96" s="1"/>
  <c r="H71"/>
  <c r="H95" s="1"/>
  <c r="H98" l="1"/>
</calcChain>
</file>

<file path=xl/comments1.xml><?xml version="1.0" encoding="utf-8"?>
<comments xmlns="http://schemas.openxmlformats.org/spreadsheetml/2006/main">
  <authors>
    <author>Window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Utilize part-time 8  days a month x 8 hrs/day x 12 months</t>
        </r>
      </text>
    </comment>
  </commentList>
</comments>
</file>

<file path=xl/comments2.xml><?xml version="1.0" encoding="utf-8"?>
<comments xmlns="http://schemas.openxmlformats.org/spreadsheetml/2006/main">
  <authors>
    <author>Window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Must input or delete formula based on individual employee</t>
        </r>
      </text>
    </comment>
  </commentList>
</comments>
</file>

<file path=xl/comments3.xml><?xml version="1.0" encoding="utf-8"?>
<comments xmlns="http://schemas.openxmlformats.org/spreadsheetml/2006/main">
  <authors>
    <author>Window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Used average of other four guys
</t>
        </r>
      </text>
    </comment>
  </commentList>
</comments>
</file>

<file path=xl/sharedStrings.xml><?xml version="1.0" encoding="utf-8"?>
<sst xmlns="http://schemas.openxmlformats.org/spreadsheetml/2006/main" count="270" uniqueCount="84">
  <si>
    <t>Total Employee Benefits</t>
  </si>
  <si>
    <t>Xmas</t>
  </si>
  <si>
    <t>CERS</t>
  </si>
  <si>
    <t>Cost of Living Adj</t>
  </si>
  <si>
    <t>Merit Increase</t>
  </si>
  <si>
    <t>Call &amp; Overtime</t>
  </si>
  <si>
    <t>Vacation Payout</t>
  </si>
  <si>
    <t>Christmas Bonus</t>
  </si>
  <si>
    <t>Total Gross Wages</t>
  </si>
  <si>
    <t>Social Security &amp; Medicare</t>
  </si>
  <si>
    <t>CERS Employer Match</t>
  </si>
  <si>
    <t>Employee Benefits</t>
  </si>
  <si>
    <t>Wage &amp; Benefit Category</t>
  </si>
  <si>
    <t>Health Insurance Increase</t>
  </si>
  <si>
    <t>FICA &amp; Medicare</t>
  </si>
  <si>
    <t>Retirement Match</t>
  </si>
  <si>
    <t>Health Administration Fee</t>
  </si>
  <si>
    <t>Projected</t>
  </si>
  <si>
    <t>Rates/Inc</t>
  </si>
  <si>
    <t>Total Compensation Package</t>
  </si>
  <si>
    <t>Cost of Living Adjustment</t>
  </si>
  <si>
    <t>OT Hours YTD</t>
  </si>
  <si>
    <t>OT Hours Projected</t>
  </si>
  <si>
    <t># Months of OT Input</t>
  </si>
  <si>
    <t>Health (second half) / month</t>
  </si>
  <si>
    <t>Health (first half) / month</t>
  </si>
  <si>
    <t>Dental / Month</t>
  </si>
  <si>
    <t>Vision / Month</t>
  </si>
  <si>
    <t>Life / Month</t>
  </si>
  <si>
    <t>Retirement</t>
  </si>
  <si>
    <t>DEPARTMENT</t>
  </si>
  <si>
    <t>TOTALS FOR</t>
  </si>
  <si>
    <t>OT Hours Projected Annually</t>
  </si>
  <si>
    <t># Weeks</t>
  </si>
  <si>
    <t>July</t>
  </si>
  <si>
    <t>Aug</t>
  </si>
  <si>
    <t>Sept</t>
  </si>
  <si>
    <t>Dec</t>
  </si>
  <si>
    <t>Jan</t>
  </si>
  <si>
    <t>Feb</t>
  </si>
  <si>
    <t>Mar</t>
  </si>
  <si>
    <t>Apr</t>
  </si>
  <si>
    <t>May</t>
  </si>
  <si>
    <t>June</t>
  </si>
  <si>
    <t>FICA + Med</t>
  </si>
  <si>
    <t>Benefits</t>
  </si>
  <si>
    <t>Uniforms</t>
  </si>
  <si>
    <t>Gross Wages</t>
  </si>
  <si>
    <t>Administration</t>
  </si>
  <si>
    <t>Water Treatment</t>
  </si>
  <si>
    <t>Wastewater Treatment</t>
  </si>
  <si>
    <t>Maintenance</t>
  </si>
  <si>
    <t>Commission</t>
  </si>
  <si>
    <t>VAC Payout</t>
  </si>
  <si>
    <t>Base + OT</t>
  </si>
  <si>
    <t>TOTAL</t>
  </si>
  <si>
    <t>COMPENSATION</t>
  </si>
  <si>
    <t>Monthly Accruals for Administration</t>
  </si>
  <si>
    <t>Oct + Vac Payout</t>
  </si>
  <si>
    <t>Nov + Xmas Bonus</t>
  </si>
  <si>
    <t>Merit Increase per Hour</t>
  </si>
  <si>
    <t>Monthly Accruals for Water Treatment</t>
  </si>
  <si>
    <t>Monthly Accruals for WasteWater Treatment</t>
  </si>
  <si>
    <t>Monthly Accruals for Maintenance</t>
  </si>
  <si>
    <t>Updated for FY2020</t>
  </si>
  <si>
    <t>avg</t>
  </si>
  <si>
    <t>2021</t>
  </si>
  <si>
    <t>Updated for FY2021</t>
  </si>
  <si>
    <t>Hourly Rate</t>
  </si>
  <si>
    <t>Base Wages</t>
  </si>
  <si>
    <t>2020 Hourly Rate</t>
  </si>
  <si>
    <t>Retirement Lump Sum</t>
  </si>
  <si>
    <t>One Part-Time</t>
  </si>
  <si>
    <t>Admin</t>
  </si>
  <si>
    <t>WTP</t>
  </si>
  <si>
    <t>WWTP</t>
  </si>
  <si>
    <t>Maint</t>
  </si>
  <si>
    <t>Total</t>
  </si>
  <si>
    <t>Retirement Lump Sum/Overtime</t>
  </si>
  <si>
    <t>OPEN</t>
  </si>
  <si>
    <t>POSITION</t>
  </si>
  <si>
    <t>WITHOUT</t>
  </si>
  <si>
    <t>7TH MAN</t>
  </si>
  <si>
    <t>TOTALS WITH 7TH MAN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</si>
</sst>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0" applyNumberFormat="1" applyFont="1"/>
    <xf numFmtId="44" fontId="2" fillId="0" borderId="0" xfId="0" applyNumberFormat="1" applyFont="1"/>
    <xf numFmtId="43" fontId="2" fillId="0" borderId="0" xfId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2" borderId="2" xfId="3" applyNumberFormat="1" applyFont="1" applyFill="1" applyBorder="1"/>
    <xf numFmtId="164" fontId="3" fillId="0" borderId="0" xfId="0" quotePrefix="1" applyNumberFormat="1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44" fontId="3" fillId="0" borderId="0" xfId="0" applyNumberFormat="1" applyFont="1"/>
    <xf numFmtId="166" fontId="3" fillId="0" borderId="0" xfId="2" applyNumberFormat="1" applyFont="1"/>
    <xf numFmtId="166" fontId="2" fillId="0" borderId="0" xfId="2" applyNumberFormat="1" applyFont="1"/>
    <xf numFmtId="166" fontId="2" fillId="0" borderId="0" xfId="0" applyNumberFormat="1" applyFont="1"/>
    <xf numFmtId="166" fontId="3" fillId="0" borderId="0" xfId="0" applyNumberFormat="1" applyFont="1"/>
    <xf numFmtId="166" fontId="2" fillId="0" borderId="1" xfId="2" applyNumberFormat="1" applyFont="1" applyBorder="1"/>
    <xf numFmtId="166" fontId="3" fillId="0" borderId="1" xfId="0" applyNumberFormat="1" applyFont="1" applyBorder="1"/>
    <xf numFmtId="0" fontId="2" fillId="0" borderId="0" xfId="0" applyFont="1" applyFill="1"/>
    <xf numFmtId="43" fontId="2" fillId="2" borderId="2" xfId="1" applyFont="1" applyFill="1" applyBorder="1"/>
    <xf numFmtId="0" fontId="2" fillId="2" borderId="2" xfId="0" applyFont="1" applyFill="1" applyBorder="1"/>
    <xf numFmtId="44" fontId="2" fillId="2" borderId="2" xfId="2" applyFont="1" applyFill="1" applyBorder="1"/>
    <xf numFmtId="166" fontId="2" fillId="2" borderId="2" xfId="2" applyNumberFormat="1" applyFont="1" applyFill="1" applyBorder="1"/>
    <xf numFmtId="44" fontId="3" fillId="2" borderId="2" xfId="2" applyFont="1" applyFill="1" applyBorder="1"/>
    <xf numFmtId="43" fontId="3" fillId="0" borderId="0" xfId="1" applyFont="1"/>
    <xf numFmtId="43" fontId="3" fillId="0" borderId="0" xfId="0" applyNumberFormat="1" applyFont="1"/>
    <xf numFmtId="0" fontId="6" fillId="0" borderId="0" xfId="0" applyFont="1"/>
    <xf numFmtId="166" fontId="3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166" fontId="3" fillId="0" borderId="4" xfId="2" applyNumberFormat="1" applyFont="1" applyBorder="1" applyAlignment="1">
      <alignment horizontal="center"/>
    </xf>
    <xf numFmtId="166" fontId="3" fillId="0" borderId="4" xfId="2" applyNumberFormat="1" applyFont="1" applyFill="1" applyBorder="1" applyAlignment="1">
      <alignment horizontal="center"/>
    </xf>
    <xf numFmtId="166" fontId="3" fillId="0" borderId="5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2" fillId="0" borderId="4" xfId="2" applyNumberFormat="1" applyFont="1" applyBorder="1"/>
    <xf numFmtId="0" fontId="2" fillId="0" borderId="4" xfId="0" applyFont="1" applyBorder="1"/>
    <xf numFmtId="166" fontId="2" fillId="0" borderId="4" xfId="0" applyNumberFormat="1" applyFont="1" applyBorder="1"/>
    <xf numFmtId="166" fontId="2" fillId="0" borderId="9" xfId="2" applyNumberFormat="1" applyFont="1" applyBorder="1"/>
    <xf numFmtId="166" fontId="2" fillId="2" borderId="0" xfId="2" applyNumberFormat="1" applyFont="1" applyFill="1"/>
    <xf numFmtId="43" fontId="2" fillId="3" borderId="2" xfId="1" applyFont="1" applyFill="1" applyBorder="1"/>
    <xf numFmtId="43" fontId="2" fillId="0" borderId="0" xfId="0" applyNumberFormat="1" applyFont="1"/>
    <xf numFmtId="44" fontId="2" fillId="4" borderId="2" xfId="2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0" xfId="2" applyFont="1"/>
    <xf numFmtId="0" fontId="0" fillId="0" borderId="0" xfId="0" applyFont="1"/>
    <xf numFmtId="0" fontId="7" fillId="0" borderId="0" xfId="0" applyFont="1"/>
    <xf numFmtId="166" fontId="0" fillId="0" borderId="0" xfId="2" applyNumberFormat="1" applyFont="1"/>
    <xf numFmtId="166" fontId="0" fillId="0" borderId="1" xfId="2" applyNumberFormat="1" applyFont="1" applyBorder="1"/>
    <xf numFmtId="166" fontId="7" fillId="0" borderId="0" xfId="2" applyNumberFormat="1" applyFont="1"/>
    <xf numFmtId="166" fontId="1" fillId="0" borderId="0" xfId="2" applyNumberFormat="1" applyFont="1"/>
    <xf numFmtId="166" fontId="3" fillId="0" borderId="0" xfId="2" quotePrefix="1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166" fontId="2" fillId="2" borderId="0" xfId="2" applyNumberFormat="1" applyFont="1" applyFill="1" applyBorder="1"/>
    <xf numFmtId="166" fontId="2" fillId="0" borderId="1" xfId="0" applyNumberFormat="1" applyFont="1" applyBorder="1"/>
    <xf numFmtId="166" fontId="3" fillId="0" borderId="1" xfId="2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8"/>
  <sheetViews>
    <sheetView workbookViewId="0">
      <selection activeCell="B4" sqref="B4"/>
    </sheetView>
  </sheetViews>
  <sheetFormatPr defaultRowHeight="12.75"/>
  <cols>
    <col min="1" max="1" width="22.85546875" style="1" customWidth="1"/>
    <col min="2" max="2" width="9.7109375" style="1" customWidth="1"/>
    <col min="3" max="3" width="12" style="1" customWidth="1"/>
    <col min="4" max="4" width="10.42578125" style="1" customWidth="1"/>
    <col min="5" max="7" width="11" style="1" bestFit="1" customWidth="1"/>
    <col min="8" max="8" width="15.140625" style="1" customWidth="1"/>
    <col min="9" max="16384" width="9.140625" style="1"/>
  </cols>
  <sheetData>
    <row r="3" spans="1:8">
      <c r="A3" s="1" t="s">
        <v>3</v>
      </c>
      <c r="B3" s="9">
        <v>1.4999999999999999E-2</v>
      </c>
    </row>
    <row r="4" spans="1:8">
      <c r="A4" s="1" t="s">
        <v>14</v>
      </c>
      <c r="B4" s="9">
        <v>7.6499999999999999E-2</v>
      </c>
    </row>
    <row r="5" spans="1:8">
      <c r="A5" s="1" t="s">
        <v>15</v>
      </c>
      <c r="B5" s="9">
        <v>0.26950000000000002</v>
      </c>
    </row>
    <row r="6" spans="1:8">
      <c r="A6" s="1" t="s">
        <v>13</v>
      </c>
      <c r="B6" s="9">
        <v>2.5000000000000001E-2</v>
      </c>
    </row>
    <row r="7" spans="1:8">
      <c r="A7" s="1" t="s">
        <v>16</v>
      </c>
      <c r="B7" s="27">
        <v>9</v>
      </c>
    </row>
    <row r="8" spans="1:8">
      <c r="A8" s="1" t="s">
        <v>26</v>
      </c>
      <c r="B8" s="27">
        <v>36.15</v>
      </c>
    </row>
    <row r="9" spans="1:8">
      <c r="A9" s="1" t="s">
        <v>27</v>
      </c>
      <c r="B9" s="27">
        <v>7.02</v>
      </c>
    </row>
    <row r="10" spans="1:8">
      <c r="A10" s="1" t="s">
        <v>28</v>
      </c>
      <c r="B10" s="27">
        <f>9.88+1</f>
        <v>10.88</v>
      </c>
    </row>
    <row r="12" spans="1:8">
      <c r="H12" s="5" t="s">
        <v>55</v>
      </c>
    </row>
    <row r="13" spans="1:8" ht="13.5" thickBot="1">
      <c r="B13" s="39" t="s">
        <v>54</v>
      </c>
      <c r="C13" s="39" t="s">
        <v>53</v>
      </c>
      <c r="D13" s="39" t="s">
        <v>1</v>
      </c>
      <c r="E13" s="36" t="s">
        <v>44</v>
      </c>
      <c r="F13" s="36" t="s">
        <v>2</v>
      </c>
      <c r="G13" s="37" t="s">
        <v>45</v>
      </c>
      <c r="H13" s="39" t="s">
        <v>56</v>
      </c>
    </row>
    <row r="14" spans="1:8">
      <c r="A14" s="1" t="s">
        <v>48</v>
      </c>
      <c r="B14" s="17">
        <f>Admin!J10+Admin!C15</f>
        <v>206107.8285</v>
      </c>
      <c r="C14" s="17">
        <f>Admin!J16</f>
        <v>3606.0920000000001</v>
      </c>
      <c r="D14" s="17">
        <f>Admin!J17</f>
        <v>3750</v>
      </c>
      <c r="E14" s="17">
        <f>Admin!J21</f>
        <v>16329.989918249999</v>
      </c>
      <c r="F14" s="17">
        <f>Admin!J22</f>
        <v>54520.022614750007</v>
      </c>
      <c r="G14" s="17">
        <f>Admin!J31</f>
        <v>54938.05</v>
      </c>
      <c r="H14" s="18">
        <f>SUM(B14:G14)</f>
        <v>339251.98303300003</v>
      </c>
    </row>
    <row r="15" spans="1:8">
      <c r="A15" s="1" t="s">
        <v>49</v>
      </c>
      <c r="B15" s="17">
        <f>WTP!H10+WTP!H15</f>
        <v>166663.92328571429</v>
      </c>
      <c r="C15" s="17">
        <f>WTP!H16</f>
        <v>2453.2180000000003</v>
      </c>
      <c r="D15" s="17">
        <f>WTP!H17</f>
        <v>2000</v>
      </c>
      <c r="E15" s="17">
        <f>WTP!H21</f>
        <v>13090.461308357146</v>
      </c>
      <c r="F15" s="17">
        <f>WTP!H22</f>
        <v>46116.069576500013</v>
      </c>
      <c r="G15" s="17">
        <f>WTP!H31</f>
        <v>72135.600000000006</v>
      </c>
      <c r="H15" s="18">
        <f t="shared" ref="H15:H17" si="0">SUM(B15:G15)</f>
        <v>302459.27217057144</v>
      </c>
    </row>
    <row r="16" spans="1:8">
      <c r="A16" s="1" t="s">
        <v>50</v>
      </c>
      <c r="B16" s="17">
        <f>WWTP!G10+WWTP!G15</f>
        <v>114770.34399999998</v>
      </c>
      <c r="C16" s="17">
        <f>WWTP!G16</f>
        <v>1573.6559999999999</v>
      </c>
      <c r="D16" s="17">
        <f>WWTP!G17</f>
        <v>1500</v>
      </c>
      <c r="E16" s="17">
        <f>WWTP!G21</f>
        <v>9015.0660000000007</v>
      </c>
      <c r="F16" s="17">
        <f>WWTP!G22</f>
        <v>31758.958000000002</v>
      </c>
      <c r="G16" s="17">
        <f>WWTP!G31</f>
        <v>45463.05</v>
      </c>
      <c r="H16" s="18">
        <f t="shared" si="0"/>
        <v>204081.07400000002</v>
      </c>
    </row>
    <row r="17" spans="1:8">
      <c r="A17" s="1" t="s">
        <v>51</v>
      </c>
      <c r="B17" s="17">
        <f>MAINT!I10+MAINT!I15</f>
        <v>281437.07405357144</v>
      </c>
      <c r="C17" s="17">
        <f>MAINT!I16</f>
        <v>3217.55</v>
      </c>
      <c r="D17" s="17">
        <f>MAINT!I17</f>
        <v>3000</v>
      </c>
      <c r="E17" s="17">
        <f>MAINT!I21</f>
        <v>22005.578740098215</v>
      </c>
      <c r="F17" s="17">
        <f>MAINT!I22</f>
        <v>77522.921182437509</v>
      </c>
      <c r="G17" s="17">
        <f>MAINT!I31</f>
        <v>112042.8</v>
      </c>
      <c r="H17" s="18">
        <f t="shared" si="0"/>
        <v>499225.92397610715</v>
      </c>
    </row>
    <row r="18" spans="1:8" ht="13.5" thickBot="1">
      <c r="A18" s="1" t="s">
        <v>52</v>
      </c>
      <c r="B18" s="40">
        <f>5*150*12</f>
        <v>9000</v>
      </c>
      <c r="C18" s="41"/>
      <c r="D18" s="41"/>
      <c r="E18" s="41"/>
      <c r="F18" s="41"/>
      <c r="G18" s="41"/>
      <c r="H18" s="42">
        <f>SUM(B18:G18)</f>
        <v>9000</v>
      </c>
    </row>
    <row r="19" spans="1:8">
      <c r="B19" s="19">
        <f>SUM(B14:B18)</f>
        <v>777979.16983928578</v>
      </c>
      <c r="C19" s="19">
        <f t="shared" ref="C19:G19" si="1">SUM(C14:C18)</f>
        <v>10850.516</v>
      </c>
      <c r="D19" s="19">
        <f t="shared" si="1"/>
        <v>10250</v>
      </c>
      <c r="E19" s="19">
        <f t="shared" si="1"/>
        <v>60441.095966705361</v>
      </c>
      <c r="F19" s="19">
        <f t="shared" si="1"/>
        <v>209917.97137368753</v>
      </c>
      <c r="G19" s="19">
        <f t="shared" si="1"/>
        <v>284579.5</v>
      </c>
      <c r="H19" s="19">
        <f>SUM(H14:H18)</f>
        <v>1354018.2531796787</v>
      </c>
    </row>
    <row r="22" spans="1:8" ht="13.5" thickBot="1"/>
    <row r="23" spans="1:8">
      <c r="B23" s="17"/>
      <c r="C23" s="62" t="s">
        <v>57</v>
      </c>
      <c r="D23" s="63"/>
      <c r="E23" s="63"/>
      <c r="F23" s="63"/>
      <c r="G23" s="64"/>
      <c r="H23" s="5" t="s">
        <v>55</v>
      </c>
    </row>
    <row r="24" spans="1:8" ht="13.5" thickBot="1">
      <c r="A24" s="30" t="s">
        <v>67</v>
      </c>
      <c r="B24" s="31" t="s">
        <v>33</v>
      </c>
      <c r="C24" s="35" t="s">
        <v>47</v>
      </c>
      <c r="D24" s="36" t="s">
        <v>44</v>
      </c>
      <c r="E24" s="36" t="s">
        <v>2</v>
      </c>
      <c r="F24" s="37" t="s">
        <v>45</v>
      </c>
      <c r="G24" s="38" t="s">
        <v>46</v>
      </c>
      <c r="H24" s="39" t="s">
        <v>56</v>
      </c>
    </row>
    <row r="25" spans="1:8">
      <c r="A25" s="32" t="s">
        <v>34</v>
      </c>
      <c r="B25" s="33">
        <v>5</v>
      </c>
      <c r="C25" s="17">
        <f>B$14/52*$B25</f>
        <v>19818.060432692306</v>
      </c>
      <c r="D25" s="18">
        <f>C25*$B$4</f>
        <v>1516.0816231009615</v>
      </c>
      <c r="E25" s="18">
        <f>(C25*$B$5)-(Admin!H$10/52*B25*$B$5)</f>
        <v>5058.1664250721151</v>
      </c>
      <c r="F25" s="18">
        <f>$G$14/12</f>
        <v>4578.1708333333336</v>
      </c>
      <c r="H25" s="18">
        <f>SUM(C25:G25)</f>
        <v>30970.479314198717</v>
      </c>
    </row>
    <row r="26" spans="1:8">
      <c r="A26" s="32" t="s">
        <v>35</v>
      </c>
      <c r="B26" s="33">
        <v>4</v>
      </c>
      <c r="C26" s="17">
        <f t="shared" ref="C26:C36" si="2">B$14/52*$B26</f>
        <v>15854.448346153846</v>
      </c>
      <c r="D26" s="18">
        <f t="shared" ref="D26:D36" si="3">C26*$B$4</f>
        <v>1212.8652984807691</v>
      </c>
      <c r="E26" s="18">
        <f>(C26*$B$5)-(Admin!H$10/52*B26*$B$5)</f>
        <v>4046.5331400576924</v>
      </c>
      <c r="F26" s="18">
        <f t="shared" ref="F26:F36" si="4">$G$14/12</f>
        <v>4578.1708333333336</v>
      </c>
      <c r="H26" s="18">
        <f t="shared" ref="H26:H36" si="5">SUM(C26:G26)</f>
        <v>25692.017618025642</v>
      </c>
    </row>
    <row r="27" spans="1:8">
      <c r="A27" s="32" t="s">
        <v>36</v>
      </c>
      <c r="B27" s="33">
        <v>4</v>
      </c>
      <c r="C27" s="17">
        <f t="shared" si="2"/>
        <v>15854.448346153846</v>
      </c>
      <c r="D27" s="18">
        <f t="shared" si="3"/>
        <v>1212.8652984807691</v>
      </c>
      <c r="E27" s="18">
        <f>(C27*$B$5)-(Admin!H$10/52*B27*$B$5)</f>
        <v>4046.5331400576924</v>
      </c>
      <c r="F27" s="18">
        <f t="shared" si="4"/>
        <v>4578.1708333333336</v>
      </c>
      <c r="H27" s="18">
        <f t="shared" si="5"/>
        <v>25692.017618025642</v>
      </c>
    </row>
    <row r="28" spans="1:8">
      <c r="A28" s="32" t="s">
        <v>58</v>
      </c>
      <c r="B28" s="33">
        <v>5</v>
      </c>
      <c r="C28" s="17">
        <f>(B$14/52*$B28)+C14</f>
        <v>23424.152432692306</v>
      </c>
      <c r="D28" s="18">
        <f t="shared" si="3"/>
        <v>1791.9476611009613</v>
      </c>
      <c r="E28" s="18">
        <f>(C28*$B$5)-(Admin!H$10/52*B28*$B$5)</f>
        <v>6030.008219072115</v>
      </c>
      <c r="F28" s="18">
        <f t="shared" si="4"/>
        <v>4578.1708333333336</v>
      </c>
      <c r="H28" s="18">
        <f t="shared" si="5"/>
        <v>35824.279146198722</v>
      </c>
    </row>
    <row r="29" spans="1:8">
      <c r="A29" s="32" t="s">
        <v>59</v>
      </c>
      <c r="B29" s="33">
        <v>4</v>
      </c>
      <c r="C29" s="17">
        <f>(B$14/52*$B29)+D14</f>
        <v>19604.448346153848</v>
      </c>
      <c r="D29" s="18">
        <f t="shared" si="3"/>
        <v>1499.7402984807693</v>
      </c>
      <c r="E29" s="18">
        <f>((C29-Admin!H17)*$B$5)-(Admin!H$10/52*B29*$B$5)</f>
        <v>4989.7831400576933</v>
      </c>
      <c r="F29" s="18">
        <f t="shared" si="4"/>
        <v>4578.1708333333336</v>
      </c>
      <c r="H29" s="18">
        <f t="shared" si="5"/>
        <v>30672.142618025646</v>
      </c>
    </row>
    <row r="30" spans="1:8">
      <c r="A30" s="32" t="s">
        <v>37</v>
      </c>
      <c r="B30" s="33">
        <v>5</v>
      </c>
      <c r="C30" s="17">
        <f t="shared" si="2"/>
        <v>19818.060432692306</v>
      </c>
      <c r="D30" s="18">
        <f t="shared" si="3"/>
        <v>1516.0816231009615</v>
      </c>
      <c r="E30" s="18">
        <f>(C30*$B$5)-(Admin!H$10/52*B30*$B$5)</f>
        <v>5058.1664250721151</v>
      </c>
      <c r="F30" s="18">
        <f t="shared" si="4"/>
        <v>4578.1708333333336</v>
      </c>
      <c r="H30" s="18">
        <f t="shared" si="5"/>
        <v>30970.479314198717</v>
      </c>
    </row>
    <row r="31" spans="1:8">
      <c r="A31" s="32" t="s">
        <v>38</v>
      </c>
      <c r="B31" s="33">
        <v>4</v>
      </c>
      <c r="C31" s="17">
        <f t="shared" si="2"/>
        <v>15854.448346153846</v>
      </c>
      <c r="D31" s="18">
        <f t="shared" si="3"/>
        <v>1212.8652984807691</v>
      </c>
      <c r="E31" s="18">
        <f>(C31*$B$5)-(Admin!H$10/52*B31*$B$5)</f>
        <v>4046.5331400576924</v>
      </c>
      <c r="F31" s="18">
        <f t="shared" si="4"/>
        <v>4578.1708333333336</v>
      </c>
      <c r="H31" s="18">
        <f t="shared" si="5"/>
        <v>25692.017618025642</v>
      </c>
    </row>
    <row r="32" spans="1:8">
      <c r="A32" s="32" t="s">
        <v>39</v>
      </c>
      <c r="B32" s="33">
        <v>4</v>
      </c>
      <c r="C32" s="17">
        <f t="shared" si="2"/>
        <v>15854.448346153846</v>
      </c>
      <c r="D32" s="18">
        <f t="shared" si="3"/>
        <v>1212.8652984807691</v>
      </c>
      <c r="E32" s="18">
        <f>(C32*$B$5)-(Admin!H$10/52*B32*$B$5)</f>
        <v>4046.5331400576924</v>
      </c>
      <c r="F32" s="18">
        <f t="shared" si="4"/>
        <v>4578.1708333333336</v>
      </c>
      <c r="H32" s="18">
        <f t="shared" si="5"/>
        <v>25692.017618025642</v>
      </c>
    </row>
    <row r="33" spans="1:8">
      <c r="A33" s="32" t="s">
        <v>40</v>
      </c>
      <c r="B33" s="33">
        <v>4</v>
      </c>
      <c r="C33" s="17">
        <f t="shared" si="2"/>
        <v>15854.448346153846</v>
      </c>
      <c r="D33" s="18">
        <f t="shared" si="3"/>
        <v>1212.8652984807691</v>
      </c>
      <c r="E33" s="18">
        <f>(C33*$B$5)-(Admin!H$10/52*B33*$B$5)</f>
        <v>4046.5331400576924</v>
      </c>
      <c r="F33" s="18">
        <f t="shared" si="4"/>
        <v>4578.1708333333336</v>
      </c>
      <c r="H33" s="18">
        <f t="shared" si="5"/>
        <v>25692.017618025642</v>
      </c>
    </row>
    <row r="34" spans="1:8">
      <c r="A34" s="32" t="s">
        <v>41</v>
      </c>
      <c r="B34" s="33">
        <v>5</v>
      </c>
      <c r="C34" s="17">
        <f t="shared" si="2"/>
        <v>19818.060432692306</v>
      </c>
      <c r="D34" s="18">
        <f t="shared" si="3"/>
        <v>1516.0816231009615</v>
      </c>
      <c r="E34" s="18">
        <f>(C34*$B$5)-(Admin!H$10/52*B34*$B$5)</f>
        <v>5058.1664250721151</v>
      </c>
      <c r="F34" s="18">
        <f t="shared" si="4"/>
        <v>4578.1708333333336</v>
      </c>
      <c r="H34" s="18">
        <f t="shared" si="5"/>
        <v>30970.479314198717</v>
      </c>
    </row>
    <row r="35" spans="1:8">
      <c r="A35" s="32" t="s">
        <v>42</v>
      </c>
      <c r="B35" s="33">
        <v>4</v>
      </c>
      <c r="C35" s="17">
        <f t="shared" si="2"/>
        <v>15854.448346153846</v>
      </c>
      <c r="D35" s="18">
        <f t="shared" si="3"/>
        <v>1212.8652984807691</v>
      </c>
      <c r="E35" s="18">
        <f>(C35*$B$5)-(Admin!H$10/52*B35*$B$5)</f>
        <v>4046.5331400576924</v>
      </c>
      <c r="F35" s="18">
        <f t="shared" si="4"/>
        <v>4578.1708333333336</v>
      </c>
      <c r="H35" s="18">
        <f t="shared" si="5"/>
        <v>25692.017618025642</v>
      </c>
    </row>
    <row r="36" spans="1:8" ht="13.5" thickBot="1">
      <c r="A36" s="32" t="s">
        <v>43</v>
      </c>
      <c r="B36" s="33">
        <v>4</v>
      </c>
      <c r="C36" s="43">
        <f t="shared" si="2"/>
        <v>15854.448346153846</v>
      </c>
      <c r="D36" s="42">
        <f t="shared" si="3"/>
        <v>1212.8652984807691</v>
      </c>
      <c r="E36" s="42">
        <f>(C36*$B$5)-(Admin!H$10/52*B36*$B$5)</f>
        <v>4046.5331400576924</v>
      </c>
      <c r="F36" s="42">
        <f t="shared" si="4"/>
        <v>4578.1708333333336</v>
      </c>
      <c r="G36" s="41"/>
      <c r="H36" s="42">
        <f t="shared" si="5"/>
        <v>25692.017618025642</v>
      </c>
    </row>
    <row r="37" spans="1:8" s="12" customFormat="1">
      <c r="B37" s="34">
        <f>SUM(B25:B36)</f>
        <v>52</v>
      </c>
      <c r="C37" s="19">
        <f>SUM(C25:C36)</f>
        <v>213463.92049999995</v>
      </c>
      <c r="D37" s="19">
        <f>SUM(D25:D36)</f>
        <v>16329.989918249998</v>
      </c>
      <c r="E37" s="19">
        <f t="shared" ref="E37:F37" si="6">SUM(E25:E36)</f>
        <v>54520.022614749992</v>
      </c>
      <c r="F37" s="19">
        <f t="shared" si="6"/>
        <v>54938.050000000017</v>
      </c>
      <c r="G37" s="19">
        <f>SUM(G25:G36)</f>
        <v>0</v>
      </c>
      <c r="H37" s="19">
        <f>SUM(H25:H36)</f>
        <v>339251.98303300003</v>
      </c>
    </row>
    <row r="38" spans="1:8">
      <c r="C38" s="18">
        <f>B14+C14+D14</f>
        <v>213463.92050000001</v>
      </c>
    </row>
    <row r="39" spans="1:8" ht="13.5" thickBot="1"/>
    <row r="40" spans="1:8">
      <c r="B40" s="17"/>
      <c r="C40" s="62" t="s">
        <v>61</v>
      </c>
      <c r="D40" s="63"/>
      <c r="E40" s="63"/>
      <c r="F40" s="63"/>
      <c r="G40" s="64"/>
      <c r="H40" s="5" t="s">
        <v>55</v>
      </c>
    </row>
    <row r="41" spans="1:8" ht="13.5" thickBot="1">
      <c r="A41" s="30" t="s">
        <v>64</v>
      </c>
      <c r="B41" s="31" t="s">
        <v>33</v>
      </c>
      <c r="C41" s="35" t="s">
        <v>47</v>
      </c>
      <c r="D41" s="36" t="s">
        <v>44</v>
      </c>
      <c r="E41" s="36" t="s">
        <v>2</v>
      </c>
      <c r="F41" s="37" t="s">
        <v>45</v>
      </c>
      <c r="G41" s="38" t="s">
        <v>46</v>
      </c>
      <c r="H41" s="39" t="s">
        <v>56</v>
      </c>
    </row>
    <row r="42" spans="1:8">
      <c r="A42" s="32" t="s">
        <v>34</v>
      </c>
      <c r="B42" s="33">
        <v>5</v>
      </c>
      <c r="C42" s="17">
        <f>B$15/52*$B42</f>
        <v>16025.377239010992</v>
      </c>
      <c r="D42" s="18">
        <f>C42*$B$4</f>
        <v>1225.9413587843408</v>
      </c>
      <c r="E42" s="18">
        <f>C42*$B$5</f>
        <v>4318.8391659134622</v>
      </c>
      <c r="F42" s="18">
        <f>$G$15/12</f>
        <v>6011.3</v>
      </c>
      <c r="H42" s="18">
        <f>SUM(C42:G42)</f>
        <v>27581.457763708793</v>
      </c>
    </row>
    <row r="43" spans="1:8">
      <c r="A43" s="32" t="s">
        <v>35</v>
      </c>
      <c r="B43" s="33">
        <v>4</v>
      </c>
      <c r="C43" s="17">
        <f t="shared" ref="C43:C44" si="7">B$15/52*$B43</f>
        <v>12820.301791208793</v>
      </c>
      <c r="D43" s="18">
        <f t="shared" ref="D43:D53" si="8">C43*$B$4</f>
        <v>980.75308702747259</v>
      </c>
      <c r="E43" s="18">
        <f t="shared" ref="E43:E53" si="9">C43*$B$5</f>
        <v>3455.0713327307699</v>
      </c>
      <c r="F43" s="18">
        <f t="shared" ref="F43:F53" si="10">$G$15/12</f>
        <v>6011.3</v>
      </c>
      <c r="H43" s="18">
        <f t="shared" ref="H43:H53" si="11">SUM(C43:G43)</f>
        <v>23267.426210967034</v>
      </c>
    </row>
    <row r="44" spans="1:8">
      <c r="A44" s="32" t="s">
        <v>36</v>
      </c>
      <c r="B44" s="33">
        <v>4</v>
      </c>
      <c r="C44" s="17">
        <f t="shared" si="7"/>
        <v>12820.301791208793</v>
      </c>
      <c r="D44" s="18">
        <f t="shared" si="8"/>
        <v>980.75308702747259</v>
      </c>
      <c r="E44" s="18">
        <f t="shared" si="9"/>
        <v>3455.0713327307699</v>
      </c>
      <c r="F44" s="18">
        <f t="shared" si="10"/>
        <v>6011.3</v>
      </c>
      <c r="H44" s="18">
        <f t="shared" si="11"/>
        <v>23267.426210967034</v>
      </c>
    </row>
    <row r="45" spans="1:8">
      <c r="A45" s="32" t="s">
        <v>58</v>
      </c>
      <c r="B45" s="33">
        <v>5</v>
      </c>
      <c r="C45" s="17">
        <f>(B$15/52*$B45)+C15</f>
        <v>18478.595239010992</v>
      </c>
      <c r="D45" s="18">
        <f t="shared" si="8"/>
        <v>1413.6125357843409</v>
      </c>
      <c r="E45" s="18">
        <f t="shared" si="9"/>
        <v>4979.9814169134625</v>
      </c>
      <c r="F45" s="18">
        <f t="shared" si="10"/>
        <v>6011.3</v>
      </c>
      <c r="H45" s="18">
        <f t="shared" si="11"/>
        <v>30883.489191708795</v>
      </c>
    </row>
    <row r="46" spans="1:8">
      <c r="A46" s="32" t="s">
        <v>59</v>
      </c>
      <c r="B46" s="33">
        <v>4</v>
      </c>
      <c r="C46" s="17">
        <f>(B$15/52*$B46)+D15</f>
        <v>14820.301791208793</v>
      </c>
      <c r="D46" s="18">
        <f t="shared" si="8"/>
        <v>1133.7530870274727</v>
      </c>
      <c r="E46" s="18">
        <f t="shared" si="9"/>
        <v>3994.0713327307699</v>
      </c>
      <c r="F46" s="18">
        <f t="shared" si="10"/>
        <v>6011.3</v>
      </c>
      <c r="H46" s="18">
        <f t="shared" si="11"/>
        <v>25959.426210967034</v>
      </c>
    </row>
    <row r="47" spans="1:8">
      <c r="A47" s="32" t="s">
        <v>37</v>
      </c>
      <c r="B47" s="33">
        <v>5</v>
      </c>
      <c r="C47" s="17">
        <f t="shared" ref="C47:C53" si="12">B$15/52*$B47</f>
        <v>16025.377239010992</v>
      </c>
      <c r="D47" s="18">
        <f t="shared" si="8"/>
        <v>1225.9413587843408</v>
      </c>
      <c r="E47" s="18">
        <f t="shared" si="9"/>
        <v>4318.8391659134622</v>
      </c>
      <c r="F47" s="18">
        <f t="shared" si="10"/>
        <v>6011.3</v>
      </c>
      <c r="H47" s="18">
        <f t="shared" si="11"/>
        <v>27581.457763708793</v>
      </c>
    </row>
    <row r="48" spans="1:8">
      <c r="A48" s="32" t="s">
        <v>38</v>
      </c>
      <c r="B48" s="33">
        <v>4</v>
      </c>
      <c r="C48" s="17">
        <f t="shared" si="12"/>
        <v>12820.301791208793</v>
      </c>
      <c r="D48" s="18">
        <f t="shared" si="8"/>
        <v>980.75308702747259</v>
      </c>
      <c r="E48" s="18">
        <f t="shared" si="9"/>
        <v>3455.0713327307699</v>
      </c>
      <c r="F48" s="18">
        <f t="shared" si="10"/>
        <v>6011.3</v>
      </c>
      <c r="H48" s="18">
        <f t="shared" si="11"/>
        <v>23267.426210967034</v>
      </c>
    </row>
    <row r="49" spans="1:8">
      <c r="A49" s="32" t="s">
        <v>39</v>
      </c>
      <c r="B49" s="33">
        <v>4</v>
      </c>
      <c r="C49" s="17">
        <f t="shared" si="12"/>
        <v>12820.301791208793</v>
      </c>
      <c r="D49" s="18">
        <f t="shared" si="8"/>
        <v>980.75308702747259</v>
      </c>
      <c r="E49" s="18">
        <f t="shared" si="9"/>
        <v>3455.0713327307699</v>
      </c>
      <c r="F49" s="18">
        <f t="shared" si="10"/>
        <v>6011.3</v>
      </c>
      <c r="H49" s="18">
        <f t="shared" si="11"/>
        <v>23267.426210967034</v>
      </c>
    </row>
    <row r="50" spans="1:8">
      <c r="A50" s="32" t="s">
        <v>40</v>
      </c>
      <c r="B50" s="33">
        <v>4</v>
      </c>
      <c r="C50" s="17">
        <f t="shared" si="12"/>
        <v>12820.301791208793</v>
      </c>
      <c r="D50" s="18">
        <f t="shared" si="8"/>
        <v>980.75308702747259</v>
      </c>
      <c r="E50" s="18">
        <f t="shared" si="9"/>
        <v>3455.0713327307699</v>
      </c>
      <c r="F50" s="18">
        <f t="shared" si="10"/>
        <v>6011.3</v>
      </c>
      <c r="H50" s="18">
        <f t="shared" si="11"/>
        <v>23267.426210967034</v>
      </c>
    </row>
    <row r="51" spans="1:8">
      <c r="A51" s="32" t="s">
        <v>41</v>
      </c>
      <c r="B51" s="33">
        <v>5</v>
      </c>
      <c r="C51" s="17">
        <f t="shared" si="12"/>
        <v>16025.377239010992</v>
      </c>
      <c r="D51" s="18">
        <f t="shared" si="8"/>
        <v>1225.9413587843408</v>
      </c>
      <c r="E51" s="18">
        <f t="shared" si="9"/>
        <v>4318.8391659134622</v>
      </c>
      <c r="F51" s="18">
        <f t="shared" si="10"/>
        <v>6011.3</v>
      </c>
      <c r="H51" s="18">
        <f t="shared" si="11"/>
        <v>27581.457763708793</v>
      </c>
    </row>
    <row r="52" spans="1:8">
      <c r="A52" s="32" t="s">
        <v>42</v>
      </c>
      <c r="B52" s="33">
        <v>4</v>
      </c>
      <c r="C52" s="17">
        <f t="shared" si="12"/>
        <v>12820.301791208793</v>
      </c>
      <c r="D52" s="18">
        <f t="shared" si="8"/>
        <v>980.75308702747259</v>
      </c>
      <c r="E52" s="18">
        <f t="shared" si="9"/>
        <v>3455.0713327307699</v>
      </c>
      <c r="F52" s="18">
        <f t="shared" si="10"/>
        <v>6011.3</v>
      </c>
      <c r="H52" s="18">
        <f t="shared" si="11"/>
        <v>23267.426210967034</v>
      </c>
    </row>
    <row r="53" spans="1:8" ht="13.5" thickBot="1">
      <c r="A53" s="32" t="s">
        <v>43</v>
      </c>
      <c r="B53" s="33">
        <v>4</v>
      </c>
      <c r="C53" s="43">
        <f t="shared" si="12"/>
        <v>12820.301791208793</v>
      </c>
      <c r="D53" s="42">
        <f t="shared" si="8"/>
        <v>980.75308702747259</v>
      </c>
      <c r="E53" s="42">
        <f t="shared" si="9"/>
        <v>3455.0713327307699</v>
      </c>
      <c r="F53" s="42">
        <f t="shared" si="10"/>
        <v>6011.3</v>
      </c>
      <c r="G53" s="41"/>
      <c r="H53" s="42">
        <f t="shared" si="11"/>
        <v>23267.426210967034</v>
      </c>
    </row>
    <row r="54" spans="1:8" s="12" customFormat="1">
      <c r="B54" s="34">
        <f>SUM(B42:B53)</f>
        <v>52</v>
      </c>
      <c r="C54" s="19">
        <f>SUM(C42:C53)</f>
        <v>171117.14128571432</v>
      </c>
      <c r="D54" s="19">
        <f>SUM(D42:D53)</f>
        <v>13090.461308357146</v>
      </c>
      <c r="E54" s="19">
        <f t="shared" ref="E54" si="13">SUM(E42:E53)</f>
        <v>46116.069576500005</v>
      </c>
      <c r="F54" s="19">
        <f t="shared" ref="F54" si="14">SUM(F42:F53)</f>
        <v>72135.60000000002</v>
      </c>
      <c r="G54" s="19">
        <f>SUM(G42:G53)</f>
        <v>0</v>
      </c>
      <c r="H54" s="19">
        <f>SUM(H42:H53)</f>
        <v>302459.27217057144</v>
      </c>
    </row>
    <row r="56" spans="1:8" ht="13.5" thickBot="1"/>
    <row r="57" spans="1:8">
      <c r="B57" s="17"/>
      <c r="C57" s="62" t="s">
        <v>62</v>
      </c>
      <c r="D57" s="63"/>
      <c r="E57" s="63"/>
      <c r="F57" s="63"/>
      <c r="G57" s="64"/>
      <c r="H57" s="5" t="s">
        <v>55</v>
      </c>
    </row>
    <row r="58" spans="1:8" ht="13.5" thickBot="1">
      <c r="A58" s="30" t="s">
        <v>64</v>
      </c>
      <c r="B58" s="31" t="s">
        <v>33</v>
      </c>
      <c r="C58" s="35" t="s">
        <v>47</v>
      </c>
      <c r="D58" s="36" t="s">
        <v>44</v>
      </c>
      <c r="E58" s="36" t="s">
        <v>2</v>
      </c>
      <c r="F58" s="37" t="s">
        <v>45</v>
      </c>
      <c r="G58" s="38" t="s">
        <v>46</v>
      </c>
      <c r="H58" s="39" t="s">
        <v>56</v>
      </c>
    </row>
    <row r="59" spans="1:8">
      <c r="A59" s="32" t="s">
        <v>34</v>
      </c>
      <c r="B59" s="33">
        <v>5</v>
      </c>
      <c r="C59" s="17">
        <f>B$16/52*$B59</f>
        <v>11035.609999999999</v>
      </c>
      <c r="D59" s="18">
        <f>C59*$B$4</f>
        <v>844.22416499999986</v>
      </c>
      <c r="E59" s="18">
        <f t="shared" ref="E59:E70" si="15">C59*$B$5</f>
        <v>2974.0968949999997</v>
      </c>
      <c r="F59" s="18">
        <f>$G$16/12</f>
        <v>3788.5875000000001</v>
      </c>
      <c r="H59" s="18">
        <f>SUM(C59:G59)</f>
        <v>18642.51856</v>
      </c>
    </row>
    <row r="60" spans="1:8">
      <c r="A60" s="32" t="s">
        <v>35</v>
      </c>
      <c r="B60" s="33">
        <v>4</v>
      </c>
      <c r="C60" s="17">
        <f t="shared" ref="C60:C70" si="16">B$16/52*$B60</f>
        <v>8828.4879999999994</v>
      </c>
      <c r="D60" s="18">
        <f t="shared" ref="D60:D70" si="17">C60*$B$4</f>
        <v>675.37933199999998</v>
      </c>
      <c r="E60" s="18">
        <f t="shared" si="15"/>
        <v>2379.2775160000001</v>
      </c>
      <c r="F60" s="18">
        <f t="shared" ref="F60:F70" si="18">$G$16/12</f>
        <v>3788.5875000000001</v>
      </c>
      <c r="H60" s="18">
        <f t="shared" ref="H60:H70" si="19">SUM(C60:G60)</f>
        <v>15671.732348</v>
      </c>
    </row>
    <row r="61" spans="1:8">
      <c r="A61" s="32" t="s">
        <v>36</v>
      </c>
      <c r="B61" s="33">
        <v>4</v>
      </c>
      <c r="C61" s="17">
        <f t="shared" si="16"/>
        <v>8828.4879999999994</v>
      </c>
      <c r="D61" s="18">
        <f t="shared" si="17"/>
        <v>675.37933199999998</v>
      </c>
      <c r="E61" s="18">
        <f t="shared" si="15"/>
        <v>2379.2775160000001</v>
      </c>
      <c r="F61" s="18">
        <f t="shared" si="18"/>
        <v>3788.5875000000001</v>
      </c>
      <c r="H61" s="18">
        <f t="shared" si="19"/>
        <v>15671.732348</v>
      </c>
    </row>
    <row r="62" spans="1:8">
      <c r="A62" s="32" t="s">
        <v>58</v>
      </c>
      <c r="B62" s="33">
        <v>5</v>
      </c>
      <c r="C62" s="17">
        <f>(B$16/52*$B62)+C16</f>
        <v>12609.266</v>
      </c>
      <c r="D62" s="18">
        <f t="shared" si="17"/>
        <v>964.60884899999996</v>
      </c>
      <c r="E62" s="18">
        <f t="shared" si="15"/>
        <v>3398.1971870000002</v>
      </c>
      <c r="F62" s="18">
        <f t="shared" si="18"/>
        <v>3788.5875000000001</v>
      </c>
      <c r="H62" s="18">
        <f t="shared" si="19"/>
        <v>20760.659536000003</v>
      </c>
    </row>
    <row r="63" spans="1:8">
      <c r="A63" s="32" t="s">
        <v>59</v>
      </c>
      <c r="B63" s="33">
        <v>4</v>
      </c>
      <c r="C63" s="17">
        <f>(B$16/52*$B63)+D16</f>
        <v>10328.487999999999</v>
      </c>
      <c r="D63" s="18">
        <f t="shared" si="17"/>
        <v>790.12933199999998</v>
      </c>
      <c r="E63" s="18">
        <f t="shared" si="15"/>
        <v>2783.5275160000001</v>
      </c>
      <c r="F63" s="18">
        <f t="shared" si="18"/>
        <v>3788.5875000000001</v>
      </c>
      <c r="H63" s="18">
        <f t="shared" si="19"/>
        <v>17690.732348000001</v>
      </c>
    </row>
    <row r="64" spans="1:8">
      <c r="A64" s="32" t="s">
        <v>37</v>
      </c>
      <c r="B64" s="33">
        <v>5</v>
      </c>
      <c r="C64" s="17">
        <f t="shared" si="16"/>
        <v>11035.609999999999</v>
      </c>
      <c r="D64" s="18">
        <f t="shared" si="17"/>
        <v>844.22416499999986</v>
      </c>
      <c r="E64" s="18">
        <f t="shared" si="15"/>
        <v>2974.0968949999997</v>
      </c>
      <c r="F64" s="18">
        <f t="shared" si="18"/>
        <v>3788.5875000000001</v>
      </c>
      <c r="H64" s="18">
        <f t="shared" si="19"/>
        <v>18642.51856</v>
      </c>
    </row>
    <row r="65" spans="1:8">
      <c r="A65" s="32" t="s">
        <v>38</v>
      </c>
      <c r="B65" s="33">
        <v>4</v>
      </c>
      <c r="C65" s="17">
        <f t="shared" si="16"/>
        <v>8828.4879999999994</v>
      </c>
      <c r="D65" s="18">
        <f t="shared" si="17"/>
        <v>675.37933199999998</v>
      </c>
      <c r="E65" s="18">
        <f t="shared" si="15"/>
        <v>2379.2775160000001</v>
      </c>
      <c r="F65" s="18">
        <f t="shared" si="18"/>
        <v>3788.5875000000001</v>
      </c>
      <c r="H65" s="18">
        <f t="shared" si="19"/>
        <v>15671.732348</v>
      </c>
    </row>
    <row r="66" spans="1:8">
      <c r="A66" s="32" t="s">
        <v>39</v>
      </c>
      <c r="B66" s="33">
        <v>4</v>
      </c>
      <c r="C66" s="17">
        <f t="shared" si="16"/>
        <v>8828.4879999999994</v>
      </c>
      <c r="D66" s="18">
        <f t="shared" si="17"/>
        <v>675.37933199999998</v>
      </c>
      <c r="E66" s="18">
        <f t="shared" si="15"/>
        <v>2379.2775160000001</v>
      </c>
      <c r="F66" s="18">
        <f t="shared" si="18"/>
        <v>3788.5875000000001</v>
      </c>
      <c r="H66" s="18">
        <f t="shared" si="19"/>
        <v>15671.732348</v>
      </c>
    </row>
    <row r="67" spans="1:8">
      <c r="A67" s="32" t="s">
        <v>40</v>
      </c>
      <c r="B67" s="33">
        <v>4</v>
      </c>
      <c r="C67" s="17">
        <f t="shared" si="16"/>
        <v>8828.4879999999994</v>
      </c>
      <c r="D67" s="18">
        <f t="shared" si="17"/>
        <v>675.37933199999998</v>
      </c>
      <c r="E67" s="18">
        <f t="shared" si="15"/>
        <v>2379.2775160000001</v>
      </c>
      <c r="F67" s="18">
        <f t="shared" si="18"/>
        <v>3788.5875000000001</v>
      </c>
      <c r="H67" s="18">
        <f t="shared" si="19"/>
        <v>15671.732348</v>
      </c>
    </row>
    <row r="68" spans="1:8">
      <c r="A68" s="32" t="s">
        <v>41</v>
      </c>
      <c r="B68" s="33">
        <v>5</v>
      </c>
      <c r="C68" s="17">
        <f t="shared" si="16"/>
        <v>11035.609999999999</v>
      </c>
      <c r="D68" s="18">
        <f t="shared" si="17"/>
        <v>844.22416499999986</v>
      </c>
      <c r="E68" s="18">
        <f t="shared" si="15"/>
        <v>2974.0968949999997</v>
      </c>
      <c r="F68" s="18">
        <f t="shared" si="18"/>
        <v>3788.5875000000001</v>
      </c>
      <c r="H68" s="18">
        <f t="shared" si="19"/>
        <v>18642.51856</v>
      </c>
    </row>
    <row r="69" spans="1:8">
      <c r="A69" s="32" t="s">
        <v>42</v>
      </c>
      <c r="B69" s="33">
        <v>4</v>
      </c>
      <c r="C69" s="17">
        <f t="shared" si="16"/>
        <v>8828.4879999999994</v>
      </c>
      <c r="D69" s="18">
        <f t="shared" si="17"/>
        <v>675.37933199999998</v>
      </c>
      <c r="E69" s="18">
        <f t="shared" si="15"/>
        <v>2379.2775160000001</v>
      </c>
      <c r="F69" s="18">
        <f t="shared" si="18"/>
        <v>3788.5875000000001</v>
      </c>
      <c r="H69" s="18">
        <f t="shared" si="19"/>
        <v>15671.732348</v>
      </c>
    </row>
    <row r="70" spans="1:8" ht="13.5" thickBot="1">
      <c r="A70" s="32" t="s">
        <v>43</v>
      </c>
      <c r="B70" s="33">
        <v>4</v>
      </c>
      <c r="C70" s="43">
        <f t="shared" si="16"/>
        <v>8828.4879999999994</v>
      </c>
      <c r="D70" s="42">
        <f t="shared" si="17"/>
        <v>675.37933199999998</v>
      </c>
      <c r="E70" s="42">
        <f t="shared" si="15"/>
        <v>2379.2775160000001</v>
      </c>
      <c r="F70" s="42">
        <f t="shared" si="18"/>
        <v>3788.5875000000001</v>
      </c>
      <c r="G70" s="41"/>
      <c r="H70" s="42">
        <f t="shared" si="19"/>
        <v>15671.732348</v>
      </c>
    </row>
    <row r="71" spans="1:8">
      <c r="A71" s="12"/>
      <c r="B71" s="34">
        <f>SUM(B59:B70)</f>
        <v>52</v>
      </c>
      <c r="C71" s="19">
        <f>SUM(C59:C70)</f>
        <v>117843.99999999999</v>
      </c>
      <c r="D71" s="19">
        <f>SUM(D59:D70)</f>
        <v>9015.0660000000007</v>
      </c>
      <c r="E71" s="19">
        <f t="shared" ref="E71" si="20">SUM(E59:E70)</f>
        <v>31758.958000000006</v>
      </c>
      <c r="F71" s="19">
        <f t="shared" ref="F71" si="21">SUM(F59:F70)</f>
        <v>45463.05000000001</v>
      </c>
      <c r="G71" s="19">
        <f>SUM(G59:G70)</f>
        <v>0</v>
      </c>
      <c r="H71" s="19">
        <f>SUM(H59:H70)</f>
        <v>204081.07399999996</v>
      </c>
    </row>
    <row r="73" spans="1:8" ht="13.5" thickBot="1"/>
    <row r="74" spans="1:8">
      <c r="B74" s="17"/>
      <c r="C74" s="62" t="s">
        <v>63</v>
      </c>
      <c r="D74" s="63"/>
      <c r="E74" s="63"/>
      <c r="F74" s="63"/>
      <c r="G74" s="64"/>
      <c r="H74" s="5" t="s">
        <v>55</v>
      </c>
    </row>
    <row r="75" spans="1:8" ht="13.5" thickBot="1">
      <c r="A75" s="30" t="s">
        <v>64</v>
      </c>
      <c r="B75" s="31" t="s">
        <v>33</v>
      </c>
      <c r="C75" s="35" t="s">
        <v>47</v>
      </c>
      <c r="D75" s="36" t="s">
        <v>44</v>
      </c>
      <c r="E75" s="36" t="s">
        <v>2</v>
      </c>
      <c r="F75" s="37" t="s">
        <v>45</v>
      </c>
      <c r="G75" s="38" t="s">
        <v>46</v>
      </c>
      <c r="H75" s="39" t="s">
        <v>56</v>
      </c>
    </row>
    <row r="76" spans="1:8">
      <c r="A76" s="32" t="s">
        <v>34</v>
      </c>
      <c r="B76" s="33">
        <v>5</v>
      </c>
      <c r="C76" s="17">
        <f>B$17/52*$B76</f>
        <v>27061.257120535716</v>
      </c>
      <c r="D76" s="18">
        <f>C76*$B$4</f>
        <v>2070.1861697209824</v>
      </c>
      <c r="E76" s="18">
        <f>(C76*$B$5)</f>
        <v>7293.0087939843761</v>
      </c>
      <c r="F76" s="18">
        <f>G$17/12</f>
        <v>9336.9</v>
      </c>
      <c r="H76" s="18">
        <f>SUM(C76:G76)</f>
        <v>45761.352084241073</v>
      </c>
    </row>
    <row r="77" spans="1:8">
      <c r="A77" s="32" t="s">
        <v>35</v>
      </c>
      <c r="B77" s="33">
        <v>4</v>
      </c>
      <c r="C77" s="17">
        <f t="shared" ref="C77:C78" si="22">B$17/52*$B77</f>
        <v>21649.005696428572</v>
      </c>
      <c r="D77" s="18">
        <f t="shared" ref="D77:D87" si="23">C77*$B$4</f>
        <v>1656.1489357767857</v>
      </c>
      <c r="E77" s="18">
        <f t="shared" ref="E77:E87" si="24">(C77*$B$5)</f>
        <v>5834.4070351875007</v>
      </c>
      <c r="F77" s="18">
        <f t="shared" ref="F77:F87" si="25">G$17/12</f>
        <v>9336.9</v>
      </c>
      <c r="H77" s="18">
        <f t="shared" ref="H77:H87" si="26">SUM(C77:G77)</f>
        <v>38476.461667392861</v>
      </c>
    </row>
    <row r="78" spans="1:8">
      <c r="A78" s="32" t="s">
        <v>36</v>
      </c>
      <c r="B78" s="33">
        <v>4</v>
      </c>
      <c r="C78" s="17">
        <f t="shared" si="22"/>
        <v>21649.005696428572</v>
      </c>
      <c r="D78" s="18">
        <f t="shared" si="23"/>
        <v>1656.1489357767857</v>
      </c>
      <c r="E78" s="18">
        <f t="shared" si="24"/>
        <v>5834.4070351875007</v>
      </c>
      <c r="F78" s="18">
        <f t="shared" si="25"/>
        <v>9336.9</v>
      </c>
      <c r="H78" s="18">
        <f t="shared" si="26"/>
        <v>38476.461667392861</v>
      </c>
    </row>
    <row r="79" spans="1:8">
      <c r="A79" s="32" t="s">
        <v>58</v>
      </c>
      <c r="B79" s="33">
        <v>5</v>
      </c>
      <c r="C79" s="17">
        <f>(B$17/52*$B79)+C17</f>
        <v>30278.807120535716</v>
      </c>
      <c r="D79" s="18">
        <f t="shared" si="23"/>
        <v>2316.3287447209823</v>
      </c>
      <c r="E79" s="18">
        <f t="shared" si="24"/>
        <v>8160.1385189843759</v>
      </c>
      <c r="F79" s="18">
        <f t="shared" si="25"/>
        <v>9336.9</v>
      </c>
      <c r="H79" s="18">
        <f t="shared" si="26"/>
        <v>50092.17438424108</v>
      </c>
    </row>
    <row r="80" spans="1:8">
      <c r="A80" s="32" t="s">
        <v>59</v>
      </c>
      <c r="B80" s="33">
        <v>4</v>
      </c>
      <c r="C80" s="17">
        <f>(B$17/52*$B80)+D17</f>
        <v>24649.005696428572</v>
      </c>
      <c r="D80" s="18">
        <f t="shared" si="23"/>
        <v>1885.6489357767857</v>
      </c>
      <c r="E80" s="18">
        <f t="shared" si="24"/>
        <v>6642.9070351875007</v>
      </c>
      <c r="F80" s="18">
        <f t="shared" si="25"/>
        <v>9336.9</v>
      </c>
      <c r="H80" s="18">
        <f t="shared" si="26"/>
        <v>42514.461667392861</v>
      </c>
    </row>
    <row r="81" spans="1:8">
      <c r="A81" s="32" t="s">
        <v>37</v>
      </c>
      <c r="B81" s="33">
        <v>5</v>
      </c>
      <c r="C81" s="17">
        <f t="shared" ref="C81:C87" si="27">B$17/52*$B81</f>
        <v>27061.257120535716</v>
      </c>
      <c r="D81" s="18">
        <f t="shared" si="23"/>
        <v>2070.1861697209824</v>
      </c>
      <c r="E81" s="18">
        <f t="shared" si="24"/>
        <v>7293.0087939843761</v>
      </c>
      <c r="F81" s="18">
        <f t="shared" si="25"/>
        <v>9336.9</v>
      </c>
      <c r="H81" s="18">
        <f t="shared" si="26"/>
        <v>45761.352084241073</v>
      </c>
    </row>
    <row r="82" spans="1:8">
      <c r="A82" s="32" t="s">
        <v>38</v>
      </c>
      <c r="B82" s="33">
        <v>4</v>
      </c>
      <c r="C82" s="17">
        <f t="shared" si="27"/>
        <v>21649.005696428572</v>
      </c>
      <c r="D82" s="18">
        <f t="shared" si="23"/>
        <v>1656.1489357767857</v>
      </c>
      <c r="E82" s="18">
        <f t="shared" si="24"/>
        <v>5834.4070351875007</v>
      </c>
      <c r="F82" s="18">
        <f t="shared" si="25"/>
        <v>9336.9</v>
      </c>
      <c r="H82" s="18">
        <f t="shared" si="26"/>
        <v>38476.461667392861</v>
      </c>
    </row>
    <row r="83" spans="1:8">
      <c r="A83" s="32" t="s">
        <v>39</v>
      </c>
      <c r="B83" s="33">
        <v>4</v>
      </c>
      <c r="C83" s="17">
        <f t="shared" si="27"/>
        <v>21649.005696428572</v>
      </c>
      <c r="D83" s="18">
        <f t="shared" si="23"/>
        <v>1656.1489357767857</v>
      </c>
      <c r="E83" s="18">
        <f t="shared" si="24"/>
        <v>5834.4070351875007</v>
      </c>
      <c r="F83" s="18">
        <f t="shared" si="25"/>
        <v>9336.9</v>
      </c>
      <c r="H83" s="18">
        <f t="shared" si="26"/>
        <v>38476.461667392861</v>
      </c>
    </row>
    <row r="84" spans="1:8">
      <c r="A84" s="32" t="s">
        <v>40</v>
      </c>
      <c r="B84" s="33">
        <v>4</v>
      </c>
      <c r="C84" s="17">
        <f t="shared" si="27"/>
        <v>21649.005696428572</v>
      </c>
      <c r="D84" s="18">
        <f t="shared" si="23"/>
        <v>1656.1489357767857</v>
      </c>
      <c r="E84" s="18">
        <f t="shared" si="24"/>
        <v>5834.4070351875007</v>
      </c>
      <c r="F84" s="18">
        <f t="shared" si="25"/>
        <v>9336.9</v>
      </c>
      <c r="H84" s="18">
        <f t="shared" si="26"/>
        <v>38476.461667392861</v>
      </c>
    </row>
    <row r="85" spans="1:8">
      <c r="A85" s="32" t="s">
        <v>41</v>
      </c>
      <c r="B85" s="33">
        <v>5</v>
      </c>
      <c r="C85" s="17">
        <f t="shared" si="27"/>
        <v>27061.257120535716</v>
      </c>
      <c r="D85" s="18">
        <f t="shared" si="23"/>
        <v>2070.1861697209824</v>
      </c>
      <c r="E85" s="18">
        <f t="shared" si="24"/>
        <v>7293.0087939843761</v>
      </c>
      <c r="F85" s="18">
        <f t="shared" si="25"/>
        <v>9336.9</v>
      </c>
      <c r="H85" s="18">
        <f t="shared" si="26"/>
        <v>45761.352084241073</v>
      </c>
    </row>
    <row r="86" spans="1:8">
      <c r="A86" s="32" t="s">
        <v>42</v>
      </c>
      <c r="B86" s="33">
        <v>4</v>
      </c>
      <c r="C86" s="17">
        <f t="shared" si="27"/>
        <v>21649.005696428572</v>
      </c>
      <c r="D86" s="18">
        <f t="shared" si="23"/>
        <v>1656.1489357767857</v>
      </c>
      <c r="E86" s="18">
        <f t="shared" si="24"/>
        <v>5834.4070351875007</v>
      </c>
      <c r="F86" s="18">
        <f t="shared" si="25"/>
        <v>9336.9</v>
      </c>
      <c r="H86" s="18">
        <f t="shared" si="26"/>
        <v>38476.461667392861</v>
      </c>
    </row>
    <row r="87" spans="1:8" ht="13.5" thickBot="1">
      <c r="A87" s="32" t="s">
        <v>43</v>
      </c>
      <c r="B87" s="33">
        <v>4</v>
      </c>
      <c r="C87" s="43">
        <f t="shared" si="27"/>
        <v>21649.005696428572</v>
      </c>
      <c r="D87" s="42">
        <f t="shared" si="23"/>
        <v>1656.1489357767857</v>
      </c>
      <c r="E87" s="42">
        <f t="shared" si="24"/>
        <v>5834.4070351875007</v>
      </c>
      <c r="F87" s="42">
        <f t="shared" si="25"/>
        <v>9336.9</v>
      </c>
      <c r="G87" s="41"/>
      <c r="H87" s="42">
        <f t="shared" si="26"/>
        <v>38476.461667392861</v>
      </c>
    </row>
    <row r="88" spans="1:8">
      <c r="A88" s="12"/>
      <c r="B88" s="34">
        <f>SUM(B76:B87)</f>
        <v>52</v>
      </c>
      <c r="C88" s="19">
        <f>SUM(C76:C87)</f>
        <v>287654.62405357143</v>
      </c>
      <c r="D88" s="19">
        <f>SUM(D76:D87)</f>
        <v>22005.578740098215</v>
      </c>
      <c r="E88" s="19">
        <f t="shared" ref="E88" si="28">SUM(E76:E87)</f>
        <v>77522.921182437494</v>
      </c>
      <c r="F88" s="19">
        <f t="shared" ref="F88" si="29">SUM(F76:F87)</f>
        <v>112042.79999999997</v>
      </c>
      <c r="G88" s="19">
        <f>SUM(G76:G87)</f>
        <v>0</v>
      </c>
      <c r="H88" s="19">
        <f>SUM(H76:H87)</f>
        <v>499225.92397610721</v>
      </c>
    </row>
    <row r="92" spans="1:8" ht="13.5" thickBot="1">
      <c r="C92" s="35" t="s">
        <v>47</v>
      </c>
      <c r="D92" s="36" t="s">
        <v>44</v>
      </c>
      <c r="E92" s="36" t="s">
        <v>2</v>
      </c>
      <c r="F92" s="37" t="s">
        <v>45</v>
      </c>
      <c r="G92" s="38" t="s">
        <v>46</v>
      </c>
      <c r="H92" s="39" t="s">
        <v>56</v>
      </c>
    </row>
    <row r="93" spans="1:8">
      <c r="A93" s="1" t="s">
        <v>48</v>
      </c>
      <c r="C93" s="18">
        <f>C37</f>
        <v>213463.92049999995</v>
      </c>
      <c r="D93" s="18">
        <f t="shared" ref="D93:H93" si="30">D37</f>
        <v>16329.989918249998</v>
      </c>
      <c r="E93" s="18">
        <f t="shared" si="30"/>
        <v>54520.022614749992</v>
      </c>
      <c r="F93" s="18">
        <f t="shared" si="30"/>
        <v>54938.050000000017</v>
      </c>
      <c r="G93" s="18">
        <f t="shared" si="30"/>
        <v>0</v>
      </c>
      <c r="H93" s="18">
        <f t="shared" si="30"/>
        <v>339251.98303300003</v>
      </c>
    </row>
    <row r="94" spans="1:8">
      <c r="A94" s="1" t="s">
        <v>49</v>
      </c>
      <c r="C94" s="18">
        <f>C54</f>
        <v>171117.14128571432</v>
      </c>
      <c r="D94" s="18">
        <f t="shared" ref="D94:H94" si="31">D54</f>
        <v>13090.461308357146</v>
      </c>
      <c r="E94" s="18">
        <f t="shared" si="31"/>
        <v>46116.069576500005</v>
      </c>
      <c r="F94" s="18">
        <f t="shared" si="31"/>
        <v>72135.60000000002</v>
      </c>
      <c r="G94" s="18">
        <f t="shared" si="31"/>
        <v>0</v>
      </c>
      <c r="H94" s="18">
        <f t="shared" si="31"/>
        <v>302459.27217057144</v>
      </c>
    </row>
    <row r="95" spans="1:8">
      <c r="A95" s="1" t="s">
        <v>50</v>
      </c>
      <c r="C95" s="18">
        <f>C71</f>
        <v>117843.99999999999</v>
      </c>
      <c r="D95" s="18">
        <f t="shared" ref="D95:H95" si="32">D71</f>
        <v>9015.0660000000007</v>
      </c>
      <c r="E95" s="18">
        <f t="shared" si="32"/>
        <v>31758.958000000006</v>
      </c>
      <c r="F95" s="18">
        <f t="shared" si="32"/>
        <v>45463.05000000001</v>
      </c>
      <c r="G95" s="18">
        <f t="shared" si="32"/>
        <v>0</v>
      </c>
      <c r="H95" s="18">
        <f t="shared" si="32"/>
        <v>204081.07399999996</v>
      </c>
    </row>
    <row r="96" spans="1:8">
      <c r="A96" s="1" t="s">
        <v>51</v>
      </c>
      <c r="C96" s="18">
        <f>C88</f>
        <v>287654.62405357143</v>
      </c>
      <c r="D96" s="18">
        <f t="shared" ref="D96:H96" si="33">D88</f>
        <v>22005.578740098215</v>
      </c>
      <c r="E96" s="18">
        <f t="shared" si="33"/>
        <v>77522.921182437494</v>
      </c>
      <c r="F96" s="18">
        <f t="shared" si="33"/>
        <v>112042.79999999997</v>
      </c>
      <c r="G96" s="18">
        <f t="shared" si="33"/>
        <v>0</v>
      </c>
      <c r="H96" s="18">
        <f t="shared" si="33"/>
        <v>499225.92397610721</v>
      </c>
    </row>
    <row r="97" spans="1:8" ht="13.5" thickBot="1">
      <c r="A97" s="1" t="s">
        <v>52</v>
      </c>
      <c r="C97" s="40">
        <v>9000</v>
      </c>
      <c r="D97" s="41"/>
      <c r="E97" s="41"/>
      <c r="F97" s="41"/>
      <c r="G97" s="41"/>
      <c r="H97" s="42">
        <f>C97</f>
        <v>9000</v>
      </c>
    </row>
    <row r="98" spans="1:8">
      <c r="C98" s="19">
        <f>SUM(C93:C97)</f>
        <v>799079.68583928561</v>
      </c>
      <c r="D98" s="19">
        <f t="shared" ref="D98:H98" si="34">SUM(D93:D97)</f>
        <v>60441.095966705361</v>
      </c>
      <c r="E98" s="19">
        <f t="shared" si="34"/>
        <v>209917.9713736875</v>
      </c>
      <c r="F98" s="19">
        <f t="shared" si="34"/>
        <v>284579.5</v>
      </c>
      <c r="G98" s="19">
        <f t="shared" si="34"/>
        <v>0</v>
      </c>
      <c r="H98" s="19">
        <f t="shared" si="34"/>
        <v>1354018.2531796787</v>
      </c>
    </row>
  </sheetData>
  <mergeCells count="4">
    <mergeCell ref="C23:G23"/>
    <mergeCell ref="C40:G40"/>
    <mergeCell ref="C57:G57"/>
    <mergeCell ref="C74:G74"/>
  </mergeCells>
  <pageMargins left="0.22" right="0.1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J10" sqref="J10:J33"/>
    </sheetView>
  </sheetViews>
  <sheetFormatPr defaultRowHeight="12.75"/>
  <cols>
    <col min="1" max="1" width="27.42578125" style="1" customWidth="1"/>
    <col min="2" max="2" width="10.42578125" style="1" customWidth="1"/>
    <col min="3" max="3" width="11.140625" style="1" bestFit="1" customWidth="1"/>
    <col min="4" max="4" width="11.5703125" style="1" customWidth="1"/>
    <col min="5" max="5" width="10" style="1" customWidth="1"/>
    <col min="6" max="8" width="9.140625" style="1" customWidth="1"/>
    <col min="9" max="9" width="2.28515625" style="1" customWidth="1"/>
    <col min="10" max="10" width="13.140625" style="1" customWidth="1"/>
    <col min="11" max="16384" width="9.140625" style="1"/>
  </cols>
  <sheetData>
    <row r="1" spans="1:10" ht="15" customHeight="1">
      <c r="B1" s="2"/>
    </row>
    <row r="2" spans="1:10" ht="15" customHeight="1">
      <c r="B2" s="10" t="s">
        <v>66</v>
      </c>
      <c r="J2" s="10" t="s">
        <v>66</v>
      </c>
    </row>
    <row r="3" spans="1:10">
      <c r="A3" s="5"/>
      <c r="B3" s="6" t="s">
        <v>17</v>
      </c>
      <c r="C3" s="67">
        <v>193</v>
      </c>
      <c r="D3" s="67">
        <v>175</v>
      </c>
      <c r="E3" s="67">
        <v>186</v>
      </c>
      <c r="F3" s="67">
        <v>198</v>
      </c>
      <c r="G3" s="67">
        <v>210</v>
      </c>
      <c r="H3" s="65" t="s">
        <v>72</v>
      </c>
      <c r="J3" s="5" t="s">
        <v>31</v>
      </c>
    </row>
    <row r="4" spans="1:10">
      <c r="A4" s="7" t="s">
        <v>12</v>
      </c>
      <c r="B4" s="8" t="s">
        <v>18</v>
      </c>
      <c r="C4" s="68"/>
      <c r="D4" s="68"/>
      <c r="E4" s="68"/>
      <c r="F4" s="68"/>
      <c r="G4" s="68"/>
      <c r="H4" s="66"/>
      <c r="I4" s="14"/>
      <c r="J4" s="7" t="s">
        <v>30</v>
      </c>
    </row>
    <row r="6" spans="1:10">
      <c r="A6" s="1" t="s">
        <v>70</v>
      </c>
      <c r="C6" s="25">
        <v>33.83</v>
      </c>
      <c r="D6" s="25">
        <v>34.49</v>
      </c>
      <c r="E6" s="25">
        <v>20.5</v>
      </c>
      <c r="F6" s="25">
        <v>18.5</v>
      </c>
      <c r="G6" s="25">
        <v>14.25</v>
      </c>
      <c r="H6" s="25">
        <v>14</v>
      </c>
    </row>
    <row r="7" spans="1:10">
      <c r="A7" s="1" t="s">
        <v>20</v>
      </c>
      <c r="B7" s="11">
        <f>'Data Input &amp; Totals'!B3</f>
        <v>1.4999999999999999E-2</v>
      </c>
      <c r="C7" s="3">
        <f>C6*$B$7</f>
        <v>0.50744999999999996</v>
      </c>
      <c r="D7" s="3">
        <f t="shared" ref="D7:F7" si="0">D6*$B$7</f>
        <v>0.51734999999999998</v>
      </c>
      <c r="E7" s="3">
        <f t="shared" si="0"/>
        <v>0.3075</v>
      </c>
      <c r="F7" s="3">
        <f t="shared" si="0"/>
        <v>0.27749999999999997</v>
      </c>
      <c r="G7" s="3">
        <f t="shared" ref="G7:H7" si="1">G6*$B$7</f>
        <v>0.21375</v>
      </c>
      <c r="H7" s="3">
        <f t="shared" si="1"/>
        <v>0.21</v>
      </c>
    </row>
    <row r="8" spans="1:10">
      <c r="A8" s="1" t="s">
        <v>60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J8" s="14"/>
    </row>
    <row r="9" spans="1:10">
      <c r="A9" s="13" t="s">
        <v>68</v>
      </c>
      <c r="C9" s="15">
        <f>SUM(C6:C8)</f>
        <v>34.337449999999997</v>
      </c>
      <c r="D9" s="15">
        <f t="shared" ref="D9:H9" si="2">SUM(D6:D8)</f>
        <v>35.007350000000002</v>
      </c>
      <c r="E9" s="15">
        <f t="shared" si="2"/>
        <v>20.807500000000001</v>
      </c>
      <c r="F9" s="15">
        <f t="shared" si="2"/>
        <v>18.7775</v>
      </c>
      <c r="G9" s="15">
        <f t="shared" ref="G9" si="3">SUM(G6:G8)</f>
        <v>14.463749999999999</v>
      </c>
      <c r="H9" s="15">
        <f t="shared" si="2"/>
        <v>14.21</v>
      </c>
    </row>
    <row r="10" spans="1:10">
      <c r="A10" s="13" t="s">
        <v>69</v>
      </c>
      <c r="C10" s="16">
        <f>C9*25*5</f>
        <v>4292.1812499999996</v>
      </c>
      <c r="D10" s="16">
        <f>D9*40*52</f>
        <v>72815.288</v>
      </c>
      <c r="E10" s="16">
        <f t="shared" ref="E10:F10" si="4">E9*40*52</f>
        <v>43279.600000000006</v>
      </c>
      <c r="F10" s="16">
        <f t="shared" si="4"/>
        <v>39057.200000000004</v>
      </c>
      <c r="G10" s="16">
        <f t="shared" ref="G10" si="5">G9*40*52</f>
        <v>30084.6</v>
      </c>
      <c r="H10" s="16">
        <f>H9*8*8*12</f>
        <v>10913.28</v>
      </c>
      <c r="J10" s="19">
        <f>SUM(C10:H10)</f>
        <v>200442.14925000002</v>
      </c>
    </row>
    <row r="11" spans="1:10" ht="15">
      <c r="C11" s="3"/>
      <c r="H11"/>
    </row>
    <row r="12" spans="1:10">
      <c r="A12" s="1" t="s">
        <v>23</v>
      </c>
      <c r="B12" s="22"/>
    </row>
    <row r="13" spans="1:10">
      <c r="A13" s="1" t="s">
        <v>21</v>
      </c>
    </row>
    <row r="14" spans="1:10">
      <c r="A14" s="1" t="s">
        <v>22</v>
      </c>
    </row>
    <row r="15" spans="1:10">
      <c r="A15" s="1" t="s">
        <v>71</v>
      </c>
      <c r="C15" s="18">
        <f>165*C9</f>
        <v>5665.6792499999992</v>
      </c>
      <c r="J15" s="19">
        <f>SUM(C15:H15)</f>
        <v>5665.6792499999992</v>
      </c>
    </row>
    <row r="16" spans="1:10">
      <c r="A16" s="1" t="s">
        <v>6</v>
      </c>
      <c r="C16" s="18">
        <f>C9*40</f>
        <v>1373.4979999999998</v>
      </c>
      <c r="D16" s="18">
        <f t="shared" ref="D16:E16" si="6">D9*40</f>
        <v>1400.2940000000001</v>
      </c>
      <c r="E16" s="18">
        <f t="shared" si="6"/>
        <v>832.30000000000007</v>
      </c>
      <c r="F16" s="18">
        <v>0</v>
      </c>
      <c r="G16" s="18">
        <v>0</v>
      </c>
      <c r="H16" s="1">
        <v>0</v>
      </c>
      <c r="J16" s="19">
        <f t="shared" ref="J16:J18" si="7">SUM(C16:H16)</f>
        <v>3606.0920000000001</v>
      </c>
    </row>
    <row r="17" spans="1:15">
      <c r="A17" s="1" t="s">
        <v>7</v>
      </c>
      <c r="C17" s="20">
        <v>0</v>
      </c>
      <c r="D17" s="20">
        <v>2000</v>
      </c>
      <c r="E17" s="20">
        <v>500</v>
      </c>
      <c r="F17" s="20">
        <v>500</v>
      </c>
      <c r="G17" s="20">
        <v>500</v>
      </c>
      <c r="H17" s="20">
        <v>250</v>
      </c>
      <c r="J17" s="21">
        <f t="shared" si="7"/>
        <v>3750</v>
      </c>
    </row>
    <row r="18" spans="1:15">
      <c r="A18" s="13" t="s">
        <v>8</v>
      </c>
      <c r="C18" s="19">
        <f>C10+C15+C16+C17</f>
        <v>11331.358499999998</v>
      </c>
      <c r="D18" s="19">
        <f t="shared" ref="D18:H18" si="8">D10+D15+D16+D17</f>
        <v>76215.581999999995</v>
      </c>
      <c r="E18" s="19">
        <f t="shared" si="8"/>
        <v>44611.900000000009</v>
      </c>
      <c r="F18" s="19">
        <f t="shared" si="8"/>
        <v>39557.200000000004</v>
      </c>
      <c r="G18" s="19">
        <f t="shared" ref="G18" si="9">G10+G15+G16+G17</f>
        <v>30584.6</v>
      </c>
      <c r="H18" s="19">
        <f t="shared" si="8"/>
        <v>11163.28</v>
      </c>
      <c r="J18" s="19">
        <f t="shared" si="7"/>
        <v>213463.92050000001</v>
      </c>
    </row>
    <row r="20" spans="1:15">
      <c r="A20" s="12" t="s">
        <v>29</v>
      </c>
    </row>
    <row r="21" spans="1:15">
      <c r="A21" s="1" t="s">
        <v>9</v>
      </c>
      <c r="B21" s="11">
        <f>'Data Input &amp; Totals'!$B$4</f>
        <v>7.6499999999999999E-2</v>
      </c>
      <c r="C21" s="16">
        <f>C18*$B$21</f>
        <v>866.84892524999987</v>
      </c>
      <c r="D21" s="16">
        <f t="shared" ref="D21:H21" si="10">D18*$B$21</f>
        <v>5830.4920229999998</v>
      </c>
      <c r="E21" s="16">
        <f t="shared" si="10"/>
        <v>3412.8103500000007</v>
      </c>
      <c r="F21" s="16">
        <f t="shared" si="10"/>
        <v>3026.1258000000003</v>
      </c>
      <c r="G21" s="16">
        <f t="shared" ref="G21" si="11">G18*$B$21</f>
        <v>2339.7219</v>
      </c>
      <c r="H21" s="16">
        <f t="shared" si="10"/>
        <v>853.99092000000007</v>
      </c>
      <c r="J21" s="19">
        <f t="shared" ref="J21:J22" si="12">SUM(C21:H21)</f>
        <v>16329.989918249999</v>
      </c>
    </row>
    <row r="22" spans="1:15" ht="15">
      <c r="A22" s="1" t="s">
        <v>10</v>
      </c>
      <c r="B22" s="11">
        <f>'Data Input &amp; Totals'!$B$5</f>
        <v>0.26950000000000002</v>
      </c>
      <c r="C22" s="16">
        <f>C18*$B$22</f>
        <v>3053.8011157499996</v>
      </c>
      <c r="D22" s="16">
        <f>D18*$B$22</f>
        <v>20540.099349</v>
      </c>
      <c r="E22" s="16">
        <f>E18*$B$22</f>
        <v>12022.907050000003</v>
      </c>
      <c r="F22" s="16">
        <f>F18*$B$22</f>
        <v>10660.665400000002</v>
      </c>
      <c r="G22" s="16">
        <f>G18*$B$22</f>
        <v>8242.5496999999996</v>
      </c>
      <c r="H22" s="16">
        <v>0</v>
      </c>
      <c r="J22" s="19">
        <f t="shared" si="12"/>
        <v>54520.022614750007</v>
      </c>
      <c r="O22"/>
    </row>
    <row r="23" spans="1:15">
      <c r="B23" s="11"/>
      <c r="C23" s="17"/>
      <c r="D23" s="17"/>
      <c r="E23" s="17"/>
      <c r="F23" s="17"/>
      <c r="G23" s="17"/>
      <c r="H23" s="17"/>
    </row>
    <row r="24" spans="1:15">
      <c r="A24" s="12" t="s">
        <v>11</v>
      </c>
      <c r="B24" s="11"/>
      <c r="C24" s="17"/>
      <c r="D24" s="17"/>
      <c r="E24" s="17"/>
      <c r="F24" s="17"/>
      <c r="G24" s="17"/>
      <c r="H24" s="17"/>
    </row>
    <row r="25" spans="1:15">
      <c r="A25" s="1" t="s">
        <v>25</v>
      </c>
      <c r="C25" s="44">
        <v>1343</v>
      </c>
      <c r="D25" s="44">
        <v>1501</v>
      </c>
      <c r="E25" s="44">
        <v>1501</v>
      </c>
      <c r="F25" s="44">
        <v>175</v>
      </c>
      <c r="G25" s="44">
        <v>982</v>
      </c>
      <c r="H25" s="17">
        <v>0</v>
      </c>
      <c r="J25" s="19">
        <f>SUM(C25:H25)</f>
        <v>5502</v>
      </c>
    </row>
    <row r="26" spans="1:15">
      <c r="A26" s="1" t="s">
        <v>24</v>
      </c>
      <c r="B26" s="11">
        <f>'Data Input &amp; Totals'!$B$6</f>
        <v>2.5000000000000001E-2</v>
      </c>
      <c r="C26" s="17">
        <v>0</v>
      </c>
      <c r="D26" s="17">
        <f>D25*(1+$B$26)</f>
        <v>1538.5249999999999</v>
      </c>
      <c r="E26" s="17">
        <f>E25*(1+$B$26)</f>
        <v>1538.5249999999999</v>
      </c>
      <c r="F26" s="17">
        <v>175</v>
      </c>
      <c r="G26" s="17">
        <f>G25*(1+$B$26)</f>
        <v>1006.55</v>
      </c>
      <c r="H26" s="17">
        <f>H25*(1+$B$26)</f>
        <v>0</v>
      </c>
      <c r="J26" s="19">
        <f t="shared" ref="J26:J30" si="13">SUM(C26:H26)</f>
        <v>4258.5999999999995</v>
      </c>
    </row>
    <row r="27" spans="1:15">
      <c r="A27" s="1" t="s">
        <v>16</v>
      </c>
      <c r="B27" s="3">
        <f>'Data Input &amp; Totals'!B7</f>
        <v>9</v>
      </c>
      <c r="C27" s="17">
        <f>$B27</f>
        <v>9</v>
      </c>
      <c r="D27" s="17">
        <f t="shared" ref="D27:G27" si="14">$B27</f>
        <v>9</v>
      </c>
      <c r="E27" s="17">
        <f t="shared" si="14"/>
        <v>9</v>
      </c>
      <c r="F27" s="17">
        <f t="shared" si="14"/>
        <v>9</v>
      </c>
      <c r="G27" s="17">
        <f t="shared" si="14"/>
        <v>9</v>
      </c>
      <c r="H27" s="17">
        <v>0</v>
      </c>
      <c r="J27" s="19">
        <f t="shared" si="13"/>
        <v>45</v>
      </c>
    </row>
    <row r="28" spans="1:15">
      <c r="A28" s="1" t="s">
        <v>26</v>
      </c>
      <c r="B28" s="3">
        <f>'Data Input &amp; Totals'!B8</f>
        <v>36.15</v>
      </c>
      <c r="C28" s="17">
        <f t="shared" ref="C28:G30" si="15">$B28</f>
        <v>36.15</v>
      </c>
      <c r="D28" s="17">
        <f t="shared" si="15"/>
        <v>36.15</v>
      </c>
      <c r="E28" s="17">
        <f t="shared" si="15"/>
        <v>36.15</v>
      </c>
      <c r="F28" s="17">
        <f t="shared" si="15"/>
        <v>36.15</v>
      </c>
      <c r="G28" s="17">
        <f t="shared" si="15"/>
        <v>36.15</v>
      </c>
      <c r="H28" s="17">
        <v>0</v>
      </c>
      <c r="J28" s="19">
        <f t="shared" si="13"/>
        <v>180.75</v>
      </c>
    </row>
    <row r="29" spans="1:15">
      <c r="A29" s="1" t="s">
        <v>27</v>
      </c>
      <c r="B29" s="3">
        <f>'Data Input &amp; Totals'!B9</f>
        <v>7.02</v>
      </c>
      <c r="C29" s="17">
        <f t="shared" si="15"/>
        <v>7.02</v>
      </c>
      <c r="D29" s="17">
        <f t="shared" si="15"/>
        <v>7.02</v>
      </c>
      <c r="E29" s="17">
        <f t="shared" si="15"/>
        <v>7.02</v>
      </c>
      <c r="F29" s="17">
        <f t="shared" si="15"/>
        <v>7.02</v>
      </c>
      <c r="G29" s="17">
        <f t="shared" si="15"/>
        <v>7.02</v>
      </c>
      <c r="H29" s="17">
        <v>0</v>
      </c>
      <c r="J29" s="19">
        <f t="shared" si="13"/>
        <v>35.099999999999994</v>
      </c>
    </row>
    <row r="30" spans="1:15">
      <c r="A30" s="1" t="s">
        <v>28</v>
      </c>
      <c r="B30" s="3">
        <f>'Data Input &amp; Totals'!B10</f>
        <v>10.88</v>
      </c>
      <c r="C30" s="20">
        <f t="shared" si="15"/>
        <v>10.88</v>
      </c>
      <c r="D30" s="20">
        <f t="shared" si="15"/>
        <v>10.88</v>
      </c>
      <c r="E30" s="20">
        <f t="shared" si="15"/>
        <v>10.88</v>
      </c>
      <c r="F30" s="20">
        <f t="shared" si="15"/>
        <v>10.88</v>
      </c>
      <c r="G30" s="20">
        <f t="shared" si="15"/>
        <v>10.88</v>
      </c>
      <c r="H30" s="20">
        <v>0</v>
      </c>
      <c r="J30" s="21">
        <f t="shared" si="13"/>
        <v>54.400000000000006</v>
      </c>
    </row>
    <row r="31" spans="1:15">
      <c r="A31" s="13" t="s">
        <v>0</v>
      </c>
      <c r="C31" s="16">
        <f>SUM(C25:C30)</f>
        <v>1406.0500000000002</v>
      </c>
      <c r="D31" s="16">
        <f t="shared" ref="D31:H31" si="16">(D25*6)+(D26*6)+SUM(D27:D30)*12</f>
        <v>18993.75</v>
      </c>
      <c r="E31" s="16">
        <f t="shared" si="16"/>
        <v>18993.75</v>
      </c>
      <c r="F31" s="16">
        <f t="shared" si="16"/>
        <v>2856.6</v>
      </c>
      <c r="G31" s="16">
        <f t="shared" ref="G31" si="17">(G25*6)+(G26*6)+SUM(G27:G30)*12</f>
        <v>12687.9</v>
      </c>
      <c r="H31" s="16">
        <f t="shared" si="16"/>
        <v>0</v>
      </c>
      <c r="J31" s="19">
        <f t="shared" ref="J31:J33" si="18">SUM(C31:H31)</f>
        <v>54938.05</v>
      </c>
    </row>
    <row r="32" spans="1:15">
      <c r="J32" s="19"/>
    </row>
    <row r="33" spans="1:10">
      <c r="A33" s="13" t="s">
        <v>19</v>
      </c>
      <c r="C33" s="19">
        <f>C18+C21+C22+C31</f>
        <v>16658.058540999999</v>
      </c>
      <c r="D33" s="19">
        <f t="shared" ref="D33:H33" si="19">D18+D21+D22+D31</f>
        <v>121579.92337199999</v>
      </c>
      <c r="E33" s="19">
        <f t="shared" si="19"/>
        <v>79041.367400000017</v>
      </c>
      <c r="F33" s="19">
        <f t="shared" si="19"/>
        <v>56100.591200000003</v>
      </c>
      <c r="G33" s="19">
        <f t="shared" ref="G33" si="20">G18+G21+G22+G31</f>
        <v>53854.7716</v>
      </c>
      <c r="H33" s="19">
        <f t="shared" si="19"/>
        <v>12017.270920000001</v>
      </c>
      <c r="J33" s="19">
        <f t="shared" si="18"/>
        <v>339251.98303299997</v>
      </c>
    </row>
  </sheetData>
  <mergeCells count="6">
    <mergeCell ref="H3:H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H10" sqref="H10:H34"/>
    </sheetView>
  </sheetViews>
  <sheetFormatPr defaultRowHeight="12.75"/>
  <cols>
    <col min="1" max="1" width="27.42578125" style="1" customWidth="1"/>
    <col min="2" max="2" width="10.42578125" style="1" customWidth="1"/>
    <col min="3" max="3" width="11.140625" style="1" bestFit="1" customWidth="1"/>
    <col min="4" max="4" width="11.5703125" style="1" customWidth="1"/>
    <col min="5" max="6" width="9.140625" style="1"/>
    <col min="7" max="7" width="2.28515625" style="1" customWidth="1"/>
    <col min="8" max="8" width="13.140625" style="1" customWidth="1"/>
    <col min="9" max="16384" width="9.140625" style="1"/>
  </cols>
  <sheetData>
    <row r="1" spans="1:9" ht="15" customHeight="1">
      <c r="B1" s="2"/>
    </row>
    <row r="2" spans="1:9" ht="15" customHeight="1">
      <c r="B2" s="10" t="str">
        <f>Admin!B2</f>
        <v>2021</v>
      </c>
      <c r="H2" s="10" t="str">
        <f>B2</f>
        <v>2021</v>
      </c>
    </row>
    <row r="3" spans="1:9">
      <c r="A3" s="5"/>
      <c r="B3" s="6" t="s">
        <v>17</v>
      </c>
      <c r="C3" s="67">
        <v>191</v>
      </c>
      <c r="D3" s="67">
        <v>209</v>
      </c>
      <c r="E3" s="67">
        <v>181</v>
      </c>
      <c r="F3" s="67">
        <v>115</v>
      </c>
      <c r="H3" s="5" t="s">
        <v>31</v>
      </c>
    </row>
    <row r="4" spans="1:9">
      <c r="A4" s="7" t="s">
        <v>12</v>
      </c>
      <c r="B4" s="8" t="s">
        <v>18</v>
      </c>
      <c r="C4" s="68"/>
      <c r="D4" s="68"/>
      <c r="E4" s="68"/>
      <c r="F4" s="68"/>
      <c r="G4" s="14"/>
      <c r="H4" s="7" t="s">
        <v>30</v>
      </c>
    </row>
    <row r="6" spans="1:9">
      <c r="A6" s="1" t="s">
        <v>70</v>
      </c>
      <c r="C6" s="25">
        <v>19.43</v>
      </c>
      <c r="D6" s="25">
        <v>15.5</v>
      </c>
      <c r="E6" s="25">
        <v>20.6</v>
      </c>
      <c r="F6" s="25">
        <v>20.7</v>
      </c>
    </row>
    <row r="7" spans="1:9">
      <c r="A7" s="1" t="s">
        <v>20</v>
      </c>
      <c r="B7" s="11">
        <f>'Data Input &amp; Totals'!$B$3</f>
        <v>1.4999999999999999E-2</v>
      </c>
      <c r="C7" s="3">
        <f>C6*$B$7</f>
        <v>0.29144999999999999</v>
      </c>
      <c r="D7" s="3">
        <f t="shared" ref="D7:E7" si="0">D6*$B$7</f>
        <v>0.23249999999999998</v>
      </c>
      <c r="E7" s="3">
        <f t="shared" si="0"/>
        <v>0.309</v>
      </c>
      <c r="F7" s="3">
        <v>0</v>
      </c>
    </row>
    <row r="8" spans="1:9">
      <c r="A8" s="1" t="s">
        <v>4</v>
      </c>
      <c r="C8" s="47">
        <v>0</v>
      </c>
      <c r="D8" s="47">
        <v>0.5</v>
      </c>
      <c r="E8" s="47">
        <v>0</v>
      </c>
      <c r="F8" s="47">
        <v>0</v>
      </c>
      <c r="H8" s="14"/>
    </row>
    <row r="9" spans="1:9">
      <c r="A9" s="13" t="s">
        <v>68</v>
      </c>
      <c r="C9" s="15">
        <f>SUM(C6:C8)</f>
        <v>19.721450000000001</v>
      </c>
      <c r="D9" s="15">
        <f t="shared" ref="D9:F9" si="1">SUM(D6:D8)</f>
        <v>16.232500000000002</v>
      </c>
      <c r="E9" s="15">
        <f t="shared" si="1"/>
        <v>20.909000000000002</v>
      </c>
      <c r="F9" s="15">
        <f t="shared" si="1"/>
        <v>20.7</v>
      </c>
      <c r="H9" s="15">
        <f>AVERAGE(C9:G9)</f>
        <v>19.390737500000004</v>
      </c>
      <c r="I9" s="1" t="s">
        <v>65</v>
      </c>
    </row>
    <row r="10" spans="1:9">
      <c r="A10" s="13" t="s">
        <v>69</v>
      </c>
      <c r="C10" s="16">
        <f>C9*40*52</f>
        <v>41020.616000000002</v>
      </c>
      <c r="D10" s="16">
        <f>D9*40*52</f>
        <v>33763.600000000006</v>
      </c>
      <c r="E10" s="16">
        <f t="shared" ref="E10:F10" si="2">E9*40*52</f>
        <v>43490.720000000008</v>
      </c>
      <c r="F10" s="16">
        <f t="shared" si="2"/>
        <v>43056</v>
      </c>
      <c r="H10" s="19">
        <f>SUM(C10:F10)</f>
        <v>161330.93600000002</v>
      </c>
    </row>
    <row r="11" spans="1:9">
      <c r="C11" s="3"/>
    </row>
    <row r="12" spans="1:9">
      <c r="A12" s="1" t="s">
        <v>23</v>
      </c>
      <c r="B12" s="24">
        <v>7</v>
      </c>
    </row>
    <row r="13" spans="1:9">
      <c r="A13" s="1" t="s">
        <v>21</v>
      </c>
      <c r="C13" s="23">
        <v>0</v>
      </c>
      <c r="D13" s="23">
        <v>14</v>
      </c>
      <c r="E13" s="23">
        <v>70.5</v>
      </c>
      <c r="F13" s="23">
        <v>18</v>
      </c>
      <c r="H13" s="28">
        <f t="shared" ref="H13:H14" si="3">SUM(C13:F13)</f>
        <v>102.5</v>
      </c>
    </row>
    <row r="14" spans="1:9">
      <c r="A14" s="1" t="s">
        <v>32</v>
      </c>
      <c r="C14" s="4">
        <f>C13/$B$12*12</f>
        <v>0</v>
      </c>
      <c r="D14" s="4">
        <f t="shared" ref="D14:F14" si="4">D13/$B$12*12</f>
        <v>24</v>
      </c>
      <c r="E14" s="4">
        <f t="shared" si="4"/>
        <v>120.85714285714286</v>
      </c>
      <c r="F14" s="4">
        <f t="shared" si="4"/>
        <v>30.857142857142861</v>
      </c>
      <c r="H14" s="28">
        <f t="shared" si="3"/>
        <v>175.71428571428572</v>
      </c>
    </row>
    <row r="15" spans="1:9">
      <c r="A15" s="1" t="s">
        <v>5</v>
      </c>
      <c r="C15" s="17">
        <f>C14*C9*1.5</f>
        <v>0</v>
      </c>
      <c r="D15" s="17">
        <f t="shared" ref="D15:F15" si="5">D14*D9*1.5</f>
        <v>584.37000000000012</v>
      </c>
      <c r="E15" s="17">
        <f t="shared" si="5"/>
        <v>3790.5030000000006</v>
      </c>
      <c r="F15" s="17">
        <f t="shared" si="5"/>
        <v>958.11428571428587</v>
      </c>
      <c r="H15" s="19">
        <f>SUM(C15:F15)</f>
        <v>5332.9872857142864</v>
      </c>
    </row>
    <row r="16" spans="1:9">
      <c r="A16" s="1" t="s">
        <v>6</v>
      </c>
      <c r="C16" s="18">
        <f>C9*40</f>
        <v>788.85800000000006</v>
      </c>
      <c r="D16" s="18">
        <v>0</v>
      </c>
      <c r="E16" s="18">
        <f t="shared" ref="E16:F16" si="6">E9*40</f>
        <v>836.36000000000013</v>
      </c>
      <c r="F16" s="18">
        <f t="shared" si="6"/>
        <v>828</v>
      </c>
      <c r="H16" s="19">
        <f t="shared" ref="H16:H18" si="7">SUM(C16:F16)</f>
        <v>2453.2180000000003</v>
      </c>
    </row>
    <row r="17" spans="1:8">
      <c r="A17" s="1" t="s">
        <v>7</v>
      </c>
      <c r="C17" s="20">
        <v>500</v>
      </c>
      <c r="D17" s="20">
        <v>500</v>
      </c>
      <c r="E17" s="20">
        <v>500</v>
      </c>
      <c r="F17" s="20">
        <v>500</v>
      </c>
      <c r="H17" s="21">
        <f t="shared" si="7"/>
        <v>2000</v>
      </c>
    </row>
    <row r="18" spans="1:8">
      <c r="A18" s="13" t="s">
        <v>8</v>
      </c>
      <c r="C18" s="19">
        <f>C10+C15+C16+C17</f>
        <v>42309.474000000002</v>
      </c>
      <c r="D18" s="19">
        <f t="shared" ref="D18:F18" si="8">D10+D15+D16+D17</f>
        <v>34847.970000000008</v>
      </c>
      <c r="E18" s="19">
        <f t="shared" si="8"/>
        <v>48617.583000000013</v>
      </c>
      <c r="F18" s="19">
        <f t="shared" si="8"/>
        <v>45342.114285714284</v>
      </c>
      <c r="H18" s="19">
        <f t="shared" si="7"/>
        <v>171117.14128571432</v>
      </c>
    </row>
    <row r="20" spans="1:8">
      <c r="A20" s="12" t="s">
        <v>29</v>
      </c>
    </row>
    <row r="21" spans="1:8">
      <c r="A21" s="1" t="s">
        <v>9</v>
      </c>
      <c r="B21" s="11">
        <f>'Data Input &amp; Totals'!$B$4</f>
        <v>7.6499999999999999E-2</v>
      </c>
      <c r="C21" s="16">
        <f>C18*$B$21</f>
        <v>3236.6747610000002</v>
      </c>
      <c r="D21" s="16">
        <f t="shared" ref="D21:F21" si="9">D18*$B$21</f>
        <v>2665.8697050000005</v>
      </c>
      <c r="E21" s="16">
        <f t="shared" si="9"/>
        <v>3719.2450995000008</v>
      </c>
      <c r="F21" s="16">
        <f t="shared" si="9"/>
        <v>3468.6717428571428</v>
      </c>
      <c r="H21" s="19">
        <f t="shared" ref="H21:H22" si="10">SUM(C21:F21)</f>
        <v>13090.461308357146</v>
      </c>
    </row>
    <row r="22" spans="1:8">
      <c r="A22" s="1" t="s">
        <v>10</v>
      </c>
      <c r="B22" s="11">
        <f>'Data Input &amp; Totals'!$B$5</f>
        <v>0.26950000000000002</v>
      </c>
      <c r="C22" s="16">
        <f>C18*$B$22</f>
        <v>11402.403243000001</v>
      </c>
      <c r="D22" s="16">
        <f>D18*$B$22</f>
        <v>9391.5279150000024</v>
      </c>
      <c r="E22" s="16">
        <f>E18*$B$22</f>
        <v>13102.438618500004</v>
      </c>
      <c r="F22" s="16">
        <f>F18*$B$22</f>
        <v>12219.6998</v>
      </c>
      <c r="H22" s="19">
        <f t="shared" si="10"/>
        <v>46116.069576500013</v>
      </c>
    </row>
    <row r="23" spans="1:8">
      <c r="B23" s="11"/>
      <c r="C23" s="17"/>
      <c r="D23" s="17"/>
      <c r="E23" s="17"/>
      <c r="F23" s="17"/>
    </row>
    <row r="24" spans="1:8">
      <c r="A24" s="12" t="s">
        <v>11</v>
      </c>
      <c r="B24" s="11"/>
      <c r="C24" s="17"/>
      <c r="D24" s="17"/>
      <c r="E24" s="17"/>
      <c r="F24" s="17"/>
    </row>
    <row r="25" spans="1:8">
      <c r="A25" s="1" t="s">
        <v>25</v>
      </c>
      <c r="C25" s="26">
        <v>1343</v>
      </c>
      <c r="D25" s="26">
        <v>1501</v>
      </c>
      <c r="E25" s="26">
        <v>1501</v>
      </c>
      <c r="F25" s="26">
        <v>1343</v>
      </c>
      <c r="H25" s="19">
        <f>SUM(C25:F25)</f>
        <v>5688</v>
      </c>
    </row>
    <row r="26" spans="1:8">
      <c r="A26" s="1" t="s">
        <v>24</v>
      </c>
      <c r="B26" s="11">
        <f>'Data Input &amp; Totals'!$B$6</f>
        <v>2.5000000000000001E-2</v>
      </c>
      <c r="C26" s="17">
        <f>C25*(1+$B$26)</f>
        <v>1376.5749999999998</v>
      </c>
      <c r="D26" s="17">
        <f>D25*(1+$B$26)</f>
        <v>1538.5249999999999</v>
      </c>
      <c r="E26" s="17">
        <f>E25*(1+$B$26)</f>
        <v>1538.5249999999999</v>
      </c>
      <c r="F26" s="17">
        <f>F25*(1+$B$26)</f>
        <v>1376.5749999999998</v>
      </c>
      <c r="H26" s="19">
        <f t="shared" ref="H26:H30" si="11">SUM(C26:F26)</f>
        <v>5830.1999999999989</v>
      </c>
    </row>
    <row r="27" spans="1:8">
      <c r="A27" s="1" t="s">
        <v>16</v>
      </c>
      <c r="B27" s="3">
        <f>'Data Input &amp; Totals'!B7</f>
        <v>9</v>
      </c>
      <c r="C27" s="17">
        <f>$B27</f>
        <v>9</v>
      </c>
      <c r="D27" s="17">
        <f t="shared" ref="D27:F27" si="12">$B27</f>
        <v>9</v>
      </c>
      <c r="E27" s="17">
        <f t="shared" si="12"/>
        <v>9</v>
      </c>
      <c r="F27" s="17">
        <f t="shared" si="12"/>
        <v>9</v>
      </c>
      <c r="H27" s="19">
        <f t="shared" si="11"/>
        <v>36</v>
      </c>
    </row>
    <row r="28" spans="1:8">
      <c r="A28" s="1" t="s">
        <v>26</v>
      </c>
      <c r="B28" s="3">
        <f>'Data Input &amp; Totals'!B8</f>
        <v>36.15</v>
      </c>
      <c r="C28" s="17">
        <f t="shared" ref="C28:F30" si="13">$B28</f>
        <v>36.15</v>
      </c>
      <c r="D28" s="17">
        <f t="shared" si="13"/>
        <v>36.15</v>
      </c>
      <c r="E28" s="17">
        <f t="shared" si="13"/>
        <v>36.15</v>
      </c>
      <c r="F28" s="17">
        <f t="shared" si="13"/>
        <v>36.15</v>
      </c>
      <c r="H28" s="19">
        <f t="shared" si="11"/>
        <v>144.6</v>
      </c>
    </row>
    <row r="29" spans="1:8">
      <c r="A29" s="1" t="s">
        <v>27</v>
      </c>
      <c r="B29" s="3">
        <f>'Data Input &amp; Totals'!B9</f>
        <v>7.02</v>
      </c>
      <c r="C29" s="17">
        <f t="shared" si="13"/>
        <v>7.02</v>
      </c>
      <c r="D29" s="17">
        <f t="shared" si="13"/>
        <v>7.02</v>
      </c>
      <c r="E29" s="17">
        <f t="shared" si="13"/>
        <v>7.02</v>
      </c>
      <c r="F29" s="17">
        <f t="shared" si="13"/>
        <v>7.02</v>
      </c>
      <c r="H29" s="19">
        <f t="shared" si="11"/>
        <v>28.08</v>
      </c>
    </row>
    <row r="30" spans="1:8">
      <c r="A30" s="1" t="s">
        <v>28</v>
      </c>
      <c r="B30" s="3">
        <f>'Data Input &amp; Totals'!B10</f>
        <v>10.88</v>
      </c>
      <c r="C30" s="20">
        <f t="shared" si="13"/>
        <v>10.88</v>
      </c>
      <c r="D30" s="20">
        <f t="shared" si="13"/>
        <v>10.88</v>
      </c>
      <c r="E30" s="20">
        <f t="shared" si="13"/>
        <v>10.88</v>
      </c>
      <c r="F30" s="20">
        <f t="shared" si="13"/>
        <v>10.88</v>
      </c>
      <c r="H30" s="21">
        <f t="shared" si="11"/>
        <v>43.52</v>
      </c>
    </row>
    <row r="31" spans="1:8">
      <c r="A31" s="13" t="s">
        <v>0</v>
      </c>
      <c r="C31" s="16">
        <f>(C25*6)+(C26*6)+SUM(C27:C30)*12</f>
        <v>17074.05</v>
      </c>
      <c r="D31" s="16">
        <f t="shared" ref="D31:F31" si="14">(D25*6)+(D26*6)+SUM(D27:D30)*12</f>
        <v>18993.75</v>
      </c>
      <c r="E31" s="16">
        <f t="shared" si="14"/>
        <v>18993.75</v>
      </c>
      <c r="F31" s="16">
        <f t="shared" si="14"/>
        <v>17074.05</v>
      </c>
      <c r="H31" s="19">
        <f t="shared" ref="H31:H33" si="15">SUM(C31:F31)</f>
        <v>72135.600000000006</v>
      </c>
    </row>
    <row r="32" spans="1:8">
      <c r="H32" s="19"/>
    </row>
    <row r="33" spans="1:8">
      <c r="A33" s="13" t="s">
        <v>19</v>
      </c>
      <c r="C33" s="19">
        <f>C18+C21+C22+C31</f>
        <v>74022.602004</v>
      </c>
      <c r="D33" s="19">
        <f t="shared" ref="D33:F33" si="16">D18+D21+D22+D31</f>
        <v>65899.117620000005</v>
      </c>
      <c r="E33" s="19">
        <f t="shared" si="16"/>
        <v>84433.016718000028</v>
      </c>
      <c r="F33" s="19">
        <f t="shared" si="16"/>
        <v>78104.535828571432</v>
      </c>
      <c r="H33" s="19">
        <f t="shared" si="15"/>
        <v>302459.27217057149</v>
      </c>
    </row>
  </sheetData>
  <mergeCells count="4">
    <mergeCell ref="C3:C4"/>
    <mergeCell ref="D3:D4"/>
    <mergeCell ref="E3:E4"/>
    <mergeCell ref="F3:F4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G10" sqref="G10:G33"/>
    </sheetView>
  </sheetViews>
  <sheetFormatPr defaultRowHeight="12.75"/>
  <cols>
    <col min="1" max="1" width="27.42578125" style="1" customWidth="1"/>
    <col min="2" max="2" width="10.42578125" style="1" customWidth="1"/>
    <col min="3" max="3" width="11.140625" style="1" bestFit="1" customWidth="1"/>
    <col min="4" max="4" width="11.5703125" style="1" customWidth="1"/>
    <col min="5" max="5" width="10" style="1" bestFit="1" customWidth="1"/>
    <col min="6" max="6" width="2.28515625" style="1" customWidth="1"/>
    <col min="7" max="7" width="13.140625" style="1" customWidth="1"/>
    <col min="8" max="16384" width="9.140625" style="1"/>
  </cols>
  <sheetData>
    <row r="1" spans="1:7" ht="15" customHeight="1">
      <c r="B1" s="2"/>
    </row>
    <row r="2" spans="1:7" ht="15" customHeight="1">
      <c r="B2" s="10" t="str">
        <f>Admin!B2</f>
        <v>2021</v>
      </c>
      <c r="G2" s="10" t="str">
        <f>B2</f>
        <v>2021</v>
      </c>
    </row>
    <row r="3" spans="1:7">
      <c r="A3" s="5"/>
      <c r="B3" s="6" t="s">
        <v>17</v>
      </c>
      <c r="C3" s="67">
        <v>205</v>
      </c>
      <c r="D3" s="67">
        <v>202</v>
      </c>
      <c r="E3" s="67">
        <v>199</v>
      </c>
      <c r="G3" s="5" t="s">
        <v>31</v>
      </c>
    </row>
    <row r="4" spans="1:7">
      <c r="A4" s="7" t="s">
        <v>12</v>
      </c>
      <c r="B4" s="8" t="s">
        <v>18</v>
      </c>
      <c r="C4" s="68"/>
      <c r="D4" s="68"/>
      <c r="E4" s="68"/>
      <c r="F4" s="14"/>
      <c r="G4" s="7" t="s">
        <v>30</v>
      </c>
    </row>
    <row r="6" spans="1:7">
      <c r="A6" s="1" t="s">
        <v>70</v>
      </c>
      <c r="C6" s="25">
        <v>15.11</v>
      </c>
      <c r="D6" s="25">
        <v>21.01</v>
      </c>
      <c r="E6" s="25">
        <v>17.75</v>
      </c>
    </row>
    <row r="7" spans="1:7">
      <c r="A7" s="1" t="s">
        <v>20</v>
      </c>
      <c r="B7" s="11">
        <f>'Data Input &amp; Totals'!$B$3</f>
        <v>1.4999999999999999E-2</v>
      </c>
      <c r="C7" s="3">
        <f>C6*$B$7</f>
        <v>0.22664999999999999</v>
      </c>
      <c r="D7" s="3">
        <f t="shared" ref="D7:E7" si="0">D6*$B$7</f>
        <v>0.31514999999999999</v>
      </c>
      <c r="E7" s="3">
        <f t="shared" si="0"/>
        <v>0.26624999999999999</v>
      </c>
    </row>
    <row r="8" spans="1:7">
      <c r="A8" s="1" t="s">
        <v>4</v>
      </c>
      <c r="C8" s="47">
        <v>0.5</v>
      </c>
      <c r="D8" s="47">
        <v>0</v>
      </c>
      <c r="E8" s="47">
        <v>0</v>
      </c>
      <c r="G8" s="14"/>
    </row>
    <row r="9" spans="1:7">
      <c r="A9" s="13" t="s">
        <v>68</v>
      </c>
      <c r="C9" s="15">
        <f>SUM(C6:C8)</f>
        <v>15.836649999999999</v>
      </c>
      <c r="D9" s="15">
        <f t="shared" ref="D9:E9" si="1">SUM(D6:D8)</f>
        <v>21.325150000000001</v>
      </c>
      <c r="E9" s="15">
        <f t="shared" si="1"/>
        <v>18.016249999999999</v>
      </c>
    </row>
    <row r="10" spans="1:7">
      <c r="A10" s="13" t="s">
        <v>69</v>
      </c>
      <c r="C10" s="16">
        <f>C9*40*52</f>
        <v>32940.231999999996</v>
      </c>
      <c r="D10" s="16">
        <f>D9*40*52</f>
        <v>44356.312000000005</v>
      </c>
      <c r="E10" s="16">
        <f t="shared" ref="E10" si="2">E9*40*52</f>
        <v>37473.799999999996</v>
      </c>
      <c r="G10" s="19">
        <f>SUM(C10:E10)</f>
        <v>114770.34399999998</v>
      </c>
    </row>
    <row r="11" spans="1:7">
      <c r="C11" s="3"/>
    </row>
    <row r="12" spans="1:7">
      <c r="A12" s="1" t="s">
        <v>23</v>
      </c>
      <c r="B12" s="24">
        <v>7</v>
      </c>
    </row>
    <row r="13" spans="1:7">
      <c r="A13" s="1" t="s">
        <v>21</v>
      </c>
      <c r="C13" s="23">
        <v>0</v>
      </c>
      <c r="D13" s="23">
        <v>0</v>
      </c>
      <c r="E13" s="23">
        <v>0</v>
      </c>
    </row>
    <row r="14" spans="1:7">
      <c r="A14" s="1" t="s">
        <v>32</v>
      </c>
      <c r="C14" s="4">
        <f>C13/$B$12*12</f>
        <v>0</v>
      </c>
      <c r="D14" s="4">
        <f t="shared" ref="D14:E14" si="3">D13/$B$12*12</f>
        <v>0</v>
      </c>
      <c r="E14" s="4">
        <f t="shared" si="3"/>
        <v>0</v>
      </c>
    </row>
    <row r="15" spans="1:7">
      <c r="A15" s="1" t="s">
        <v>5</v>
      </c>
      <c r="C15" s="17">
        <f>C14*C9*1.5</f>
        <v>0</v>
      </c>
      <c r="D15" s="17">
        <f t="shared" ref="D15:E15" si="4">D14*D9*1.5</f>
        <v>0</v>
      </c>
      <c r="E15" s="17">
        <f t="shared" si="4"/>
        <v>0</v>
      </c>
      <c r="G15" s="19">
        <f>SUM(C15:E15)</f>
        <v>0</v>
      </c>
    </row>
    <row r="16" spans="1:7">
      <c r="A16" s="1" t="s">
        <v>6</v>
      </c>
      <c r="C16" s="18">
        <v>0</v>
      </c>
      <c r="D16" s="18">
        <f>D9*40</f>
        <v>853.00600000000009</v>
      </c>
      <c r="E16" s="18">
        <f>E9*40</f>
        <v>720.65</v>
      </c>
      <c r="G16" s="19">
        <f>SUM(C16:E16)</f>
        <v>1573.6559999999999</v>
      </c>
    </row>
    <row r="17" spans="1:7">
      <c r="A17" s="1" t="s">
        <v>7</v>
      </c>
      <c r="C17" s="20">
        <v>500</v>
      </c>
      <c r="D17" s="20">
        <v>500</v>
      </c>
      <c r="E17" s="20">
        <v>500</v>
      </c>
      <c r="G17" s="21">
        <f>SUM(C17:E17)</f>
        <v>1500</v>
      </c>
    </row>
    <row r="18" spans="1:7">
      <c r="A18" s="13" t="s">
        <v>8</v>
      </c>
      <c r="C18" s="19">
        <f>C10+C15+C16+C17</f>
        <v>33440.231999999996</v>
      </c>
      <c r="D18" s="19">
        <f t="shared" ref="D18:E18" si="5">D10+D15+D16+D17</f>
        <v>45709.318000000007</v>
      </c>
      <c r="E18" s="19">
        <f t="shared" si="5"/>
        <v>38694.449999999997</v>
      </c>
      <c r="G18" s="19">
        <f>SUM(C18:E18)</f>
        <v>117844</v>
      </c>
    </row>
    <row r="20" spans="1:7">
      <c r="A20" s="12" t="s">
        <v>29</v>
      </c>
    </row>
    <row r="21" spans="1:7">
      <c r="A21" s="1" t="s">
        <v>9</v>
      </c>
      <c r="B21" s="11">
        <f>'Data Input &amp; Totals'!$B$4</f>
        <v>7.6499999999999999E-2</v>
      </c>
      <c r="C21" s="16">
        <f>C18*$B$21</f>
        <v>2558.1777479999996</v>
      </c>
      <c r="D21" s="16">
        <f t="shared" ref="D21:E21" si="6">D18*$B$21</f>
        <v>3496.7628270000005</v>
      </c>
      <c r="E21" s="16">
        <f t="shared" si="6"/>
        <v>2960.1254249999997</v>
      </c>
      <c r="G21" s="19">
        <f>SUM(C21:E21)</f>
        <v>9015.0660000000007</v>
      </c>
    </row>
    <row r="22" spans="1:7">
      <c r="A22" s="1" t="s">
        <v>10</v>
      </c>
      <c r="B22" s="11">
        <f>'Data Input &amp; Totals'!$B$5</f>
        <v>0.26950000000000002</v>
      </c>
      <c r="C22" s="16">
        <f>C18*$B$22</f>
        <v>9012.142523999999</v>
      </c>
      <c r="D22" s="16">
        <f>D18*$B$22</f>
        <v>12318.661201000003</v>
      </c>
      <c r="E22" s="16">
        <f>E18*$B$22</f>
        <v>10428.154275000001</v>
      </c>
      <c r="G22" s="19">
        <f>SUM(C22:E22)</f>
        <v>31758.958000000002</v>
      </c>
    </row>
    <row r="23" spans="1:7">
      <c r="B23" s="11"/>
      <c r="C23" s="17"/>
      <c r="D23" s="17"/>
      <c r="E23" s="17"/>
    </row>
    <row r="24" spans="1:7">
      <c r="A24" s="12" t="s">
        <v>11</v>
      </c>
      <c r="B24" s="11"/>
      <c r="C24" s="17"/>
      <c r="D24" s="17"/>
      <c r="E24" s="17"/>
    </row>
    <row r="25" spans="1:7">
      <c r="A25" s="1" t="s">
        <v>25</v>
      </c>
      <c r="C25" s="26">
        <v>1501</v>
      </c>
      <c r="D25" s="26">
        <v>711</v>
      </c>
      <c r="E25" s="26">
        <v>1343</v>
      </c>
      <c r="G25" s="19">
        <f t="shared" ref="G25:G31" si="7">SUM(C25:E25)</f>
        <v>3555</v>
      </c>
    </row>
    <row r="26" spans="1:7">
      <c r="A26" s="1" t="s">
        <v>24</v>
      </c>
      <c r="B26" s="11">
        <f>'Data Input &amp; Totals'!$B$6</f>
        <v>2.5000000000000001E-2</v>
      </c>
      <c r="C26" s="17">
        <f>C25*(1+$B$26)</f>
        <v>1538.5249999999999</v>
      </c>
      <c r="D26" s="17">
        <f t="shared" ref="D26:E26" si="8">D25*(1+$B$26)</f>
        <v>728.77499999999998</v>
      </c>
      <c r="E26" s="17">
        <f t="shared" si="8"/>
        <v>1376.5749999999998</v>
      </c>
      <c r="G26" s="19">
        <f t="shared" si="7"/>
        <v>3643.8749999999995</v>
      </c>
    </row>
    <row r="27" spans="1:7">
      <c r="A27" s="1" t="s">
        <v>16</v>
      </c>
      <c r="B27" s="3">
        <f>'Data Input &amp; Totals'!B7</f>
        <v>9</v>
      </c>
      <c r="C27" s="17">
        <f>$B27</f>
        <v>9</v>
      </c>
      <c r="D27" s="17">
        <f t="shared" ref="D27:E27" si="9">$B27</f>
        <v>9</v>
      </c>
      <c r="E27" s="17">
        <f t="shared" si="9"/>
        <v>9</v>
      </c>
      <c r="G27" s="19">
        <f t="shared" si="7"/>
        <v>27</v>
      </c>
    </row>
    <row r="28" spans="1:7">
      <c r="A28" s="1" t="s">
        <v>26</v>
      </c>
      <c r="B28" s="3">
        <f>'Data Input &amp; Totals'!B8</f>
        <v>36.15</v>
      </c>
      <c r="C28" s="17">
        <f t="shared" ref="C28:E30" si="10">$B28</f>
        <v>36.15</v>
      </c>
      <c r="D28" s="17">
        <f t="shared" si="10"/>
        <v>36.15</v>
      </c>
      <c r="E28" s="17">
        <f t="shared" si="10"/>
        <v>36.15</v>
      </c>
      <c r="G28" s="19">
        <f t="shared" si="7"/>
        <v>108.44999999999999</v>
      </c>
    </row>
    <row r="29" spans="1:7">
      <c r="A29" s="1" t="s">
        <v>27</v>
      </c>
      <c r="B29" s="3">
        <f>'Data Input &amp; Totals'!B9</f>
        <v>7.02</v>
      </c>
      <c r="C29" s="17">
        <f t="shared" si="10"/>
        <v>7.02</v>
      </c>
      <c r="D29" s="17">
        <f t="shared" si="10"/>
        <v>7.02</v>
      </c>
      <c r="E29" s="17">
        <f t="shared" si="10"/>
        <v>7.02</v>
      </c>
      <c r="G29" s="19">
        <f t="shared" si="7"/>
        <v>21.06</v>
      </c>
    </row>
    <row r="30" spans="1:7">
      <c r="A30" s="1" t="s">
        <v>28</v>
      </c>
      <c r="B30" s="3">
        <f>'Data Input &amp; Totals'!B10</f>
        <v>10.88</v>
      </c>
      <c r="C30" s="20">
        <f t="shared" si="10"/>
        <v>10.88</v>
      </c>
      <c r="D30" s="20">
        <f t="shared" si="10"/>
        <v>10.88</v>
      </c>
      <c r="E30" s="20">
        <f t="shared" si="10"/>
        <v>10.88</v>
      </c>
      <c r="G30" s="21">
        <f t="shared" si="7"/>
        <v>32.64</v>
      </c>
    </row>
    <row r="31" spans="1:7">
      <c r="A31" s="13" t="s">
        <v>0</v>
      </c>
      <c r="C31" s="16">
        <f>(C25*6)+(C26*6)+SUM(C27:C30)*12</f>
        <v>18993.75</v>
      </c>
      <c r="D31" s="16">
        <f t="shared" ref="D31:E31" si="11">(D25*6)+(D26*6)+SUM(D27:D30)*12</f>
        <v>9395.25</v>
      </c>
      <c r="E31" s="16">
        <f t="shared" si="11"/>
        <v>17074.05</v>
      </c>
      <c r="G31" s="19">
        <f t="shared" si="7"/>
        <v>45463.05</v>
      </c>
    </row>
    <row r="32" spans="1:7">
      <c r="G32" s="19"/>
    </row>
    <row r="33" spans="1:7">
      <c r="A33" s="13" t="s">
        <v>19</v>
      </c>
      <c r="C33" s="19">
        <f>C18+C21+C22+C31</f>
        <v>64004.302272000001</v>
      </c>
      <c r="D33" s="19">
        <f t="shared" ref="D33:E33" si="12">D18+D21+D22+D31</f>
        <v>70919.992028000008</v>
      </c>
      <c r="E33" s="19">
        <f t="shared" si="12"/>
        <v>69156.779699999999</v>
      </c>
      <c r="G33" s="19">
        <f>SUM(C33:E33)</f>
        <v>204081.07400000002</v>
      </c>
    </row>
  </sheetData>
  <mergeCells count="3">
    <mergeCell ref="C3:C4"/>
    <mergeCell ref="D3:D4"/>
    <mergeCell ref="E3:E4"/>
  </mergeCells>
  <pageMargins left="0.7" right="0.7" top="0.75" bottom="0.75" header="0.3" footer="0.3"/>
  <pageSetup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N11" sqref="N11"/>
    </sheetView>
  </sheetViews>
  <sheetFormatPr defaultRowHeight="12.75"/>
  <cols>
    <col min="1" max="1" width="27.42578125" style="1" customWidth="1"/>
    <col min="2" max="2" width="10.42578125" style="1" customWidth="1"/>
    <col min="3" max="3" width="11.140625" style="1" bestFit="1" customWidth="1"/>
    <col min="4" max="4" width="11.140625" style="1" customWidth="1"/>
    <col min="5" max="5" width="10" style="1" bestFit="1" customWidth="1"/>
    <col min="6" max="6" width="9.140625" style="1"/>
    <col min="7" max="8" width="9.5703125" style="1" customWidth="1"/>
    <col min="9" max="9" width="13.140625" style="1" customWidth="1"/>
    <col min="10" max="10" width="12.5703125" style="17" customWidth="1"/>
    <col min="11" max="11" width="17.5703125" style="1" customWidth="1"/>
    <col min="12" max="16384" width="9.140625" style="1"/>
  </cols>
  <sheetData>
    <row r="1" spans="1:11" ht="15" customHeight="1">
      <c r="B1" s="2"/>
      <c r="I1"/>
    </row>
    <row r="2" spans="1:11" ht="15" customHeight="1">
      <c r="B2" s="10" t="str">
        <f>Admin!B2</f>
        <v>2021</v>
      </c>
      <c r="I2" s="10" t="str">
        <f>B2</f>
        <v>2021</v>
      </c>
      <c r="J2" s="57"/>
      <c r="K2" s="71" t="s">
        <v>83</v>
      </c>
    </row>
    <row r="3" spans="1:11">
      <c r="A3" s="5"/>
      <c r="B3" s="6" t="s">
        <v>17</v>
      </c>
      <c r="C3" s="67">
        <v>188</v>
      </c>
      <c r="D3" s="67">
        <v>206</v>
      </c>
      <c r="E3" s="67">
        <v>189</v>
      </c>
      <c r="F3" s="67">
        <v>192</v>
      </c>
      <c r="G3" s="69">
        <v>173</v>
      </c>
      <c r="H3" s="69">
        <v>208</v>
      </c>
      <c r="I3" s="5" t="s">
        <v>31</v>
      </c>
      <c r="J3" s="58" t="s">
        <v>79</v>
      </c>
      <c r="K3" s="71"/>
    </row>
    <row r="4" spans="1:11">
      <c r="A4" s="7" t="s">
        <v>12</v>
      </c>
      <c r="B4" s="8" t="s">
        <v>18</v>
      </c>
      <c r="C4" s="68"/>
      <c r="D4" s="68"/>
      <c r="E4" s="68"/>
      <c r="F4" s="68"/>
      <c r="G4" s="68"/>
      <c r="H4" s="68"/>
      <c r="I4" s="7" t="s">
        <v>30</v>
      </c>
      <c r="J4" s="31" t="s">
        <v>80</v>
      </c>
      <c r="K4" s="71"/>
    </row>
    <row r="6" spans="1:11">
      <c r="A6" s="1" t="s">
        <v>70</v>
      </c>
      <c r="C6" s="25">
        <v>19.43</v>
      </c>
      <c r="D6" s="25">
        <v>15.75</v>
      </c>
      <c r="E6" s="25">
        <v>19.14</v>
      </c>
      <c r="F6" s="25">
        <v>19.43</v>
      </c>
      <c r="G6" s="25">
        <v>21.25</v>
      </c>
      <c r="H6" s="25">
        <v>19.43</v>
      </c>
    </row>
    <row r="7" spans="1:11">
      <c r="A7" s="1" t="s">
        <v>20</v>
      </c>
      <c r="B7" s="11">
        <f>'Data Input &amp; Totals'!$B$3</f>
        <v>1.4999999999999999E-2</v>
      </c>
      <c r="C7" s="3">
        <f>C6*$B$7</f>
        <v>0.29144999999999999</v>
      </c>
      <c r="D7" s="3">
        <f>D6*$B$7</f>
        <v>0.23624999999999999</v>
      </c>
      <c r="E7" s="3">
        <f t="shared" ref="E7:G7" si="0">E6*$B$7</f>
        <v>0.28710000000000002</v>
      </c>
      <c r="F7" s="3">
        <f t="shared" si="0"/>
        <v>0.29144999999999999</v>
      </c>
      <c r="G7" s="3">
        <f t="shared" si="0"/>
        <v>0.31874999999999998</v>
      </c>
      <c r="H7" s="3">
        <f t="shared" ref="H7" si="1">H6*$B$7</f>
        <v>0.29144999999999999</v>
      </c>
    </row>
    <row r="8" spans="1:11">
      <c r="A8" s="1" t="s">
        <v>4</v>
      </c>
      <c r="C8" s="47">
        <v>0</v>
      </c>
      <c r="D8" s="47">
        <v>0.5</v>
      </c>
      <c r="E8" s="47">
        <v>0</v>
      </c>
      <c r="F8" s="47">
        <v>0</v>
      </c>
      <c r="G8" s="47">
        <v>0</v>
      </c>
      <c r="H8" s="47">
        <v>0</v>
      </c>
      <c r="I8" s="14"/>
    </row>
    <row r="9" spans="1:11">
      <c r="A9" s="13" t="s">
        <v>68</v>
      </c>
      <c r="C9" s="15">
        <f>SUM(C6:C8)</f>
        <v>19.721450000000001</v>
      </c>
      <c r="D9" s="15">
        <f>SUM(D6:D8)</f>
        <v>16.486249999999998</v>
      </c>
      <c r="E9" s="15">
        <f t="shared" ref="E9:G9" si="2">SUM(E6:E8)</f>
        <v>19.427099999999999</v>
      </c>
      <c r="F9" s="15">
        <f t="shared" si="2"/>
        <v>19.721450000000001</v>
      </c>
      <c r="G9" s="15">
        <f t="shared" si="2"/>
        <v>21.568750000000001</v>
      </c>
      <c r="H9" s="15">
        <f t="shared" ref="H9" si="3">SUM(H6:H8)</f>
        <v>19.721450000000001</v>
      </c>
      <c r="I9" s="15">
        <f>AVERAGE(C9:H9)</f>
        <v>19.441075000000001</v>
      </c>
      <c r="J9" s="17">
        <v>18</v>
      </c>
    </row>
    <row r="10" spans="1:11">
      <c r="A10" s="13" t="s">
        <v>69</v>
      </c>
      <c r="C10" s="16">
        <f>C9*40*52</f>
        <v>41020.616000000002</v>
      </c>
      <c r="D10" s="16">
        <f>D9*40*52</f>
        <v>34291.399999999994</v>
      </c>
      <c r="E10" s="16">
        <f t="shared" ref="E10:G10" si="4">E9*40*52</f>
        <v>40408.367999999995</v>
      </c>
      <c r="F10" s="16">
        <f t="shared" si="4"/>
        <v>41020.616000000002</v>
      </c>
      <c r="G10" s="16">
        <f t="shared" si="4"/>
        <v>44863</v>
      </c>
      <c r="H10" s="16">
        <f t="shared" ref="H10" si="5">H9*40*52</f>
        <v>41020.616000000002</v>
      </c>
      <c r="I10" s="19">
        <f>SUM(C10:H10)</f>
        <v>242624.61600000001</v>
      </c>
      <c r="J10" s="16">
        <f>J9*2080</f>
        <v>37440</v>
      </c>
      <c r="K10" s="19">
        <f>I10+J10</f>
        <v>280064.61600000004</v>
      </c>
    </row>
    <row r="11" spans="1:11">
      <c r="C11" s="3"/>
      <c r="D11" s="3"/>
      <c r="J11" s="16"/>
      <c r="K11" s="12"/>
    </row>
    <row r="12" spans="1:11">
      <c r="A12" s="1" t="s">
        <v>23</v>
      </c>
      <c r="B12" s="24">
        <v>7</v>
      </c>
      <c r="C12" s="46"/>
      <c r="D12" s="46"/>
      <c r="E12" s="46"/>
      <c r="J12" s="59"/>
    </row>
    <row r="13" spans="1:11">
      <c r="A13" s="1" t="s">
        <v>21</v>
      </c>
      <c r="C13" s="23">
        <v>118</v>
      </c>
      <c r="D13" s="23">
        <v>100</v>
      </c>
      <c r="E13" s="23">
        <v>149.5</v>
      </c>
      <c r="F13" s="23">
        <v>141.5</v>
      </c>
      <c r="G13" s="23">
        <v>128.44999999999999</v>
      </c>
      <c r="H13" s="45">
        <v>134.5</v>
      </c>
      <c r="I13" s="29">
        <f>SUM(C13:H13)</f>
        <v>771.95</v>
      </c>
      <c r="K13" s="46"/>
    </row>
    <row r="14" spans="1:11">
      <c r="A14" s="1" t="s">
        <v>32</v>
      </c>
      <c r="C14" s="4">
        <f>C13/$B$12*12</f>
        <v>202.28571428571428</v>
      </c>
      <c r="D14" s="4">
        <f>D13/$B$12*12</f>
        <v>171.42857142857144</v>
      </c>
      <c r="E14" s="4">
        <f t="shared" ref="E14:G14" si="6">E13/$B$12*12</f>
        <v>256.28571428571428</v>
      </c>
      <c r="F14" s="4">
        <f t="shared" si="6"/>
        <v>242.57142857142858</v>
      </c>
      <c r="G14" s="4">
        <f t="shared" si="6"/>
        <v>220.2</v>
      </c>
      <c r="H14" s="4">
        <f t="shared" ref="H14" si="7">H13/$B$12*12</f>
        <v>230.57142857142858</v>
      </c>
      <c r="I14" s="29">
        <f>SUM(C14:H14)</f>
        <v>1323.3428571428572</v>
      </c>
      <c r="J14" s="17">
        <v>150</v>
      </c>
      <c r="K14" s="18">
        <f t="shared" ref="K14:K18" si="8">I14+J14</f>
        <v>1473.3428571428572</v>
      </c>
    </row>
    <row r="15" spans="1:11">
      <c r="A15" s="1" t="s">
        <v>5</v>
      </c>
      <c r="C15" s="17">
        <f>C14*C9*1.5</f>
        <v>5984.0514000000003</v>
      </c>
      <c r="D15" s="17">
        <f>D14*D9*1.5</f>
        <v>4239.3214285714284</v>
      </c>
      <c r="E15" s="17">
        <f t="shared" ref="E15:G15" si="9">E14*E9*1.5</f>
        <v>7468.3322999999991</v>
      </c>
      <c r="F15" s="17">
        <f t="shared" si="9"/>
        <v>7175.7904500000004</v>
      </c>
      <c r="G15" s="17">
        <f t="shared" si="9"/>
        <v>7124.1581249999999</v>
      </c>
      <c r="H15" s="17">
        <f t="shared" ref="H15" si="10">H14*H9*1.5</f>
        <v>6820.8043500000003</v>
      </c>
      <c r="I15" s="16">
        <f>SUM(C15:H15)</f>
        <v>38812.458053571427</v>
      </c>
      <c r="J15" s="17">
        <f>J14*J9*1.5</f>
        <v>4050</v>
      </c>
      <c r="K15" s="18">
        <f t="shared" si="8"/>
        <v>42862.458053571427</v>
      </c>
    </row>
    <row r="16" spans="1:11">
      <c r="A16" s="1" t="s">
        <v>6</v>
      </c>
      <c r="C16" s="18">
        <f>C9*40</f>
        <v>788.85800000000006</v>
      </c>
      <c r="D16" s="18">
        <v>0</v>
      </c>
      <c r="E16" s="18">
        <f t="shared" ref="E16:F16" si="11">E9*40</f>
        <v>777.08399999999995</v>
      </c>
      <c r="F16" s="18">
        <f t="shared" si="11"/>
        <v>788.85800000000006</v>
      </c>
      <c r="G16" s="18">
        <f t="shared" ref="G16" si="12">G9*40</f>
        <v>862.75</v>
      </c>
      <c r="H16" s="18">
        <v>0</v>
      </c>
      <c r="I16" s="16">
        <f>SUM(C16:H16)</f>
        <v>3217.55</v>
      </c>
      <c r="J16" s="17">
        <v>0</v>
      </c>
      <c r="K16" s="18">
        <f t="shared" si="8"/>
        <v>3217.55</v>
      </c>
    </row>
    <row r="17" spans="1:11">
      <c r="A17" s="1" t="s">
        <v>7</v>
      </c>
      <c r="C17" s="20">
        <v>500</v>
      </c>
      <c r="D17" s="20">
        <v>500</v>
      </c>
      <c r="E17" s="20">
        <v>500</v>
      </c>
      <c r="F17" s="20">
        <v>500</v>
      </c>
      <c r="G17" s="20">
        <v>500</v>
      </c>
      <c r="H17" s="20">
        <v>500</v>
      </c>
      <c r="I17" s="61">
        <f>SUM(C17:H17)</f>
        <v>3000</v>
      </c>
      <c r="J17" s="20">
        <v>500</v>
      </c>
      <c r="K17" s="60">
        <f t="shared" si="8"/>
        <v>3500</v>
      </c>
    </row>
    <row r="18" spans="1:11">
      <c r="A18" s="13" t="s">
        <v>8</v>
      </c>
      <c r="C18" s="19">
        <f>C10+C15+C16+C17</f>
        <v>48293.525400000006</v>
      </c>
      <c r="D18" s="19">
        <f>D10+D15+D16+D17</f>
        <v>39030.721428571422</v>
      </c>
      <c r="E18" s="19">
        <f t="shared" ref="E18:G18" si="13">E10+E15+E16+E17</f>
        <v>49153.784299999999</v>
      </c>
      <c r="F18" s="19">
        <f t="shared" si="13"/>
        <v>49485.264450000002</v>
      </c>
      <c r="G18" s="19">
        <f t="shared" si="13"/>
        <v>53349.908125000002</v>
      </c>
      <c r="H18" s="19">
        <f t="shared" ref="H18:I18" si="14">H10+H15+H16+H17</f>
        <v>48341.42035</v>
      </c>
      <c r="I18" s="19">
        <f t="shared" si="14"/>
        <v>287654.62405357143</v>
      </c>
      <c r="J18" s="16">
        <f>J10+J15+J16+J17</f>
        <v>41990</v>
      </c>
      <c r="K18" s="19">
        <f t="shared" si="8"/>
        <v>329644.62405357143</v>
      </c>
    </row>
    <row r="19" spans="1:11" ht="15" customHeight="1"/>
    <row r="20" spans="1:11">
      <c r="A20" s="12" t="s">
        <v>29</v>
      </c>
    </row>
    <row r="21" spans="1:11">
      <c r="A21" s="1" t="s">
        <v>9</v>
      </c>
      <c r="B21" s="11">
        <f>'Data Input &amp; Totals'!$B$4</f>
        <v>7.6499999999999999E-2</v>
      </c>
      <c r="C21" s="16">
        <f>C18*$B$21</f>
        <v>3694.4546931000004</v>
      </c>
      <c r="D21" s="16">
        <f>D18*$B$21</f>
        <v>2985.8501892857139</v>
      </c>
      <c r="E21" s="16">
        <f t="shared" ref="E21:F21" si="15">E18*$B$21</f>
        <v>3760.26449895</v>
      </c>
      <c r="F21" s="16">
        <f t="shared" si="15"/>
        <v>3785.6227304250001</v>
      </c>
      <c r="G21" s="16">
        <f t="shared" ref="G21:H21" si="16">G18*$B$21</f>
        <v>4081.2679715625</v>
      </c>
      <c r="H21" s="16">
        <f t="shared" si="16"/>
        <v>3698.1186567750001</v>
      </c>
      <c r="I21" s="19">
        <f>SUM(C21:H21)</f>
        <v>22005.578740098215</v>
      </c>
      <c r="J21" s="16">
        <f>J18*$B$21</f>
        <v>3212.2350000000001</v>
      </c>
      <c r="K21" s="19">
        <f t="shared" ref="K21:K22" si="17">I21+J21</f>
        <v>25217.813740098216</v>
      </c>
    </row>
    <row r="22" spans="1:11">
      <c r="A22" s="1" t="s">
        <v>10</v>
      </c>
      <c r="B22" s="11">
        <f>'Data Input &amp; Totals'!$B$5</f>
        <v>0.26950000000000002</v>
      </c>
      <c r="C22" s="16">
        <f t="shared" ref="C22:G22" si="18">C18*$B$22</f>
        <v>13015.105095300003</v>
      </c>
      <c r="D22" s="16">
        <f t="shared" ref="D22" si="19">D18*$B$22</f>
        <v>10518.779424999999</v>
      </c>
      <c r="E22" s="16">
        <f t="shared" si="18"/>
        <v>13246.944868850002</v>
      </c>
      <c r="F22" s="16">
        <f t="shared" si="18"/>
        <v>13336.278769275001</v>
      </c>
      <c r="G22" s="16">
        <f t="shared" si="18"/>
        <v>14377.800239687502</v>
      </c>
      <c r="H22" s="16">
        <f t="shared" ref="H22" si="20">H18*$B$22</f>
        <v>13028.012784325001</v>
      </c>
      <c r="I22" s="19">
        <f>SUM(C22:H22)</f>
        <v>77522.921182437509</v>
      </c>
      <c r="J22" s="16">
        <f t="shared" ref="J22" si="21">J18*$B$22</f>
        <v>11316.305</v>
      </c>
      <c r="K22" s="19">
        <f t="shared" si="17"/>
        <v>88839.226182437502</v>
      </c>
    </row>
    <row r="23" spans="1:11">
      <c r="B23" s="11"/>
      <c r="C23" s="17"/>
      <c r="D23" s="17"/>
      <c r="E23" s="17"/>
      <c r="F23" s="17"/>
      <c r="G23" s="17"/>
      <c r="H23" s="17"/>
    </row>
    <row r="24" spans="1:11">
      <c r="A24" s="12" t="s">
        <v>11</v>
      </c>
      <c r="B24" s="11"/>
      <c r="C24" s="17"/>
      <c r="D24" s="17"/>
      <c r="E24" s="17"/>
      <c r="F24" s="17"/>
      <c r="G24" s="17"/>
      <c r="H24" s="17"/>
    </row>
    <row r="25" spans="1:11">
      <c r="A25" s="1" t="s">
        <v>25</v>
      </c>
      <c r="C25" s="26">
        <v>1501</v>
      </c>
      <c r="D25" s="26">
        <v>1343</v>
      </c>
      <c r="E25" s="26">
        <v>1501</v>
      </c>
      <c r="F25" s="26">
        <v>1501</v>
      </c>
      <c r="G25" s="26">
        <v>1501</v>
      </c>
      <c r="H25" s="26">
        <v>1501</v>
      </c>
      <c r="I25" s="19">
        <f t="shared" ref="I25:I31" si="22">SUM(C25:H25)</f>
        <v>8848</v>
      </c>
      <c r="J25" s="26">
        <v>1501</v>
      </c>
      <c r="K25" s="18">
        <f t="shared" ref="K25:K31" si="23">I25+J25</f>
        <v>10349</v>
      </c>
    </row>
    <row r="26" spans="1:11">
      <c r="A26" s="1" t="s">
        <v>24</v>
      </c>
      <c r="B26" s="11">
        <f>'Data Input &amp; Totals'!$B$6</f>
        <v>2.5000000000000001E-2</v>
      </c>
      <c r="C26" s="17">
        <f t="shared" ref="C26:G26" si="24">C25*(1+$B$26)</f>
        <v>1538.5249999999999</v>
      </c>
      <c r="D26" s="17">
        <f t="shared" si="24"/>
        <v>1376.5749999999998</v>
      </c>
      <c r="E26" s="17">
        <f t="shared" si="24"/>
        <v>1538.5249999999999</v>
      </c>
      <c r="F26" s="17">
        <f t="shared" si="24"/>
        <v>1538.5249999999999</v>
      </c>
      <c r="G26" s="17">
        <f t="shared" si="24"/>
        <v>1538.5249999999999</v>
      </c>
      <c r="H26" s="17">
        <f t="shared" ref="H26" si="25">H25*(1+$B$26)</f>
        <v>1538.5249999999999</v>
      </c>
      <c r="I26" s="19">
        <f t="shared" si="22"/>
        <v>9069.1999999999989</v>
      </c>
      <c r="J26" s="17">
        <f t="shared" ref="J26" si="26">J25*(1+$B$26)</f>
        <v>1538.5249999999999</v>
      </c>
      <c r="K26" s="18">
        <f t="shared" si="23"/>
        <v>10607.724999999999</v>
      </c>
    </row>
    <row r="27" spans="1:11">
      <c r="A27" s="1" t="s">
        <v>16</v>
      </c>
      <c r="B27" s="3">
        <f>'Data Input &amp; Totals'!B7</f>
        <v>9</v>
      </c>
      <c r="C27" s="17">
        <f>$B27</f>
        <v>9</v>
      </c>
      <c r="D27" s="17">
        <f>$B27</f>
        <v>9</v>
      </c>
      <c r="E27" s="17">
        <f t="shared" ref="E27:H27" si="27">$B27</f>
        <v>9</v>
      </c>
      <c r="F27" s="17">
        <f t="shared" si="27"/>
        <v>9</v>
      </c>
      <c r="G27" s="17">
        <f t="shared" si="27"/>
        <v>9</v>
      </c>
      <c r="H27" s="17">
        <f t="shared" si="27"/>
        <v>9</v>
      </c>
      <c r="I27" s="19">
        <f t="shared" si="22"/>
        <v>54</v>
      </c>
      <c r="J27" s="17">
        <f t="shared" ref="J27" si="28">$B27</f>
        <v>9</v>
      </c>
      <c r="K27" s="18">
        <f t="shared" si="23"/>
        <v>63</v>
      </c>
    </row>
    <row r="28" spans="1:11">
      <c r="A28" s="1" t="s">
        <v>26</v>
      </c>
      <c r="B28" s="3">
        <f>'Data Input &amp; Totals'!B8</f>
        <v>36.15</v>
      </c>
      <c r="C28" s="17">
        <f t="shared" ref="C28:J30" si="29">$B28</f>
        <v>36.15</v>
      </c>
      <c r="D28" s="17">
        <f t="shared" si="29"/>
        <v>36.15</v>
      </c>
      <c r="E28" s="17">
        <f t="shared" si="29"/>
        <v>36.15</v>
      </c>
      <c r="F28" s="17">
        <f t="shared" si="29"/>
        <v>36.15</v>
      </c>
      <c r="G28" s="17">
        <f t="shared" si="29"/>
        <v>36.15</v>
      </c>
      <c r="H28" s="17">
        <f t="shared" si="29"/>
        <v>36.15</v>
      </c>
      <c r="I28" s="19">
        <f t="shared" si="22"/>
        <v>216.9</v>
      </c>
      <c r="J28" s="17">
        <f t="shared" si="29"/>
        <v>36.15</v>
      </c>
      <c r="K28" s="18">
        <f t="shared" si="23"/>
        <v>253.05</v>
      </c>
    </row>
    <row r="29" spans="1:11">
      <c r="A29" s="1" t="s">
        <v>27</v>
      </c>
      <c r="B29" s="3">
        <f>'Data Input &amp; Totals'!B9</f>
        <v>7.02</v>
      </c>
      <c r="C29" s="17">
        <f t="shared" si="29"/>
        <v>7.02</v>
      </c>
      <c r="D29" s="17">
        <f t="shared" si="29"/>
        <v>7.02</v>
      </c>
      <c r="E29" s="17">
        <f t="shared" si="29"/>
        <v>7.02</v>
      </c>
      <c r="F29" s="17">
        <f t="shared" si="29"/>
        <v>7.02</v>
      </c>
      <c r="G29" s="17">
        <f t="shared" si="29"/>
        <v>7.02</v>
      </c>
      <c r="H29" s="17">
        <f t="shared" si="29"/>
        <v>7.02</v>
      </c>
      <c r="I29" s="19">
        <f t="shared" si="22"/>
        <v>42.11999999999999</v>
      </c>
      <c r="J29" s="17">
        <f t="shared" si="29"/>
        <v>7.02</v>
      </c>
      <c r="K29" s="18">
        <f t="shared" si="23"/>
        <v>49.139999999999986</v>
      </c>
    </row>
    <row r="30" spans="1:11">
      <c r="A30" s="1" t="s">
        <v>28</v>
      </c>
      <c r="B30" s="3">
        <f>'Data Input &amp; Totals'!B10</f>
        <v>10.88</v>
      </c>
      <c r="C30" s="20">
        <f t="shared" si="29"/>
        <v>10.88</v>
      </c>
      <c r="D30" s="20">
        <f t="shared" si="29"/>
        <v>10.88</v>
      </c>
      <c r="E30" s="20">
        <f t="shared" si="29"/>
        <v>10.88</v>
      </c>
      <c r="F30" s="20">
        <f t="shared" si="29"/>
        <v>10.88</v>
      </c>
      <c r="G30" s="20">
        <f t="shared" si="29"/>
        <v>10.88</v>
      </c>
      <c r="H30" s="20">
        <f t="shared" si="29"/>
        <v>10.88</v>
      </c>
      <c r="I30" s="21">
        <f t="shared" si="22"/>
        <v>65.28</v>
      </c>
      <c r="J30" s="20">
        <f t="shared" si="29"/>
        <v>10.88</v>
      </c>
      <c r="K30" s="60">
        <f t="shared" si="23"/>
        <v>76.16</v>
      </c>
    </row>
    <row r="31" spans="1:11">
      <c r="A31" s="13" t="s">
        <v>0</v>
      </c>
      <c r="C31" s="16">
        <f>(C25*6)+(C26*6)+SUM(C27:C30)*12</f>
        <v>18993.75</v>
      </c>
      <c r="D31" s="16">
        <f>(D25*6)+(D26*6)+SUM(D27:D30)*12</f>
        <v>17074.05</v>
      </c>
      <c r="E31" s="16">
        <f t="shared" ref="E31:G31" si="30">(E25*6)+(E26*6)+SUM(E27:E30)*12</f>
        <v>18993.75</v>
      </c>
      <c r="F31" s="16">
        <f t="shared" si="30"/>
        <v>18993.75</v>
      </c>
      <c r="G31" s="16">
        <f t="shared" si="30"/>
        <v>18993.75</v>
      </c>
      <c r="H31" s="16">
        <f t="shared" ref="H31" si="31">(H25*6)+(H26*6)+SUM(H27:H30)*12</f>
        <v>18993.75</v>
      </c>
      <c r="I31" s="19">
        <f t="shared" si="22"/>
        <v>112042.8</v>
      </c>
      <c r="J31" s="16">
        <f t="shared" ref="J31" si="32">(J25*6)+(J26*6)+SUM(J27:J30)*12</f>
        <v>18993.75</v>
      </c>
      <c r="K31" s="19">
        <f t="shared" si="23"/>
        <v>131036.55</v>
      </c>
    </row>
    <row r="32" spans="1:11">
      <c r="I32" s="19"/>
    </row>
    <row r="33" spans="1:11">
      <c r="A33" s="13" t="s">
        <v>19</v>
      </c>
      <c r="C33" s="19">
        <f>C18+C21+C22+C31</f>
        <v>83996.8351884</v>
      </c>
      <c r="D33" s="19">
        <f>D18+D21+D22+D31</f>
        <v>69609.401042857135</v>
      </c>
      <c r="E33" s="19">
        <f t="shared" ref="E33:F33" si="33">E18+E21+E22+E31</f>
        <v>85154.743667799994</v>
      </c>
      <c r="F33" s="19">
        <f t="shared" si="33"/>
        <v>85600.915949700007</v>
      </c>
      <c r="G33" s="19">
        <f t="shared" ref="G33:H33" si="34">G18+G21+G22+G31</f>
        <v>90802.726336249994</v>
      </c>
      <c r="H33" s="19">
        <f t="shared" si="34"/>
        <v>84061.301791100006</v>
      </c>
      <c r="I33" s="16">
        <f>SUM(C33:H33)</f>
        <v>499225.92397610709</v>
      </c>
      <c r="J33" s="16">
        <f>J18+J21+J22+J31</f>
        <v>75512.290000000008</v>
      </c>
      <c r="K33" s="19">
        <f>I33+J33</f>
        <v>574738.21397610707</v>
      </c>
    </row>
  </sheetData>
  <mergeCells count="7">
    <mergeCell ref="K2:K4"/>
    <mergeCell ref="C3:C4"/>
    <mergeCell ref="H3:H4"/>
    <mergeCell ref="G3:G4"/>
    <mergeCell ref="F3:F4"/>
    <mergeCell ref="E3:E4"/>
    <mergeCell ref="D3:D4"/>
  </mergeCells>
  <pageMargins left="0.7" right="0.7" top="0.75" bottom="0.75" header="0.3" footer="0.3"/>
  <pageSetup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8" sqref="I8"/>
    </sheetView>
  </sheetViews>
  <sheetFormatPr defaultRowHeight="15"/>
  <cols>
    <col min="1" max="1" width="27.42578125" style="1" customWidth="1"/>
    <col min="2" max="2" width="10.42578125" style="1" customWidth="1"/>
    <col min="3" max="3" width="12.5703125" bestFit="1" customWidth="1"/>
    <col min="4" max="5" width="10" bestFit="1" customWidth="1"/>
    <col min="6" max="6" width="11.5703125" customWidth="1"/>
    <col min="7" max="7" width="12.140625" customWidth="1"/>
  </cols>
  <sheetData>
    <row r="1" spans="1:8">
      <c r="B1" s="2"/>
      <c r="F1" s="70" t="s">
        <v>81</v>
      </c>
    </row>
    <row r="2" spans="1:8">
      <c r="B2" s="10" t="s">
        <v>66</v>
      </c>
      <c r="F2" s="70" t="s">
        <v>82</v>
      </c>
    </row>
    <row r="3" spans="1:8">
      <c r="A3" s="48"/>
      <c r="B3" s="6" t="s">
        <v>17</v>
      </c>
      <c r="C3" s="10" t="s">
        <v>66</v>
      </c>
      <c r="D3" s="10" t="s">
        <v>66</v>
      </c>
      <c r="E3" s="10" t="s">
        <v>66</v>
      </c>
      <c r="F3" s="10" t="s">
        <v>66</v>
      </c>
      <c r="G3" s="10" t="s">
        <v>66</v>
      </c>
    </row>
    <row r="4" spans="1:8">
      <c r="A4" s="49" t="s">
        <v>12</v>
      </c>
      <c r="B4" s="8" t="s">
        <v>18</v>
      </c>
      <c r="C4" s="49" t="s">
        <v>73</v>
      </c>
      <c r="D4" s="49" t="s">
        <v>74</v>
      </c>
      <c r="E4" s="49" t="s">
        <v>75</v>
      </c>
      <c r="F4" s="49" t="s">
        <v>76</v>
      </c>
      <c r="G4" s="49" t="s">
        <v>77</v>
      </c>
    </row>
    <row r="6" spans="1:8" s="52" customFormat="1">
      <c r="A6" s="13" t="s">
        <v>69</v>
      </c>
      <c r="B6" s="12"/>
      <c r="C6" s="55">
        <f>Admin!J10</f>
        <v>200442.14925000002</v>
      </c>
      <c r="D6" s="55">
        <f>WTP!H10</f>
        <v>161330.93600000002</v>
      </c>
      <c r="E6" s="55">
        <f>WWTP!G10</f>
        <v>114770.34399999998</v>
      </c>
      <c r="F6" s="55">
        <f>MAINT!I10</f>
        <v>242624.61600000001</v>
      </c>
      <c r="G6" s="55">
        <f>SUM(C6:F6)</f>
        <v>719168.04524999997</v>
      </c>
      <c r="H6" s="55"/>
    </row>
    <row r="7" spans="1:8">
      <c r="C7" s="53"/>
      <c r="D7" s="53"/>
      <c r="E7" s="53"/>
      <c r="F7" s="53"/>
      <c r="G7" s="53"/>
      <c r="H7" s="53"/>
    </row>
    <row r="8" spans="1:8">
      <c r="A8" s="1" t="s">
        <v>78</v>
      </c>
      <c r="C8" s="53">
        <f>Admin!J15</f>
        <v>5665.6792499999992</v>
      </c>
      <c r="D8" s="53">
        <f>WTP!H15</f>
        <v>5332.9872857142864</v>
      </c>
      <c r="E8" s="53">
        <f>WWTP!G15</f>
        <v>0</v>
      </c>
      <c r="F8" s="53">
        <f>MAINT!I15</f>
        <v>38812.458053571427</v>
      </c>
      <c r="G8" s="53">
        <f>SUM(C8:F8)</f>
        <v>49811.124589285711</v>
      </c>
      <c r="H8" s="53"/>
    </row>
    <row r="9" spans="1:8">
      <c r="A9" s="1" t="s">
        <v>6</v>
      </c>
      <c r="C9" s="53">
        <f>Admin!J16</f>
        <v>3606.0920000000001</v>
      </c>
      <c r="D9" s="53">
        <f>WTP!H16</f>
        <v>2453.2180000000003</v>
      </c>
      <c r="E9" s="53">
        <f>WWTP!G16</f>
        <v>1573.6559999999999</v>
      </c>
      <c r="F9" s="53">
        <f>MAINT!I16</f>
        <v>3217.55</v>
      </c>
      <c r="G9" s="53">
        <f t="shared" ref="G9:G10" si="0">SUM(C9:F9)</f>
        <v>10850.516</v>
      </c>
      <c r="H9" s="53"/>
    </row>
    <row r="10" spans="1:8">
      <c r="A10" s="1" t="s">
        <v>7</v>
      </c>
      <c r="C10" s="54">
        <f>Admin!J17</f>
        <v>3750</v>
      </c>
      <c r="D10" s="54">
        <f>WTP!H17</f>
        <v>2000</v>
      </c>
      <c r="E10" s="54">
        <f>WWTP!G17</f>
        <v>1500</v>
      </c>
      <c r="F10" s="54">
        <f>MAINT!I17</f>
        <v>3000</v>
      </c>
      <c r="G10" s="54">
        <f t="shared" si="0"/>
        <v>10250</v>
      </c>
      <c r="H10" s="53"/>
    </row>
    <row r="11" spans="1:8">
      <c r="A11" s="13" t="s">
        <v>8</v>
      </c>
      <c r="C11" s="55">
        <f>C6+C8+C9+C10</f>
        <v>213463.92050000001</v>
      </c>
      <c r="D11" s="55">
        <f>D6+D8+D9+D10</f>
        <v>171117.14128571429</v>
      </c>
      <c r="E11" s="55">
        <f>E6+E8+E9+E10</f>
        <v>117843.99999999999</v>
      </c>
      <c r="F11" s="55">
        <f>F6+F8+F9+F10</f>
        <v>287654.62405357143</v>
      </c>
      <c r="G11" s="55">
        <f>G6+G8+G9+G10</f>
        <v>790079.68583928561</v>
      </c>
      <c r="H11" s="53"/>
    </row>
    <row r="12" spans="1:8">
      <c r="C12" s="53"/>
      <c r="D12" s="53"/>
      <c r="E12" s="53"/>
      <c r="F12" s="53"/>
      <c r="G12" s="53"/>
      <c r="H12" s="53"/>
    </row>
    <row r="13" spans="1:8">
      <c r="A13" s="12" t="s">
        <v>29</v>
      </c>
      <c r="C13" s="53"/>
      <c r="D13" s="53"/>
      <c r="E13" s="53"/>
      <c r="F13" s="53"/>
      <c r="G13" s="53"/>
      <c r="H13" s="53"/>
    </row>
    <row r="14" spans="1:8" s="51" customFormat="1">
      <c r="A14" s="1" t="s">
        <v>9</v>
      </c>
      <c r="B14" s="11">
        <f>'Data Input &amp; Totals'!$B$4</f>
        <v>7.6499999999999999E-2</v>
      </c>
      <c r="C14" s="55">
        <f>Admin!J21</f>
        <v>16329.989918249999</v>
      </c>
      <c r="D14" s="55">
        <f>WTP!H21</f>
        <v>13090.461308357146</v>
      </c>
      <c r="E14" s="55">
        <f>WWTP!G21</f>
        <v>9015.0660000000007</v>
      </c>
      <c r="F14" s="55">
        <f>MAINT!I21</f>
        <v>22005.578740098215</v>
      </c>
      <c r="G14" s="55">
        <f t="shared" ref="G14:G15" si="1">SUM(C14:F14)</f>
        <v>60441.095966705361</v>
      </c>
      <c r="H14" s="56"/>
    </row>
    <row r="15" spans="1:8" s="51" customFormat="1">
      <c r="A15" s="1" t="s">
        <v>10</v>
      </c>
      <c r="B15" s="11">
        <f>'Data Input &amp; Totals'!$B$5</f>
        <v>0.26950000000000002</v>
      </c>
      <c r="C15" s="55">
        <f>Admin!J22</f>
        <v>54520.022614750007</v>
      </c>
      <c r="D15" s="55">
        <f>WTP!H22</f>
        <v>46116.069576500013</v>
      </c>
      <c r="E15" s="55">
        <f>WWTP!G22</f>
        <v>31758.958000000002</v>
      </c>
      <c r="F15" s="55">
        <f>MAINT!I22</f>
        <v>77522.921182437509</v>
      </c>
      <c r="G15" s="55">
        <f t="shared" si="1"/>
        <v>209917.97137368753</v>
      </c>
      <c r="H15" s="56"/>
    </row>
    <row r="16" spans="1:8">
      <c r="B16" s="11"/>
      <c r="C16" s="53"/>
      <c r="D16" s="53"/>
      <c r="E16" s="53"/>
      <c r="F16" s="53"/>
      <c r="G16" s="53"/>
      <c r="H16" s="53"/>
    </row>
    <row r="17" spans="1:8">
      <c r="A17" s="12" t="s">
        <v>11</v>
      </c>
      <c r="B17" s="11"/>
      <c r="C17" s="53"/>
      <c r="D17" s="53"/>
      <c r="E17" s="53"/>
      <c r="F17" s="53"/>
      <c r="G17" s="53"/>
      <c r="H17" s="53"/>
    </row>
    <row r="18" spans="1:8" s="52" customFormat="1">
      <c r="A18" s="13" t="s">
        <v>0</v>
      </c>
      <c r="B18" s="12"/>
      <c r="C18" s="55">
        <f>Admin!J31</f>
        <v>54938.05</v>
      </c>
      <c r="D18" s="55">
        <f>WTP!H31</f>
        <v>72135.600000000006</v>
      </c>
      <c r="E18" s="55">
        <f>WWTP!G31</f>
        <v>45463.05</v>
      </c>
      <c r="F18" s="55">
        <f>MAINT!I31</f>
        <v>112042.8</v>
      </c>
      <c r="G18" s="55">
        <f>SUM(C18:F18)</f>
        <v>284579.5</v>
      </c>
      <c r="H18" s="55"/>
    </row>
    <row r="19" spans="1:8">
      <c r="C19" s="53"/>
      <c r="D19" s="53"/>
      <c r="E19" s="53"/>
      <c r="F19" s="53"/>
      <c r="G19" s="53"/>
      <c r="H19" s="53"/>
    </row>
    <row r="20" spans="1:8">
      <c r="A20" s="13" t="s">
        <v>19</v>
      </c>
      <c r="C20" s="55">
        <f>C11+C14+C15+C18</f>
        <v>339251.98303300003</v>
      </c>
      <c r="D20" s="55">
        <f>D11+D14+D15+D18</f>
        <v>302459.27217057144</v>
      </c>
      <c r="E20" s="55">
        <f>E11+E14+E15+E18</f>
        <v>204081.07400000002</v>
      </c>
      <c r="F20" s="55">
        <f>F11+F14+F15+F18</f>
        <v>499225.92397610715</v>
      </c>
      <c r="G20" s="55">
        <f>G11+G14+G15+G18</f>
        <v>1345018.2531796785</v>
      </c>
      <c r="H20" s="53"/>
    </row>
    <row r="21" spans="1:8">
      <c r="C21" s="53"/>
      <c r="D21" s="53"/>
      <c r="E21" s="53"/>
      <c r="F21" s="53"/>
      <c r="G21" s="53"/>
      <c r="H21" s="53"/>
    </row>
    <row r="22" spans="1:8">
      <c r="C22" s="53"/>
      <c r="D22" s="53"/>
      <c r="E22" s="53"/>
      <c r="F22" s="53"/>
      <c r="G22" s="53"/>
      <c r="H22" s="53"/>
    </row>
    <row r="23" spans="1:8">
      <c r="C23" s="53"/>
      <c r="D23" s="53"/>
      <c r="E23" s="53"/>
      <c r="F23" s="53"/>
      <c r="G23" s="53"/>
      <c r="H23" s="53"/>
    </row>
    <row r="24" spans="1:8">
      <c r="C24" s="50"/>
      <c r="D24" s="50"/>
      <c r="E24" s="50"/>
      <c r="F24" s="50"/>
      <c r="G24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Input &amp; Totals</vt:lpstr>
      <vt:lpstr>Admin</vt:lpstr>
      <vt:lpstr>WTP</vt:lpstr>
      <vt:lpstr>WWTP</vt:lpstr>
      <vt:lpstr>MAINT</vt:lpstr>
      <vt:lpstr>COMBINED DEPT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</dc:creator>
  <cp:lastModifiedBy>Windows User</cp:lastModifiedBy>
  <cp:lastPrinted>2019-05-29T20:44:15Z</cp:lastPrinted>
  <dcterms:created xsi:type="dcterms:W3CDTF">2018-03-05T17:23:03Z</dcterms:created>
  <dcterms:modified xsi:type="dcterms:W3CDTF">2020-04-15T16:51:57Z</dcterms:modified>
</cp:coreProperties>
</file>