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15600" windowHeight="11760" activeTab="1"/>
  </bookViews>
  <sheets>
    <sheet name="ProForma Income Stmt" sheetId="2" r:id="rId1"/>
    <sheet name="Income by Department" sheetId="3" r:id="rId2"/>
    <sheet name="Condensed ProFormas" sheetId="8" r:id="rId3"/>
    <sheet name="PSC 2-2" sheetId="9" r:id="rId4"/>
    <sheet name="NARUC Recap" sheetId="7" r:id="rId5"/>
    <sheet name="2021 Payroll" sheetId="6" r:id="rId6"/>
  </sheets>
  <externalReferences>
    <externalReference r:id="rId7"/>
  </externalReferences>
  <definedNames>
    <definedName name="_xlnm.Print_Titles" localSheetId="0">'ProForma Income Stmt'!$1:$5</definedName>
  </definedNames>
  <calcPr calcId="145621" iterate="1" iterateCount="1"/>
</workbook>
</file>

<file path=xl/calcChain.xml><?xml version="1.0" encoding="utf-8"?>
<calcChain xmlns="http://schemas.openxmlformats.org/spreadsheetml/2006/main">
  <c r="E25" i="9" l="1"/>
  <c r="D25" i="9"/>
  <c r="C25" i="9"/>
  <c r="B25" i="9"/>
  <c r="B16" i="9"/>
  <c r="E10" i="9"/>
  <c r="C11" i="9"/>
  <c r="B11" i="9"/>
  <c r="E11" i="9" s="1"/>
  <c r="D82" i="8" l="1"/>
  <c r="D81" i="8"/>
  <c r="D80" i="8"/>
  <c r="D79" i="8"/>
  <c r="D59" i="8"/>
  <c r="D34" i="8"/>
  <c r="D9" i="8"/>
  <c r="D83" i="8" l="1"/>
  <c r="E135" i="3" l="1"/>
  <c r="E41" i="8" s="1"/>
  <c r="C7" i="9" s="1"/>
  <c r="I35" i="7"/>
  <c r="H35" i="7"/>
  <c r="H37" i="7" s="1"/>
  <c r="G35" i="7"/>
  <c r="G37" i="7" s="1"/>
  <c r="F35" i="7"/>
  <c r="F37" i="7" s="1"/>
  <c r="E35" i="7"/>
  <c r="D35" i="7"/>
  <c r="D37" i="7" s="1"/>
  <c r="C35" i="7"/>
  <c r="C37" i="7" s="1"/>
  <c r="I28" i="7"/>
  <c r="H28" i="7"/>
  <c r="G28" i="7"/>
  <c r="F28" i="7"/>
  <c r="E28" i="7"/>
  <c r="D28" i="7"/>
  <c r="C28" i="7"/>
  <c r="I21" i="7"/>
  <c r="H21" i="7"/>
  <c r="G21" i="7"/>
  <c r="F21" i="7"/>
  <c r="E21" i="7"/>
  <c r="D135" i="3" s="1"/>
  <c r="E16" i="8" s="1"/>
  <c r="B7" i="9" s="1"/>
  <c r="D21" i="7"/>
  <c r="C21" i="7"/>
  <c r="I10" i="7"/>
  <c r="I37" i="7" s="1"/>
  <c r="H10" i="7"/>
  <c r="G10" i="7"/>
  <c r="F10" i="7"/>
  <c r="E10" i="7"/>
  <c r="F135" i="3" s="1"/>
  <c r="D63" i="8" s="1"/>
  <c r="E63" i="8" s="1"/>
  <c r="D7" i="9" s="1"/>
  <c r="D10" i="7"/>
  <c r="C10" i="7"/>
  <c r="E37" i="7" l="1"/>
  <c r="H135" i="2" s="1"/>
  <c r="E7" i="9"/>
  <c r="E91" i="8"/>
  <c r="G17" i="2" l="1"/>
  <c r="D22" i="3"/>
  <c r="E22" i="3" s="1"/>
  <c r="D20" i="3"/>
  <c r="D25" i="3" s="1"/>
  <c r="C144" i="3"/>
  <c r="C135" i="3"/>
  <c r="C134" i="3"/>
  <c r="C133" i="3"/>
  <c r="C124" i="3"/>
  <c r="C79" i="3"/>
  <c r="E20" i="3" l="1"/>
  <c r="D21" i="3"/>
  <c r="E25" i="3" l="1"/>
  <c r="E21" i="3"/>
  <c r="H130" i="2" l="1"/>
  <c r="H104" i="2"/>
  <c r="H101" i="2"/>
  <c r="H100" i="2"/>
  <c r="H99" i="2"/>
  <c r="C130" i="3" l="1"/>
  <c r="C100" i="3"/>
  <c r="C99" i="3"/>
  <c r="C104" i="3"/>
  <c r="C101" i="3"/>
  <c r="H84" i="2"/>
  <c r="F77" i="2"/>
  <c r="H77" i="2" s="1"/>
  <c r="F78" i="2"/>
  <c r="H78" i="2" s="1"/>
  <c r="F79" i="2"/>
  <c r="G79" i="2" s="1"/>
  <c r="F80" i="2"/>
  <c r="H80" i="2" s="1"/>
  <c r="F81" i="2"/>
  <c r="H81" i="2" s="1"/>
  <c r="F82" i="2"/>
  <c r="H82" i="2" s="1"/>
  <c r="F83" i="2"/>
  <c r="H83" i="2" s="1"/>
  <c r="C83" i="3" s="1"/>
  <c r="F84" i="2"/>
  <c r="F85" i="2"/>
  <c r="H85" i="2" s="1"/>
  <c r="F86" i="2"/>
  <c r="H86" i="2" s="1"/>
  <c r="F87" i="2"/>
  <c r="H87" i="2" s="1"/>
  <c r="F88" i="2"/>
  <c r="H88" i="2" s="1"/>
  <c r="F89" i="2"/>
  <c r="H89" i="2" s="1"/>
  <c r="F90" i="2"/>
  <c r="H90" i="2" s="1"/>
  <c r="F91" i="2"/>
  <c r="H91" i="2" s="1"/>
  <c r="F92" i="2"/>
  <c r="H92" i="2" s="1"/>
  <c r="F93" i="2"/>
  <c r="H93" i="2" s="1"/>
  <c r="H76" i="2"/>
  <c r="H73" i="2"/>
  <c r="H72" i="2"/>
  <c r="H71" i="2"/>
  <c r="C80" i="3" l="1"/>
  <c r="G80" i="2"/>
  <c r="C93" i="3"/>
  <c r="G93" i="2"/>
  <c r="C89" i="3"/>
  <c r="G89" i="2"/>
  <c r="C77" i="3"/>
  <c r="G77" i="2"/>
  <c r="C90" i="3"/>
  <c r="G90" i="2"/>
  <c r="C82" i="3"/>
  <c r="G82" i="2"/>
  <c r="G85" i="2"/>
  <c r="C85" i="3"/>
  <c r="C92" i="3"/>
  <c r="G92" i="2"/>
  <c r="C88" i="3"/>
  <c r="G88" i="2"/>
  <c r="C86" i="3"/>
  <c r="G86" i="2"/>
  <c r="C81" i="3"/>
  <c r="G81" i="2"/>
  <c r="C91" i="3"/>
  <c r="G91" i="2"/>
  <c r="C87" i="3"/>
  <c r="G87" i="2"/>
  <c r="C78" i="3"/>
  <c r="G78" i="2"/>
  <c r="C84" i="3"/>
  <c r="G84" i="2"/>
  <c r="C72" i="3"/>
  <c r="C73" i="3"/>
  <c r="C71" i="3"/>
  <c r="C76" i="3"/>
  <c r="H65" i="2"/>
  <c r="H46" i="2"/>
  <c r="H49" i="2"/>
  <c r="H45" i="2"/>
  <c r="H44" i="2"/>
  <c r="H25" i="2"/>
  <c r="H22" i="2"/>
  <c r="H21" i="2"/>
  <c r="H20" i="2"/>
  <c r="C65" i="3" l="1"/>
  <c r="C22" i="3"/>
  <c r="C45" i="3"/>
  <c r="C21" i="3"/>
  <c r="C44" i="3"/>
  <c r="C20" i="3"/>
  <c r="C25" i="3"/>
  <c r="C46" i="3"/>
  <c r="C49" i="3"/>
  <c r="B22" i="6"/>
  <c r="B2" i="6"/>
  <c r="D146" i="3" l="1"/>
  <c r="F137" i="3"/>
  <c r="F131" i="3"/>
  <c r="F68" i="3"/>
  <c r="E68" i="3"/>
  <c r="F96" i="3"/>
  <c r="D96" i="3"/>
  <c r="F125" i="3"/>
  <c r="E124" i="3"/>
  <c r="D124" i="3"/>
  <c r="E104" i="3"/>
  <c r="D104" i="3"/>
  <c r="E101" i="3"/>
  <c r="D101" i="3"/>
  <c r="E100" i="3"/>
  <c r="D100" i="3"/>
  <c r="E99" i="3"/>
  <c r="D99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3" i="3"/>
  <c r="E72" i="3"/>
  <c r="E71" i="3"/>
  <c r="D65" i="3"/>
  <c r="D49" i="3"/>
  <c r="D46" i="3"/>
  <c r="D45" i="3"/>
  <c r="D44" i="3"/>
  <c r="F22" i="3" l="1"/>
  <c r="F21" i="3"/>
  <c r="F25" i="3"/>
  <c r="F20" i="3"/>
  <c r="F144" i="3" l="1"/>
  <c r="D134" i="3"/>
  <c r="D137" i="3" s="1"/>
  <c r="E133" i="3"/>
  <c r="E130" i="3"/>
  <c r="D130" i="3"/>
  <c r="E146" i="2"/>
  <c r="D146" i="2"/>
  <c r="C146" i="2"/>
  <c r="E137" i="2"/>
  <c r="D137" i="2"/>
  <c r="C137" i="2"/>
  <c r="C131" i="2"/>
  <c r="D131" i="2"/>
  <c r="E131" i="2"/>
  <c r="C17" i="2" l="1"/>
  <c r="D125" i="2"/>
  <c r="E125" i="2"/>
  <c r="F124" i="2"/>
  <c r="G124" i="2" s="1"/>
  <c r="F123" i="2"/>
  <c r="H123" i="2" s="1"/>
  <c r="F122" i="2"/>
  <c r="H122" i="2" s="1"/>
  <c r="F121" i="2"/>
  <c r="H121" i="2" s="1"/>
  <c r="F120" i="2"/>
  <c r="H120" i="2" s="1"/>
  <c r="F119" i="2"/>
  <c r="H119" i="2" s="1"/>
  <c r="F118" i="2"/>
  <c r="H118" i="2" s="1"/>
  <c r="F117" i="2"/>
  <c r="H117" i="2" s="1"/>
  <c r="F116" i="2"/>
  <c r="H116" i="2" s="1"/>
  <c r="F115" i="2"/>
  <c r="H115" i="2" s="1"/>
  <c r="F114" i="2"/>
  <c r="H114" i="2" s="1"/>
  <c r="F113" i="2"/>
  <c r="H113" i="2" s="1"/>
  <c r="F112" i="2"/>
  <c r="H112" i="2" s="1"/>
  <c r="F111" i="2"/>
  <c r="H111" i="2" s="1"/>
  <c r="F110" i="2"/>
  <c r="H110" i="2" s="1"/>
  <c r="F109" i="2"/>
  <c r="H109" i="2" s="1"/>
  <c r="F108" i="2"/>
  <c r="H108" i="2" s="1"/>
  <c r="F107" i="2"/>
  <c r="H107" i="2" s="1"/>
  <c r="F106" i="2"/>
  <c r="H106" i="2" s="1"/>
  <c r="F105" i="2"/>
  <c r="H105" i="2" s="1"/>
  <c r="F104" i="2"/>
  <c r="G104" i="2" s="1"/>
  <c r="F103" i="2"/>
  <c r="H103" i="2" s="1"/>
  <c r="F102" i="2"/>
  <c r="H102" i="2" s="1"/>
  <c r="G102" i="2" s="1"/>
  <c r="F101" i="2"/>
  <c r="G101" i="2" s="1"/>
  <c r="F100" i="2"/>
  <c r="G100" i="2" s="1"/>
  <c r="F99" i="2"/>
  <c r="G99" i="2" s="1"/>
  <c r="D96" i="2"/>
  <c r="E96" i="2"/>
  <c r="F95" i="2"/>
  <c r="H95" i="2" s="1"/>
  <c r="F94" i="2"/>
  <c r="H94" i="2" s="1"/>
  <c r="F76" i="2"/>
  <c r="G76" i="2" s="1"/>
  <c r="F75" i="2"/>
  <c r="H75" i="2" s="1"/>
  <c r="F74" i="2"/>
  <c r="H74" i="2" s="1"/>
  <c r="G74" i="2" s="1"/>
  <c r="F73" i="2"/>
  <c r="G73" i="2" s="1"/>
  <c r="F72" i="2"/>
  <c r="G72" i="2" s="1"/>
  <c r="F71" i="2"/>
  <c r="G71" i="2" s="1"/>
  <c r="F67" i="2"/>
  <c r="H67" i="2" s="1"/>
  <c r="F66" i="2"/>
  <c r="H66" i="2" s="1"/>
  <c r="F65" i="2"/>
  <c r="G65" i="2" s="1"/>
  <c r="F64" i="2"/>
  <c r="H64" i="2" s="1"/>
  <c r="F63" i="2"/>
  <c r="H63" i="2" s="1"/>
  <c r="F62" i="2"/>
  <c r="H62" i="2" s="1"/>
  <c r="F61" i="2"/>
  <c r="H61" i="2" s="1"/>
  <c r="F60" i="2"/>
  <c r="H60" i="2" s="1"/>
  <c r="F59" i="2"/>
  <c r="H59" i="2" s="1"/>
  <c r="F58" i="2"/>
  <c r="H58" i="2" s="1"/>
  <c r="F57" i="2"/>
  <c r="H57" i="2" s="1"/>
  <c r="F56" i="2"/>
  <c r="H56" i="2" s="1"/>
  <c r="C56" i="3" s="1"/>
  <c r="D56" i="3" s="1"/>
  <c r="F55" i="2"/>
  <c r="H55" i="2" s="1"/>
  <c r="F54" i="2"/>
  <c r="H54" i="2" s="1"/>
  <c r="F53" i="2"/>
  <c r="H53" i="2" s="1"/>
  <c r="F52" i="2"/>
  <c r="H52" i="2" s="1"/>
  <c r="F51" i="2"/>
  <c r="H51" i="2" s="1"/>
  <c r="F50" i="2"/>
  <c r="H50" i="2" s="1"/>
  <c r="F49" i="2"/>
  <c r="G49" i="2" s="1"/>
  <c r="F48" i="2"/>
  <c r="H48" i="2" s="1"/>
  <c r="F47" i="2"/>
  <c r="H47" i="2" s="1"/>
  <c r="G47" i="2" s="1"/>
  <c r="F46" i="2"/>
  <c r="G46" i="2" s="1"/>
  <c r="F45" i="2"/>
  <c r="G45" i="2" s="1"/>
  <c r="F44" i="2"/>
  <c r="G44" i="2" s="1"/>
  <c r="D68" i="2"/>
  <c r="E68" i="2"/>
  <c r="D17" i="2"/>
  <c r="E17" i="2"/>
  <c r="E41" i="2"/>
  <c r="D41" i="2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G25" i="2" s="1"/>
  <c r="F24" i="2"/>
  <c r="H24" i="2" s="1"/>
  <c r="F23" i="2"/>
  <c r="H23" i="2" s="1"/>
  <c r="G23" i="2" s="1"/>
  <c r="F22" i="2"/>
  <c r="G22" i="2" s="1"/>
  <c r="F21" i="2"/>
  <c r="G21" i="2" s="1"/>
  <c r="F20" i="2"/>
  <c r="G20" i="2" s="1"/>
  <c r="C125" i="2"/>
  <c r="C96" i="2"/>
  <c r="C68" i="2"/>
  <c r="C41" i="2"/>
  <c r="F136" i="2"/>
  <c r="H136" i="2" s="1"/>
  <c r="G136" i="2" s="1"/>
  <c r="F135" i="2"/>
  <c r="F134" i="2"/>
  <c r="G134" i="2" s="1"/>
  <c r="F133" i="2"/>
  <c r="G133" i="2" s="1"/>
  <c r="F130" i="2"/>
  <c r="G130" i="2" s="1"/>
  <c r="D15" i="8" s="1"/>
  <c r="F129" i="2"/>
  <c r="H129" i="2" s="1"/>
  <c r="F128" i="2"/>
  <c r="H128" i="2" s="1"/>
  <c r="G128" i="2" s="1"/>
  <c r="F16" i="2"/>
  <c r="H16" i="2" s="1"/>
  <c r="C16" i="3" s="1"/>
  <c r="F16" i="3" s="1"/>
  <c r="F15" i="2"/>
  <c r="H15" i="2" s="1"/>
  <c r="C15" i="3" s="1"/>
  <c r="F145" i="2"/>
  <c r="F144" i="2"/>
  <c r="G144" i="2" s="1"/>
  <c r="F14" i="2"/>
  <c r="H14" i="2" s="1"/>
  <c r="C14" i="3" s="1"/>
  <c r="F143" i="2"/>
  <c r="F13" i="2"/>
  <c r="H13" i="2" s="1"/>
  <c r="C13" i="3" s="1"/>
  <c r="F12" i="2"/>
  <c r="H12" i="2" s="1"/>
  <c r="F11" i="2"/>
  <c r="H11" i="2" s="1"/>
  <c r="C11" i="3" s="1"/>
  <c r="F10" i="2"/>
  <c r="H10" i="2" s="1"/>
  <c r="C10" i="3" s="1"/>
  <c r="F9" i="2"/>
  <c r="H9" i="2" s="1"/>
  <c r="C9" i="3" s="1"/>
  <c r="F8" i="2"/>
  <c r="F7" i="2"/>
  <c r="H7" i="2" s="1"/>
  <c r="C7" i="3" s="1"/>
  <c r="E7" i="3" s="1"/>
  <c r="C32" i="8" s="1"/>
  <c r="F6" i="2"/>
  <c r="H6" i="2" s="1"/>
  <c r="C129" i="3" l="1"/>
  <c r="G129" i="2"/>
  <c r="C26" i="3"/>
  <c r="G26" i="2"/>
  <c r="C34" i="3"/>
  <c r="F34" i="3" s="1"/>
  <c r="G34" i="2"/>
  <c r="C38" i="3"/>
  <c r="F38" i="3" s="1"/>
  <c r="G38" i="2"/>
  <c r="C51" i="3"/>
  <c r="D51" i="3" s="1"/>
  <c r="G51" i="2"/>
  <c r="C55" i="3"/>
  <c r="D55" i="3" s="1"/>
  <c r="G55" i="2"/>
  <c r="C59" i="3"/>
  <c r="D59" i="3" s="1"/>
  <c r="G59" i="2"/>
  <c r="C63" i="3"/>
  <c r="D63" i="3" s="1"/>
  <c r="G63" i="2"/>
  <c r="C67" i="3"/>
  <c r="D67" i="3" s="1"/>
  <c r="G67" i="2"/>
  <c r="C95" i="3"/>
  <c r="E95" i="3" s="1"/>
  <c r="G95" i="2"/>
  <c r="C108" i="3"/>
  <c r="G108" i="2"/>
  <c r="C112" i="3"/>
  <c r="G112" i="2"/>
  <c r="C116" i="3"/>
  <c r="G116" i="2"/>
  <c r="C120" i="3"/>
  <c r="G120" i="2"/>
  <c r="C68" i="8"/>
  <c r="H143" i="2"/>
  <c r="C27" i="3"/>
  <c r="E27" i="3" s="1"/>
  <c r="G27" i="2"/>
  <c r="C31" i="3"/>
  <c r="F31" i="3" s="1"/>
  <c r="G31" i="2"/>
  <c r="C35" i="3"/>
  <c r="F35" i="3" s="1"/>
  <c r="G35" i="2"/>
  <c r="C39" i="3"/>
  <c r="F39" i="3" s="1"/>
  <c r="G39" i="2"/>
  <c r="C52" i="3"/>
  <c r="D52" i="3" s="1"/>
  <c r="G52" i="2"/>
  <c r="C60" i="3"/>
  <c r="D60" i="3" s="1"/>
  <c r="G60" i="2"/>
  <c r="C64" i="3"/>
  <c r="D64" i="3" s="1"/>
  <c r="G64" i="2"/>
  <c r="C105" i="3"/>
  <c r="G105" i="2"/>
  <c r="C109" i="3"/>
  <c r="D109" i="3" s="1"/>
  <c r="G109" i="2"/>
  <c r="C113" i="3"/>
  <c r="G113" i="2"/>
  <c r="C117" i="3"/>
  <c r="E117" i="3" s="1"/>
  <c r="G117" i="2"/>
  <c r="C121" i="3"/>
  <c r="G121" i="2"/>
  <c r="C30" i="3"/>
  <c r="F30" i="3" s="1"/>
  <c r="G30" i="2"/>
  <c r="C28" i="3"/>
  <c r="F28" i="3" s="1"/>
  <c r="G28" i="2"/>
  <c r="C32" i="3"/>
  <c r="F32" i="3" s="1"/>
  <c r="G32" i="2"/>
  <c r="C36" i="3"/>
  <c r="F36" i="3" s="1"/>
  <c r="G36" i="2"/>
  <c r="C40" i="3"/>
  <c r="F40" i="3" s="1"/>
  <c r="G40" i="2"/>
  <c r="C53" i="3"/>
  <c r="D53" i="3" s="1"/>
  <c r="G53" i="2"/>
  <c r="C57" i="3"/>
  <c r="D57" i="3" s="1"/>
  <c r="G57" i="2"/>
  <c r="C61" i="3"/>
  <c r="D61" i="3" s="1"/>
  <c r="G61" i="2"/>
  <c r="C106" i="3"/>
  <c r="E106" i="3" s="1"/>
  <c r="G106" i="2"/>
  <c r="C110" i="3"/>
  <c r="G110" i="2"/>
  <c r="C114" i="3"/>
  <c r="E114" i="3" s="1"/>
  <c r="G114" i="2"/>
  <c r="C118" i="3"/>
  <c r="G118" i="2"/>
  <c r="C122" i="3"/>
  <c r="E122" i="3" s="1"/>
  <c r="G122" i="2"/>
  <c r="H145" i="2"/>
  <c r="C46" i="8"/>
  <c r="E46" i="8" s="1"/>
  <c r="C16" i="9" s="1"/>
  <c r="E16" i="9" s="1"/>
  <c r="C16" i="8"/>
  <c r="G135" i="2"/>
  <c r="G137" i="2" s="1"/>
  <c r="C57" i="8"/>
  <c r="H8" i="2"/>
  <c r="C8" i="3" s="1"/>
  <c r="F8" i="3" s="1"/>
  <c r="F17" i="3" s="1"/>
  <c r="C12" i="3"/>
  <c r="F12" i="3" s="1"/>
  <c r="C58" i="8"/>
  <c r="E58" i="8" s="1"/>
  <c r="D15" i="9" s="1"/>
  <c r="G131" i="2"/>
  <c r="D40" i="8" s="1"/>
  <c r="D90" i="8" s="1"/>
  <c r="C29" i="3"/>
  <c r="F29" i="3" s="1"/>
  <c r="G29" i="2"/>
  <c r="C33" i="3"/>
  <c r="F33" i="3" s="1"/>
  <c r="G33" i="2"/>
  <c r="C37" i="3"/>
  <c r="F37" i="3" s="1"/>
  <c r="G37" i="2"/>
  <c r="C50" i="3"/>
  <c r="D50" i="3" s="1"/>
  <c r="G50" i="2"/>
  <c r="C54" i="3"/>
  <c r="D54" i="3" s="1"/>
  <c r="G54" i="2"/>
  <c r="C58" i="3"/>
  <c r="D58" i="3" s="1"/>
  <c r="G58" i="2"/>
  <c r="C62" i="3"/>
  <c r="D62" i="3" s="1"/>
  <c r="G62" i="2"/>
  <c r="C66" i="3"/>
  <c r="D66" i="3" s="1"/>
  <c r="G66" i="2"/>
  <c r="C94" i="3"/>
  <c r="E94" i="3" s="1"/>
  <c r="G94" i="2"/>
  <c r="C107" i="3"/>
  <c r="G107" i="2"/>
  <c r="C111" i="3"/>
  <c r="E111" i="3" s="1"/>
  <c r="G111" i="2"/>
  <c r="C115" i="3"/>
  <c r="G115" i="2"/>
  <c r="C119" i="3"/>
  <c r="D119" i="3" s="1"/>
  <c r="G119" i="2"/>
  <c r="C123" i="3"/>
  <c r="E123" i="3" s="1"/>
  <c r="G123" i="2"/>
  <c r="C103" i="3"/>
  <c r="D103" i="3" s="1"/>
  <c r="G103" i="2"/>
  <c r="C80" i="8"/>
  <c r="E32" i="8"/>
  <c r="C21" i="9" s="1"/>
  <c r="C24" i="3"/>
  <c r="F24" i="3" s="1"/>
  <c r="G24" i="2"/>
  <c r="C48" i="3"/>
  <c r="D48" i="3" s="1"/>
  <c r="G48" i="2"/>
  <c r="G68" i="2" s="1"/>
  <c r="D13" i="8" s="1"/>
  <c r="C75" i="3"/>
  <c r="E75" i="3" s="1"/>
  <c r="G75" i="2"/>
  <c r="E103" i="3"/>
  <c r="D115" i="3"/>
  <c r="E115" i="3"/>
  <c r="D14" i="3"/>
  <c r="E14" i="3"/>
  <c r="C102" i="3"/>
  <c r="H125" i="2"/>
  <c r="D106" i="3"/>
  <c r="D110" i="3"/>
  <c r="E110" i="3"/>
  <c r="D114" i="3"/>
  <c r="D118" i="3"/>
  <c r="E118" i="3"/>
  <c r="D122" i="3"/>
  <c r="D123" i="3"/>
  <c r="D11" i="3"/>
  <c r="E11" i="3"/>
  <c r="C6" i="3"/>
  <c r="D10" i="3"/>
  <c r="E10" i="3"/>
  <c r="C136" i="3"/>
  <c r="H137" i="2"/>
  <c r="C23" i="3"/>
  <c r="H41" i="2"/>
  <c r="D27" i="3"/>
  <c r="D105" i="3"/>
  <c r="E105" i="3"/>
  <c r="E109" i="3"/>
  <c r="D113" i="3"/>
  <c r="E113" i="3"/>
  <c r="D117" i="3"/>
  <c r="D121" i="3"/>
  <c r="E121" i="3"/>
  <c r="F146" i="2"/>
  <c r="C128" i="3"/>
  <c r="H131" i="2"/>
  <c r="D107" i="3"/>
  <c r="E107" i="3"/>
  <c r="D13" i="3"/>
  <c r="E13" i="3"/>
  <c r="D129" i="3"/>
  <c r="E129" i="3"/>
  <c r="D26" i="3"/>
  <c r="E26" i="3"/>
  <c r="C47" i="3"/>
  <c r="H68" i="2"/>
  <c r="C74" i="3"/>
  <c r="H96" i="2"/>
  <c r="D108" i="3"/>
  <c r="E108" i="3"/>
  <c r="D112" i="3"/>
  <c r="E112" i="3"/>
  <c r="D116" i="3"/>
  <c r="E116" i="3"/>
  <c r="D120" i="3"/>
  <c r="E120" i="3"/>
  <c r="C139" i="2"/>
  <c r="C141" i="2" s="1"/>
  <c r="D139" i="2"/>
  <c r="D141" i="2" s="1"/>
  <c r="D148" i="2" s="1"/>
  <c r="E139" i="2"/>
  <c r="E141" i="2" s="1"/>
  <c r="E148" i="2" s="1"/>
  <c r="F137" i="2"/>
  <c r="F131" i="2"/>
  <c r="F17" i="2"/>
  <c r="F125" i="2"/>
  <c r="F68" i="2"/>
  <c r="C13" i="8" s="1"/>
  <c r="F41" i="2"/>
  <c r="C62" i="8" s="1"/>
  <c r="F96" i="2"/>
  <c r="C38" i="8" s="1"/>
  <c r="C40" i="8" l="1"/>
  <c r="E40" i="8" s="1"/>
  <c r="C15" i="8"/>
  <c r="E119" i="3"/>
  <c r="C59" i="8"/>
  <c r="C81" i="8"/>
  <c r="E57" i="8"/>
  <c r="C88" i="8"/>
  <c r="C42" i="8"/>
  <c r="D16" i="8"/>
  <c r="C86" i="8"/>
  <c r="C64" i="8"/>
  <c r="H146" i="2"/>
  <c r="G145" i="2"/>
  <c r="C145" i="3"/>
  <c r="E145" i="3" s="1"/>
  <c r="E146" i="3" s="1"/>
  <c r="E68" i="8"/>
  <c r="G143" i="2"/>
  <c r="C143" i="3"/>
  <c r="C87" i="8"/>
  <c r="C17" i="8"/>
  <c r="C39" i="8"/>
  <c r="C14" i="8"/>
  <c r="C89" i="8" s="1"/>
  <c r="H17" i="2"/>
  <c r="G96" i="2"/>
  <c r="D38" i="8" s="1"/>
  <c r="D88" i="8" s="1"/>
  <c r="G41" i="2"/>
  <c r="G125" i="2"/>
  <c r="C41" i="8"/>
  <c r="D41" i="8" s="1"/>
  <c r="C96" i="8"/>
  <c r="D14" i="8"/>
  <c r="D39" i="8"/>
  <c r="E39" i="8" s="1"/>
  <c r="D87" i="8"/>
  <c r="E13" i="8"/>
  <c r="E87" i="8" s="1"/>
  <c r="E80" i="8"/>
  <c r="E41" i="3"/>
  <c r="E37" i="8" s="1"/>
  <c r="H139" i="2"/>
  <c r="D41" i="3"/>
  <c r="E12" i="8" s="1"/>
  <c r="F26" i="3"/>
  <c r="F27" i="3"/>
  <c r="C131" i="3"/>
  <c r="E128" i="3"/>
  <c r="E131" i="3" s="1"/>
  <c r="D128" i="3"/>
  <c r="D131" i="3" s="1"/>
  <c r="C137" i="3"/>
  <c r="E136" i="3"/>
  <c r="E137" i="3" s="1"/>
  <c r="C125" i="3"/>
  <c r="D102" i="3"/>
  <c r="D125" i="3" s="1"/>
  <c r="E102" i="3"/>
  <c r="E125" i="3" s="1"/>
  <c r="E74" i="3"/>
  <c r="E96" i="3" s="1"/>
  <c r="C96" i="3"/>
  <c r="D47" i="3"/>
  <c r="D68" i="3" s="1"/>
  <c r="C68" i="3"/>
  <c r="C41" i="3"/>
  <c r="F23" i="3"/>
  <c r="C17" i="3"/>
  <c r="D6" i="3"/>
  <c r="C7" i="8" s="1"/>
  <c r="D4" i="3"/>
  <c r="C148" i="2"/>
  <c r="F139" i="2"/>
  <c r="F141" i="2" s="1"/>
  <c r="C92" i="8" l="1"/>
  <c r="D17" i="9"/>
  <c r="E17" i="9" s="1"/>
  <c r="E96" i="8"/>
  <c r="E38" i="8"/>
  <c r="E88" i="8" s="1"/>
  <c r="C146" i="3"/>
  <c r="F143" i="3"/>
  <c r="F146" i="3" s="1"/>
  <c r="C91" i="8"/>
  <c r="D21" i="9"/>
  <c r="E81" i="8"/>
  <c r="E59" i="8"/>
  <c r="C90" i="8"/>
  <c r="E15" i="8"/>
  <c r="E90" i="8" s="1"/>
  <c r="C66" i="8"/>
  <c r="C70" i="8" s="1"/>
  <c r="D68" i="8"/>
  <c r="D96" i="8" s="1"/>
  <c r="G146" i="2"/>
  <c r="D91" i="8"/>
  <c r="C6" i="9"/>
  <c r="C9" i="9" s="1"/>
  <c r="C13" i="9" s="1"/>
  <c r="E62" i="8"/>
  <c r="D6" i="9" s="1"/>
  <c r="D9" i="9" s="1"/>
  <c r="D13" i="9" s="1"/>
  <c r="D19" i="9" s="1"/>
  <c r="D23" i="9" s="1"/>
  <c r="F41" i="3"/>
  <c r="F139" i="3" s="1"/>
  <c r="F141" i="3" s="1"/>
  <c r="D89" i="8"/>
  <c r="E14" i="8"/>
  <c r="E89" i="8" s="1"/>
  <c r="C79" i="8"/>
  <c r="E7" i="8"/>
  <c r="B21" i="9" s="1"/>
  <c r="D37" i="8"/>
  <c r="D42" i="8" s="1"/>
  <c r="D44" i="8" s="1"/>
  <c r="D48" i="8" s="1"/>
  <c r="E42" i="8"/>
  <c r="D12" i="8"/>
  <c r="H141" i="2"/>
  <c r="G139" i="2"/>
  <c r="D9" i="3"/>
  <c r="E4" i="3"/>
  <c r="D15" i="3"/>
  <c r="D139" i="3"/>
  <c r="E139" i="3"/>
  <c r="C139" i="3"/>
  <c r="C141" i="3" s="1"/>
  <c r="C148" i="3" s="1"/>
  <c r="F148" i="2"/>
  <c r="F150" i="2" s="1"/>
  <c r="E21" i="9" l="1"/>
  <c r="F148" i="3"/>
  <c r="B6" i="9"/>
  <c r="B9" i="9" s="1"/>
  <c r="B13" i="9" s="1"/>
  <c r="E17" i="8"/>
  <c r="D62" i="8"/>
  <c r="D64" i="8" s="1"/>
  <c r="D66" i="8" s="1"/>
  <c r="D70" i="8" s="1"/>
  <c r="E86" i="8"/>
  <c r="E92" i="8" s="1"/>
  <c r="E64" i="8"/>
  <c r="E66" i="8" s="1"/>
  <c r="E70" i="8" s="1"/>
  <c r="D17" i="8"/>
  <c r="D19" i="8" s="1"/>
  <c r="D23" i="8" s="1"/>
  <c r="E79" i="8"/>
  <c r="H148" i="2"/>
  <c r="G141" i="2"/>
  <c r="G148" i="2" s="1"/>
  <c r="D17" i="3"/>
  <c r="C8" i="8" s="1"/>
  <c r="E9" i="3"/>
  <c r="E15" i="3"/>
  <c r="E6" i="9" l="1"/>
  <c r="E9" i="9" s="1"/>
  <c r="D86" i="8"/>
  <c r="D92" i="8" s="1"/>
  <c r="D94" i="8" s="1"/>
  <c r="D98" i="8" s="1"/>
  <c r="E13" i="9"/>
  <c r="E8" i="8"/>
  <c r="B15" i="9" s="1"/>
  <c r="B19" i="9" s="1"/>
  <c r="B23" i="9" s="1"/>
  <c r="C9" i="8"/>
  <c r="C19" i="8" s="1"/>
  <c r="C23" i="8" s="1"/>
  <c r="D141" i="3"/>
  <c r="E17" i="3"/>
  <c r="E9" i="8" l="1"/>
  <c r="E19" i="8" s="1"/>
  <c r="E23" i="8" s="1"/>
  <c r="E141" i="3"/>
  <c r="E148" i="3" s="1"/>
  <c r="C33" i="8"/>
  <c r="D148" i="3"/>
  <c r="E33" i="8" l="1"/>
  <c r="C15" i="9" s="1"/>
  <c r="C34" i="8"/>
  <c r="C44" i="8" s="1"/>
  <c r="C48" i="8" s="1"/>
  <c r="C82" i="8"/>
  <c r="C83" i="8" s="1"/>
  <c r="C94" i="8" s="1"/>
  <c r="C98" i="8" s="1"/>
  <c r="C19" i="9" l="1"/>
  <c r="C23" i="9" s="1"/>
  <c r="E15" i="9"/>
  <c r="E19" i="9" s="1"/>
  <c r="E23" i="9" s="1"/>
  <c r="E34" i="8"/>
  <c r="E44" i="8" s="1"/>
  <c r="E48" i="8" s="1"/>
  <c r="E82" i="8"/>
  <c r="E83" i="8" s="1"/>
  <c r="E94" i="8" s="1"/>
  <c r="E98" i="8" s="1"/>
</calcChain>
</file>

<file path=xl/comments1.xml><?xml version="1.0" encoding="utf-8"?>
<comments xmlns="http://schemas.openxmlformats.org/spreadsheetml/2006/main">
  <authors>
    <author>Window</author>
  </authors>
  <commentList>
    <comment ref="D20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Superintendent Salary.  Director of Finance Retires
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Superintendent Salary.  Director of Finance Retires
</t>
        </r>
      </text>
    </comment>
    <comment ref="C111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Chemicals are for lift stations only; therefore, allocate 100% to WW</t>
        </r>
      </text>
    </comment>
  </commentList>
</comments>
</file>

<file path=xl/comments2.xml><?xml version="1.0" encoding="utf-8"?>
<comments xmlns="http://schemas.openxmlformats.org/spreadsheetml/2006/main">
  <authors>
    <author>Window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Allocation of 2019 Superintendent and Director of Finance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Elimination of Director of Finance net of Base wage increases and CERS increases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Previous data did not have each asset assigned to departments and was allocated at 55% water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Includes new assets placed in service
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Allocation of 2019 Superintendent and Director of Finance
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Elimination of Director of Finance net of Base wage increases and CERS increases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Previous data did not have each asset assigned to departments and was allocated at 45% sewer
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Allocation of 2019 Superintendent and Director of Finance
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Elimination of Director of Finance net of Base wage increases and CERS increases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Previous data did not have each asset assigned to departments and was allocated at 45% sewer and 55% water
</t>
        </r>
      </text>
    </comment>
    <comment ref="C86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Allocation of 2019 Superintendent and Director of Finance
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Allocation of 2019 Superintendent and Director of Finance
</t>
        </r>
      </text>
    </comment>
    <comment ref="E86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Allocation of 2019 Superintendent and Director of Finance
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Previous data did not have each asset assigned to departments and was allocated at 45% sewer and 55% water
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Previous data did not have each asset assigned to departments and was allocated at 45% sewer and 55% water
</t>
        </r>
      </text>
    </comment>
    <comment ref="E91" authorId="0">
      <text>
        <r>
          <rPr>
            <b/>
            <sz val="9"/>
            <color indexed="81"/>
            <rFont val="Tahoma"/>
            <family val="2"/>
          </rPr>
          <t>Window:</t>
        </r>
        <r>
          <rPr>
            <sz val="9"/>
            <color indexed="81"/>
            <rFont val="Tahoma"/>
            <family val="2"/>
          </rPr>
          <t xml:space="preserve">
Previous data did not have each asset assigned to departments and was allocated at 45% sewer and 55% water
</t>
        </r>
      </text>
    </comment>
  </commentList>
</comments>
</file>

<file path=xl/sharedStrings.xml><?xml version="1.0" encoding="utf-8"?>
<sst xmlns="http://schemas.openxmlformats.org/spreadsheetml/2006/main" count="725" uniqueCount="317">
  <si>
    <t>Account</t>
  </si>
  <si>
    <t>Description</t>
  </si>
  <si>
    <t>Unadjusted 6/30/2019</t>
  </si>
  <si>
    <t>4065</t>
  </si>
  <si>
    <t>Interest Income</t>
  </si>
  <si>
    <t>4085</t>
  </si>
  <si>
    <t>Farm Rental Income</t>
  </si>
  <si>
    <t>500-6680</t>
  </si>
  <si>
    <t>Depreciation Expense</t>
  </si>
  <si>
    <t>4082</t>
  </si>
  <si>
    <t>Miscellaneous Income</t>
  </si>
  <si>
    <t>4087</t>
  </si>
  <si>
    <t>Recovery of Bad Debt</t>
  </si>
  <si>
    <t>4000</t>
  </si>
  <si>
    <t>Water Sales</t>
  </si>
  <si>
    <t>4010</t>
  </si>
  <si>
    <t>Sewer Sales</t>
  </si>
  <si>
    <t>4015</t>
  </si>
  <si>
    <t>Customer Service</t>
  </si>
  <si>
    <t>4020</t>
  </si>
  <si>
    <t>Penalty Income</t>
  </si>
  <si>
    <t>4030</t>
  </si>
  <si>
    <t>Sale of Stores</t>
  </si>
  <si>
    <t>4040</t>
  </si>
  <si>
    <t>Labor Sales</t>
  </si>
  <si>
    <t>4046</t>
  </si>
  <si>
    <t>Bank Customer ACH</t>
  </si>
  <si>
    <t>4050</t>
  </si>
  <si>
    <t>Equipment Rental</t>
  </si>
  <si>
    <t>4080</t>
  </si>
  <si>
    <t>Service Charge &amp; Connection Fees</t>
  </si>
  <si>
    <t>4095</t>
  </si>
  <si>
    <t>Pmt Plan Misc Invoices</t>
  </si>
  <si>
    <t>500-6676</t>
  </si>
  <si>
    <t>Interest Expense</t>
  </si>
  <si>
    <t>500-6678</t>
  </si>
  <si>
    <t>Int Exp WTP</t>
  </si>
  <si>
    <t>100-6010</t>
  </si>
  <si>
    <t>Salaries</t>
  </si>
  <si>
    <t>100-6020</t>
  </si>
  <si>
    <t>Payroll Tax</t>
  </si>
  <si>
    <t>100-6030</t>
  </si>
  <si>
    <t>Employee Benefits</t>
  </si>
  <si>
    <t>100-6040</t>
  </si>
  <si>
    <t>Uniforms</t>
  </si>
  <si>
    <t>100-6050</t>
  </si>
  <si>
    <t>Training Expense</t>
  </si>
  <si>
    <t>100-6060</t>
  </si>
  <si>
    <t>Retirement Funding</t>
  </si>
  <si>
    <t>100-6061</t>
  </si>
  <si>
    <t>Pension Expense</t>
  </si>
  <si>
    <t>100-6062</t>
  </si>
  <si>
    <t>OPEB Expense</t>
  </si>
  <si>
    <t>100-6070</t>
  </si>
  <si>
    <t>Utilities</t>
  </si>
  <si>
    <t>100-6080</t>
  </si>
  <si>
    <t>Gas and Oil</t>
  </si>
  <si>
    <t>100-6090</t>
  </si>
  <si>
    <t>Equipment Repair</t>
  </si>
  <si>
    <t>100-6100</t>
  </si>
  <si>
    <t>Supplies</t>
  </si>
  <si>
    <t>100-6110</t>
  </si>
  <si>
    <t>Insurance</t>
  </si>
  <si>
    <t>100-6121</t>
  </si>
  <si>
    <t>Professional Services</t>
  </si>
  <si>
    <t>100-6122</t>
  </si>
  <si>
    <t>Data Processing</t>
  </si>
  <si>
    <t>100-6130</t>
  </si>
  <si>
    <t>Miscellaneous Expense</t>
  </si>
  <si>
    <t>100-6135</t>
  </si>
  <si>
    <t>Postage</t>
  </si>
  <si>
    <t>100-6140</t>
  </si>
  <si>
    <t>Rental and Lease</t>
  </si>
  <si>
    <t>100-6160</t>
  </si>
  <si>
    <t>Tools &amp; Small Equipment</t>
  </si>
  <si>
    <t>100-6180</t>
  </si>
  <si>
    <t>Building Repair &amp; Maintenance</t>
  </si>
  <si>
    <t>100-6665</t>
  </si>
  <si>
    <t>Freight Expense</t>
  </si>
  <si>
    <t>500-6010</t>
  </si>
  <si>
    <t>500-6110</t>
  </si>
  <si>
    <t>500-6150</t>
  </si>
  <si>
    <t>Attorney Fees</t>
  </si>
  <si>
    <t>500-6699</t>
  </si>
  <si>
    <t>KIA Servicing Fee</t>
  </si>
  <si>
    <t>200-6010</t>
  </si>
  <si>
    <t>200-6020</t>
  </si>
  <si>
    <t>200-6030</t>
  </si>
  <si>
    <t>200-6040</t>
  </si>
  <si>
    <t>200-6050</t>
  </si>
  <si>
    <t>200-6060</t>
  </si>
  <si>
    <t>200-6061</t>
  </si>
  <si>
    <t>200-6062</t>
  </si>
  <si>
    <t>200-6070</t>
  </si>
  <si>
    <t>200-6080</t>
  </si>
  <si>
    <t>200-6090</t>
  </si>
  <si>
    <t>200-6100</t>
  </si>
  <si>
    <t>200-6105</t>
  </si>
  <si>
    <t>Chemicals</t>
  </si>
  <si>
    <t>200-6110</t>
  </si>
  <si>
    <t>200-6120</t>
  </si>
  <si>
    <t>Lab Fees</t>
  </si>
  <si>
    <t>200-6121</t>
  </si>
  <si>
    <t>200-6130</t>
  </si>
  <si>
    <t>200-6135</t>
  </si>
  <si>
    <t>200-6140</t>
  </si>
  <si>
    <t>200-6160</t>
  </si>
  <si>
    <t>200-6180</t>
  </si>
  <si>
    <t>200-6185</t>
  </si>
  <si>
    <t>Sludge Removal</t>
  </si>
  <si>
    <t>200-6660</t>
  </si>
  <si>
    <t>Misc. Material Ex</t>
  </si>
  <si>
    <t>200-6665</t>
  </si>
  <si>
    <t>300-6010</t>
  </si>
  <si>
    <t>300-6020</t>
  </si>
  <si>
    <t>300-6030</t>
  </si>
  <si>
    <t>300-6040</t>
  </si>
  <si>
    <t>300-6050</t>
  </si>
  <si>
    <t>300-6060</t>
  </si>
  <si>
    <t>300-6061</t>
  </si>
  <si>
    <t>300-6062</t>
  </si>
  <si>
    <t>300-6070</t>
  </si>
  <si>
    <t>300-6080</t>
  </si>
  <si>
    <t>300-6090</t>
  </si>
  <si>
    <t>300-6100</t>
  </si>
  <si>
    <t>300-6105</t>
  </si>
  <si>
    <t>300-6110</t>
  </si>
  <si>
    <t>300-6120</t>
  </si>
  <si>
    <t>300-6121</t>
  </si>
  <si>
    <t>300-6125</t>
  </si>
  <si>
    <t>Contracted Services</t>
  </si>
  <si>
    <t>300-6130</t>
  </si>
  <si>
    <t>300-6135</t>
  </si>
  <si>
    <t>300-6140</t>
  </si>
  <si>
    <t>300-6160</t>
  </si>
  <si>
    <t>300-6180</t>
  </si>
  <si>
    <t>300-6185</t>
  </si>
  <si>
    <t>300-6660</t>
  </si>
  <si>
    <t>300-6665</t>
  </si>
  <si>
    <t>400-6010</t>
  </si>
  <si>
    <t>400-6020</t>
  </si>
  <si>
    <t>400-6030</t>
  </si>
  <si>
    <t>400-6040</t>
  </si>
  <si>
    <t>400-6050</t>
  </si>
  <si>
    <t>400-6060</t>
  </si>
  <si>
    <t>400-6061</t>
  </si>
  <si>
    <t>400-6062</t>
  </si>
  <si>
    <t>400-6070</t>
  </si>
  <si>
    <t>400-6080</t>
  </si>
  <si>
    <t>400-6090</t>
  </si>
  <si>
    <t>400-6100</t>
  </si>
  <si>
    <t>400-6105</t>
  </si>
  <si>
    <t>400-6110</t>
  </si>
  <si>
    <t>400-6120</t>
  </si>
  <si>
    <t>400-6121</t>
  </si>
  <si>
    <t>400-6130</t>
  </si>
  <si>
    <t>400-6135</t>
  </si>
  <si>
    <t>400-6140</t>
  </si>
  <si>
    <t>400-6160</t>
  </si>
  <si>
    <t>400-6180</t>
  </si>
  <si>
    <t>400-6200</t>
  </si>
  <si>
    <t>Sewer Repair</t>
  </si>
  <si>
    <t>400-6650</t>
  </si>
  <si>
    <t>Inventory Expense</t>
  </si>
  <si>
    <t>400-6660</t>
  </si>
  <si>
    <t>400-6665</t>
  </si>
  <si>
    <t>400-6670</t>
  </si>
  <si>
    <t>Capital Cost/Labor</t>
  </si>
  <si>
    <t>PRINCETON WATER AND WASTEWATER COMMISSION</t>
  </si>
  <si>
    <t>ADJUSTED TRIAL BALANCE - JUNE 30, 2019</t>
  </si>
  <si>
    <t>Total Operating Revenues</t>
  </si>
  <si>
    <t>Administrative Expenses</t>
  </si>
  <si>
    <t>Water Treatment Expenses</t>
  </si>
  <si>
    <t>Wastewater Expenses</t>
  </si>
  <si>
    <t>Maintenance Expenses</t>
  </si>
  <si>
    <t>Commission Expenses</t>
  </si>
  <si>
    <t>Salaries (Commissioners)</t>
  </si>
  <si>
    <t>TOTAL OPERATING EXPENSES</t>
  </si>
  <si>
    <t>NET UTILITY INCOME FROM OPERATIONS</t>
  </si>
  <si>
    <t>Interest and Depreciation Expense</t>
  </si>
  <si>
    <t>Other Non-Operating Income</t>
  </si>
  <si>
    <t>TOTAL INCOME (LOSS)</t>
  </si>
  <si>
    <t>Water</t>
  </si>
  <si>
    <t>Sewer</t>
  </si>
  <si>
    <t>Administration</t>
  </si>
  <si>
    <t>Proportion of Wtr+Swr Sales</t>
  </si>
  <si>
    <t>Maintenance Allocation</t>
  </si>
  <si>
    <t>Pro Forma Adjustments</t>
  </si>
  <si>
    <t>Projected</t>
  </si>
  <si>
    <t>TOTALS FOR</t>
  </si>
  <si>
    <t>Wage &amp; Benefit Category</t>
  </si>
  <si>
    <t>Rates/Inc</t>
  </si>
  <si>
    <t>Base Wages</t>
  </si>
  <si>
    <t># Months of OT Input</t>
  </si>
  <si>
    <t>OT Hours YTD</t>
  </si>
  <si>
    <t>OT Hours Projected Annually</t>
  </si>
  <si>
    <t>Vacation Payout</t>
  </si>
  <si>
    <t>Christmas Bonus</t>
  </si>
  <si>
    <t>Total Gross Wages</t>
  </si>
  <si>
    <t>Retirement</t>
  </si>
  <si>
    <t>Social Security &amp; Medicare</t>
  </si>
  <si>
    <t>CERS Employer Match</t>
  </si>
  <si>
    <t>Health (first half) / month</t>
  </si>
  <si>
    <t>Health (second half) / month</t>
  </si>
  <si>
    <t>Health Administration Fee</t>
  </si>
  <si>
    <t>Dental / Month</t>
  </si>
  <si>
    <t>Vision / Month</t>
  </si>
  <si>
    <t>Life / Month</t>
  </si>
  <si>
    <t>Total Employee Benefits</t>
  </si>
  <si>
    <t>Total Compensation Package</t>
  </si>
  <si>
    <t>Combined</t>
  </si>
  <si>
    <t>2021</t>
  </si>
  <si>
    <t>WATER</t>
  </si>
  <si>
    <t>Call &amp; Overtime OR Lump Sum Retirement</t>
  </si>
  <si>
    <t>ADMIN</t>
  </si>
  <si>
    <t>WASTEWTR</t>
  </si>
  <si>
    <t>MAINT</t>
  </si>
  <si>
    <t>Adjusting JE  Debit</t>
  </si>
  <si>
    <t>Adjusting JE Credit</t>
  </si>
  <si>
    <t>Water Treatment Plant</t>
  </si>
  <si>
    <t>1/2 of Bi Annual lagoon cleaning</t>
  </si>
  <si>
    <t>Inv Adj in 2019.  See MOR projections</t>
  </si>
  <si>
    <t>Wastewater Treatment Plant</t>
  </si>
  <si>
    <t>Inc of 2.5% COLA on existing wages</t>
  </si>
  <si>
    <t>7.65% on new base wages</t>
  </si>
  <si>
    <t>Existing health insurance w/2.5% inc</t>
  </si>
  <si>
    <t>Energy Audit Implementation</t>
  </si>
  <si>
    <t xml:space="preserve">Maintenance </t>
  </si>
  <si>
    <t>Full staff of 7.  Base year not fully staffed</t>
  </si>
  <si>
    <t>Return to normal after RD capitalization</t>
  </si>
  <si>
    <t>12% on existing 24.06% = 26.95% X base</t>
  </si>
  <si>
    <t>Interest Expense WWTP</t>
  </si>
  <si>
    <t xml:space="preserve">NARUC Depreciation </t>
  </si>
  <si>
    <t>Average FY2021 - FY2023</t>
  </si>
  <si>
    <t>Unallocated Commission</t>
  </si>
  <si>
    <t>Lease on WWTP farm</t>
  </si>
  <si>
    <t>FINAL 2019</t>
  </si>
  <si>
    <t>Fiscal Year Operations</t>
  </si>
  <si>
    <t>PRO FORMA Adjustments</t>
  </si>
  <si>
    <t>Normal monthly fee of $500 x 12</t>
  </si>
  <si>
    <t>Operating Revenues</t>
  </si>
  <si>
    <t>Operating Expenses</t>
  </si>
  <si>
    <t>2019 Fiscal Year Operations</t>
  </si>
  <si>
    <t>Pro Forma Operations</t>
  </si>
  <si>
    <t>Pro Forma Operations - PWWC Water</t>
  </si>
  <si>
    <t>Net Utility Income</t>
  </si>
  <si>
    <t>Non-Utility Income</t>
  </si>
  <si>
    <t>Income Available for Debt Service</t>
  </si>
  <si>
    <t>PRO FORMA Operations</t>
  </si>
  <si>
    <t>Inv Adj in Base Year.  Normalized costs.</t>
  </si>
  <si>
    <t>Misc Inc is insurance payments (Non-recurring)</t>
  </si>
  <si>
    <t>Average FY2021 - FY2023 with New RD Loan</t>
  </si>
  <si>
    <t>Pro Forma</t>
  </si>
  <si>
    <t>FY2019</t>
  </si>
  <si>
    <t>Tax</t>
  </si>
  <si>
    <t>Revised Prior</t>
  </si>
  <si>
    <t>Revised Current</t>
  </si>
  <si>
    <t>Revised Ending</t>
  </si>
  <si>
    <t>Tax Prior</t>
  </si>
  <si>
    <t>Tax Current</t>
  </si>
  <si>
    <t>Department / Asset Group</t>
  </si>
  <si>
    <t>Cost</t>
  </si>
  <si>
    <t>Depreciation</t>
  </si>
  <si>
    <t>Net Book Value</t>
  </si>
  <si>
    <t>End Depr</t>
  </si>
  <si>
    <t>Office Furniture &amp; Equipment</t>
  </si>
  <si>
    <t>Misc Buildings &amp; Improvements</t>
  </si>
  <si>
    <t>Autos &amp; Trucks</t>
  </si>
  <si>
    <t xml:space="preserve"> Administration Depreciation</t>
  </si>
  <si>
    <t>Water Treatment &amp; Distribution</t>
  </si>
  <si>
    <t>Water Distribution &amp; Transmission Mains</t>
  </si>
  <si>
    <t>Water Treatment Plant &amp; Pumping Equipment</t>
  </si>
  <si>
    <t>Fire Hydrants</t>
  </si>
  <si>
    <t>Water Tower</t>
  </si>
  <si>
    <t>Lab Equipment, Tools, Shop &amp; Garage Equip</t>
  </si>
  <si>
    <t>New Assets placed in Service</t>
  </si>
  <si>
    <t>Water Depreciation</t>
  </si>
  <si>
    <t>Wastewater Treatment &amp; Disposal</t>
  </si>
  <si>
    <t>Wastewater Disposal &amp; Treatment</t>
  </si>
  <si>
    <t>Sewer Lines &amp; Laterals</t>
  </si>
  <si>
    <t>Maintenance</t>
  </si>
  <si>
    <t>Tools &amp; Equipment</t>
  </si>
  <si>
    <t>PWWC Total Depreciation Comparison</t>
  </si>
  <si>
    <t>Wastewater Depreciation</t>
  </si>
  <si>
    <t>Maintenance Depreciation</t>
  </si>
  <si>
    <t>Individual assets now categorized by departmental &amp; adjusted for NARUC</t>
  </si>
  <si>
    <t>Total Operating Expenses</t>
  </si>
  <si>
    <t>Director of Finance Retiring</t>
  </si>
  <si>
    <t>Full staff of 7 versus 5 for most of 2019 FY</t>
  </si>
  <si>
    <t>Bi-Annual Sludge Removal &amp; Chemical Inventory adjustment</t>
  </si>
  <si>
    <t>Pro Forma Operations - PWWC Wastewater</t>
  </si>
  <si>
    <t>Wastewater</t>
  </si>
  <si>
    <t>Energy Audit results net of base wage increases &amp; CERS</t>
  </si>
  <si>
    <t>Individual assets now categorized by department &amp; adjusted for NARUC</t>
  </si>
  <si>
    <t>Pro Forma Operations - PWWC Administration</t>
  </si>
  <si>
    <t>Director of Finance Retiring but new full time admin position added</t>
  </si>
  <si>
    <t>Pro Forma Operations - PWWC Combined Operations</t>
  </si>
  <si>
    <t>Wastewater Services</t>
  </si>
  <si>
    <t>Customer Service Fees</t>
  </si>
  <si>
    <t>Other Utility Services</t>
  </si>
  <si>
    <t>Other Utility Income</t>
  </si>
  <si>
    <t>Wastewater Sales</t>
  </si>
  <si>
    <t>Other Service Income</t>
  </si>
  <si>
    <t>Pro Forma Operation &amp; Maintenance Expenses</t>
  </si>
  <si>
    <t>Pro Forma Depreciation</t>
  </si>
  <si>
    <t>Pro Forma Operating Expenses</t>
  </si>
  <si>
    <t>PLUS:  Avg Annual Debt Principal and Interest Payments</t>
  </si>
  <si>
    <t>PLUS:  Debt Coverage Requirement</t>
  </si>
  <si>
    <t>Total Revenue Requirements</t>
  </si>
  <si>
    <t>Admin</t>
  </si>
  <si>
    <t>LESS:  Other Operating Revenue</t>
  </si>
  <si>
    <t>LESS:  Non-Operating Income</t>
  </si>
  <si>
    <t>LESS:  Interest Income</t>
  </si>
  <si>
    <t>Revenue Required from Rates</t>
  </si>
  <si>
    <t>LESS:  Normalized Revenues from Sales</t>
  </si>
  <si>
    <t>Required Revenue Increase/(Decrease)</t>
  </si>
  <si>
    <t>Percentage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</si>
</sst>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0.00_);_(@_)"/>
    <numFmt numFmtId="165" formatCode="_(* #,##0_);_(* \(#,##0\);_(* &quot;-&quot;??_);_(@_)"/>
    <numFmt numFmtId="166" formatCode="0.0%"/>
    <numFmt numFmtId="167" formatCode="mm/dd/yy;@"/>
    <numFmt numFmtId="168" formatCode="_(&quot;$&quot;* #,##0_);_(&quot;$&quot;* \(#,##0\);_(&quot;$&quot;* &quot;-&quot;??_);_(@_)"/>
  </numFmts>
  <fonts count="1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 val="singleAccounting"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Border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0">
    <xf numFmtId="0" fontId="0" fillId="0" borderId="0" xfId="0" applyNumberFormat="1" applyFill="1" applyAlignment="1" applyProtection="1"/>
    <xf numFmtId="49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/>
    <xf numFmtId="49" fontId="1" fillId="0" borderId="1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165" fontId="0" fillId="0" borderId="0" xfId="1" applyNumberFormat="1" applyFont="1" applyFill="1" applyAlignment="1" applyProtection="1"/>
    <xf numFmtId="0" fontId="1" fillId="0" borderId="0" xfId="0" applyNumberFormat="1" applyFont="1" applyFill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165" fontId="0" fillId="0" borderId="3" xfId="1" applyNumberFormat="1" applyFont="1" applyFill="1" applyBorder="1" applyAlignment="1" applyProtection="1"/>
    <xf numFmtId="9" fontId="0" fillId="0" borderId="0" xfId="3" applyFont="1" applyFill="1" applyAlignment="1" applyProtection="1"/>
    <xf numFmtId="166" fontId="0" fillId="0" borderId="0" xfId="3" applyNumberFormat="1" applyFont="1" applyFill="1" applyAlignment="1" applyProtection="1"/>
    <xf numFmtId="166" fontId="0" fillId="0" borderId="0" xfId="0" applyNumberFormat="1" applyFill="1" applyAlignment="1" applyProtection="1"/>
    <xf numFmtId="165" fontId="1" fillId="0" borderId="0" xfId="1" applyNumberFormat="1" applyFont="1" applyFill="1" applyAlignment="1" applyProtection="1"/>
    <xf numFmtId="165" fontId="2" fillId="0" borderId="3" xfId="1" applyNumberFormat="1" applyFont="1" applyFill="1" applyBorder="1" applyAlignment="1" applyProtection="1"/>
    <xf numFmtId="0" fontId="5" fillId="0" borderId="0" xfId="0" applyFont="1"/>
    <xf numFmtId="44" fontId="5" fillId="0" borderId="0" xfId="2" applyFont="1"/>
    <xf numFmtId="0" fontId="6" fillId="0" borderId="0" xfId="0" applyFont="1" applyAlignment="1">
      <alignment horizontal="center"/>
    </xf>
    <xf numFmtId="165" fontId="4" fillId="0" borderId="0" xfId="1" applyNumberFormat="1" applyFont="1" applyFill="1" applyAlignment="1" applyProtection="1"/>
    <xf numFmtId="0" fontId="4" fillId="0" borderId="0" xfId="0" applyNumberFormat="1" applyFont="1" applyFill="1" applyAlignment="1" applyProtection="1"/>
    <xf numFmtId="165" fontId="1" fillId="0" borderId="1" xfId="1" applyNumberFormat="1" applyFont="1" applyFill="1" applyBorder="1" applyAlignment="1" applyProtection="1"/>
    <xf numFmtId="165" fontId="3" fillId="0" borderId="3" xfId="1" applyNumberFormat="1" applyFont="1" applyFill="1" applyBorder="1" applyAlignment="1" applyProtection="1"/>
    <xf numFmtId="165" fontId="0" fillId="0" borderId="0" xfId="0" applyNumberFormat="1" applyFill="1" applyAlignment="1" applyProtection="1"/>
    <xf numFmtId="167" fontId="5" fillId="0" borderId="0" xfId="0" applyNumberFormat="1" applyFont="1"/>
    <xf numFmtId="167" fontId="6" fillId="0" borderId="0" xfId="0" quotePrefix="1" applyNumberFormat="1" applyFont="1" applyAlignment="1">
      <alignment horizontal="center"/>
    </xf>
    <xf numFmtId="0" fontId="6" fillId="0" borderId="0" xfId="0" applyFont="1"/>
    <xf numFmtId="167" fontId="6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10" fontId="5" fillId="0" borderId="0" xfId="0" applyNumberFormat="1" applyFont="1"/>
    <xf numFmtId="44" fontId="5" fillId="0" borderId="0" xfId="0" applyNumberFormat="1" applyFont="1"/>
    <xf numFmtId="0" fontId="6" fillId="0" borderId="0" xfId="0" applyFont="1" applyAlignment="1">
      <alignment horizontal="right"/>
    </xf>
    <xf numFmtId="168" fontId="6" fillId="0" borderId="0" xfId="2" applyNumberFormat="1" applyFont="1"/>
    <xf numFmtId="168" fontId="6" fillId="0" borderId="0" xfId="0" applyNumberFormat="1" applyFont="1"/>
    <xf numFmtId="0" fontId="5" fillId="2" borderId="4" xfId="0" applyFont="1" applyFill="1" applyBorder="1"/>
    <xf numFmtId="43" fontId="5" fillId="2" borderId="4" xfId="1" applyFont="1" applyFill="1" applyBorder="1"/>
    <xf numFmtId="43" fontId="5" fillId="0" borderId="0" xfId="1" applyFont="1"/>
    <xf numFmtId="168" fontId="5" fillId="0" borderId="0" xfId="2" applyNumberFormat="1" applyFont="1"/>
    <xf numFmtId="168" fontId="5" fillId="0" borderId="0" xfId="0" applyNumberFormat="1" applyFont="1"/>
    <xf numFmtId="168" fontId="5" fillId="0" borderId="3" xfId="2" applyNumberFormat="1" applyFont="1" applyBorder="1"/>
    <xf numFmtId="168" fontId="5" fillId="2" borderId="4" xfId="2" applyNumberFormat="1" applyFont="1" applyFill="1" applyBorder="1"/>
    <xf numFmtId="0" fontId="1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center"/>
    </xf>
    <xf numFmtId="165" fontId="0" fillId="0" borderId="0" xfId="1" applyNumberFormat="1" applyFont="1" applyFill="1" applyBorder="1" applyAlignment="1" applyProtection="1"/>
    <xf numFmtId="165" fontId="3" fillId="0" borderId="0" xfId="1" applyNumberFormat="1" applyFont="1" applyFill="1" applyBorder="1" applyAlignment="1" applyProtection="1"/>
    <xf numFmtId="165" fontId="4" fillId="0" borderId="0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/>
    <xf numFmtId="165" fontId="4" fillId="0" borderId="2" xfId="1" applyNumberFormat="1" applyFont="1" applyFill="1" applyBorder="1" applyAlignment="1" applyProtection="1"/>
    <xf numFmtId="168" fontId="5" fillId="0" borderId="3" xfId="0" applyNumberFormat="1" applyFont="1" applyBorder="1"/>
    <xf numFmtId="168" fontId="5" fillId="2" borderId="4" xfId="0" applyNumberFormat="1" applyFont="1" applyFill="1" applyBorder="1"/>
    <xf numFmtId="49" fontId="1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/>
    <xf numFmtId="165" fontId="2" fillId="0" borderId="0" xfId="1" applyNumberFormat="1" applyFont="1" applyFill="1" applyBorder="1" applyAlignment="1" applyProtection="1"/>
    <xf numFmtId="165" fontId="7" fillId="0" borderId="0" xfId="1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Alignment="1" applyProtection="1"/>
    <xf numFmtId="0" fontId="0" fillId="0" borderId="0" xfId="0" applyNumberFormat="1" applyFont="1" applyFill="1" applyAlignment="1" applyProtection="1"/>
    <xf numFmtId="0" fontId="9" fillId="0" borderId="0" xfId="0" applyNumberFormat="1" applyFont="1" applyFill="1" applyAlignment="1" applyProtection="1"/>
    <xf numFmtId="0" fontId="9" fillId="0" borderId="0" xfId="0" applyNumberFormat="1" applyFont="1" applyFill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/>
    <xf numFmtId="0" fontId="9" fillId="0" borderId="0" xfId="0" applyNumberFormat="1" applyFont="1" applyFill="1" applyAlignment="1" applyProtection="1">
      <alignment horizontal="right"/>
    </xf>
    <xf numFmtId="165" fontId="8" fillId="0" borderId="0" xfId="1" applyNumberFormat="1" applyFont="1" applyFill="1" applyAlignment="1" applyProtection="1"/>
    <xf numFmtId="165" fontId="9" fillId="0" borderId="0" xfId="1" applyNumberFormat="1" applyFont="1" applyFill="1" applyAlignment="1" applyProtection="1"/>
    <xf numFmtId="165" fontId="8" fillId="0" borderId="3" xfId="1" applyNumberFormat="1" applyFont="1" applyFill="1" applyBorder="1" applyAlignment="1" applyProtection="1"/>
    <xf numFmtId="168" fontId="9" fillId="0" borderId="0" xfId="2" applyNumberFormat="1" applyFont="1" applyFill="1" applyAlignment="1" applyProtection="1"/>
    <xf numFmtId="165" fontId="4" fillId="0" borderId="0" xfId="0" applyNumberFormat="1" applyFont="1" applyFill="1" applyAlignment="1" applyProtection="1"/>
    <xf numFmtId="168" fontId="0" fillId="0" borderId="0" xfId="2" applyNumberFormat="1" applyFont="1" applyFill="1" applyAlignment="1" applyProtection="1"/>
    <xf numFmtId="168" fontId="0" fillId="0" borderId="3" xfId="2" applyNumberFormat="1" applyFont="1" applyFill="1" applyBorder="1" applyAlignment="1" applyProtection="1"/>
    <xf numFmtId="168" fontId="0" fillId="0" borderId="0" xfId="2" applyNumberFormat="1" applyFont="1" applyFill="1" applyBorder="1" applyAlignment="1" applyProtection="1"/>
    <xf numFmtId="168" fontId="0" fillId="0" borderId="0" xfId="0" applyNumberFormat="1" applyFill="1" applyAlignment="1" applyProtection="1"/>
    <xf numFmtId="168" fontId="1" fillId="0" borderId="0" xfId="2" applyNumberFormat="1" applyFont="1" applyFill="1" applyAlignment="1" applyProtection="1"/>
    <xf numFmtId="168" fontId="1" fillId="0" borderId="0" xfId="2" applyNumberFormat="1" applyFont="1" applyFill="1" applyBorder="1" applyAlignment="1" applyProtection="1"/>
    <xf numFmtId="168" fontId="1" fillId="0" borderId="0" xfId="0" applyNumberFormat="1" applyFont="1" applyFill="1" applyAlignment="1" applyProtection="1"/>
    <xf numFmtId="168" fontId="2" fillId="0" borderId="0" xfId="2" applyNumberFormat="1" applyFont="1" applyFill="1" applyAlignment="1" applyProtection="1"/>
    <xf numFmtId="44" fontId="1" fillId="0" borderId="0" xfId="2" applyFont="1" applyFill="1" applyAlignment="1" applyProtection="1"/>
    <xf numFmtId="168" fontId="0" fillId="0" borderId="3" xfId="0" applyNumberFormat="1" applyFont="1" applyFill="1" applyBorder="1" applyAlignment="1" applyProtection="1"/>
    <xf numFmtId="168" fontId="2" fillId="0" borderId="3" xfId="2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4" fontId="0" fillId="0" borderId="0" xfId="2" applyFont="1" applyFill="1" applyBorder="1" applyAlignment="1" applyProtection="1">
      <alignment horizontal="center" vertical="center" wrapText="1"/>
    </xf>
    <xf numFmtId="44" fontId="0" fillId="0" borderId="3" xfId="2" applyFont="1" applyFill="1" applyBorder="1" applyAlignment="1" applyProtection="1">
      <alignment horizontal="center" vertical="center" wrapText="1"/>
    </xf>
    <xf numFmtId="168" fontId="0" fillId="0" borderId="0" xfId="2" applyNumberFormat="1" applyFont="1" applyFill="1" applyBorder="1" applyAlignment="1" applyProtection="1">
      <alignment horizontal="center" vertical="center" wrapText="1"/>
    </xf>
    <xf numFmtId="168" fontId="0" fillId="0" borderId="3" xfId="2" applyNumberFormat="1" applyFont="1" applyFill="1" applyBorder="1" applyAlignment="1" applyProtection="1">
      <alignment horizontal="center" vertical="center" wrapText="1"/>
    </xf>
    <xf numFmtId="168" fontId="0" fillId="0" borderId="0" xfId="0" applyNumberFormat="1" applyFont="1" applyFill="1" applyBorder="1" applyAlignment="1" applyProtection="1">
      <alignment horizontal="center" vertical="center" wrapText="1"/>
    </xf>
    <xf numFmtId="168" fontId="0" fillId="0" borderId="3" xfId="0" applyNumberFormat="1" applyFont="1" applyFill="1" applyBorder="1" applyAlignment="1" applyProtection="1">
      <alignment horizontal="center" vertical="center" wrapText="1"/>
    </xf>
    <xf numFmtId="168" fontId="8" fillId="0" borderId="0" xfId="2" applyNumberFormat="1" applyFont="1" applyFill="1" applyAlignment="1" applyProtection="1"/>
    <xf numFmtId="168" fontId="8" fillId="0" borderId="3" xfId="2" applyNumberFormat="1" applyFont="1" applyFill="1" applyBorder="1" applyAlignment="1" applyProtection="1"/>
    <xf numFmtId="168" fontId="9" fillId="0" borderId="3" xfId="2" applyNumberFormat="1" applyFont="1" applyFill="1" applyBorder="1" applyAlignment="1" applyProtection="1">
      <alignment horizontal="center"/>
    </xf>
    <xf numFmtId="168" fontId="8" fillId="0" borderId="0" xfId="0" applyNumberFormat="1" applyFont="1" applyFill="1" applyAlignment="1" applyProtection="1"/>
    <xf numFmtId="0" fontId="8" fillId="0" borderId="0" xfId="0" applyNumberFormat="1" applyFont="1" applyFill="1" applyAlignment="1" applyProtection="1">
      <alignment horizontal="right"/>
    </xf>
    <xf numFmtId="166" fontId="8" fillId="0" borderId="0" xfId="3" applyNumberFormat="1" applyFont="1" applyFill="1" applyAlignment="1" applyProtection="1"/>
    <xf numFmtId="165" fontId="1" fillId="0" borderId="0" xfId="1" applyNumberFormat="1" applyFont="1" applyFill="1" applyBorder="1" applyAlignment="1" applyProtection="1">
      <alignment horizontal="center" vertical="center" wrapText="1"/>
    </xf>
    <xf numFmtId="165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wrapText="1"/>
    </xf>
    <xf numFmtId="49" fontId="1" fillId="0" borderId="1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right"/>
    </xf>
    <xf numFmtId="0" fontId="9" fillId="0" borderId="3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Owner\Documents\NEW%20Salary%20Worksheet%20FY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 &amp; Totals"/>
      <sheetName val="Admin"/>
      <sheetName val="WTP"/>
      <sheetName val="WWTP"/>
      <sheetName val="MAINT"/>
    </sheetNames>
    <sheetDataSet>
      <sheetData sheetId="0">
        <row r="6">
          <cell r="B6">
            <v>0.06</v>
          </cell>
        </row>
      </sheetData>
      <sheetData sheetId="1">
        <row r="2">
          <cell r="B2" t="str">
            <v>2021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opLeftCell="A102" workbookViewId="0">
      <selection activeCell="F150" sqref="F150"/>
    </sheetView>
  </sheetViews>
  <sheetFormatPr defaultRowHeight="15" x14ac:dyDescent="0.25"/>
  <cols>
    <col min="1" max="1" width="9" style="5" customWidth="1"/>
    <col min="2" max="2" width="32.7109375" style="2" customWidth="1"/>
    <col min="3" max="3" width="14.7109375" style="2" customWidth="1"/>
    <col min="4" max="4" width="12.28515625" style="2" customWidth="1"/>
    <col min="5" max="5" width="10.5703125" style="2" customWidth="1"/>
    <col min="6" max="7" width="14.7109375" style="2" customWidth="1"/>
    <col min="8" max="8" width="13.140625" style="55" customWidth="1"/>
    <col min="9" max="9" width="43" style="2" customWidth="1"/>
    <col min="10" max="16384" width="9.140625" style="2"/>
  </cols>
  <sheetData>
    <row r="1" spans="1:8" x14ac:dyDescent="0.25">
      <c r="A1" s="108" t="s">
        <v>168</v>
      </c>
      <c r="B1" s="108"/>
      <c r="C1" s="108"/>
      <c r="D1" s="108"/>
      <c r="E1" s="108"/>
      <c r="F1" s="108"/>
      <c r="G1" s="54"/>
    </row>
    <row r="2" spans="1:8" x14ac:dyDescent="0.25">
      <c r="A2" s="108" t="s">
        <v>169</v>
      </c>
      <c r="B2" s="108"/>
      <c r="C2" s="108"/>
      <c r="D2" s="108"/>
      <c r="E2" s="108"/>
      <c r="F2" s="108"/>
      <c r="G2" s="54"/>
    </row>
    <row r="3" spans="1:8" x14ac:dyDescent="0.25">
      <c r="F3" s="52" t="s">
        <v>236</v>
      </c>
      <c r="G3" s="54"/>
    </row>
    <row r="4" spans="1:8" ht="15" customHeight="1" x14ac:dyDescent="0.25">
      <c r="C4" s="110" t="s">
        <v>2</v>
      </c>
      <c r="D4" s="106" t="s">
        <v>217</v>
      </c>
      <c r="E4" s="106" t="s">
        <v>218</v>
      </c>
      <c r="F4" s="106" t="s">
        <v>237</v>
      </c>
      <c r="G4" s="104" t="s">
        <v>238</v>
      </c>
      <c r="H4" s="104" t="s">
        <v>248</v>
      </c>
    </row>
    <row r="5" spans="1:8" ht="15.75" thickBot="1" x14ac:dyDescent="0.3">
      <c r="A5" s="6" t="s">
        <v>0</v>
      </c>
      <c r="B5" s="4" t="s">
        <v>1</v>
      </c>
      <c r="C5" s="111"/>
      <c r="D5" s="107"/>
      <c r="E5" s="107"/>
      <c r="F5" s="107"/>
      <c r="G5" s="105"/>
      <c r="H5" s="105"/>
    </row>
    <row r="6" spans="1:8" x14ac:dyDescent="0.25">
      <c r="A6" s="7" t="s">
        <v>13</v>
      </c>
      <c r="B6" s="1" t="s">
        <v>14</v>
      </c>
      <c r="C6" s="55">
        <v>1520209</v>
      </c>
      <c r="D6" s="55">
        <v>0</v>
      </c>
      <c r="E6" s="55">
        <v>0</v>
      </c>
      <c r="F6" s="55">
        <f t="shared" ref="F6:F16" si="0">C6+D6-E6</f>
        <v>1520209</v>
      </c>
      <c r="G6" s="55">
        <v>0</v>
      </c>
      <c r="H6" s="55">
        <f>F6</f>
        <v>1520209</v>
      </c>
    </row>
    <row r="7" spans="1:8" x14ac:dyDescent="0.25">
      <c r="A7" s="7" t="s">
        <v>15</v>
      </c>
      <c r="B7" s="1" t="s">
        <v>16</v>
      </c>
      <c r="C7" s="55">
        <v>1340418</v>
      </c>
      <c r="D7" s="55">
        <v>0</v>
      </c>
      <c r="E7" s="55">
        <v>0</v>
      </c>
      <c r="F7" s="55">
        <f t="shared" si="0"/>
        <v>1340418</v>
      </c>
      <c r="G7" s="55">
        <v>0</v>
      </c>
      <c r="H7" s="55">
        <f>F7</f>
        <v>1340418</v>
      </c>
    </row>
    <row r="8" spans="1:8" x14ac:dyDescent="0.25">
      <c r="A8" s="7" t="s">
        <v>17</v>
      </c>
      <c r="B8" s="1" t="s">
        <v>18</v>
      </c>
      <c r="C8" s="55">
        <v>198648</v>
      </c>
      <c r="D8" s="55">
        <v>0</v>
      </c>
      <c r="E8" s="55">
        <v>0</v>
      </c>
      <c r="F8" s="55">
        <f t="shared" si="0"/>
        <v>198648</v>
      </c>
      <c r="G8" s="55">
        <v>0</v>
      </c>
      <c r="H8" s="55">
        <f>F8</f>
        <v>198648</v>
      </c>
    </row>
    <row r="9" spans="1:8" x14ac:dyDescent="0.25">
      <c r="A9" s="7" t="s">
        <v>19</v>
      </c>
      <c r="B9" s="1" t="s">
        <v>20</v>
      </c>
      <c r="C9" s="55">
        <v>58701</v>
      </c>
      <c r="D9" s="55">
        <v>0</v>
      </c>
      <c r="E9" s="55">
        <v>0</v>
      </c>
      <c r="F9" s="55">
        <f t="shared" si="0"/>
        <v>58701</v>
      </c>
      <c r="G9" s="55">
        <v>0</v>
      </c>
      <c r="H9" s="55">
        <f>F9</f>
        <v>58701</v>
      </c>
    </row>
    <row r="10" spans="1:8" x14ac:dyDescent="0.25">
      <c r="A10" s="7" t="s">
        <v>21</v>
      </c>
      <c r="B10" s="1" t="s">
        <v>22</v>
      </c>
      <c r="C10" s="55">
        <v>11661</v>
      </c>
      <c r="D10" s="55">
        <v>0</v>
      </c>
      <c r="E10" s="55">
        <v>0</v>
      </c>
      <c r="F10" s="55">
        <f t="shared" si="0"/>
        <v>11661</v>
      </c>
      <c r="G10" s="55">
        <v>0</v>
      </c>
      <c r="H10" s="55">
        <f t="shared" ref="H10:H16" si="1">F10</f>
        <v>11661</v>
      </c>
    </row>
    <row r="11" spans="1:8" x14ac:dyDescent="0.25">
      <c r="A11" s="7" t="s">
        <v>23</v>
      </c>
      <c r="B11" s="1" t="s">
        <v>24</v>
      </c>
      <c r="C11" s="55">
        <v>6200</v>
      </c>
      <c r="D11" s="55">
        <v>0</v>
      </c>
      <c r="E11" s="55">
        <v>0</v>
      </c>
      <c r="F11" s="55">
        <f t="shared" si="0"/>
        <v>6200</v>
      </c>
      <c r="G11" s="55">
        <v>0</v>
      </c>
      <c r="H11" s="55">
        <f t="shared" si="1"/>
        <v>6200</v>
      </c>
    </row>
    <row r="12" spans="1:8" x14ac:dyDescent="0.25">
      <c r="A12" s="7" t="s">
        <v>25</v>
      </c>
      <c r="B12" s="1" t="s">
        <v>26</v>
      </c>
      <c r="C12" s="55">
        <v>1403</v>
      </c>
      <c r="D12" s="55">
        <v>0</v>
      </c>
      <c r="E12" s="55">
        <v>0</v>
      </c>
      <c r="F12" s="55">
        <f t="shared" si="0"/>
        <v>1403</v>
      </c>
      <c r="G12" s="55">
        <v>0</v>
      </c>
      <c r="H12" s="55">
        <f t="shared" si="1"/>
        <v>1403</v>
      </c>
    </row>
    <row r="13" spans="1:8" x14ac:dyDescent="0.25">
      <c r="A13" s="7" t="s">
        <v>27</v>
      </c>
      <c r="B13" s="1" t="s">
        <v>28</v>
      </c>
      <c r="C13" s="55">
        <v>4428</v>
      </c>
      <c r="D13" s="55">
        <v>0</v>
      </c>
      <c r="E13" s="55">
        <v>0</v>
      </c>
      <c r="F13" s="55">
        <f t="shared" si="0"/>
        <v>4428</v>
      </c>
      <c r="G13" s="55">
        <v>0</v>
      </c>
      <c r="H13" s="55">
        <f t="shared" si="1"/>
        <v>4428</v>
      </c>
    </row>
    <row r="14" spans="1:8" x14ac:dyDescent="0.25">
      <c r="A14" s="7" t="s">
        <v>29</v>
      </c>
      <c r="B14" s="1" t="s">
        <v>30</v>
      </c>
      <c r="C14" s="55">
        <v>20575</v>
      </c>
      <c r="D14" s="55">
        <v>0</v>
      </c>
      <c r="E14" s="55">
        <v>0</v>
      </c>
      <c r="F14" s="55">
        <f t="shared" si="0"/>
        <v>20575</v>
      </c>
      <c r="G14" s="55">
        <v>0</v>
      </c>
      <c r="H14" s="55">
        <f t="shared" si="1"/>
        <v>20575</v>
      </c>
    </row>
    <row r="15" spans="1:8" x14ac:dyDescent="0.25">
      <c r="A15" s="7" t="s">
        <v>11</v>
      </c>
      <c r="B15" s="1" t="s">
        <v>12</v>
      </c>
      <c r="C15" s="55">
        <v>-2745</v>
      </c>
      <c r="D15" s="55">
        <v>0</v>
      </c>
      <c r="E15" s="55">
        <v>0</v>
      </c>
      <c r="F15" s="55">
        <f t="shared" si="0"/>
        <v>-2745</v>
      </c>
      <c r="G15" s="55">
        <v>0</v>
      </c>
      <c r="H15" s="55">
        <f t="shared" si="1"/>
        <v>-2745</v>
      </c>
    </row>
    <row r="16" spans="1:8" ht="17.25" x14ac:dyDescent="0.4">
      <c r="A16" s="7" t="s">
        <v>31</v>
      </c>
      <c r="B16" s="1" t="s">
        <v>32</v>
      </c>
      <c r="C16" s="56">
        <v>2297</v>
      </c>
      <c r="D16" s="56">
        <v>0</v>
      </c>
      <c r="E16" s="56">
        <v>0</v>
      </c>
      <c r="F16" s="56">
        <f t="shared" si="0"/>
        <v>2297</v>
      </c>
      <c r="G16" s="56">
        <v>0</v>
      </c>
      <c r="H16" s="56">
        <f t="shared" si="1"/>
        <v>2297</v>
      </c>
    </row>
    <row r="17" spans="1:9" s="15" customFormat="1" ht="15.75" x14ac:dyDescent="0.25">
      <c r="A17" s="13"/>
      <c r="B17" s="53" t="s">
        <v>170</v>
      </c>
      <c r="C17" s="57">
        <f t="shared" ref="C17:H17" si="2">SUM(C6:C16)</f>
        <v>3161795</v>
      </c>
      <c r="D17" s="57">
        <f t="shared" si="2"/>
        <v>0</v>
      </c>
      <c r="E17" s="57">
        <f t="shared" si="2"/>
        <v>0</v>
      </c>
      <c r="F17" s="57">
        <f t="shared" si="2"/>
        <v>3161795</v>
      </c>
      <c r="G17" s="57">
        <f t="shared" si="2"/>
        <v>0</v>
      </c>
      <c r="H17" s="57">
        <f t="shared" si="2"/>
        <v>3161795</v>
      </c>
    </row>
    <row r="18" spans="1:9" s="15" customFormat="1" ht="15.75" x14ac:dyDescent="0.25">
      <c r="A18" s="13"/>
      <c r="B18" s="14"/>
      <c r="C18" s="57"/>
      <c r="D18" s="57"/>
      <c r="E18" s="57"/>
      <c r="F18" s="57"/>
      <c r="G18" s="57"/>
      <c r="H18" s="57"/>
    </row>
    <row r="19" spans="1:9" x14ac:dyDescent="0.25">
      <c r="A19" s="9" t="s">
        <v>184</v>
      </c>
      <c r="B19" s="1"/>
      <c r="C19" s="55"/>
      <c r="D19" s="55"/>
      <c r="E19" s="55"/>
      <c r="F19" s="55"/>
      <c r="G19" s="55"/>
    </row>
    <row r="20" spans="1:9" x14ac:dyDescent="0.25">
      <c r="A20" s="7" t="s">
        <v>37</v>
      </c>
      <c r="B20" s="1" t="s">
        <v>38</v>
      </c>
      <c r="C20" s="55">
        <v>220629</v>
      </c>
      <c r="D20" s="55">
        <v>0</v>
      </c>
      <c r="E20" s="55">
        <v>0</v>
      </c>
      <c r="F20" s="55">
        <f>C20+D20-E20</f>
        <v>220629</v>
      </c>
      <c r="G20" s="55">
        <f>H20-F20</f>
        <v>6704.8675000000221</v>
      </c>
      <c r="H20" s="55">
        <f>'2021 Payroll'!C14</f>
        <v>227333.86750000002</v>
      </c>
      <c r="I20" s="2" t="s">
        <v>223</v>
      </c>
    </row>
    <row r="21" spans="1:9" x14ac:dyDescent="0.25">
      <c r="A21" s="7" t="s">
        <v>39</v>
      </c>
      <c r="B21" s="1" t="s">
        <v>40</v>
      </c>
      <c r="C21" s="55">
        <v>16331</v>
      </c>
      <c r="D21" s="55">
        <v>0</v>
      </c>
      <c r="E21" s="55">
        <v>0</v>
      </c>
      <c r="F21" s="55">
        <f t="shared" ref="F21:F40" si="3">C21+D21-E21</f>
        <v>16331</v>
      </c>
      <c r="G21" s="55">
        <f t="shared" ref="G21:G40" si="4">H21-F21</f>
        <v>198</v>
      </c>
      <c r="H21" s="55">
        <f>'2021 Payroll'!C17</f>
        <v>16529</v>
      </c>
      <c r="I21" s="2" t="s">
        <v>224</v>
      </c>
    </row>
    <row r="22" spans="1:9" x14ac:dyDescent="0.25">
      <c r="A22" s="7" t="s">
        <v>41</v>
      </c>
      <c r="B22" s="1" t="s">
        <v>42</v>
      </c>
      <c r="C22" s="55">
        <v>56618</v>
      </c>
      <c r="D22" s="55">
        <v>0</v>
      </c>
      <c r="E22" s="55">
        <v>0</v>
      </c>
      <c r="F22" s="55">
        <f t="shared" si="3"/>
        <v>56618</v>
      </c>
      <c r="G22" s="55">
        <f t="shared" si="4"/>
        <v>-1679.9499999999971</v>
      </c>
      <c r="H22" s="55">
        <f>'2021 Payroll'!C27</f>
        <v>54938.05</v>
      </c>
      <c r="I22" s="2" t="s">
        <v>225</v>
      </c>
    </row>
    <row r="23" spans="1:9" x14ac:dyDescent="0.25">
      <c r="A23" s="7" t="s">
        <v>43</v>
      </c>
      <c r="B23" s="1" t="s">
        <v>44</v>
      </c>
      <c r="C23" s="55">
        <v>940</v>
      </c>
      <c r="D23" s="55">
        <v>0</v>
      </c>
      <c r="E23" s="55">
        <v>0</v>
      </c>
      <c r="F23" s="55">
        <f t="shared" si="3"/>
        <v>940</v>
      </c>
      <c r="G23" s="55">
        <f t="shared" si="4"/>
        <v>0</v>
      </c>
      <c r="H23" s="55">
        <f>F23</f>
        <v>940</v>
      </c>
    </row>
    <row r="24" spans="1:9" x14ac:dyDescent="0.25">
      <c r="A24" s="7" t="s">
        <v>45</v>
      </c>
      <c r="B24" s="1" t="s">
        <v>46</v>
      </c>
      <c r="C24" s="55">
        <v>7323</v>
      </c>
      <c r="D24" s="55">
        <v>0</v>
      </c>
      <c r="E24" s="55">
        <v>0</v>
      </c>
      <c r="F24" s="55">
        <f t="shared" si="3"/>
        <v>7323</v>
      </c>
      <c r="G24" s="55">
        <f t="shared" si="4"/>
        <v>0</v>
      </c>
      <c r="H24" s="55">
        <f>F24</f>
        <v>7323</v>
      </c>
    </row>
    <row r="25" spans="1:9" x14ac:dyDescent="0.25">
      <c r="A25" s="7" t="s">
        <v>47</v>
      </c>
      <c r="B25" s="1" t="s">
        <v>48</v>
      </c>
      <c r="C25" s="55">
        <v>42599</v>
      </c>
      <c r="D25" s="55">
        <v>0</v>
      </c>
      <c r="E25" s="55">
        <v>0</v>
      </c>
      <c r="F25" s="55">
        <f t="shared" si="3"/>
        <v>42599</v>
      </c>
      <c r="G25" s="55">
        <f t="shared" si="4"/>
        <v>12593</v>
      </c>
      <c r="H25" s="55">
        <f>'2021 Payroll'!C18</f>
        <v>55192</v>
      </c>
      <c r="I25" s="2" t="s">
        <v>230</v>
      </c>
    </row>
    <row r="26" spans="1:9" x14ac:dyDescent="0.25">
      <c r="A26" s="7" t="s">
        <v>49</v>
      </c>
      <c r="B26" s="1" t="s">
        <v>50</v>
      </c>
      <c r="C26" s="55">
        <v>0</v>
      </c>
      <c r="D26" s="55">
        <v>33492</v>
      </c>
      <c r="E26" s="55">
        <v>0</v>
      </c>
      <c r="F26" s="55">
        <f t="shared" si="3"/>
        <v>33492</v>
      </c>
      <c r="G26" s="55">
        <f t="shared" si="4"/>
        <v>0</v>
      </c>
      <c r="H26" s="55">
        <f>F26</f>
        <v>33492</v>
      </c>
    </row>
    <row r="27" spans="1:9" x14ac:dyDescent="0.25">
      <c r="A27" s="7" t="s">
        <v>51</v>
      </c>
      <c r="B27" s="1" t="s">
        <v>52</v>
      </c>
      <c r="C27" s="55">
        <v>0</v>
      </c>
      <c r="D27" s="55">
        <v>0</v>
      </c>
      <c r="E27" s="55">
        <v>2676</v>
      </c>
      <c r="F27" s="55">
        <f t="shared" si="3"/>
        <v>-2676</v>
      </c>
      <c r="G27" s="55">
        <f t="shared" si="4"/>
        <v>0</v>
      </c>
      <c r="H27" s="55">
        <f t="shared" ref="H27:H40" si="5">F27</f>
        <v>-2676</v>
      </c>
    </row>
    <row r="28" spans="1:9" x14ac:dyDescent="0.25">
      <c r="A28" s="7" t="s">
        <v>53</v>
      </c>
      <c r="B28" s="1" t="s">
        <v>54</v>
      </c>
      <c r="C28" s="55">
        <v>8063</v>
      </c>
      <c r="D28" s="55">
        <v>0</v>
      </c>
      <c r="E28" s="55">
        <v>0</v>
      </c>
      <c r="F28" s="55">
        <f t="shared" si="3"/>
        <v>8063</v>
      </c>
      <c r="G28" s="55">
        <f t="shared" si="4"/>
        <v>0</v>
      </c>
      <c r="H28" s="55">
        <f t="shared" si="5"/>
        <v>8063</v>
      </c>
    </row>
    <row r="29" spans="1:9" x14ac:dyDescent="0.25">
      <c r="A29" s="7" t="s">
        <v>55</v>
      </c>
      <c r="B29" s="1" t="s">
        <v>56</v>
      </c>
      <c r="C29" s="55">
        <v>169</v>
      </c>
      <c r="D29" s="55">
        <v>0</v>
      </c>
      <c r="E29" s="55">
        <v>0</v>
      </c>
      <c r="F29" s="55">
        <f t="shared" si="3"/>
        <v>169</v>
      </c>
      <c r="G29" s="55">
        <f t="shared" si="4"/>
        <v>0</v>
      </c>
      <c r="H29" s="55">
        <f t="shared" si="5"/>
        <v>169</v>
      </c>
    </row>
    <row r="30" spans="1:9" x14ac:dyDescent="0.25">
      <c r="A30" s="7" t="s">
        <v>57</v>
      </c>
      <c r="B30" s="1" t="s">
        <v>58</v>
      </c>
      <c r="C30" s="55">
        <v>2376</v>
      </c>
      <c r="D30" s="55">
        <v>0</v>
      </c>
      <c r="E30" s="55">
        <v>0</v>
      </c>
      <c r="F30" s="55">
        <f t="shared" si="3"/>
        <v>2376</v>
      </c>
      <c r="G30" s="55">
        <f t="shared" si="4"/>
        <v>0</v>
      </c>
      <c r="H30" s="55">
        <f t="shared" si="5"/>
        <v>2376</v>
      </c>
    </row>
    <row r="31" spans="1:9" x14ac:dyDescent="0.25">
      <c r="A31" s="7" t="s">
        <v>59</v>
      </c>
      <c r="B31" s="1" t="s">
        <v>60</v>
      </c>
      <c r="C31" s="55">
        <v>6882</v>
      </c>
      <c r="D31" s="55">
        <v>0</v>
      </c>
      <c r="E31" s="55">
        <v>0</v>
      </c>
      <c r="F31" s="55">
        <f t="shared" si="3"/>
        <v>6882</v>
      </c>
      <c r="G31" s="55">
        <f t="shared" si="4"/>
        <v>0</v>
      </c>
      <c r="H31" s="55">
        <f t="shared" si="5"/>
        <v>6882</v>
      </c>
    </row>
    <row r="32" spans="1:9" x14ac:dyDescent="0.25">
      <c r="A32" s="7" t="s">
        <v>61</v>
      </c>
      <c r="B32" s="1" t="s">
        <v>62</v>
      </c>
      <c r="C32" s="55">
        <v>4278</v>
      </c>
      <c r="D32" s="55">
        <v>0</v>
      </c>
      <c r="E32" s="55">
        <v>0</v>
      </c>
      <c r="F32" s="55">
        <f t="shared" si="3"/>
        <v>4278</v>
      </c>
      <c r="G32" s="55">
        <f t="shared" si="4"/>
        <v>0</v>
      </c>
      <c r="H32" s="55">
        <f t="shared" si="5"/>
        <v>4278</v>
      </c>
    </row>
    <row r="33" spans="1:9" x14ac:dyDescent="0.25">
      <c r="A33" s="7" t="s">
        <v>63</v>
      </c>
      <c r="B33" s="1" t="s">
        <v>64</v>
      </c>
      <c r="C33" s="55">
        <v>3085</v>
      </c>
      <c r="D33" s="55">
        <v>0</v>
      </c>
      <c r="E33" s="55">
        <v>0</v>
      </c>
      <c r="F33" s="55">
        <f t="shared" si="3"/>
        <v>3085</v>
      </c>
      <c r="G33" s="55">
        <f t="shared" si="4"/>
        <v>0</v>
      </c>
      <c r="H33" s="55">
        <f t="shared" si="5"/>
        <v>3085</v>
      </c>
    </row>
    <row r="34" spans="1:9" x14ac:dyDescent="0.25">
      <c r="A34" s="7" t="s">
        <v>65</v>
      </c>
      <c r="B34" s="1" t="s">
        <v>66</v>
      </c>
      <c r="C34" s="55">
        <v>10270</v>
      </c>
      <c r="D34" s="55">
        <v>0</v>
      </c>
      <c r="E34" s="55">
        <v>0</v>
      </c>
      <c r="F34" s="55">
        <f t="shared" si="3"/>
        <v>10270</v>
      </c>
      <c r="G34" s="55">
        <f t="shared" si="4"/>
        <v>0</v>
      </c>
      <c r="H34" s="55">
        <f t="shared" si="5"/>
        <v>10270</v>
      </c>
    </row>
    <row r="35" spans="1:9" x14ac:dyDescent="0.25">
      <c r="A35" s="7" t="s">
        <v>67</v>
      </c>
      <c r="B35" s="1" t="s">
        <v>68</v>
      </c>
      <c r="C35" s="55">
        <v>3822</v>
      </c>
      <c r="D35" s="55">
        <v>0</v>
      </c>
      <c r="E35" s="55">
        <v>0</v>
      </c>
      <c r="F35" s="55">
        <f t="shared" si="3"/>
        <v>3822</v>
      </c>
      <c r="G35" s="55">
        <f t="shared" si="4"/>
        <v>0</v>
      </c>
      <c r="H35" s="55">
        <f t="shared" si="5"/>
        <v>3822</v>
      </c>
    </row>
    <row r="36" spans="1:9" x14ac:dyDescent="0.25">
      <c r="A36" s="7" t="s">
        <v>69</v>
      </c>
      <c r="B36" s="1" t="s">
        <v>70</v>
      </c>
      <c r="C36" s="55">
        <v>11268</v>
      </c>
      <c r="D36" s="55">
        <v>0</v>
      </c>
      <c r="E36" s="55">
        <v>0</v>
      </c>
      <c r="F36" s="55">
        <f t="shared" si="3"/>
        <v>11268</v>
      </c>
      <c r="G36" s="55">
        <f t="shared" si="4"/>
        <v>0</v>
      </c>
      <c r="H36" s="55">
        <f t="shared" si="5"/>
        <v>11268</v>
      </c>
    </row>
    <row r="37" spans="1:9" x14ac:dyDescent="0.25">
      <c r="A37" s="7" t="s">
        <v>71</v>
      </c>
      <c r="B37" s="1" t="s">
        <v>72</v>
      </c>
      <c r="C37" s="55">
        <v>0</v>
      </c>
      <c r="D37" s="55">
        <v>0</v>
      </c>
      <c r="E37" s="55">
        <v>0</v>
      </c>
      <c r="F37" s="55">
        <f t="shared" si="3"/>
        <v>0</v>
      </c>
      <c r="G37" s="55">
        <f t="shared" si="4"/>
        <v>0</v>
      </c>
      <c r="H37" s="55">
        <f t="shared" si="5"/>
        <v>0</v>
      </c>
    </row>
    <row r="38" spans="1:9" x14ac:dyDescent="0.25">
      <c r="A38" s="7" t="s">
        <v>73</v>
      </c>
      <c r="B38" s="1" t="s">
        <v>74</v>
      </c>
      <c r="C38" s="55">
        <v>4562</v>
      </c>
      <c r="D38" s="55">
        <v>0</v>
      </c>
      <c r="E38" s="55">
        <v>0</v>
      </c>
      <c r="F38" s="55">
        <f t="shared" si="3"/>
        <v>4562</v>
      </c>
      <c r="G38" s="55">
        <f t="shared" si="4"/>
        <v>0</v>
      </c>
      <c r="H38" s="55">
        <f t="shared" si="5"/>
        <v>4562</v>
      </c>
    </row>
    <row r="39" spans="1:9" x14ac:dyDescent="0.25">
      <c r="A39" s="7" t="s">
        <v>75</v>
      </c>
      <c r="B39" s="1" t="s">
        <v>76</v>
      </c>
      <c r="C39" s="55">
        <v>3518</v>
      </c>
      <c r="D39" s="55">
        <v>0</v>
      </c>
      <c r="E39" s="55">
        <v>0</v>
      </c>
      <c r="F39" s="55">
        <f t="shared" si="3"/>
        <v>3518</v>
      </c>
      <c r="G39" s="55">
        <f t="shared" si="4"/>
        <v>0</v>
      </c>
      <c r="H39" s="55">
        <f t="shared" si="5"/>
        <v>3518</v>
      </c>
    </row>
    <row r="40" spans="1:9" ht="17.25" x14ac:dyDescent="0.4">
      <c r="A40" s="7" t="s">
        <v>77</v>
      </c>
      <c r="B40" s="1" t="s">
        <v>78</v>
      </c>
      <c r="C40" s="56">
        <v>0</v>
      </c>
      <c r="D40" s="56">
        <v>0</v>
      </c>
      <c r="E40" s="56">
        <v>0</v>
      </c>
      <c r="F40" s="56">
        <f t="shared" si="3"/>
        <v>0</v>
      </c>
      <c r="G40" s="19">
        <f t="shared" si="4"/>
        <v>0</v>
      </c>
      <c r="H40" s="19">
        <f t="shared" si="5"/>
        <v>0</v>
      </c>
    </row>
    <row r="41" spans="1:9" s="12" customFormat="1" x14ac:dyDescent="0.25">
      <c r="A41" s="11"/>
      <c r="B41" s="62" t="s">
        <v>171</v>
      </c>
      <c r="C41" s="58">
        <f t="shared" ref="C41:H41" si="6">SUM(C20:C40)</f>
        <v>402733</v>
      </c>
      <c r="D41" s="58">
        <f t="shared" si="6"/>
        <v>33492</v>
      </c>
      <c r="E41" s="58">
        <f t="shared" si="6"/>
        <v>2676</v>
      </c>
      <c r="F41" s="58">
        <f t="shared" si="6"/>
        <v>433549</v>
      </c>
      <c r="G41" s="58">
        <f t="shared" si="6"/>
        <v>17815.917500000025</v>
      </c>
      <c r="H41" s="58">
        <f t="shared" si="6"/>
        <v>451364.91750000004</v>
      </c>
    </row>
    <row r="42" spans="1:9" s="12" customFormat="1" x14ac:dyDescent="0.25">
      <c r="A42" s="11"/>
      <c r="B42" s="9"/>
      <c r="C42" s="58"/>
      <c r="D42" s="58"/>
      <c r="E42" s="58"/>
      <c r="F42" s="58"/>
      <c r="G42" s="58"/>
      <c r="H42" s="58"/>
    </row>
    <row r="43" spans="1:9" x14ac:dyDescent="0.25">
      <c r="A43" s="9" t="s">
        <v>219</v>
      </c>
      <c r="B43" s="1"/>
      <c r="C43" s="55"/>
      <c r="D43" s="55"/>
      <c r="E43" s="55"/>
      <c r="F43" s="55"/>
      <c r="G43" s="55"/>
    </row>
    <row r="44" spans="1:9" x14ac:dyDescent="0.25">
      <c r="A44" s="7" t="s">
        <v>85</v>
      </c>
      <c r="B44" s="1" t="s">
        <v>38</v>
      </c>
      <c r="C44" s="55">
        <v>178041</v>
      </c>
      <c r="D44" s="55">
        <v>0</v>
      </c>
      <c r="E44" s="55">
        <v>0</v>
      </c>
      <c r="F44" s="55">
        <f t="shared" ref="F44:F67" si="7">C44+D44-E44</f>
        <v>178041</v>
      </c>
      <c r="G44" s="55">
        <f>H44-F44</f>
        <v>-5709.8978571428452</v>
      </c>
      <c r="H44" s="55">
        <f>'2021 Payroll'!D14</f>
        <v>172331.10214285715</v>
      </c>
      <c r="I44" s="2" t="s">
        <v>223</v>
      </c>
    </row>
    <row r="45" spans="1:9" x14ac:dyDescent="0.25">
      <c r="A45" s="7" t="s">
        <v>86</v>
      </c>
      <c r="B45" s="1" t="s">
        <v>40</v>
      </c>
      <c r="C45" s="55">
        <v>13362</v>
      </c>
      <c r="D45" s="55">
        <v>0</v>
      </c>
      <c r="E45" s="55">
        <v>0</v>
      </c>
      <c r="F45" s="55">
        <f t="shared" si="7"/>
        <v>13362</v>
      </c>
      <c r="G45" s="55">
        <f t="shared" ref="G45:G67" si="8">H45-F45</f>
        <v>-178.67068607142937</v>
      </c>
      <c r="H45" s="55">
        <f>'2021 Payroll'!D17</f>
        <v>13183.329313928571</v>
      </c>
      <c r="I45" s="2" t="s">
        <v>224</v>
      </c>
    </row>
    <row r="46" spans="1:9" x14ac:dyDescent="0.25">
      <c r="A46" s="7" t="s">
        <v>87</v>
      </c>
      <c r="B46" s="1" t="s">
        <v>42</v>
      </c>
      <c r="C46" s="55">
        <v>67562</v>
      </c>
      <c r="D46" s="55">
        <v>0</v>
      </c>
      <c r="E46" s="55">
        <v>0</v>
      </c>
      <c r="F46" s="55">
        <f t="shared" si="7"/>
        <v>67562</v>
      </c>
      <c r="G46" s="55">
        <f t="shared" si="8"/>
        <v>4747.75</v>
      </c>
      <c r="H46" s="55">
        <f>'2021 Payroll'!D27</f>
        <v>72309.75</v>
      </c>
      <c r="I46" s="2" t="s">
        <v>225</v>
      </c>
    </row>
    <row r="47" spans="1:9" x14ac:dyDescent="0.25">
      <c r="A47" s="7" t="s">
        <v>88</v>
      </c>
      <c r="B47" s="1" t="s">
        <v>44</v>
      </c>
      <c r="C47" s="55">
        <v>529</v>
      </c>
      <c r="D47" s="55">
        <v>0</v>
      </c>
      <c r="E47" s="55">
        <v>0</v>
      </c>
      <c r="F47" s="55">
        <f t="shared" si="7"/>
        <v>529</v>
      </c>
      <c r="G47" s="55">
        <f t="shared" si="8"/>
        <v>0</v>
      </c>
      <c r="H47" s="55">
        <f>F47</f>
        <v>529</v>
      </c>
    </row>
    <row r="48" spans="1:9" x14ac:dyDescent="0.25">
      <c r="A48" s="7" t="s">
        <v>89</v>
      </c>
      <c r="B48" s="1" t="s">
        <v>46</v>
      </c>
      <c r="C48" s="55">
        <v>359</v>
      </c>
      <c r="D48" s="55">
        <v>0</v>
      </c>
      <c r="E48" s="55">
        <v>0</v>
      </c>
      <c r="F48" s="55">
        <f t="shared" si="7"/>
        <v>359</v>
      </c>
      <c r="G48" s="55">
        <f t="shared" si="8"/>
        <v>0</v>
      </c>
      <c r="H48" s="55">
        <f>F48</f>
        <v>359</v>
      </c>
    </row>
    <row r="49" spans="1:9" x14ac:dyDescent="0.25">
      <c r="A49" s="7" t="s">
        <v>90</v>
      </c>
      <c r="B49" s="1" t="s">
        <v>48</v>
      </c>
      <c r="C49" s="55">
        <v>37659</v>
      </c>
      <c r="D49" s="55">
        <v>0</v>
      </c>
      <c r="E49" s="55">
        <v>0</v>
      </c>
      <c r="F49" s="55">
        <f t="shared" si="7"/>
        <v>37659</v>
      </c>
      <c r="G49" s="55">
        <f t="shared" si="8"/>
        <v>8784</v>
      </c>
      <c r="H49" s="55">
        <f>'2021 Payroll'!D18</f>
        <v>46443</v>
      </c>
      <c r="I49" s="2" t="s">
        <v>230</v>
      </c>
    </row>
    <row r="50" spans="1:9" x14ac:dyDescent="0.25">
      <c r="A50" s="7" t="s">
        <v>91</v>
      </c>
      <c r="B50" s="1" t="s">
        <v>50</v>
      </c>
      <c r="C50" s="55">
        <v>0</v>
      </c>
      <c r="D50" s="55">
        <v>30619</v>
      </c>
      <c r="E50" s="55">
        <v>0</v>
      </c>
      <c r="F50" s="55">
        <f t="shared" si="7"/>
        <v>30619</v>
      </c>
      <c r="G50" s="55">
        <f t="shared" si="8"/>
        <v>0</v>
      </c>
      <c r="H50" s="55">
        <f t="shared" ref="H50:H67" si="9">F50</f>
        <v>30619</v>
      </c>
    </row>
    <row r="51" spans="1:9" x14ac:dyDescent="0.25">
      <c r="A51" s="7" t="s">
        <v>92</v>
      </c>
      <c r="B51" s="1" t="s">
        <v>52</v>
      </c>
      <c r="C51" s="55">
        <v>0</v>
      </c>
      <c r="D51" s="55">
        <v>0</v>
      </c>
      <c r="E51" s="55">
        <v>3491</v>
      </c>
      <c r="F51" s="55">
        <f t="shared" si="7"/>
        <v>-3491</v>
      </c>
      <c r="G51" s="55">
        <f t="shared" si="8"/>
        <v>0</v>
      </c>
      <c r="H51" s="55">
        <f t="shared" si="9"/>
        <v>-3491</v>
      </c>
    </row>
    <row r="52" spans="1:9" x14ac:dyDescent="0.25">
      <c r="A52" s="7" t="s">
        <v>93</v>
      </c>
      <c r="B52" s="1" t="s">
        <v>54</v>
      </c>
      <c r="C52" s="55">
        <v>179933</v>
      </c>
      <c r="D52" s="55">
        <v>0</v>
      </c>
      <c r="E52" s="55">
        <v>0</v>
      </c>
      <c r="F52" s="55">
        <f t="shared" si="7"/>
        <v>179933</v>
      </c>
      <c r="G52" s="55">
        <f t="shared" si="8"/>
        <v>0</v>
      </c>
      <c r="H52" s="55">
        <f t="shared" si="9"/>
        <v>179933</v>
      </c>
    </row>
    <row r="53" spans="1:9" x14ac:dyDescent="0.25">
      <c r="A53" s="7" t="s">
        <v>94</v>
      </c>
      <c r="B53" s="1" t="s">
        <v>56</v>
      </c>
      <c r="C53" s="55">
        <v>786</v>
      </c>
      <c r="D53" s="55">
        <v>0</v>
      </c>
      <c r="E53" s="55">
        <v>0</v>
      </c>
      <c r="F53" s="55">
        <f t="shared" si="7"/>
        <v>786</v>
      </c>
      <c r="G53" s="55">
        <f t="shared" si="8"/>
        <v>0</v>
      </c>
      <c r="H53" s="55">
        <f t="shared" si="9"/>
        <v>786</v>
      </c>
    </row>
    <row r="54" spans="1:9" x14ac:dyDescent="0.25">
      <c r="A54" s="7" t="s">
        <v>95</v>
      </c>
      <c r="B54" s="1" t="s">
        <v>58</v>
      </c>
      <c r="C54" s="55">
        <v>20008</v>
      </c>
      <c r="D54" s="55">
        <v>0</v>
      </c>
      <c r="E54" s="55">
        <v>0</v>
      </c>
      <c r="F54" s="55">
        <f t="shared" si="7"/>
        <v>20008</v>
      </c>
      <c r="G54" s="55">
        <f t="shared" si="8"/>
        <v>0</v>
      </c>
      <c r="H54" s="55">
        <f t="shared" si="9"/>
        <v>20008</v>
      </c>
    </row>
    <row r="55" spans="1:9" x14ac:dyDescent="0.25">
      <c r="A55" s="7" t="s">
        <v>96</v>
      </c>
      <c r="B55" s="1" t="s">
        <v>60</v>
      </c>
      <c r="C55" s="55">
        <v>2123</v>
      </c>
      <c r="D55" s="55">
        <v>0</v>
      </c>
      <c r="E55" s="55">
        <v>0</v>
      </c>
      <c r="F55" s="55">
        <f t="shared" si="7"/>
        <v>2123</v>
      </c>
      <c r="G55" s="55">
        <f t="shared" si="8"/>
        <v>0</v>
      </c>
      <c r="H55" s="55">
        <f t="shared" si="9"/>
        <v>2123</v>
      </c>
    </row>
    <row r="56" spans="1:9" x14ac:dyDescent="0.25">
      <c r="A56" s="7" t="s">
        <v>97</v>
      </c>
      <c r="B56" s="1" t="s">
        <v>98</v>
      </c>
      <c r="C56" s="55">
        <v>81088</v>
      </c>
      <c r="D56" s="55">
        <v>0</v>
      </c>
      <c r="E56" s="55">
        <v>0</v>
      </c>
      <c r="F56" s="55">
        <f t="shared" si="7"/>
        <v>81088</v>
      </c>
      <c r="G56" s="55">
        <v>24618</v>
      </c>
      <c r="H56" s="55">
        <f>F56+G56</f>
        <v>105706</v>
      </c>
      <c r="I56" s="2" t="s">
        <v>221</v>
      </c>
    </row>
    <row r="57" spans="1:9" x14ac:dyDescent="0.25">
      <c r="A57" s="7" t="s">
        <v>99</v>
      </c>
      <c r="B57" s="1" t="s">
        <v>62</v>
      </c>
      <c r="C57" s="55">
        <v>41523</v>
      </c>
      <c r="D57" s="55">
        <v>0</v>
      </c>
      <c r="E57" s="55">
        <v>0</v>
      </c>
      <c r="F57" s="55">
        <f t="shared" si="7"/>
        <v>41523</v>
      </c>
      <c r="G57" s="55">
        <f t="shared" si="8"/>
        <v>0</v>
      </c>
      <c r="H57" s="55">
        <f t="shared" si="9"/>
        <v>41523</v>
      </c>
    </row>
    <row r="58" spans="1:9" x14ac:dyDescent="0.25">
      <c r="A58" s="7" t="s">
        <v>100</v>
      </c>
      <c r="B58" s="1" t="s">
        <v>101</v>
      </c>
      <c r="C58" s="55">
        <v>14677</v>
      </c>
      <c r="D58" s="55">
        <v>0</v>
      </c>
      <c r="E58" s="55">
        <v>0</v>
      </c>
      <c r="F58" s="55">
        <f t="shared" si="7"/>
        <v>14677</v>
      </c>
      <c r="G58" s="55">
        <f t="shared" si="8"/>
        <v>0</v>
      </c>
      <c r="H58" s="55">
        <f t="shared" si="9"/>
        <v>14677</v>
      </c>
    </row>
    <row r="59" spans="1:9" x14ac:dyDescent="0.25">
      <c r="A59" s="7" t="s">
        <v>102</v>
      </c>
      <c r="B59" s="1" t="s">
        <v>64</v>
      </c>
      <c r="C59" s="55">
        <v>20470</v>
      </c>
      <c r="D59" s="55">
        <v>0</v>
      </c>
      <c r="E59" s="55">
        <v>0</v>
      </c>
      <c r="F59" s="55">
        <f t="shared" si="7"/>
        <v>20470</v>
      </c>
      <c r="G59" s="55">
        <f t="shared" si="8"/>
        <v>0</v>
      </c>
      <c r="H59" s="55">
        <f t="shared" si="9"/>
        <v>20470</v>
      </c>
    </row>
    <row r="60" spans="1:9" x14ac:dyDescent="0.25">
      <c r="A60" s="7" t="s">
        <v>103</v>
      </c>
      <c r="B60" s="1" t="s">
        <v>68</v>
      </c>
      <c r="C60" s="55">
        <v>1503</v>
      </c>
      <c r="D60" s="55">
        <v>0</v>
      </c>
      <c r="E60" s="55">
        <v>0</v>
      </c>
      <c r="F60" s="55">
        <f t="shared" si="7"/>
        <v>1503</v>
      </c>
      <c r="G60" s="55">
        <f t="shared" si="8"/>
        <v>0</v>
      </c>
      <c r="H60" s="55">
        <f t="shared" si="9"/>
        <v>1503</v>
      </c>
    </row>
    <row r="61" spans="1:9" x14ac:dyDescent="0.25">
      <c r="A61" s="7" t="s">
        <v>104</v>
      </c>
      <c r="B61" s="1" t="s">
        <v>70</v>
      </c>
      <c r="C61" s="55">
        <v>869</v>
      </c>
      <c r="D61" s="55">
        <v>0</v>
      </c>
      <c r="E61" s="55">
        <v>0</v>
      </c>
      <c r="F61" s="55">
        <f t="shared" si="7"/>
        <v>869</v>
      </c>
      <c r="G61" s="55">
        <f t="shared" si="8"/>
        <v>0</v>
      </c>
      <c r="H61" s="55">
        <f t="shared" si="9"/>
        <v>869</v>
      </c>
    </row>
    <row r="62" spans="1:9" x14ac:dyDescent="0.25">
      <c r="A62" s="7" t="s">
        <v>105</v>
      </c>
      <c r="B62" s="1" t="s">
        <v>72</v>
      </c>
      <c r="C62" s="55">
        <v>0</v>
      </c>
      <c r="D62" s="55">
        <v>0</v>
      </c>
      <c r="E62" s="55">
        <v>0</v>
      </c>
      <c r="F62" s="55">
        <f t="shared" si="7"/>
        <v>0</v>
      </c>
      <c r="G62" s="55">
        <f t="shared" si="8"/>
        <v>0</v>
      </c>
      <c r="H62" s="55">
        <f t="shared" si="9"/>
        <v>0</v>
      </c>
    </row>
    <row r="63" spans="1:9" x14ac:dyDescent="0.25">
      <c r="A63" s="7" t="s">
        <v>106</v>
      </c>
      <c r="B63" s="1" t="s">
        <v>74</v>
      </c>
      <c r="C63" s="55">
        <v>529</v>
      </c>
      <c r="D63" s="55">
        <v>0</v>
      </c>
      <c r="E63" s="55">
        <v>0</v>
      </c>
      <c r="F63" s="55">
        <f t="shared" si="7"/>
        <v>529</v>
      </c>
      <c r="G63" s="55">
        <f t="shared" si="8"/>
        <v>0</v>
      </c>
      <c r="H63" s="55">
        <f t="shared" si="9"/>
        <v>529</v>
      </c>
    </row>
    <row r="64" spans="1:9" x14ac:dyDescent="0.25">
      <c r="A64" s="7" t="s">
        <v>107</v>
      </c>
      <c r="B64" s="1" t="s">
        <v>76</v>
      </c>
      <c r="C64" s="55">
        <v>5279</v>
      </c>
      <c r="D64" s="55">
        <v>0</v>
      </c>
      <c r="E64" s="55">
        <v>0</v>
      </c>
      <c r="F64" s="55">
        <f t="shared" si="7"/>
        <v>5279</v>
      </c>
      <c r="G64" s="55">
        <f t="shared" si="8"/>
        <v>0</v>
      </c>
      <c r="H64" s="55">
        <f t="shared" si="9"/>
        <v>5279</v>
      </c>
    </row>
    <row r="65" spans="1:9" x14ac:dyDescent="0.25">
      <c r="A65" s="7" t="s">
        <v>108</v>
      </c>
      <c r="B65" s="1" t="s">
        <v>109</v>
      </c>
      <c r="C65" s="55">
        <v>0</v>
      </c>
      <c r="D65" s="55">
        <v>0</v>
      </c>
      <c r="E65" s="55">
        <v>0</v>
      </c>
      <c r="F65" s="55">
        <f t="shared" si="7"/>
        <v>0</v>
      </c>
      <c r="G65" s="55">
        <f t="shared" si="8"/>
        <v>28133</v>
      </c>
      <c r="H65" s="55">
        <f>56266/2</f>
        <v>28133</v>
      </c>
      <c r="I65" s="2" t="s">
        <v>220</v>
      </c>
    </row>
    <row r="66" spans="1:9" x14ac:dyDescent="0.25">
      <c r="A66" s="7" t="s">
        <v>110</v>
      </c>
      <c r="B66" s="1" t="s">
        <v>111</v>
      </c>
      <c r="C66" s="55">
        <v>368</v>
      </c>
      <c r="D66" s="55">
        <v>0</v>
      </c>
      <c r="E66" s="55">
        <v>0</v>
      </c>
      <c r="F66" s="55">
        <f t="shared" si="7"/>
        <v>368</v>
      </c>
      <c r="G66" s="55">
        <f t="shared" si="8"/>
        <v>0</v>
      </c>
      <c r="H66" s="55">
        <f t="shared" si="9"/>
        <v>368</v>
      </c>
    </row>
    <row r="67" spans="1:9" ht="17.25" x14ac:dyDescent="0.4">
      <c r="A67" s="7" t="s">
        <v>112</v>
      </c>
      <c r="B67" s="1" t="s">
        <v>78</v>
      </c>
      <c r="C67" s="56">
        <v>18</v>
      </c>
      <c r="D67" s="56">
        <v>0</v>
      </c>
      <c r="E67" s="56">
        <v>0</v>
      </c>
      <c r="F67" s="56">
        <f t="shared" si="7"/>
        <v>18</v>
      </c>
      <c r="G67" s="19">
        <f t="shared" si="8"/>
        <v>0</v>
      </c>
      <c r="H67" s="56">
        <f t="shared" si="9"/>
        <v>18</v>
      </c>
    </row>
    <row r="68" spans="1:9" x14ac:dyDescent="0.25">
      <c r="A68" s="7"/>
      <c r="B68" s="62" t="s">
        <v>172</v>
      </c>
      <c r="C68" s="58">
        <f>SUM(C44:C67)</f>
        <v>666686</v>
      </c>
      <c r="D68" s="58">
        <f t="shared" ref="D68:F68" si="10">SUM(D44:D67)</f>
        <v>30619</v>
      </c>
      <c r="E68" s="58">
        <f t="shared" si="10"/>
        <v>3491</v>
      </c>
      <c r="F68" s="58">
        <f t="shared" si="10"/>
        <v>693814</v>
      </c>
      <c r="G68" s="58">
        <f>SUM(G44:G67)</f>
        <v>60394.181456785722</v>
      </c>
      <c r="H68" s="58">
        <f>SUM(H44:H67)</f>
        <v>754208.18145678577</v>
      </c>
    </row>
    <row r="69" spans="1:9" x14ac:dyDescent="0.25">
      <c r="A69" s="7"/>
      <c r="B69" s="9"/>
      <c r="C69" s="58"/>
      <c r="D69" s="58"/>
      <c r="E69" s="58"/>
      <c r="F69" s="58"/>
      <c r="G69" s="58"/>
    </row>
    <row r="70" spans="1:9" x14ac:dyDescent="0.25">
      <c r="A70" s="9" t="s">
        <v>222</v>
      </c>
      <c r="B70" s="1"/>
      <c r="C70" s="55"/>
      <c r="D70" s="55"/>
      <c r="E70" s="55"/>
      <c r="F70" s="55"/>
      <c r="G70" s="55"/>
    </row>
    <row r="71" spans="1:9" x14ac:dyDescent="0.25">
      <c r="A71" s="7" t="s">
        <v>113</v>
      </c>
      <c r="B71" s="1" t="s">
        <v>38</v>
      </c>
      <c r="C71" s="55">
        <v>117192</v>
      </c>
      <c r="D71" s="55">
        <v>0</v>
      </c>
      <c r="E71" s="55">
        <v>0</v>
      </c>
      <c r="F71" s="55">
        <f t="shared" ref="F71:F95" si="11">C71+D71-E71</f>
        <v>117192</v>
      </c>
      <c r="G71" s="55">
        <f>H71-F71</f>
        <v>1788</v>
      </c>
      <c r="H71" s="55">
        <f>'2021 Payroll'!E14</f>
        <v>118980</v>
      </c>
      <c r="I71" s="2" t="s">
        <v>223</v>
      </c>
    </row>
    <row r="72" spans="1:9" x14ac:dyDescent="0.25">
      <c r="A72" s="7" t="s">
        <v>114</v>
      </c>
      <c r="B72" s="1" t="s">
        <v>40</v>
      </c>
      <c r="C72" s="55">
        <v>8888</v>
      </c>
      <c r="D72" s="55">
        <v>0</v>
      </c>
      <c r="E72" s="55">
        <v>0</v>
      </c>
      <c r="F72" s="55">
        <f t="shared" si="11"/>
        <v>8888</v>
      </c>
      <c r="G72" s="55">
        <f t="shared" ref="G72:G95" si="12">H72-F72</f>
        <v>213.97000000000116</v>
      </c>
      <c r="H72" s="55">
        <f>'2021 Payroll'!E17</f>
        <v>9101.9700000000012</v>
      </c>
      <c r="I72" s="2" t="s">
        <v>224</v>
      </c>
    </row>
    <row r="73" spans="1:9" x14ac:dyDescent="0.25">
      <c r="A73" s="7" t="s">
        <v>115</v>
      </c>
      <c r="B73" s="1" t="s">
        <v>42</v>
      </c>
      <c r="C73" s="55">
        <v>44419</v>
      </c>
      <c r="D73" s="55">
        <v>0</v>
      </c>
      <c r="E73" s="55">
        <v>0</v>
      </c>
      <c r="F73" s="55">
        <f t="shared" si="11"/>
        <v>44419</v>
      </c>
      <c r="G73" s="55">
        <f t="shared" si="12"/>
        <v>1006.25</v>
      </c>
      <c r="H73" s="55">
        <f>'2021 Payroll'!E27</f>
        <v>45425.25</v>
      </c>
      <c r="I73" s="2" t="s">
        <v>225</v>
      </c>
    </row>
    <row r="74" spans="1:9" x14ac:dyDescent="0.25">
      <c r="A74" s="7" t="s">
        <v>116</v>
      </c>
      <c r="B74" s="1" t="s">
        <v>44</v>
      </c>
      <c r="C74" s="55">
        <v>526</v>
      </c>
      <c r="D74" s="55">
        <v>0</v>
      </c>
      <c r="E74" s="55">
        <v>0</v>
      </c>
      <c r="F74" s="55">
        <f t="shared" si="11"/>
        <v>526</v>
      </c>
      <c r="G74" s="55">
        <f t="shared" si="12"/>
        <v>0</v>
      </c>
      <c r="H74" s="55">
        <f>F74</f>
        <v>526</v>
      </c>
    </row>
    <row r="75" spans="1:9" x14ac:dyDescent="0.25">
      <c r="A75" s="7" t="s">
        <v>117</v>
      </c>
      <c r="B75" s="1" t="s">
        <v>46</v>
      </c>
      <c r="C75" s="55">
        <v>380</v>
      </c>
      <c r="D75" s="55">
        <v>0</v>
      </c>
      <c r="E75" s="55">
        <v>0</v>
      </c>
      <c r="F75" s="55">
        <f t="shared" si="11"/>
        <v>380</v>
      </c>
      <c r="G75" s="55">
        <f t="shared" si="12"/>
        <v>0</v>
      </c>
      <c r="H75" s="55">
        <f>F75</f>
        <v>380</v>
      </c>
    </row>
    <row r="76" spans="1:9" x14ac:dyDescent="0.25">
      <c r="A76" s="7" t="s">
        <v>118</v>
      </c>
      <c r="B76" s="1" t="s">
        <v>48</v>
      </c>
      <c r="C76" s="55">
        <v>25092</v>
      </c>
      <c r="D76" s="55">
        <v>0</v>
      </c>
      <c r="E76" s="55">
        <v>0</v>
      </c>
      <c r="F76" s="55">
        <f t="shared" si="11"/>
        <v>25092</v>
      </c>
      <c r="G76" s="55">
        <f t="shared" si="12"/>
        <v>6973</v>
      </c>
      <c r="H76" s="55">
        <f>'2021 Payroll'!E18</f>
        <v>32065</v>
      </c>
      <c r="I76" s="2" t="s">
        <v>230</v>
      </c>
    </row>
    <row r="77" spans="1:9" x14ac:dyDescent="0.25">
      <c r="A77" s="7" t="s">
        <v>119</v>
      </c>
      <c r="B77" s="1" t="s">
        <v>50</v>
      </c>
      <c r="C77" s="55">
        <v>0</v>
      </c>
      <c r="D77" s="55">
        <v>23311</v>
      </c>
      <c r="E77" s="55">
        <v>0</v>
      </c>
      <c r="F77" s="55">
        <f t="shared" si="11"/>
        <v>23311</v>
      </c>
      <c r="G77" s="55">
        <f t="shared" si="12"/>
        <v>0</v>
      </c>
      <c r="H77" s="55">
        <f>F77</f>
        <v>23311</v>
      </c>
    </row>
    <row r="78" spans="1:9" x14ac:dyDescent="0.25">
      <c r="A78" s="7" t="s">
        <v>120</v>
      </c>
      <c r="B78" s="1" t="s">
        <v>52</v>
      </c>
      <c r="C78" s="55">
        <v>0</v>
      </c>
      <c r="D78" s="55">
        <v>0</v>
      </c>
      <c r="E78" s="55">
        <v>5664</v>
      </c>
      <c r="F78" s="55">
        <f t="shared" si="11"/>
        <v>-5664</v>
      </c>
      <c r="G78" s="55">
        <f t="shared" si="12"/>
        <v>0</v>
      </c>
      <c r="H78" s="55">
        <f t="shared" ref="H78:H95" si="13">F78</f>
        <v>-5664</v>
      </c>
    </row>
    <row r="79" spans="1:9" x14ac:dyDescent="0.25">
      <c r="A79" s="7" t="s">
        <v>121</v>
      </c>
      <c r="B79" s="1" t="s">
        <v>54</v>
      </c>
      <c r="C79" s="55">
        <v>184489</v>
      </c>
      <c r="D79" s="55">
        <v>0</v>
      </c>
      <c r="E79" s="55">
        <v>0</v>
      </c>
      <c r="F79" s="55">
        <f t="shared" si="11"/>
        <v>184489</v>
      </c>
      <c r="G79" s="55">
        <f t="shared" si="12"/>
        <v>-34489</v>
      </c>
      <c r="H79" s="55">
        <v>150000</v>
      </c>
      <c r="I79" s="2" t="s">
        <v>226</v>
      </c>
    </row>
    <row r="80" spans="1:9" x14ac:dyDescent="0.25">
      <c r="A80" s="7" t="s">
        <v>122</v>
      </c>
      <c r="B80" s="1" t="s">
        <v>56</v>
      </c>
      <c r="C80" s="55">
        <v>2651</v>
      </c>
      <c r="D80" s="55">
        <v>0</v>
      </c>
      <c r="E80" s="55">
        <v>0</v>
      </c>
      <c r="F80" s="55">
        <f t="shared" si="11"/>
        <v>2651</v>
      </c>
      <c r="G80" s="55">
        <f t="shared" si="12"/>
        <v>0</v>
      </c>
      <c r="H80" s="55">
        <f t="shared" si="13"/>
        <v>2651</v>
      </c>
    </row>
    <row r="81" spans="1:9" x14ac:dyDescent="0.25">
      <c r="A81" s="7" t="s">
        <v>123</v>
      </c>
      <c r="B81" s="1" t="s">
        <v>58</v>
      </c>
      <c r="C81" s="55">
        <v>27931</v>
      </c>
      <c r="D81" s="55">
        <v>0</v>
      </c>
      <c r="E81" s="55">
        <v>0</v>
      </c>
      <c r="F81" s="55">
        <f t="shared" si="11"/>
        <v>27931</v>
      </c>
      <c r="G81" s="55">
        <f t="shared" si="12"/>
        <v>0</v>
      </c>
      <c r="H81" s="55">
        <f t="shared" si="13"/>
        <v>27931</v>
      </c>
    </row>
    <row r="82" spans="1:9" x14ac:dyDescent="0.25">
      <c r="A82" s="7" t="s">
        <v>124</v>
      </c>
      <c r="B82" s="1" t="s">
        <v>60</v>
      </c>
      <c r="C82" s="55">
        <v>3229</v>
      </c>
      <c r="D82" s="55">
        <v>0</v>
      </c>
      <c r="E82" s="55">
        <v>0</v>
      </c>
      <c r="F82" s="55">
        <f t="shared" si="11"/>
        <v>3229</v>
      </c>
      <c r="G82" s="55">
        <f t="shared" si="12"/>
        <v>0</v>
      </c>
      <c r="H82" s="55">
        <f t="shared" si="13"/>
        <v>3229</v>
      </c>
    </row>
    <row r="83" spans="1:9" x14ac:dyDescent="0.25">
      <c r="A83" s="7" t="s">
        <v>125</v>
      </c>
      <c r="B83" s="1" t="s">
        <v>98</v>
      </c>
      <c r="C83" s="55">
        <v>39219</v>
      </c>
      <c r="D83" s="55">
        <v>0</v>
      </c>
      <c r="E83" s="55">
        <v>0</v>
      </c>
      <c r="F83" s="55">
        <f t="shared" si="11"/>
        <v>39219</v>
      </c>
      <c r="G83" s="55">
        <v>19817</v>
      </c>
      <c r="H83" s="55">
        <f>F83+G83</f>
        <v>59036</v>
      </c>
      <c r="I83" s="2" t="s">
        <v>249</v>
      </c>
    </row>
    <row r="84" spans="1:9" x14ac:dyDescent="0.25">
      <c r="A84" s="7" t="s">
        <v>126</v>
      </c>
      <c r="B84" s="1" t="s">
        <v>62</v>
      </c>
      <c r="C84" s="55">
        <v>51838</v>
      </c>
      <c r="D84" s="55">
        <v>0</v>
      </c>
      <c r="E84" s="55">
        <v>0</v>
      </c>
      <c r="F84" s="55">
        <f t="shared" si="11"/>
        <v>51838</v>
      </c>
      <c r="G84" s="55">
        <f t="shared" si="12"/>
        <v>0</v>
      </c>
      <c r="H84" s="55">
        <f t="shared" si="13"/>
        <v>51838</v>
      </c>
    </row>
    <row r="85" spans="1:9" x14ac:dyDescent="0.25">
      <c r="A85" s="7" t="s">
        <v>127</v>
      </c>
      <c r="B85" s="1" t="s">
        <v>101</v>
      </c>
      <c r="C85" s="55">
        <v>43642</v>
      </c>
      <c r="D85" s="55">
        <v>0</v>
      </c>
      <c r="E85" s="55">
        <v>0</v>
      </c>
      <c r="F85" s="55">
        <f t="shared" si="11"/>
        <v>43642</v>
      </c>
      <c r="G85" s="55">
        <f t="shared" si="12"/>
        <v>0</v>
      </c>
      <c r="H85" s="55">
        <f>F85</f>
        <v>43642</v>
      </c>
    </row>
    <row r="86" spans="1:9" x14ac:dyDescent="0.25">
      <c r="A86" s="7" t="s">
        <v>128</v>
      </c>
      <c r="B86" s="1" t="s">
        <v>64</v>
      </c>
      <c r="C86" s="55">
        <v>23500</v>
      </c>
      <c r="D86" s="55">
        <v>0</v>
      </c>
      <c r="E86" s="55">
        <v>0</v>
      </c>
      <c r="F86" s="55">
        <f t="shared" si="11"/>
        <v>23500</v>
      </c>
      <c r="G86" s="55">
        <f t="shared" si="12"/>
        <v>0</v>
      </c>
      <c r="H86" s="55">
        <f t="shared" si="13"/>
        <v>23500</v>
      </c>
    </row>
    <row r="87" spans="1:9" x14ac:dyDescent="0.25">
      <c r="A87" s="7" t="s">
        <v>129</v>
      </c>
      <c r="B87" s="1" t="s">
        <v>130</v>
      </c>
      <c r="C87" s="55">
        <v>7928</v>
      </c>
      <c r="D87" s="55">
        <v>0</v>
      </c>
      <c r="E87" s="55">
        <v>0</v>
      </c>
      <c r="F87" s="55">
        <f t="shared" si="11"/>
        <v>7928</v>
      </c>
      <c r="G87" s="55">
        <f t="shared" si="12"/>
        <v>0</v>
      </c>
      <c r="H87" s="55">
        <f t="shared" si="13"/>
        <v>7928</v>
      </c>
    </row>
    <row r="88" spans="1:9" x14ac:dyDescent="0.25">
      <c r="A88" s="7" t="s">
        <v>131</v>
      </c>
      <c r="B88" s="1" t="s">
        <v>68</v>
      </c>
      <c r="C88" s="55">
        <v>3516</v>
      </c>
      <c r="D88" s="55">
        <v>0</v>
      </c>
      <c r="E88" s="55">
        <v>0</v>
      </c>
      <c r="F88" s="55">
        <f t="shared" si="11"/>
        <v>3516</v>
      </c>
      <c r="G88" s="55">
        <f t="shared" si="12"/>
        <v>0</v>
      </c>
      <c r="H88" s="55">
        <f t="shared" si="13"/>
        <v>3516</v>
      </c>
    </row>
    <row r="89" spans="1:9" x14ac:dyDescent="0.25">
      <c r="A89" s="7" t="s">
        <v>132</v>
      </c>
      <c r="B89" s="1" t="s">
        <v>70</v>
      </c>
      <c r="C89" s="55">
        <v>38</v>
      </c>
      <c r="D89" s="55">
        <v>0</v>
      </c>
      <c r="E89" s="55">
        <v>0</v>
      </c>
      <c r="F89" s="55">
        <f t="shared" si="11"/>
        <v>38</v>
      </c>
      <c r="G89" s="55">
        <f t="shared" si="12"/>
        <v>0</v>
      </c>
      <c r="H89" s="55">
        <f t="shared" si="13"/>
        <v>38</v>
      </c>
    </row>
    <row r="90" spans="1:9" x14ac:dyDescent="0.25">
      <c r="A90" s="7" t="s">
        <v>133</v>
      </c>
      <c r="B90" s="1" t="s">
        <v>72</v>
      </c>
      <c r="C90" s="55">
        <v>0</v>
      </c>
      <c r="D90" s="55">
        <v>0</v>
      </c>
      <c r="E90" s="55">
        <v>0</v>
      </c>
      <c r="F90" s="55">
        <f t="shared" si="11"/>
        <v>0</v>
      </c>
      <c r="G90" s="55">
        <f t="shared" si="12"/>
        <v>0</v>
      </c>
      <c r="H90" s="55">
        <f t="shared" si="13"/>
        <v>0</v>
      </c>
    </row>
    <row r="91" spans="1:9" x14ac:dyDescent="0.25">
      <c r="A91" s="7" t="s">
        <v>134</v>
      </c>
      <c r="B91" s="1" t="s">
        <v>74</v>
      </c>
      <c r="C91" s="55">
        <v>4443</v>
      </c>
      <c r="D91" s="55">
        <v>0</v>
      </c>
      <c r="E91" s="55">
        <v>0</v>
      </c>
      <c r="F91" s="55">
        <f t="shared" si="11"/>
        <v>4443</v>
      </c>
      <c r="G91" s="55">
        <f t="shared" si="12"/>
        <v>0</v>
      </c>
      <c r="H91" s="55">
        <f t="shared" si="13"/>
        <v>4443</v>
      </c>
    </row>
    <row r="92" spans="1:9" x14ac:dyDescent="0.25">
      <c r="A92" s="7" t="s">
        <v>135</v>
      </c>
      <c r="B92" s="1" t="s">
        <v>76</v>
      </c>
      <c r="C92" s="55">
        <v>11394</v>
      </c>
      <c r="D92" s="55">
        <v>0</v>
      </c>
      <c r="E92" s="55">
        <v>0</v>
      </c>
      <c r="F92" s="55">
        <f t="shared" si="11"/>
        <v>11394</v>
      </c>
      <c r="G92" s="55">
        <f t="shared" si="12"/>
        <v>0</v>
      </c>
      <c r="H92" s="55">
        <f t="shared" si="13"/>
        <v>11394</v>
      </c>
    </row>
    <row r="93" spans="1:9" x14ac:dyDescent="0.25">
      <c r="A93" s="7" t="s">
        <v>136</v>
      </c>
      <c r="B93" s="1" t="s">
        <v>109</v>
      </c>
      <c r="C93" s="55">
        <v>13257</v>
      </c>
      <c r="D93" s="55">
        <v>0</v>
      </c>
      <c r="E93" s="55">
        <v>0</v>
      </c>
      <c r="F93" s="55">
        <f t="shared" si="11"/>
        <v>13257</v>
      </c>
      <c r="G93" s="55">
        <f t="shared" si="12"/>
        <v>0</v>
      </c>
      <c r="H93" s="55">
        <f t="shared" si="13"/>
        <v>13257</v>
      </c>
    </row>
    <row r="94" spans="1:9" x14ac:dyDescent="0.25">
      <c r="A94" s="7" t="s">
        <v>137</v>
      </c>
      <c r="B94" s="1" t="s">
        <v>111</v>
      </c>
      <c r="C94" s="55">
        <v>1510</v>
      </c>
      <c r="D94" s="55">
        <v>0</v>
      </c>
      <c r="E94" s="55">
        <v>0</v>
      </c>
      <c r="F94" s="55">
        <f t="shared" si="11"/>
        <v>1510</v>
      </c>
      <c r="G94" s="55">
        <f t="shared" si="12"/>
        <v>0</v>
      </c>
      <c r="H94" s="55">
        <f t="shared" si="13"/>
        <v>1510</v>
      </c>
    </row>
    <row r="95" spans="1:9" ht="17.25" x14ac:dyDescent="0.4">
      <c r="A95" s="7" t="s">
        <v>138</v>
      </c>
      <c r="B95" s="1" t="s">
        <v>78</v>
      </c>
      <c r="C95" s="56">
        <v>0</v>
      </c>
      <c r="D95" s="56">
        <v>0</v>
      </c>
      <c r="E95" s="56">
        <v>0</v>
      </c>
      <c r="F95" s="56">
        <f t="shared" si="11"/>
        <v>0</v>
      </c>
      <c r="G95" s="56">
        <f t="shared" si="12"/>
        <v>0</v>
      </c>
      <c r="H95" s="56">
        <f t="shared" si="13"/>
        <v>0</v>
      </c>
    </row>
    <row r="96" spans="1:9" s="12" customFormat="1" x14ac:dyDescent="0.25">
      <c r="A96" s="11"/>
      <c r="B96" s="62" t="s">
        <v>173</v>
      </c>
      <c r="C96" s="58">
        <f>SUM(C71:C95)</f>
        <v>615082</v>
      </c>
      <c r="D96" s="58">
        <f t="shared" ref="D96:F96" si="14">SUM(D71:D95)</f>
        <v>23311</v>
      </c>
      <c r="E96" s="58">
        <f t="shared" si="14"/>
        <v>5664</v>
      </c>
      <c r="F96" s="58">
        <f t="shared" si="14"/>
        <v>632729</v>
      </c>
      <c r="G96" s="58">
        <f>SUM(G71:G95)</f>
        <v>-4690.7799999999988</v>
      </c>
      <c r="H96" s="58">
        <f>SUM(H71:H95)</f>
        <v>628038.22</v>
      </c>
    </row>
    <row r="97" spans="1:9" s="12" customFormat="1" x14ac:dyDescent="0.25">
      <c r="A97" s="11"/>
      <c r="B97" s="62"/>
      <c r="C97" s="58"/>
      <c r="D97" s="58"/>
      <c r="E97" s="58"/>
      <c r="F97" s="58"/>
      <c r="G97" s="58"/>
      <c r="H97" s="58"/>
    </row>
    <row r="98" spans="1:9" x14ac:dyDescent="0.25">
      <c r="A98" s="9" t="s">
        <v>227</v>
      </c>
      <c r="B98" s="1"/>
      <c r="C98" s="55"/>
      <c r="D98" s="55"/>
      <c r="E98" s="55"/>
      <c r="F98" s="55"/>
      <c r="G98" s="55"/>
    </row>
    <row r="99" spans="1:9" x14ac:dyDescent="0.25">
      <c r="A99" s="7" t="s">
        <v>139</v>
      </c>
      <c r="B99" s="1" t="s">
        <v>38</v>
      </c>
      <c r="C99" s="55">
        <v>251546</v>
      </c>
      <c r="D99" s="55">
        <v>0</v>
      </c>
      <c r="E99" s="55">
        <v>0</v>
      </c>
      <c r="F99" s="55">
        <f t="shared" ref="F99:F124" si="15">C99+D99-E99</f>
        <v>251546</v>
      </c>
      <c r="G99" s="55">
        <f>H99-F99</f>
        <v>87714.354482142895</v>
      </c>
      <c r="H99" s="55">
        <f>'2021 Payroll'!F14</f>
        <v>339260.35448214289</v>
      </c>
      <c r="I99" s="2" t="s">
        <v>228</v>
      </c>
    </row>
    <row r="100" spans="1:9" x14ac:dyDescent="0.25">
      <c r="A100" s="7" t="s">
        <v>140</v>
      </c>
      <c r="B100" s="1" t="s">
        <v>40</v>
      </c>
      <c r="C100" s="55">
        <v>18720</v>
      </c>
      <c r="D100" s="55">
        <v>0</v>
      </c>
      <c r="E100" s="55">
        <v>0</v>
      </c>
      <c r="F100" s="55">
        <f t="shared" si="15"/>
        <v>18720</v>
      </c>
      <c r="G100" s="55">
        <f t="shared" ref="G100:G124" si="16">H100-F100</f>
        <v>7233.4171178839242</v>
      </c>
      <c r="H100" s="55">
        <f>'2021 Payroll'!F17</f>
        <v>25953.417117883924</v>
      </c>
      <c r="I100" s="2" t="s">
        <v>224</v>
      </c>
    </row>
    <row r="101" spans="1:9" x14ac:dyDescent="0.25">
      <c r="A101" s="7" t="s">
        <v>141</v>
      </c>
      <c r="B101" s="1" t="s">
        <v>42</v>
      </c>
      <c r="C101" s="55">
        <v>99312</v>
      </c>
      <c r="D101" s="55">
        <v>0</v>
      </c>
      <c r="E101" s="55">
        <v>0</v>
      </c>
      <c r="F101" s="55">
        <f t="shared" si="15"/>
        <v>99312</v>
      </c>
      <c r="G101" s="55">
        <f t="shared" si="16"/>
        <v>25330.499999999971</v>
      </c>
      <c r="H101" s="55">
        <f>'2021 Payroll'!F27</f>
        <v>124642.49999999997</v>
      </c>
      <c r="I101" s="2" t="s">
        <v>225</v>
      </c>
    </row>
    <row r="102" spans="1:9" x14ac:dyDescent="0.25">
      <c r="A102" s="7" t="s">
        <v>142</v>
      </c>
      <c r="B102" s="1" t="s">
        <v>44</v>
      </c>
      <c r="C102" s="55">
        <v>2711</v>
      </c>
      <c r="D102" s="55">
        <v>0</v>
      </c>
      <c r="E102" s="55">
        <v>0</v>
      </c>
      <c r="F102" s="55">
        <f t="shared" si="15"/>
        <v>2711</v>
      </c>
      <c r="G102" s="55">
        <f t="shared" si="16"/>
        <v>0</v>
      </c>
      <c r="H102" s="55">
        <f>F102</f>
        <v>2711</v>
      </c>
    </row>
    <row r="103" spans="1:9" x14ac:dyDescent="0.25">
      <c r="A103" s="7" t="s">
        <v>143</v>
      </c>
      <c r="B103" s="1" t="s">
        <v>46</v>
      </c>
      <c r="C103" s="55">
        <v>990</v>
      </c>
      <c r="D103" s="55">
        <v>0</v>
      </c>
      <c r="E103" s="55">
        <v>0</v>
      </c>
      <c r="F103" s="55">
        <f t="shared" si="15"/>
        <v>990</v>
      </c>
      <c r="G103" s="55">
        <f t="shared" si="16"/>
        <v>0</v>
      </c>
      <c r="H103" s="55">
        <f>F103</f>
        <v>990</v>
      </c>
    </row>
    <row r="104" spans="1:9" x14ac:dyDescent="0.25">
      <c r="A104" s="7" t="s">
        <v>144</v>
      </c>
      <c r="B104" s="1" t="s">
        <v>48</v>
      </c>
      <c r="C104" s="55">
        <v>52984</v>
      </c>
      <c r="D104" s="55">
        <v>0</v>
      </c>
      <c r="E104" s="55">
        <v>0</v>
      </c>
      <c r="F104" s="55">
        <f t="shared" si="15"/>
        <v>52984</v>
      </c>
      <c r="G104" s="55">
        <f t="shared" si="16"/>
        <v>38447</v>
      </c>
      <c r="H104" s="55">
        <f>'2021 Payroll'!F18</f>
        <v>91431</v>
      </c>
      <c r="I104" s="2" t="s">
        <v>230</v>
      </c>
    </row>
    <row r="105" spans="1:9" x14ac:dyDescent="0.25">
      <c r="A105" s="7" t="s">
        <v>145</v>
      </c>
      <c r="B105" s="1" t="s">
        <v>50</v>
      </c>
      <c r="C105" s="55">
        <v>0</v>
      </c>
      <c r="D105" s="55">
        <v>39532</v>
      </c>
      <c r="E105" s="55">
        <v>0</v>
      </c>
      <c r="F105" s="55">
        <f t="shared" si="15"/>
        <v>39532</v>
      </c>
      <c r="G105" s="55">
        <f t="shared" si="16"/>
        <v>0</v>
      </c>
      <c r="H105" s="55">
        <f t="shared" ref="H105:H123" si="17">F105</f>
        <v>39532</v>
      </c>
    </row>
    <row r="106" spans="1:9" x14ac:dyDescent="0.25">
      <c r="A106" s="7" t="s">
        <v>146</v>
      </c>
      <c r="B106" s="1" t="s">
        <v>52</v>
      </c>
      <c r="C106" s="55">
        <v>0</v>
      </c>
      <c r="D106" s="55">
        <v>0</v>
      </c>
      <c r="E106" s="55">
        <v>6366</v>
      </c>
      <c r="F106" s="55">
        <f t="shared" si="15"/>
        <v>-6366</v>
      </c>
      <c r="G106" s="55">
        <f t="shared" si="16"/>
        <v>0</v>
      </c>
      <c r="H106" s="55">
        <f t="shared" si="17"/>
        <v>-6366</v>
      </c>
    </row>
    <row r="107" spans="1:9" x14ac:dyDescent="0.25">
      <c r="A107" s="7" t="s">
        <v>147</v>
      </c>
      <c r="B107" s="1" t="s">
        <v>54</v>
      </c>
      <c r="C107" s="55">
        <v>13940</v>
      </c>
      <c r="D107" s="55">
        <v>0</v>
      </c>
      <c r="E107" s="55">
        <v>0</v>
      </c>
      <c r="F107" s="55">
        <f t="shared" si="15"/>
        <v>13940</v>
      </c>
      <c r="G107" s="55">
        <f t="shared" si="16"/>
        <v>0</v>
      </c>
      <c r="H107" s="55">
        <f t="shared" si="17"/>
        <v>13940</v>
      </c>
    </row>
    <row r="108" spans="1:9" x14ac:dyDescent="0.25">
      <c r="A108" s="7" t="s">
        <v>148</v>
      </c>
      <c r="B108" s="1" t="s">
        <v>56</v>
      </c>
      <c r="C108" s="55">
        <v>14745</v>
      </c>
      <c r="D108" s="55">
        <v>0</v>
      </c>
      <c r="E108" s="55">
        <v>0</v>
      </c>
      <c r="F108" s="55">
        <f t="shared" si="15"/>
        <v>14745</v>
      </c>
      <c r="G108" s="55">
        <f t="shared" si="16"/>
        <v>0</v>
      </c>
      <c r="H108" s="55">
        <f t="shared" si="17"/>
        <v>14745</v>
      </c>
    </row>
    <row r="109" spans="1:9" x14ac:dyDescent="0.25">
      <c r="A109" s="7" t="s">
        <v>149</v>
      </c>
      <c r="B109" s="1" t="s">
        <v>58</v>
      </c>
      <c r="C109" s="55">
        <v>8895</v>
      </c>
      <c r="D109" s="55">
        <v>0</v>
      </c>
      <c r="E109" s="55">
        <v>0</v>
      </c>
      <c r="F109" s="55">
        <f t="shared" si="15"/>
        <v>8895</v>
      </c>
      <c r="G109" s="55">
        <f t="shared" si="16"/>
        <v>0</v>
      </c>
      <c r="H109" s="55">
        <f t="shared" si="17"/>
        <v>8895</v>
      </c>
    </row>
    <row r="110" spans="1:9" x14ac:dyDescent="0.25">
      <c r="A110" s="7" t="s">
        <v>150</v>
      </c>
      <c r="B110" s="1" t="s">
        <v>60</v>
      </c>
      <c r="C110" s="55">
        <v>5104</v>
      </c>
      <c r="D110" s="55">
        <v>0</v>
      </c>
      <c r="E110" s="55">
        <v>0</v>
      </c>
      <c r="F110" s="55">
        <f t="shared" si="15"/>
        <v>5104</v>
      </c>
      <c r="G110" s="55">
        <f t="shared" si="16"/>
        <v>0</v>
      </c>
      <c r="H110" s="55">
        <f t="shared" si="17"/>
        <v>5104</v>
      </c>
    </row>
    <row r="111" spans="1:9" x14ac:dyDescent="0.25">
      <c r="A111" s="7" t="s">
        <v>151</v>
      </c>
      <c r="B111" s="1" t="s">
        <v>98</v>
      </c>
      <c r="C111" s="55">
        <v>40481</v>
      </c>
      <c r="D111" s="55">
        <v>0</v>
      </c>
      <c r="E111" s="55">
        <v>0</v>
      </c>
      <c r="F111" s="55">
        <f t="shared" si="15"/>
        <v>40481</v>
      </c>
      <c r="G111" s="55">
        <f t="shared" si="16"/>
        <v>0</v>
      </c>
      <c r="H111" s="55">
        <f t="shared" si="17"/>
        <v>40481</v>
      </c>
    </row>
    <row r="112" spans="1:9" x14ac:dyDescent="0.25">
      <c r="A112" s="7" t="s">
        <v>152</v>
      </c>
      <c r="B112" s="1" t="s">
        <v>62</v>
      </c>
      <c r="C112" s="55">
        <v>19348</v>
      </c>
      <c r="D112" s="55">
        <v>0</v>
      </c>
      <c r="E112" s="55">
        <v>0</v>
      </c>
      <c r="F112" s="55">
        <f t="shared" si="15"/>
        <v>19348</v>
      </c>
      <c r="G112" s="55">
        <f t="shared" si="16"/>
        <v>0</v>
      </c>
      <c r="H112" s="55">
        <f t="shared" si="17"/>
        <v>19348</v>
      </c>
    </row>
    <row r="113" spans="1:9" x14ac:dyDescent="0.25">
      <c r="A113" s="7" t="s">
        <v>153</v>
      </c>
      <c r="B113" s="1" t="s">
        <v>101</v>
      </c>
      <c r="C113" s="55">
        <v>0</v>
      </c>
      <c r="D113" s="55">
        <v>0</v>
      </c>
      <c r="E113" s="55">
        <v>0</v>
      </c>
      <c r="F113" s="55">
        <f t="shared" si="15"/>
        <v>0</v>
      </c>
      <c r="G113" s="55">
        <f t="shared" si="16"/>
        <v>0</v>
      </c>
      <c r="H113" s="55">
        <f t="shared" si="17"/>
        <v>0</v>
      </c>
    </row>
    <row r="114" spans="1:9" x14ac:dyDescent="0.25">
      <c r="A114" s="7" t="s">
        <v>154</v>
      </c>
      <c r="B114" s="1" t="s">
        <v>64</v>
      </c>
      <c r="C114" s="55">
        <v>1493</v>
      </c>
      <c r="D114" s="55">
        <v>0</v>
      </c>
      <c r="E114" s="55">
        <v>0</v>
      </c>
      <c r="F114" s="55">
        <f t="shared" si="15"/>
        <v>1493</v>
      </c>
      <c r="G114" s="55">
        <f t="shared" si="16"/>
        <v>0</v>
      </c>
      <c r="H114" s="55">
        <f t="shared" si="17"/>
        <v>1493</v>
      </c>
    </row>
    <row r="115" spans="1:9" x14ac:dyDescent="0.25">
      <c r="A115" s="7" t="s">
        <v>155</v>
      </c>
      <c r="B115" s="1" t="s">
        <v>68</v>
      </c>
      <c r="C115" s="55">
        <v>2183</v>
      </c>
      <c r="D115" s="55">
        <v>0</v>
      </c>
      <c r="E115" s="55">
        <v>0</v>
      </c>
      <c r="F115" s="55">
        <f t="shared" si="15"/>
        <v>2183</v>
      </c>
      <c r="G115" s="55">
        <f t="shared" si="16"/>
        <v>0</v>
      </c>
      <c r="H115" s="55">
        <f t="shared" si="17"/>
        <v>2183</v>
      </c>
    </row>
    <row r="116" spans="1:9" x14ac:dyDescent="0.25">
      <c r="A116" s="7" t="s">
        <v>156</v>
      </c>
      <c r="B116" s="1" t="s">
        <v>70</v>
      </c>
      <c r="C116" s="55">
        <v>154</v>
      </c>
      <c r="D116" s="55">
        <v>0</v>
      </c>
      <c r="E116" s="55">
        <v>0</v>
      </c>
      <c r="F116" s="55">
        <f t="shared" si="15"/>
        <v>154</v>
      </c>
      <c r="G116" s="55">
        <f t="shared" si="16"/>
        <v>0</v>
      </c>
      <c r="H116" s="55">
        <f t="shared" si="17"/>
        <v>154</v>
      </c>
    </row>
    <row r="117" spans="1:9" x14ac:dyDescent="0.25">
      <c r="A117" s="7" t="s">
        <v>157</v>
      </c>
      <c r="B117" s="1" t="s">
        <v>72</v>
      </c>
      <c r="C117" s="55">
        <v>667</v>
      </c>
      <c r="D117" s="55">
        <v>0</v>
      </c>
      <c r="E117" s="55">
        <v>0</v>
      </c>
      <c r="F117" s="55">
        <f t="shared" si="15"/>
        <v>667</v>
      </c>
      <c r="G117" s="55">
        <f t="shared" si="16"/>
        <v>0</v>
      </c>
      <c r="H117" s="55">
        <f t="shared" si="17"/>
        <v>667</v>
      </c>
    </row>
    <row r="118" spans="1:9" x14ac:dyDescent="0.25">
      <c r="A118" s="7" t="s">
        <v>158</v>
      </c>
      <c r="B118" s="1" t="s">
        <v>74</v>
      </c>
      <c r="C118" s="55">
        <v>10544</v>
      </c>
      <c r="D118" s="55">
        <v>0</v>
      </c>
      <c r="E118" s="55">
        <v>0</v>
      </c>
      <c r="F118" s="55">
        <f t="shared" si="15"/>
        <v>10544</v>
      </c>
      <c r="G118" s="55">
        <f t="shared" si="16"/>
        <v>0</v>
      </c>
      <c r="H118" s="55">
        <f t="shared" si="17"/>
        <v>10544</v>
      </c>
    </row>
    <row r="119" spans="1:9" x14ac:dyDescent="0.25">
      <c r="A119" s="7" t="s">
        <v>159</v>
      </c>
      <c r="B119" s="1" t="s">
        <v>76</v>
      </c>
      <c r="C119" s="55">
        <v>1219</v>
      </c>
      <c r="D119" s="55">
        <v>0</v>
      </c>
      <c r="E119" s="55">
        <v>0</v>
      </c>
      <c r="F119" s="55">
        <f t="shared" si="15"/>
        <v>1219</v>
      </c>
      <c r="G119" s="55">
        <f t="shared" si="16"/>
        <v>0</v>
      </c>
      <c r="H119" s="55">
        <f t="shared" si="17"/>
        <v>1219</v>
      </c>
    </row>
    <row r="120" spans="1:9" x14ac:dyDescent="0.25">
      <c r="A120" s="7" t="s">
        <v>160</v>
      </c>
      <c r="B120" s="1" t="s">
        <v>161</v>
      </c>
      <c r="C120" s="55">
        <v>0</v>
      </c>
      <c r="D120" s="55">
        <v>0</v>
      </c>
      <c r="E120" s="55">
        <v>0</v>
      </c>
      <c r="F120" s="55">
        <f t="shared" si="15"/>
        <v>0</v>
      </c>
      <c r="G120" s="55">
        <f t="shared" si="16"/>
        <v>0</v>
      </c>
      <c r="H120" s="55">
        <f t="shared" si="17"/>
        <v>0</v>
      </c>
    </row>
    <row r="121" spans="1:9" x14ac:dyDescent="0.25">
      <c r="A121" s="7" t="s">
        <v>162</v>
      </c>
      <c r="B121" s="1" t="s">
        <v>163</v>
      </c>
      <c r="C121" s="55">
        <v>21119</v>
      </c>
      <c r="D121" s="55">
        <v>0</v>
      </c>
      <c r="E121" s="55">
        <v>0</v>
      </c>
      <c r="F121" s="55">
        <f t="shared" si="15"/>
        <v>21119</v>
      </c>
      <c r="G121" s="55">
        <f t="shared" si="16"/>
        <v>0</v>
      </c>
      <c r="H121" s="55">
        <f t="shared" si="17"/>
        <v>21119</v>
      </c>
    </row>
    <row r="122" spans="1:9" x14ac:dyDescent="0.25">
      <c r="A122" s="7" t="s">
        <v>164</v>
      </c>
      <c r="B122" s="1" t="s">
        <v>111</v>
      </c>
      <c r="C122" s="55">
        <v>29460</v>
      </c>
      <c r="D122" s="55">
        <v>0</v>
      </c>
      <c r="E122" s="55">
        <v>0</v>
      </c>
      <c r="F122" s="55">
        <f t="shared" si="15"/>
        <v>29460</v>
      </c>
      <c r="G122" s="55">
        <f t="shared" si="16"/>
        <v>0</v>
      </c>
      <c r="H122" s="55">
        <f t="shared" si="17"/>
        <v>29460</v>
      </c>
    </row>
    <row r="123" spans="1:9" x14ac:dyDescent="0.25">
      <c r="A123" s="7" t="s">
        <v>165</v>
      </c>
      <c r="B123" s="1" t="s">
        <v>78</v>
      </c>
      <c r="C123" s="55">
        <v>74</v>
      </c>
      <c r="D123" s="55">
        <v>0</v>
      </c>
      <c r="E123" s="55">
        <v>0</v>
      </c>
      <c r="F123" s="55">
        <f t="shared" si="15"/>
        <v>74</v>
      </c>
      <c r="G123" s="55">
        <f t="shared" si="16"/>
        <v>0</v>
      </c>
      <c r="H123" s="55">
        <f t="shared" si="17"/>
        <v>74</v>
      </c>
    </row>
    <row r="124" spans="1:9" ht="17.25" x14ac:dyDescent="0.4">
      <c r="A124" s="7" t="s">
        <v>166</v>
      </c>
      <c r="B124" s="1" t="s">
        <v>167</v>
      </c>
      <c r="C124" s="56">
        <v>-55166</v>
      </c>
      <c r="D124" s="56">
        <v>16091</v>
      </c>
      <c r="E124" s="56">
        <v>0</v>
      </c>
      <c r="F124" s="56">
        <f t="shared" si="15"/>
        <v>-39075</v>
      </c>
      <c r="G124" s="56">
        <f t="shared" si="16"/>
        <v>34075</v>
      </c>
      <c r="H124" s="56">
        <v>-5000</v>
      </c>
      <c r="I124" s="2" t="s">
        <v>229</v>
      </c>
    </row>
    <row r="125" spans="1:9" s="12" customFormat="1" x14ac:dyDescent="0.25">
      <c r="A125" s="11"/>
      <c r="B125" s="9" t="s">
        <v>174</v>
      </c>
      <c r="C125" s="58">
        <f>SUM(C99:C124)</f>
        <v>540523</v>
      </c>
      <c r="D125" s="58">
        <f t="shared" ref="D125:F125" si="18">SUM(D99:D124)</f>
        <v>55623</v>
      </c>
      <c r="E125" s="58">
        <f t="shared" si="18"/>
        <v>6366</v>
      </c>
      <c r="F125" s="58">
        <f t="shared" si="18"/>
        <v>589780</v>
      </c>
      <c r="G125" s="58">
        <f>SUM(G99:G124)</f>
        <v>192800.27160002678</v>
      </c>
      <c r="H125" s="58">
        <f>SUM(H99:H124)</f>
        <v>782580.27160002675</v>
      </c>
    </row>
    <row r="126" spans="1:9" s="12" customFormat="1" x14ac:dyDescent="0.25">
      <c r="A126" s="11"/>
      <c r="B126" s="9"/>
      <c r="C126" s="58"/>
      <c r="D126" s="58"/>
      <c r="E126" s="58"/>
      <c r="F126" s="58"/>
      <c r="G126" s="58"/>
      <c r="H126" s="58"/>
    </row>
    <row r="127" spans="1:9" x14ac:dyDescent="0.25">
      <c r="A127" s="9" t="s">
        <v>234</v>
      </c>
      <c r="B127" s="1"/>
      <c r="C127" s="55"/>
      <c r="D127" s="55"/>
      <c r="E127" s="55"/>
      <c r="F127" s="55"/>
      <c r="G127" s="55"/>
    </row>
    <row r="128" spans="1:9" x14ac:dyDescent="0.25">
      <c r="A128" s="7" t="s">
        <v>79</v>
      </c>
      <c r="B128" s="1" t="s">
        <v>176</v>
      </c>
      <c r="C128" s="55">
        <v>9000</v>
      </c>
      <c r="D128" s="55">
        <v>0</v>
      </c>
      <c r="E128" s="55">
        <v>0</v>
      </c>
      <c r="F128" s="55">
        <f>C128+D128-E128</f>
        <v>9000</v>
      </c>
      <c r="G128" s="55">
        <f t="shared" ref="G128:G130" si="19">H128-F128</f>
        <v>0</v>
      </c>
      <c r="H128" s="55">
        <f>F128</f>
        <v>9000</v>
      </c>
    </row>
    <row r="129" spans="1:9" x14ac:dyDescent="0.25">
      <c r="A129" s="7" t="s">
        <v>80</v>
      </c>
      <c r="B129" s="1" t="s">
        <v>62</v>
      </c>
      <c r="C129" s="55">
        <v>4971</v>
      </c>
      <c r="D129" s="55">
        <v>0</v>
      </c>
      <c r="E129" s="55">
        <v>0</v>
      </c>
      <c r="F129" s="55">
        <f>C129+D129-E129</f>
        <v>4971</v>
      </c>
      <c r="G129" s="55">
        <f t="shared" si="19"/>
        <v>0</v>
      </c>
      <c r="H129" s="55">
        <f>F129</f>
        <v>4971</v>
      </c>
    </row>
    <row r="130" spans="1:9" ht="17.25" x14ac:dyDescent="0.4">
      <c r="A130" s="7" t="s">
        <v>81</v>
      </c>
      <c r="B130" s="1" t="s">
        <v>82</v>
      </c>
      <c r="C130" s="56">
        <v>10058</v>
      </c>
      <c r="D130" s="56">
        <v>0</v>
      </c>
      <c r="E130" s="56">
        <v>0</v>
      </c>
      <c r="F130" s="56">
        <f>C130+D130-E130</f>
        <v>10058</v>
      </c>
      <c r="G130" s="56">
        <f t="shared" si="19"/>
        <v>-4058</v>
      </c>
      <c r="H130" s="19">
        <f>6000</f>
        <v>6000</v>
      </c>
      <c r="I130" s="2" t="s">
        <v>239</v>
      </c>
    </row>
    <row r="131" spans="1:9" s="12" customFormat="1" x14ac:dyDescent="0.25">
      <c r="A131" s="11"/>
      <c r="B131" s="9" t="s">
        <v>175</v>
      </c>
      <c r="C131" s="58">
        <f>SUM(C128:C130)</f>
        <v>24029</v>
      </c>
      <c r="D131" s="58">
        <f t="shared" ref="D131:F131" si="20">SUM(D128:D130)</f>
        <v>0</v>
      </c>
      <c r="E131" s="58">
        <f t="shared" si="20"/>
        <v>0</v>
      </c>
      <c r="F131" s="58">
        <f t="shared" si="20"/>
        <v>24029</v>
      </c>
      <c r="G131" s="58">
        <f>SUM(G128:G130)</f>
        <v>-4058</v>
      </c>
      <c r="H131" s="58">
        <f>SUM(H128:H130)</f>
        <v>19971</v>
      </c>
    </row>
    <row r="132" spans="1:9" s="12" customFormat="1" x14ac:dyDescent="0.25">
      <c r="A132" s="11"/>
      <c r="B132" s="9"/>
      <c r="C132" s="58"/>
      <c r="D132" s="58"/>
      <c r="E132" s="58"/>
      <c r="F132" s="58"/>
      <c r="G132" s="58"/>
      <c r="H132" s="58"/>
    </row>
    <row r="133" spans="1:9" s="12" customFormat="1" x14ac:dyDescent="0.25">
      <c r="A133" s="7" t="s">
        <v>33</v>
      </c>
      <c r="B133" s="1" t="s">
        <v>231</v>
      </c>
      <c r="C133" s="55">
        <v>8975</v>
      </c>
      <c r="D133" s="55">
        <v>0</v>
      </c>
      <c r="E133" s="55">
        <v>0</v>
      </c>
      <c r="F133" s="55">
        <f>C133+D133-E133</f>
        <v>8975</v>
      </c>
      <c r="G133" s="55">
        <f t="shared" ref="G133:G136" si="21">H133-F133</f>
        <v>-912</v>
      </c>
      <c r="H133" s="64">
        <v>8063</v>
      </c>
      <c r="I133" s="2" t="s">
        <v>233</v>
      </c>
    </row>
    <row r="134" spans="1:9" s="12" customFormat="1" x14ac:dyDescent="0.25">
      <c r="A134" s="7" t="s">
        <v>35</v>
      </c>
      <c r="B134" s="1" t="s">
        <v>36</v>
      </c>
      <c r="C134" s="55">
        <v>53472</v>
      </c>
      <c r="D134" s="55">
        <v>0</v>
      </c>
      <c r="E134" s="55">
        <v>0</v>
      </c>
      <c r="F134" s="55">
        <f>C134+D134-E134</f>
        <v>53472</v>
      </c>
      <c r="G134" s="55">
        <f t="shared" si="21"/>
        <v>40260</v>
      </c>
      <c r="H134" s="64">
        <v>93732</v>
      </c>
      <c r="I134" s="2" t="s">
        <v>251</v>
      </c>
    </row>
    <row r="135" spans="1:9" s="12" customFormat="1" x14ac:dyDescent="0.25">
      <c r="A135" s="7" t="s">
        <v>7</v>
      </c>
      <c r="B135" s="1" t="s">
        <v>8</v>
      </c>
      <c r="C135" s="55">
        <v>805291</v>
      </c>
      <c r="D135" s="55">
        <v>0</v>
      </c>
      <c r="E135" s="55">
        <v>2259</v>
      </c>
      <c r="F135" s="55">
        <f>C135+D135-E135</f>
        <v>803032</v>
      </c>
      <c r="G135" s="55">
        <f t="shared" si="21"/>
        <v>-7906.0696283694124</v>
      </c>
      <c r="H135" s="64">
        <f>'NARUC Recap'!E37</f>
        <v>795125.93037163059</v>
      </c>
      <c r="I135" s="63" t="s">
        <v>232</v>
      </c>
    </row>
    <row r="136" spans="1:9" s="12" customFormat="1" ht="17.25" x14ac:dyDescent="0.4">
      <c r="A136" s="7" t="s">
        <v>83</v>
      </c>
      <c r="B136" s="1" t="s">
        <v>84</v>
      </c>
      <c r="C136" s="56">
        <v>2537</v>
      </c>
      <c r="D136" s="56">
        <v>0</v>
      </c>
      <c r="E136" s="56">
        <v>0</v>
      </c>
      <c r="F136" s="56">
        <f>C136+D136-E136</f>
        <v>2537</v>
      </c>
      <c r="G136" s="56">
        <f t="shared" si="21"/>
        <v>0</v>
      </c>
      <c r="H136" s="56">
        <f>F136</f>
        <v>2537</v>
      </c>
      <c r="I136" s="63"/>
    </row>
    <row r="137" spans="1:9" s="12" customFormat="1" x14ac:dyDescent="0.25">
      <c r="A137" s="11"/>
      <c r="B137" s="9" t="s">
        <v>179</v>
      </c>
      <c r="C137" s="58">
        <f>SUM(C133:C136)</f>
        <v>870275</v>
      </c>
      <c r="D137" s="58">
        <f t="shared" ref="D137:F137" si="22">SUM(D133:D136)</f>
        <v>0</v>
      </c>
      <c r="E137" s="58">
        <f t="shared" si="22"/>
        <v>2259</v>
      </c>
      <c r="F137" s="58">
        <f t="shared" si="22"/>
        <v>868016</v>
      </c>
      <c r="G137" s="58">
        <f>SUM(G133:G136)</f>
        <v>31441.930371630588</v>
      </c>
      <c r="H137" s="64">
        <f>SUM(H133:H136)</f>
        <v>899457.93037163059</v>
      </c>
      <c r="I137" s="63"/>
    </row>
    <row r="138" spans="1:9" s="12" customFormat="1" x14ac:dyDescent="0.25">
      <c r="A138" s="11"/>
      <c r="B138" s="9"/>
      <c r="C138" s="58"/>
      <c r="D138" s="58"/>
      <c r="E138" s="58"/>
      <c r="F138" s="58"/>
      <c r="G138" s="58"/>
      <c r="H138" s="64"/>
      <c r="I138" s="63"/>
    </row>
    <row r="139" spans="1:9" s="15" customFormat="1" ht="15.75" x14ac:dyDescent="0.25">
      <c r="A139" s="13"/>
      <c r="B139" s="14" t="s">
        <v>177</v>
      </c>
      <c r="C139" s="57">
        <f>C137+C131+C125+C96+C68+C41</f>
        <v>3119328</v>
      </c>
      <c r="D139" s="57">
        <f>D137+D131+D125+D96+D68+D41</f>
        <v>143045</v>
      </c>
      <c r="E139" s="57">
        <f>E137+E131+E125+E96+E68+E41</f>
        <v>20456</v>
      </c>
      <c r="F139" s="57">
        <f>F137+F131+F125+F96+F68+F41</f>
        <v>3241917</v>
      </c>
      <c r="G139" s="57">
        <f t="shared" ref="G139" si="23">H139-F139</f>
        <v>293703.52092844294</v>
      </c>
      <c r="H139" s="57">
        <f>H137+H131+H125+H96+H68+H41</f>
        <v>3535620.5209284429</v>
      </c>
      <c r="I139" s="66"/>
    </row>
    <row r="140" spans="1:9" s="15" customFormat="1" ht="15.75" x14ac:dyDescent="0.25">
      <c r="A140" s="13"/>
      <c r="B140" s="14"/>
      <c r="C140" s="57"/>
      <c r="D140" s="57"/>
      <c r="E140" s="57"/>
      <c r="F140" s="57"/>
      <c r="G140" s="57"/>
      <c r="H140" s="65"/>
      <c r="I140" s="66"/>
    </row>
    <row r="141" spans="1:9" s="15" customFormat="1" ht="15.75" x14ac:dyDescent="0.25">
      <c r="A141" s="109" t="s">
        <v>178</v>
      </c>
      <c r="B141" s="109"/>
      <c r="C141" s="57">
        <f>C17-C139</f>
        <v>42467</v>
      </c>
      <c r="D141" s="57">
        <f>-D139</f>
        <v>-143045</v>
      </c>
      <c r="E141" s="57">
        <f>E139</f>
        <v>20456</v>
      </c>
      <c r="F141" s="57">
        <f>F17-F139</f>
        <v>-80122</v>
      </c>
      <c r="G141" s="57">
        <f t="shared" ref="G141" si="24">H141-F141</f>
        <v>-293703.52092844294</v>
      </c>
      <c r="H141" s="57">
        <f>H17-H139</f>
        <v>-373825.52092844294</v>
      </c>
      <c r="I141" s="66"/>
    </row>
    <row r="142" spans="1:9" s="15" customFormat="1" ht="15.75" x14ac:dyDescent="0.25">
      <c r="A142" s="13"/>
      <c r="B142" s="14"/>
      <c r="C142" s="57"/>
      <c r="D142" s="57"/>
      <c r="E142" s="57"/>
      <c r="F142" s="57"/>
      <c r="G142" s="57"/>
      <c r="H142" s="57"/>
    </row>
    <row r="143" spans="1:9" x14ac:dyDescent="0.25">
      <c r="A143" s="7" t="s">
        <v>3</v>
      </c>
      <c r="B143" s="1" t="s">
        <v>4</v>
      </c>
      <c r="C143" s="55">
        <v>174</v>
      </c>
      <c r="D143" s="55">
        <v>0</v>
      </c>
      <c r="E143" s="55">
        <v>0</v>
      </c>
      <c r="F143" s="55">
        <f>C143+D143-E143</f>
        <v>174</v>
      </c>
      <c r="G143" s="55">
        <f t="shared" ref="G143:G145" si="25">H143-F143</f>
        <v>0</v>
      </c>
      <c r="H143" s="55">
        <f>F143</f>
        <v>174</v>
      </c>
    </row>
    <row r="144" spans="1:9" x14ac:dyDescent="0.25">
      <c r="A144" s="7" t="s">
        <v>9</v>
      </c>
      <c r="B144" s="1" t="s">
        <v>10</v>
      </c>
      <c r="C144" s="55">
        <v>24521</v>
      </c>
      <c r="D144" s="55">
        <v>0</v>
      </c>
      <c r="E144" s="55">
        <v>0</v>
      </c>
      <c r="F144" s="55">
        <f>C144+D144-E144</f>
        <v>24521</v>
      </c>
      <c r="G144" s="55">
        <f t="shared" si="25"/>
        <v>-24521</v>
      </c>
      <c r="H144" s="55">
        <v>0</v>
      </c>
      <c r="I144" s="2" t="s">
        <v>250</v>
      </c>
    </row>
    <row r="145" spans="1:9" ht="17.25" x14ac:dyDescent="0.4">
      <c r="A145" s="7" t="s">
        <v>5</v>
      </c>
      <c r="B145" s="1" t="s">
        <v>6</v>
      </c>
      <c r="C145" s="56">
        <v>34500</v>
      </c>
      <c r="D145" s="56">
        <v>0</v>
      </c>
      <c r="E145" s="56">
        <v>0</v>
      </c>
      <c r="F145" s="56">
        <f>C145+D145-E145</f>
        <v>34500</v>
      </c>
      <c r="G145" s="19">
        <f t="shared" si="25"/>
        <v>0</v>
      </c>
      <c r="H145" s="19">
        <f>F145</f>
        <v>34500</v>
      </c>
      <c r="I145" s="2" t="s">
        <v>235</v>
      </c>
    </row>
    <row r="146" spans="1:9" x14ac:dyDescent="0.25">
      <c r="A146" s="7"/>
      <c r="B146" s="9" t="s">
        <v>180</v>
      </c>
      <c r="C146" s="58">
        <f>SUM(C143:C145)</f>
        <v>59195</v>
      </c>
      <c r="D146" s="58">
        <f t="shared" ref="D146:F146" si="26">SUM(D143:D145)</f>
        <v>0</v>
      </c>
      <c r="E146" s="58">
        <f t="shared" si="26"/>
        <v>0</v>
      </c>
      <c r="F146" s="58">
        <f t="shared" si="26"/>
        <v>59195</v>
      </c>
      <c r="G146" s="58">
        <f>SUM(G143:G145)</f>
        <v>-24521</v>
      </c>
      <c r="H146" s="58">
        <f t="shared" ref="H146" si="27">SUM(H143:H145)</f>
        <v>34674</v>
      </c>
    </row>
    <row r="147" spans="1:9" x14ac:dyDescent="0.25">
      <c r="A147" s="2"/>
      <c r="C147" s="55"/>
      <c r="D147" s="55"/>
      <c r="E147" s="55"/>
      <c r="F147" s="55"/>
      <c r="G147" s="55"/>
    </row>
    <row r="148" spans="1:9" s="15" customFormat="1" ht="16.5" thickBot="1" x14ac:dyDescent="0.3">
      <c r="A148" s="109" t="s">
        <v>181</v>
      </c>
      <c r="B148" s="109"/>
      <c r="C148" s="59">
        <f t="shared" ref="C148:H148" si="28">C146+C141</f>
        <v>101662</v>
      </c>
      <c r="D148" s="59">
        <f t="shared" si="28"/>
        <v>-143045</v>
      </c>
      <c r="E148" s="59">
        <f t="shared" si="28"/>
        <v>20456</v>
      </c>
      <c r="F148" s="59">
        <f t="shared" si="28"/>
        <v>-20927</v>
      </c>
      <c r="G148" s="59">
        <f t="shared" si="28"/>
        <v>-318224.52092844294</v>
      </c>
      <c r="H148" s="59">
        <f t="shared" si="28"/>
        <v>-339151.52092844294</v>
      </c>
    </row>
    <row r="149" spans="1:9" ht="15.75" thickTop="1" x14ac:dyDescent="0.25">
      <c r="A149" s="2"/>
      <c r="C149" s="55"/>
      <c r="D149" s="55"/>
      <c r="E149" s="55"/>
      <c r="F149" s="55"/>
      <c r="G149" s="55"/>
    </row>
    <row r="150" spans="1:9" x14ac:dyDescent="0.25">
      <c r="A150" s="2"/>
      <c r="C150" s="55"/>
      <c r="D150" s="55"/>
      <c r="E150" s="55"/>
      <c r="F150" s="55">
        <f>F148+F133+F134+F136</f>
        <v>44057</v>
      </c>
      <c r="G150" s="55"/>
    </row>
    <row r="151" spans="1:9" s="12" customFormat="1" x14ac:dyDescent="0.25">
      <c r="A151" s="11"/>
      <c r="B151" s="9"/>
      <c r="C151" s="10"/>
      <c r="D151" s="10"/>
      <c r="E151" s="10"/>
      <c r="F151" s="10"/>
      <c r="G151" s="10"/>
      <c r="H151" s="58"/>
    </row>
    <row r="152" spans="1:9" s="12" customFormat="1" x14ac:dyDescent="0.25">
      <c r="A152" s="11"/>
      <c r="B152" s="9"/>
      <c r="C152" s="10"/>
      <c r="D152" s="10"/>
      <c r="E152" s="10"/>
      <c r="F152" s="10"/>
      <c r="G152" s="10"/>
      <c r="H152" s="58"/>
    </row>
    <row r="156" spans="1:9" x14ac:dyDescent="0.25">
      <c r="A156" s="7"/>
      <c r="B156" s="1"/>
      <c r="C156" s="3"/>
      <c r="D156" s="3"/>
      <c r="E156" s="3"/>
      <c r="F156" s="3"/>
      <c r="G156" s="3"/>
    </row>
    <row r="157" spans="1:9" x14ac:dyDescent="0.25">
      <c r="A157" s="7"/>
      <c r="B157" s="1"/>
      <c r="C157" s="3"/>
      <c r="D157" s="3"/>
      <c r="E157" s="3"/>
    </row>
    <row r="160" spans="1:9" x14ac:dyDescent="0.25">
      <c r="A160" s="7"/>
      <c r="B160" s="1"/>
      <c r="C160" s="3"/>
      <c r="D160" s="3"/>
      <c r="E160" s="3"/>
    </row>
    <row r="161" spans="1:5" x14ac:dyDescent="0.25">
      <c r="A161" s="7"/>
      <c r="B161" s="1"/>
      <c r="C161" s="3"/>
      <c r="D161" s="3"/>
      <c r="E161" s="3"/>
    </row>
    <row r="162" spans="1:5" x14ac:dyDescent="0.25">
      <c r="A162" s="7"/>
      <c r="B162" s="1"/>
      <c r="C162" s="3"/>
      <c r="D162" s="3"/>
      <c r="E162" s="3"/>
    </row>
    <row r="163" spans="1:5" x14ac:dyDescent="0.25">
      <c r="A163" s="7"/>
      <c r="B163" s="1"/>
      <c r="C163" s="3"/>
      <c r="D163" s="3"/>
      <c r="E163" s="3"/>
    </row>
    <row r="164" spans="1:5" x14ac:dyDescent="0.25">
      <c r="A164" s="7"/>
      <c r="B164" s="1"/>
      <c r="C164" s="3"/>
      <c r="D164" s="3"/>
      <c r="E164" s="3"/>
    </row>
    <row r="165" spans="1:5" x14ac:dyDescent="0.25">
      <c r="A165" s="7"/>
      <c r="B165" s="1"/>
      <c r="C165" s="3"/>
      <c r="D165" s="3"/>
      <c r="E165" s="3"/>
    </row>
  </sheetData>
  <sortState ref="A12:F211">
    <sortCondition ref="A12:A211"/>
  </sortState>
  <mergeCells count="10">
    <mergeCell ref="H4:H5"/>
    <mergeCell ref="F4:F5"/>
    <mergeCell ref="A1:F1"/>
    <mergeCell ref="A2:F2"/>
    <mergeCell ref="A148:B148"/>
    <mergeCell ref="A141:B141"/>
    <mergeCell ref="C4:C5"/>
    <mergeCell ref="D4:D5"/>
    <mergeCell ref="E4:E5"/>
    <mergeCell ref="G4:G5"/>
  </mergeCells>
  <pageMargins left="0.75" right="0.75" top="0.75" bottom="0.5" header="0.5" footer="0.75"/>
  <pageSetup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6"/>
  <sheetViews>
    <sheetView tabSelected="1" topLeftCell="A109" workbookViewId="0">
      <selection activeCell="C6" sqref="C6"/>
    </sheetView>
  </sheetViews>
  <sheetFormatPr defaultRowHeight="15" x14ac:dyDescent="0.25"/>
  <cols>
    <col min="1" max="1" width="9" style="5" customWidth="1"/>
    <col min="2" max="2" width="32.7109375" style="2" customWidth="1"/>
    <col min="3" max="3" width="15.28515625" style="16" customWidth="1"/>
    <col min="4" max="4" width="18.28515625" customWidth="1"/>
    <col min="5" max="5" width="20.140625" customWidth="1"/>
    <col min="6" max="6" width="18.28515625" customWidth="1"/>
    <col min="7" max="7" width="3.140625" customWidth="1"/>
    <col min="8" max="8" width="11.5703125" bestFit="1" customWidth="1"/>
  </cols>
  <sheetData>
    <row r="1" spans="1:6" x14ac:dyDescent="0.25">
      <c r="A1"/>
      <c r="B1"/>
    </row>
    <row r="2" spans="1:6" x14ac:dyDescent="0.25">
      <c r="A2"/>
      <c r="B2" t="s">
        <v>186</v>
      </c>
      <c r="D2" s="20">
        <v>0.5</v>
      </c>
      <c r="E2" s="20">
        <v>0.5</v>
      </c>
    </row>
    <row r="4" spans="1:6" ht="15" customHeight="1" x14ac:dyDescent="0.25">
      <c r="B4" s="2" t="s">
        <v>185</v>
      </c>
      <c r="D4" s="21">
        <f>C6/(C6+C7)</f>
        <v>0.53142510365734508</v>
      </c>
      <c r="E4" s="22">
        <f>1-D4</f>
        <v>0.46857489634265492</v>
      </c>
    </row>
    <row r="5" spans="1:6" ht="15.75" thickBot="1" x14ac:dyDescent="0.3">
      <c r="A5" s="8" t="s">
        <v>0</v>
      </c>
      <c r="B5" s="4" t="s">
        <v>1</v>
      </c>
      <c r="C5" s="30" t="s">
        <v>210</v>
      </c>
      <c r="D5" s="18" t="s">
        <v>182</v>
      </c>
      <c r="E5" s="18" t="s">
        <v>183</v>
      </c>
      <c r="F5" s="18" t="s">
        <v>184</v>
      </c>
    </row>
    <row r="6" spans="1:6" x14ac:dyDescent="0.25">
      <c r="A6" s="7" t="s">
        <v>13</v>
      </c>
      <c r="B6" s="1" t="s">
        <v>14</v>
      </c>
      <c r="C6" s="16">
        <f>'ProForma Income Stmt'!H6</f>
        <v>1520209</v>
      </c>
      <c r="D6" s="16">
        <f>C6</f>
        <v>1520209</v>
      </c>
      <c r="E6" s="16"/>
      <c r="F6" s="16"/>
    </row>
    <row r="7" spans="1:6" x14ac:dyDescent="0.25">
      <c r="A7" s="7" t="s">
        <v>15</v>
      </c>
      <c r="B7" s="1" t="s">
        <v>16</v>
      </c>
      <c r="C7" s="16">
        <f>'ProForma Income Stmt'!H7</f>
        <v>1340418</v>
      </c>
      <c r="D7" s="16"/>
      <c r="E7" s="16">
        <f>C7</f>
        <v>1340418</v>
      </c>
      <c r="F7" s="16"/>
    </row>
    <row r="8" spans="1:6" x14ac:dyDescent="0.25">
      <c r="A8" s="7" t="s">
        <v>17</v>
      </c>
      <c r="B8" s="1" t="s">
        <v>18</v>
      </c>
      <c r="C8" s="16">
        <f>'ProForma Income Stmt'!H8</f>
        <v>198648</v>
      </c>
      <c r="D8" s="16"/>
      <c r="E8" s="16"/>
      <c r="F8" s="16">
        <f>C8</f>
        <v>198648</v>
      </c>
    </row>
    <row r="9" spans="1:6" x14ac:dyDescent="0.25">
      <c r="A9" s="7" t="s">
        <v>19</v>
      </c>
      <c r="B9" s="1" t="s">
        <v>20</v>
      </c>
      <c r="C9" s="16">
        <f>'ProForma Income Stmt'!H9</f>
        <v>58701</v>
      </c>
      <c r="D9" s="16">
        <f>C9*D$4</f>
        <v>31195.185009789813</v>
      </c>
      <c r="E9" s="16">
        <f>C9*E$4</f>
        <v>27505.814990210187</v>
      </c>
      <c r="F9" s="16"/>
    </row>
    <row r="10" spans="1:6" x14ac:dyDescent="0.25">
      <c r="A10" s="7" t="s">
        <v>21</v>
      </c>
      <c r="B10" s="1" t="s">
        <v>22</v>
      </c>
      <c r="C10" s="16">
        <f>'ProForma Income Stmt'!H10</f>
        <v>11661</v>
      </c>
      <c r="D10" s="16">
        <f>C10*0.5</f>
        <v>5830.5</v>
      </c>
      <c r="E10" s="16">
        <f>C10*0.5</f>
        <v>5830.5</v>
      </c>
      <c r="F10" s="16"/>
    </row>
    <row r="11" spans="1:6" x14ac:dyDescent="0.25">
      <c r="A11" s="7" t="s">
        <v>23</v>
      </c>
      <c r="B11" s="1" t="s">
        <v>24</v>
      </c>
      <c r="C11" s="16">
        <f>'ProForma Income Stmt'!H11</f>
        <v>6200</v>
      </c>
      <c r="D11" s="16">
        <f>C11*0.5</f>
        <v>3100</v>
      </c>
      <c r="E11" s="16">
        <f>C11*0.5</f>
        <v>3100</v>
      </c>
      <c r="F11" s="16"/>
    </row>
    <row r="12" spans="1:6" x14ac:dyDescent="0.25">
      <c r="A12" s="7" t="s">
        <v>25</v>
      </c>
      <c r="B12" s="1" t="s">
        <v>26</v>
      </c>
      <c r="C12" s="16">
        <f>'ProForma Income Stmt'!H12</f>
        <v>1403</v>
      </c>
      <c r="D12" s="16"/>
      <c r="E12" s="16"/>
      <c r="F12" s="16">
        <f>C12</f>
        <v>1403</v>
      </c>
    </row>
    <row r="13" spans="1:6" x14ac:dyDescent="0.25">
      <c r="A13" s="7" t="s">
        <v>27</v>
      </c>
      <c r="B13" s="1" t="s">
        <v>28</v>
      </c>
      <c r="C13" s="16">
        <f>'ProForma Income Stmt'!H13</f>
        <v>4428</v>
      </c>
      <c r="D13" s="16">
        <f>C13*0.5</f>
        <v>2214</v>
      </c>
      <c r="E13" s="16">
        <f>C13*0.5</f>
        <v>2214</v>
      </c>
      <c r="F13" s="16"/>
    </row>
    <row r="14" spans="1:6" x14ac:dyDescent="0.25">
      <c r="A14" s="7" t="s">
        <v>29</v>
      </c>
      <c r="B14" s="1" t="s">
        <v>30</v>
      </c>
      <c r="C14" s="16">
        <f>'ProForma Income Stmt'!H14</f>
        <v>20575</v>
      </c>
      <c r="D14" s="16">
        <f>C14*0.5</f>
        <v>10287.5</v>
      </c>
      <c r="E14" s="16">
        <f>C14*0.5</f>
        <v>10287.5</v>
      </c>
      <c r="F14" s="16"/>
    </row>
    <row r="15" spans="1:6" x14ac:dyDescent="0.25">
      <c r="A15" s="7" t="s">
        <v>11</v>
      </c>
      <c r="B15" s="1" t="s">
        <v>12</v>
      </c>
      <c r="C15" s="16">
        <f>'ProForma Income Stmt'!H15</f>
        <v>-2745</v>
      </c>
      <c r="D15" s="16">
        <f t="shared" ref="D15" si="0">C15*D$4</f>
        <v>-1458.7619095394123</v>
      </c>
      <c r="E15" s="16">
        <f t="shared" ref="E15" si="1">C15*E$4</f>
        <v>-1286.2380904605877</v>
      </c>
      <c r="F15" s="16"/>
    </row>
    <row r="16" spans="1:6" x14ac:dyDescent="0.25">
      <c r="A16" s="7" t="s">
        <v>31</v>
      </c>
      <c r="B16" s="1" t="s">
        <v>32</v>
      </c>
      <c r="C16" s="19">
        <f>'ProForma Income Stmt'!H16</f>
        <v>2297</v>
      </c>
      <c r="D16" s="19"/>
      <c r="E16" s="19"/>
      <c r="F16" s="19">
        <f>C16</f>
        <v>2297</v>
      </c>
    </row>
    <row r="17" spans="1:8" s="29" customFormat="1" ht="15.75" x14ac:dyDescent="0.25">
      <c r="A17" s="13"/>
      <c r="B17" s="14" t="s">
        <v>170</v>
      </c>
      <c r="C17" s="28">
        <f>SUM(C6:C16)</f>
        <v>3161795</v>
      </c>
      <c r="D17" s="28">
        <f>SUM(D6:D16)</f>
        <v>1571377.4231002505</v>
      </c>
      <c r="E17" s="28">
        <f t="shared" ref="E17:F17" si="2">SUM(E6:E16)</f>
        <v>1388069.5768997495</v>
      </c>
      <c r="F17" s="28">
        <f t="shared" si="2"/>
        <v>202348</v>
      </c>
      <c r="H17" s="78"/>
    </row>
    <row r="18" spans="1:8" s="29" customFormat="1" ht="15.75" x14ac:dyDescent="0.25">
      <c r="A18" s="13"/>
      <c r="B18" s="14"/>
      <c r="C18" s="28"/>
      <c r="D18" s="28"/>
      <c r="E18" s="28"/>
      <c r="F18" s="28"/>
    </row>
    <row r="19" spans="1:8" x14ac:dyDescent="0.25">
      <c r="A19" s="9" t="s">
        <v>184</v>
      </c>
      <c r="B19" s="1"/>
      <c r="D19" s="16"/>
      <c r="E19" s="16"/>
      <c r="F19" s="16"/>
    </row>
    <row r="20" spans="1:8" x14ac:dyDescent="0.25">
      <c r="A20" s="7" t="s">
        <v>37</v>
      </c>
      <c r="B20" s="1" t="s">
        <v>38</v>
      </c>
      <c r="C20" s="16">
        <f>'ProForma Income Stmt'!H20</f>
        <v>227333.86750000002</v>
      </c>
      <c r="D20" s="16">
        <f>0.5*76947</f>
        <v>38473.5</v>
      </c>
      <c r="E20" s="16">
        <f>D20</f>
        <v>38473.5</v>
      </c>
      <c r="F20" s="16">
        <f>C20-D20-E20</f>
        <v>150386.86750000002</v>
      </c>
    </row>
    <row r="21" spans="1:8" x14ac:dyDescent="0.25">
      <c r="A21" s="7" t="s">
        <v>39</v>
      </c>
      <c r="B21" s="1" t="s">
        <v>40</v>
      </c>
      <c r="C21" s="16">
        <f>'ProForma Income Stmt'!H21</f>
        <v>16529</v>
      </c>
      <c r="D21" s="16">
        <f>D20*0.0765</f>
        <v>2943.2227499999999</v>
      </c>
      <c r="E21" s="16">
        <f>E20*0.0765</f>
        <v>2943.2227499999999</v>
      </c>
      <c r="F21" s="16">
        <f t="shared" ref="F21:F24" si="3">C21-D21-E21</f>
        <v>10642.554499999998</v>
      </c>
    </row>
    <row r="22" spans="1:8" x14ac:dyDescent="0.25">
      <c r="A22" s="7" t="s">
        <v>41</v>
      </c>
      <c r="B22" s="1" t="s">
        <v>42</v>
      </c>
      <c r="C22" s="16">
        <f>'ProForma Income Stmt'!H22</f>
        <v>54938.05</v>
      </c>
      <c r="D22" s="16">
        <f>0.5*18994</f>
        <v>9497</v>
      </c>
      <c r="E22" s="16">
        <f>D22</f>
        <v>9497</v>
      </c>
      <c r="F22" s="16">
        <f t="shared" si="3"/>
        <v>35944.050000000003</v>
      </c>
    </row>
    <row r="23" spans="1:8" x14ac:dyDescent="0.25">
      <c r="A23" s="7" t="s">
        <v>43</v>
      </c>
      <c r="B23" s="1" t="s">
        <v>44</v>
      </c>
      <c r="C23" s="16">
        <f>'ProForma Income Stmt'!H23</f>
        <v>940</v>
      </c>
      <c r="D23" s="16"/>
      <c r="E23" s="16"/>
      <c r="F23" s="16">
        <f t="shared" si="3"/>
        <v>940</v>
      </c>
    </row>
    <row r="24" spans="1:8" x14ac:dyDescent="0.25">
      <c r="A24" s="7" t="s">
        <v>45</v>
      </c>
      <c r="B24" s="1" t="s">
        <v>46</v>
      </c>
      <c r="C24" s="16">
        <f>'ProForma Income Stmt'!H24</f>
        <v>7323</v>
      </c>
      <c r="D24" s="16">
        <v>0</v>
      </c>
      <c r="E24" s="16">
        <v>0</v>
      </c>
      <c r="F24" s="16">
        <f t="shared" si="3"/>
        <v>7323</v>
      </c>
    </row>
    <row r="25" spans="1:8" x14ac:dyDescent="0.25">
      <c r="A25" s="7" t="s">
        <v>47</v>
      </c>
      <c r="B25" s="1" t="s">
        <v>48</v>
      </c>
      <c r="C25" s="16">
        <f>'ProForma Income Stmt'!H25</f>
        <v>55192</v>
      </c>
      <c r="D25" s="16">
        <f>0.2695*D20</f>
        <v>10368.608250000001</v>
      </c>
      <c r="E25" s="16">
        <f>0.2695*E20</f>
        <v>10368.608250000001</v>
      </c>
      <c r="F25" s="16">
        <f>C25-D25-E25</f>
        <v>34454.78349999999</v>
      </c>
    </row>
    <row r="26" spans="1:8" x14ac:dyDescent="0.25">
      <c r="A26" s="7" t="s">
        <v>49</v>
      </c>
      <c r="B26" s="1" t="s">
        <v>50</v>
      </c>
      <c r="C26" s="16">
        <f>'ProForma Income Stmt'!H26</f>
        <v>33492</v>
      </c>
      <c r="D26" s="16">
        <f>C26*(D20/C20)</f>
        <v>5668.1148135572003</v>
      </c>
      <c r="E26" s="16">
        <f>C26*(E20/C20)</f>
        <v>5668.1148135572003</v>
      </c>
      <c r="F26" s="16">
        <f>C26-D26-E26</f>
        <v>22155.770372885599</v>
      </c>
    </row>
    <row r="27" spans="1:8" x14ac:dyDescent="0.25">
      <c r="A27" s="7" t="s">
        <v>51</v>
      </c>
      <c r="B27" s="1" t="s">
        <v>52</v>
      </c>
      <c r="C27" s="16">
        <f>'ProForma Income Stmt'!H27</f>
        <v>-2676</v>
      </c>
      <c r="D27" s="16">
        <f>C27*(D20/C20)</f>
        <v>-452.88054583420126</v>
      </c>
      <c r="E27" s="16">
        <f>C27*(E20/C20)</f>
        <v>-452.88054583420126</v>
      </c>
      <c r="F27" s="16">
        <f>C27-D27-E27</f>
        <v>-1770.2389083315975</v>
      </c>
    </row>
    <row r="28" spans="1:8" x14ac:dyDescent="0.25">
      <c r="A28" s="7" t="s">
        <v>53</v>
      </c>
      <c r="B28" s="1" t="s">
        <v>54</v>
      </c>
      <c r="C28" s="16">
        <f>'ProForma Income Stmt'!H28</f>
        <v>8063</v>
      </c>
      <c r="D28" s="16">
        <v>0</v>
      </c>
      <c r="E28" s="16">
        <v>0</v>
      </c>
      <c r="F28" s="16">
        <f t="shared" ref="F28:F40" si="4">C28-D28-E28</f>
        <v>8063</v>
      </c>
    </row>
    <row r="29" spans="1:8" x14ac:dyDescent="0.25">
      <c r="A29" s="7" t="s">
        <v>55</v>
      </c>
      <c r="B29" s="1" t="s">
        <v>56</v>
      </c>
      <c r="C29" s="16">
        <f>'ProForma Income Stmt'!H29</f>
        <v>169</v>
      </c>
      <c r="D29" s="16">
        <v>0</v>
      </c>
      <c r="E29" s="16">
        <v>0</v>
      </c>
      <c r="F29" s="16">
        <f t="shared" si="4"/>
        <v>169</v>
      </c>
    </row>
    <row r="30" spans="1:8" x14ac:dyDescent="0.25">
      <c r="A30" s="7" t="s">
        <v>57</v>
      </c>
      <c r="B30" s="1" t="s">
        <v>58</v>
      </c>
      <c r="C30" s="16">
        <f>'ProForma Income Stmt'!H30</f>
        <v>2376</v>
      </c>
      <c r="D30" s="16">
        <v>0</v>
      </c>
      <c r="E30" s="16">
        <v>0</v>
      </c>
      <c r="F30" s="16">
        <f t="shared" si="4"/>
        <v>2376</v>
      </c>
    </row>
    <row r="31" spans="1:8" x14ac:dyDescent="0.25">
      <c r="A31" s="7" t="s">
        <v>59</v>
      </c>
      <c r="B31" s="1" t="s">
        <v>60</v>
      </c>
      <c r="C31" s="16">
        <f>'ProForma Income Stmt'!H31</f>
        <v>6882</v>
      </c>
      <c r="D31" s="16">
        <v>0</v>
      </c>
      <c r="E31" s="16">
        <v>0</v>
      </c>
      <c r="F31" s="16">
        <f t="shared" si="4"/>
        <v>6882</v>
      </c>
    </row>
    <row r="32" spans="1:8" x14ac:dyDescent="0.25">
      <c r="A32" s="7" t="s">
        <v>61</v>
      </c>
      <c r="B32" s="1" t="s">
        <v>62</v>
      </c>
      <c r="C32" s="16">
        <f>'ProForma Income Stmt'!H32</f>
        <v>4278</v>
      </c>
      <c r="D32" s="16">
        <v>0</v>
      </c>
      <c r="E32" s="16">
        <v>0</v>
      </c>
      <c r="F32" s="16">
        <f t="shared" si="4"/>
        <v>4278</v>
      </c>
    </row>
    <row r="33" spans="1:6" x14ac:dyDescent="0.25">
      <c r="A33" s="7" t="s">
        <v>63</v>
      </c>
      <c r="B33" s="1" t="s">
        <v>64</v>
      </c>
      <c r="C33" s="16">
        <f>'ProForma Income Stmt'!H33</f>
        <v>3085</v>
      </c>
      <c r="D33" s="16">
        <v>0</v>
      </c>
      <c r="E33" s="16">
        <v>0</v>
      </c>
      <c r="F33" s="16">
        <f t="shared" si="4"/>
        <v>3085</v>
      </c>
    </row>
    <row r="34" spans="1:6" x14ac:dyDescent="0.25">
      <c r="A34" s="7" t="s">
        <v>65</v>
      </c>
      <c r="B34" s="1" t="s">
        <v>66</v>
      </c>
      <c r="C34" s="16">
        <f>'ProForma Income Stmt'!H34</f>
        <v>10270</v>
      </c>
      <c r="D34" s="16">
        <v>0</v>
      </c>
      <c r="E34" s="16">
        <v>0</v>
      </c>
      <c r="F34" s="16">
        <f t="shared" si="4"/>
        <v>10270</v>
      </c>
    </row>
    <row r="35" spans="1:6" x14ac:dyDescent="0.25">
      <c r="A35" s="7" t="s">
        <v>67</v>
      </c>
      <c r="B35" s="1" t="s">
        <v>68</v>
      </c>
      <c r="C35" s="16">
        <f>'ProForma Income Stmt'!H35</f>
        <v>3822</v>
      </c>
      <c r="D35" s="16">
        <v>0</v>
      </c>
      <c r="E35" s="16">
        <v>0</v>
      </c>
      <c r="F35" s="16">
        <f t="shared" si="4"/>
        <v>3822</v>
      </c>
    </row>
    <row r="36" spans="1:6" x14ac:dyDescent="0.25">
      <c r="A36" s="7" t="s">
        <v>69</v>
      </c>
      <c r="B36" s="1" t="s">
        <v>70</v>
      </c>
      <c r="C36" s="16">
        <f>'ProForma Income Stmt'!H36</f>
        <v>11268</v>
      </c>
      <c r="D36" s="16">
        <v>0</v>
      </c>
      <c r="E36" s="16">
        <v>0</v>
      </c>
      <c r="F36" s="16">
        <f t="shared" si="4"/>
        <v>11268</v>
      </c>
    </row>
    <row r="37" spans="1:6" x14ac:dyDescent="0.25">
      <c r="A37" s="7" t="s">
        <v>71</v>
      </c>
      <c r="B37" s="1" t="s">
        <v>72</v>
      </c>
      <c r="C37" s="16">
        <f>'ProForma Income Stmt'!H37</f>
        <v>0</v>
      </c>
      <c r="D37" s="16">
        <v>0</v>
      </c>
      <c r="E37" s="16">
        <v>0</v>
      </c>
      <c r="F37" s="16">
        <f t="shared" si="4"/>
        <v>0</v>
      </c>
    </row>
    <row r="38" spans="1:6" x14ac:dyDescent="0.25">
      <c r="A38" s="7" t="s">
        <v>73</v>
      </c>
      <c r="B38" s="1" t="s">
        <v>74</v>
      </c>
      <c r="C38" s="16">
        <f>'ProForma Income Stmt'!H38</f>
        <v>4562</v>
      </c>
      <c r="D38" s="16">
        <v>0</v>
      </c>
      <c r="E38" s="16">
        <v>0</v>
      </c>
      <c r="F38" s="16">
        <f t="shared" si="4"/>
        <v>4562</v>
      </c>
    </row>
    <row r="39" spans="1:6" x14ac:dyDescent="0.25">
      <c r="A39" s="7" t="s">
        <v>75</v>
      </c>
      <c r="B39" s="1" t="s">
        <v>76</v>
      </c>
      <c r="C39" s="16">
        <f>'ProForma Income Stmt'!H39</f>
        <v>3518</v>
      </c>
      <c r="D39" s="16">
        <v>0</v>
      </c>
      <c r="E39" s="16">
        <v>0</v>
      </c>
      <c r="F39" s="16">
        <f t="shared" si="4"/>
        <v>3518</v>
      </c>
    </row>
    <row r="40" spans="1:6" x14ac:dyDescent="0.25">
      <c r="A40" s="7" t="s">
        <v>77</v>
      </c>
      <c r="B40" s="1" t="s">
        <v>78</v>
      </c>
      <c r="C40" s="19">
        <f>'ProForma Income Stmt'!H40</f>
        <v>0</v>
      </c>
      <c r="D40" s="19">
        <v>0</v>
      </c>
      <c r="E40" s="19">
        <v>0</v>
      </c>
      <c r="F40" s="19">
        <f t="shared" si="4"/>
        <v>0</v>
      </c>
    </row>
    <row r="41" spans="1:6" x14ac:dyDescent="0.25">
      <c r="A41" s="11"/>
      <c r="B41" s="9" t="s">
        <v>171</v>
      </c>
      <c r="C41" s="23">
        <f>SUM(C20:C40)</f>
        <v>451364.91750000004</v>
      </c>
      <c r="D41" s="23">
        <f t="shared" ref="D41:F41" si="5">SUM(D20:D40)</f>
        <v>66497.56526772301</v>
      </c>
      <c r="E41" s="23">
        <f t="shared" si="5"/>
        <v>66497.56526772301</v>
      </c>
      <c r="F41" s="23">
        <f t="shared" si="5"/>
        <v>318369.78696455399</v>
      </c>
    </row>
    <row r="42" spans="1:6" x14ac:dyDescent="0.25">
      <c r="A42" s="11"/>
      <c r="B42" s="9"/>
      <c r="C42" s="23"/>
      <c r="D42" s="23"/>
      <c r="E42" s="23"/>
      <c r="F42" s="23"/>
    </row>
    <row r="43" spans="1:6" x14ac:dyDescent="0.25">
      <c r="A43" s="9" t="s">
        <v>219</v>
      </c>
      <c r="B43" s="1"/>
      <c r="D43" s="16"/>
      <c r="E43" s="16"/>
      <c r="F43" s="16"/>
    </row>
    <row r="44" spans="1:6" x14ac:dyDescent="0.25">
      <c r="A44" s="7" t="s">
        <v>85</v>
      </c>
      <c r="B44" s="1" t="s">
        <v>38</v>
      </c>
      <c r="C44" s="16">
        <f>'ProForma Income Stmt'!H44</f>
        <v>172331.10214285715</v>
      </c>
      <c r="D44" s="16">
        <f>C44</f>
        <v>172331.10214285715</v>
      </c>
      <c r="E44" s="16"/>
      <c r="F44" s="16"/>
    </row>
    <row r="45" spans="1:6" x14ac:dyDescent="0.25">
      <c r="A45" s="7" t="s">
        <v>86</v>
      </c>
      <c r="B45" s="1" t="s">
        <v>40</v>
      </c>
      <c r="C45" s="16">
        <f>'ProForma Income Stmt'!H45</f>
        <v>13183.329313928571</v>
      </c>
      <c r="D45" s="16">
        <f t="shared" ref="D45:D67" si="6">C45</f>
        <v>13183.329313928571</v>
      </c>
      <c r="E45" s="16"/>
      <c r="F45" s="16"/>
    </row>
    <row r="46" spans="1:6" x14ac:dyDescent="0.25">
      <c r="A46" s="7" t="s">
        <v>87</v>
      </c>
      <c r="B46" s="1" t="s">
        <v>42</v>
      </c>
      <c r="C46" s="16">
        <f>'ProForma Income Stmt'!H46</f>
        <v>72309.75</v>
      </c>
      <c r="D46" s="16">
        <f t="shared" si="6"/>
        <v>72309.75</v>
      </c>
      <c r="E46" s="16"/>
      <c r="F46" s="16"/>
    </row>
    <row r="47" spans="1:6" x14ac:dyDescent="0.25">
      <c r="A47" s="7" t="s">
        <v>88</v>
      </c>
      <c r="B47" s="1" t="s">
        <v>44</v>
      </c>
      <c r="C47" s="16">
        <f>'ProForma Income Stmt'!H47</f>
        <v>529</v>
      </c>
      <c r="D47" s="16">
        <f t="shared" si="6"/>
        <v>529</v>
      </c>
      <c r="E47" s="16"/>
      <c r="F47" s="16"/>
    </row>
    <row r="48" spans="1:6" x14ac:dyDescent="0.25">
      <c r="A48" s="7" t="s">
        <v>89</v>
      </c>
      <c r="B48" s="1" t="s">
        <v>46</v>
      </c>
      <c r="C48" s="16">
        <f>'ProForma Income Stmt'!H48</f>
        <v>359</v>
      </c>
      <c r="D48" s="16">
        <f t="shared" si="6"/>
        <v>359</v>
      </c>
      <c r="E48" s="16"/>
      <c r="F48" s="16"/>
    </row>
    <row r="49" spans="1:6" x14ac:dyDescent="0.25">
      <c r="A49" s="7" t="s">
        <v>90</v>
      </c>
      <c r="B49" s="1" t="s">
        <v>48</v>
      </c>
      <c r="C49" s="16">
        <f>'ProForma Income Stmt'!H49</f>
        <v>46443</v>
      </c>
      <c r="D49" s="16">
        <f t="shared" si="6"/>
        <v>46443</v>
      </c>
      <c r="E49" s="16"/>
      <c r="F49" s="16"/>
    </row>
    <row r="50" spans="1:6" x14ac:dyDescent="0.25">
      <c r="A50" s="7" t="s">
        <v>91</v>
      </c>
      <c r="B50" s="1" t="s">
        <v>50</v>
      </c>
      <c r="C50" s="16">
        <f>'ProForma Income Stmt'!H50</f>
        <v>30619</v>
      </c>
      <c r="D50" s="16">
        <f t="shared" si="6"/>
        <v>30619</v>
      </c>
      <c r="E50" s="16"/>
      <c r="F50" s="16"/>
    </row>
    <row r="51" spans="1:6" x14ac:dyDescent="0.25">
      <c r="A51" s="7" t="s">
        <v>92</v>
      </c>
      <c r="B51" s="1" t="s">
        <v>52</v>
      </c>
      <c r="C51" s="16">
        <f>'ProForma Income Stmt'!H51</f>
        <v>-3491</v>
      </c>
      <c r="D51" s="16">
        <f t="shared" si="6"/>
        <v>-3491</v>
      </c>
      <c r="E51" s="16"/>
      <c r="F51" s="16"/>
    </row>
    <row r="52" spans="1:6" x14ac:dyDescent="0.25">
      <c r="A52" s="7" t="s">
        <v>93</v>
      </c>
      <c r="B52" s="1" t="s">
        <v>54</v>
      </c>
      <c r="C52" s="16">
        <f>'ProForma Income Stmt'!H52</f>
        <v>179933</v>
      </c>
      <c r="D52" s="16">
        <f t="shared" si="6"/>
        <v>179933</v>
      </c>
      <c r="E52" s="16"/>
      <c r="F52" s="16"/>
    </row>
    <row r="53" spans="1:6" x14ac:dyDescent="0.25">
      <c r="A53" s="7" t="s">
        <v>94</v>
      </c>
      <c r="B53" s="1" t="s">
        <v>56</v>
      </c>
      <c r="C53" s="16">
        <f>'ProForma Income Stmt'!H53</f>
        <v>786</v>
      </c>
      <c r="D53" s="16">
        <f t="shared" si="6"/>
        <v>786</v>
      </c>
      <c r="E53" s="16"/>
      <c r="F53" s="16"/>
    </row>
    <row r="54" spans="1:6" x14ac:dyDescent="0.25">
      <c r="A54" s="7" t="s">
        <v>95</v>
      </c>
      <c r="B54" s="1" t="s">
        <v>58</v>
      </c>
      <c r="C54" s="16">
        <f>'ProForma Income Stmt'!H54</f>
        <v>20008</v>
      </c>
      <c r="D54" s="16">
        <f t="shared" si="6"/>
        <v>20008</v>
      </c>
      <c r="E54" s="16"/>
      <c r="F54" s="16"/>
    </row>
    <row r="55" spans="1:6" x14ac:dyDescent="0.25">
      <c r="A55" s="7" t="s">
        <v>96</v>
      </c>
      <c r="B55" s="1" t="s">
        <v>60</v>
      </c>
      <c r="C55" s="16">
        <f>'ProForma Income Stmt'!H55</f>
        <v>2123</v>
      </c>
      <c r="D55" s="16">
        <f t="shared" si="6"/>
        <v>2123</v>
      </c>
      <c r="E55" s="16"/>
      <c r="F55" s="16"/>
    </row>
    <row r="56" spans="1:6" x14ac:dyDescent="0.25">
      <c r="A56" s="7" t="s">
        <v>97</v>
      </c>
      <c r="B56" s="1" t="s">
        <v>98</v>
      </c>
      <c r="C56" s="16">
        <f>'ProForma Income Stmt'!H56</f>
        <v>105706</v>
      </c>
      <c r="D56" s="16">
        <f t="shared" si="6"/>
        <v>105706</v>
      </c>
      <c r="E56" s="16"/>
      <c r="F56" s="16"/>
    </row>
    <row r="57" spans="1:6" x14ac:dyDescent="0.25">
      <c r="A57" s="7" t="s">
        <v>99</v>
      </c>
      <c r="B57" s="1" t="s">
        <v>62</v>
      </c>
      <c r="C57" s="16">
        <f>'ProForma Income Stmt'!H57</f>
        <v>41523</v>
      </c>
      <c r="D57" s="16">
        <f t="shared" si="6"/>
        <v>41523</v>
      </c>
      <c r="E57" s="16"/>
      <c r="F57" s="16"/>
    </row>
    <row r="58" spans="1:6" x14ac:dyDescent="0.25">
      <c r="A58" s="7" t="s">
        <v>100</v>
      </c>
      <c r="B58" s="1" t="s">
        <v>101</v>
      </c>
      <c r="C58" s="16">
        <f>'ProForma Income Stmt'!H58</f>
        <v>14677</v>
      </c>
      <c r="D58" s="16">
        <f t="shared" si="6"/>
        <v>14677</v>
      </c>
      <c r="E58" s="16"/>
      <c r="F58" s="16"/>
    </row>
    <row r="59" spans="1:6" x14ac:dyDescent="0.25">
      <c r="A59" s="7" t="s">
        <v>102</v>
      </c>
      <c r="B59" s="1" t="s">
        <v>64</v>
      </c>
      <c r="C59" s="16">
        <f>'ProForma Income Stmt'!H59</f>
        <v>20470</v>
      </c>
      <c r="D59" s="16">
        <f t="shared" si="6"/>
        <v>20470</v>
      </c>
      <c r="E59" s="16"/>
      <c r="F59" s="16"/>
    </row>
    <row r="60" spans="1:6" x14ac:dyDescent="0.25">
      <c r="A60" s="7" t="s">
        <v>103</v>
      </c>
      <c r="B60" s="1" t="s">
        <v>68</v>
      </c>
      <c r="C60" s="16">
        <f>'ProForma Income Stmt'!H60</f>
        <v>1503</v>
      </c>
      <c r="D60" s="16">
        <f t="shared" si="6"/>
        <v>1503</v>
      </c>
      <c r="E60" s="16"/>
      <c r="F60" s="16"/>
    </row>
    <row r="61" spans="1:6" x14ac:dyDescent="0.25">
      <c r="A61" s="7" t="s">
        <v>104</v>
      </c>
      <c r="B61" s="1" t="s">
        <v>70</v>
      </c>
      <c r="C61" s="16">
        <f>'ProForma Income Stmt'!H61</f>
        <v>869</v>
      </c>
      <c r="D61" s="16">
        <f t="shared" si="6"/>
        <v>869</v>
      </c>
      <c r="E61" s="16"/>
      <c r="F61" s="16"/>
    </row>
    <row r="62" spans="1:6" x14ac:dyDescent="0.25">
      <c r="A62" s="7" t="s">
        <v>105</v>
      </c>
      <c r="B62" s="1" t="s">
        <v>72</v>
      </c>
      <c r="C62" s="16">
        <f>'ProForma Income Stmt'!H62</f>
        <v>0</v>
      </c>
      <c r="D62" s="16">
        <f t="shared" si="6"/>
        <v>0</v>
      </c>
      <c r="E62" s="16"/>
      <c r="F62" s="16"/>
    </row>
    <row r="63" spans="1:6" x14ac:dyDescent="0.25">
      <c r="A63" s="7" t="s">
        <v>106</v>
      </c>
      <c r="B63" s="1" t="s">
        <v>74</v>
      </c>
      <c r="C63" s="16">
        <f>'ProForma Income Stmt'!H63</f>
        <v>529</v>
      </c>
      <c r="D63" s="16">
        <f t="shared" si="6"/>
        <v>529</v>
      </c>
      <c r="E63" s="16"/>
      <c r="F63" s="16"/>
    </row>
    <row r="64" spans="1:6" x14ac:dyDescent="0.25">
      <c r="A64" s="7" t="s">
        <v>107</v>
      </c>
      <c r="B64" s="1" t="s">
        <v>76</v>
      </c>
      <c r="C64" s="16">
        <f>'ProForma Income Stmt'!H64</f>
        <v>5279</v>
      </c>
      <c r="D64" s="16">
        <f t="shared" si="6"/>
        <v>5279</v>
      </c>
      <c r="E64" s="16"/>
      <c r="F64" s="16"/>
    </row>
    <row r="65" spans="1:6" x14ac:dyDescent="0.25">
      <c r="A65" s="7" t="s">
        <v>108</v>
      </c>
      <c r="B65" s="1" t="s">
        <v>109</v>
      </c>
      <c r="C65" s="16">
        <f>'ProForma Income Stmt'!H65</f>
        <v>28133</v>
      </c>
      <c r="D65" s="16">
        <f t="shared" si="6"/>
        <v>28133</v>
      </c>
      <c r="E65" s="16"/>
      <c r="F65" s="16"/>
    </row>
    <row r="66" spans="1:6" x14ac:dyDescent="0.25">
      <c r="A66" s="7" t="s">
        <v>110</v>
      </c>
      <c r="B66" s="1" t="s">
        <v>111</v>
      </c>
      <c r="C66" s="16">
        <f>'ProForma Income Stmt'!H66</f>
        <v>368</v>
      </c>
      <c r="D66" s="16">
        <f t="shared" si="6"/>
        <v>368</v>
      </c>
      <c r="E66" s="16"/>
      <c r="F66" s="16"/>
    </row>
    <row r="67" spans="1:6" x14ac:dyDescent="0.25">
      <c r="A67" s="7" t="s">
        <v>112</v>
      </c>
      <c r="B67" s="1" t="s">
        <v>78</v>
      </c>
      <c r="C67" s="19">
        <f>'ProForma Income Stmt'!H67</f>
        <v>18</v>
      </c>
      <c r="D67" s="19">
        <f t="shared" si="6"/>
        <v>18</v>
      </c>
      <c r="E67" s="19"/>
      <c r="F67" s="19"/>
    </row>
    <row r="68" spans="1:6" s="17" customFormat="1" x14ac:dyDescent="0.25">
      <c r="A68" s="11"/>
      <c r="B68" s="9" t="s">
        <v>172</v>
      </c>
      <c r="C68" s="23">
        <f>SUM(C44:C67)</f>
        <v>754208.18145678577</v>
      </c>
      <c r="D68" s="23">
        <f t="shared" ref="D68:F68" si="7">SUM(D44:D67)</f>
        <v>754208.18145678577</v>
      </c>
      <c r="E68" s="23">
        <f t="shared" si="7"/>
        <v>0</v>
      </c>
      <c r="F68" s="23">
        <f t="shared" si="7"/>
        <v>0</v>
      </c>
    </row>
    <row r="69" spans="1:6" s="17" customFormat="1" x14ac:dyDescent="0.25">
      <c r="A69" s="11"/>
      <c r="B69" s="9"/>
      <c r="C69" s="23"/>
      <c r="D69" s="23"/>
      <c r="E69" s="23"/>
      <c r="F69" s="23"/>
    </row>
    <row r="70" spans="1:6" x14ac:dyDescent="0.25">
      <c r="A70" s="9" t="s">
        <v>222</v>
      </c>
      <c r="B70" s="1"/>
      <c r="D70" s="16"/>
      <c r="E70" s="16"/>
      <c r="F70" s="16"/>
    </row>
    <row r="71" spans="1:6" x14ac:dyDescent="0.25">
      <c r="A71" s="7" t="s">
        <v>113</v>
      </c>
      <c r="B71" s="1" t="s">
        <v>38</v>
      </c>
      <c r="C71" s="16">
        <f>'ProForma Income Stmt'!H71</f>
        <v>118980</v>
      </c>
      <c r="D71" s="16"/>
      <c r="E71" s="16">
        <f>C71</f>
        <v>118980</v>
      </c>
      <c r="F71" s="16"/>
    </row>
    <row r="72" spans="1:6" x14ac:dyDescent="0.25">
      <c r="A72" s="7" t="s">
        <v>114</v>
      </c>
      <c r="B72" s="1" t="s">
        <v>40</v>
      </c>
      <c r="C72" s="16">
        <f>'ProForma Income Stmt'!H72</f>
        <v>9101.9700000000012</v>
      </c>
      <c r="D72" s="16"/>
      <c r="E72" s="16">
        <f t="shared" ref="E72:E95" si="8">C72</f>
        <v>9101.9700000000012</v>
      </c>
      <c r="F72" s="16"/>
    </row>
    <row r="73" spans="1:6" x14ac:dyDescent="0.25">
      <c r="A73" s="7" t="s">
        <v>115</v>
      </c>
      <c r="B73" s="1" t="s">
        <v>42</v>
      </c>
      <c r="C73" s="16">
        <f>'ProForma Income Stmt'!H73</f>
        <v>45425.25</v>
      </c>
      <c r="D73" s="16"/>
      <c r="E73" s="16">
        <f t="shared" si="8"/>
        <v>45425.25</v>
      </c>
      <c r="F73" s="16"/>
    </row>
    <row r="74" spans="1:6" x14ac:dyDescent="0.25">
      <c r="A74" s="7" t="s">
        <v>116</v>
      </c>
      <c r="B74" s="1" t="s">
        <v>44</v>
      </c>
      <c r="C74" s="16">
        <f>'ProForma Income Stmt'!H74</f>
        <v>526</v>
      </c>
      <c r="D74" s="16"/>
      <c r="E74" s="16">
        <f t="shared" si="8"/>
        <v>526</v>
      </c>
      <c r="F74" s="16"/>
    </row>
    <row r="75" spans="1:6" x14ac:dyDescent="0.25">
      <c r="A75" s="7" t="s">
        <v>117</v>
      </c>
      <c r="B75" s="1" t="s">
        <v>46</v>
      </c>
      <c r="C75" s="16">
        <f>'ProForma Income Stmt'!H75</f>
        <v>380</v>
      </c>
      <c r="D75" s="16"/>
      <c r="E75" s="16">
        <f t="shared" si="8"/>
        <v>380</v>
      </c>
      <c r="F75" s="16"/>
    </row>
    <row r="76" spans="1:6" x14ac:dyDescent="0.25">
      <c r="A76" s="7" t="s">
        <v>118</v>
      </c>
      <c r="B76" s="1" t="s">
        <v>48</v>
      </c>
      <c r="C76" s="16">
        <f>'ProForma Income Stmt'!H76</f>
        <v>32065</v>
      </c>
      <c r="D76" s="16"/>
      <c r="E76" s="16">
        <f t="shared" si="8"/>
        <v>32065</v>
      </c>
      <c r="F76" s="16"/>
    </row>
    <row r="77" spans="1:6" x14ac:dyDescent="0.25">
      <c r="A77" s="7" t="s">
        <v>119</v>
      </c>
      <c r="B77" s="1" t="s">
        <v>50</v>
      </c>
      <c r="C77" s="16">
        <f>'ProForma Income Stmt'!H77</f>
        <v>23311</v>
      </c>
      <c r="D77" s="16"/>
      <c r="E77" s="16">
        <f t="shared" si="8"/>
        <v>23311</v>
      </c>
      <c r="F77" s="16"/>
    </row>
    <row r="78" spans="1:6" x14ac:dyDescent="0.25">
      <c r="A78" s="7" t="s">
        <v>120</v>
      </c>
      <c r="B78" s="1" t="s">
        <v>52</v>
      </c>
      <c r="C78" s="16">
        <f>'ProForma Income Stmt'!H78</f>
        <v>-5664</v>
      </c>
      <c r="D78" s="16"/>
      <c r="E78" s="16">
        <f t="shared" si="8"/>
        <v>-5664</v>
      </c>
      <c r="F78" s="16"/>
    </row>
    <row r="79" spans="1:6" x14ac:dyDescent="0.25">
      <c r="A79" s="7" t="s">
        <v>121</v>
      </c>
      <c r="B79" s="1" t="s">
        <v>54</v>
      </c>
      <c r="C79" s="16">
        <f>'ProForma Income Stmt'!H79</f>
        <v>150000</v>
      </c>
      <c r="D79" s="16"/>
      <c r="E79" s="16">
        <f t="shared" si="8"/>
        <v>150000</v>
      </c>
      <c r="F79" s="16"/>
    </row>
    <row r="80" spans="1:6" x14ac:dyDescent="0.25">
      <c r="A80" s="7" t="s">
        <v>122</v>
      </c>
      <c r="B80" s="1" t="s">
        <v>56</v>
      </c>
      <c r="C80" s="16">
        <f>'ProForma Income Stmt'!H80</f>
        <v>2651</v>
      </c>
      <c r="D80" s="16"/>
      <c r="E80" s="16">
        <f t="shared" si="8"/>
        <v>2651</v>
      </c>
      <c r="F80" s="16"/>
    </row>
    <row r="81" spans="1:6" x14ac:dyDescent="0.25">
      <c r="A81" s="7" t="s">
        <v>123</v>
      </c>
      <c r="B81" s="1" t="s">
        <v>58</v>
      </c>
      <c r="C81" s="16">
        <f>'ProForma Income Stmt'!H81</f>
        <v>27931</v>
      </c>
      <c r="D81" s="16"/>
      <c r="E81" s="16">
        <f t="shared" si="8"/>
        <v>27931</v>
      </c>
      <c r="F81" s="16"/>
    </row>
    <row r="82" spans="1:6" x14ac:dyDescent="0.25">
      <c r="A82" s="7" t="s">
        <v>124</v>
      </c>
      <c r="B82" s="1" t="s">
        <v>60</v>
      </c>
      <c r="C82" s="16">
        <f>'ProForma Income Stmt'!H82</f>
        <v>3229</v>
      </c>
      <c r="D82" s="16"/>
      <c r="E82" s="16">
        <f t="shared" si="8"/>
        <v>3229</v>
      </c>
      <c r="F82" s="16"/>
    </row>
    <row r="83" spans="1:6" x14ac:dyDescent="0.25">
      <c r="A83" s="7" t="s">
        <v>125</v>
      </c>
      <c r="B83" s="1" t="s">
        <v>98</v>
      </c>
      <c r="C83" s="16">
        <f>'ProForma Income Stmt'!H83</f>
        <v>59036</v>
      </c>
      <c r="D83" s="16"/>
      <c r="E83" s="16">
        <f t="shared" si="8"/>
        <v>59036</v>
      </c>
      <c r="F83" s="16"/>
    </row>
    <row r="84" spans="1:6" x14ac:dyDescent="0.25">
      <c r="A84" s="7" t="s">
        <v>126</v>
      </c>
      <c r="B84" s="1" t="s">
        <v>62</v>
      </c>
      <c r="C84" s="16">
        <f>'ProForma Income Stmt'!H84</f>
        <v>51838</v>
      </c>
      <c r="D84" s="16"/>
      <c r="E84" s="16">
        <f t="shared" si="8"/>
        <v>51838</v>
      </c>
      <c r="F84" s="16"/>
    </row>
    <row r="85" spans="1:6" x14ac:dyDescent="0.25">
      <c r="A85" s="7" t="s">
        <v>127</v>
      </c>
      <c r="B85" s="1" t="s">
        <v>101</v>
      </c>
      <c r="C85" s="16">
        <f>'ProForma Income Stmt'!H85</f>
        <v>43642</v>
      </c>
      <c r="D85" s="16"/>
      <c r="E85" s="16">
        <f t="shared" si="8"/>
        <v>43642</v>
      </c>
      <c r="F85" s="16"/>
    </row>
    <row r="86" spans="1:6" x14ac:dyDescent="0.25">
      <c r="A86" s="7" t="s">
        <v>128</v>
      </c>
      <c r="B86" s="1" t="s">
        <v>64</v>
      </c>
      <c r="C86" s="16">
        <f>'ProForma Income Stmt'!H86</f>
        <v>23500</v>
      </c>
      <c r="D86" s="16"/>
      <c r="E86" s="16">
        <f t="shared" si="8"/>
        <v>23500</v>
      </c>
      <c r="F86" s="16"/>
    </row>
    <row r="87" spans="1:6" x14ac:dyDescent="0.25">
      <c r="A87" s="7" t="s">
        <v>129</v>
      </c>
      <c r="B87" s="1" t="s">
        <v>130</v>
      </c>
      <c r="C87" s="16">
        <f>'ProForma Income Stmt'!H87</f>
        <v>7928</v>
      </c>
      <c r="D87" s="16"/>
      <c r="E87" s="16">
        <f t="shared" si="8"/>
        <v>7928</v>
      </c>
      <c r="F87" s="16"/>
    </row>
    <row r="88" spans="1:6" x14ac:dyDescent="0.25">
      <c r="A88" s="7" t="s">
        <v>131</v>
      </c>
      <c r="B88" s="1" t="s">
        <v>68</v>
      </c>
      <c r="C88" s="16">
        <f>'ProForma Income Stmt'!H88</f>
        <v>3516</v>
      </c>
      <c r="D88" s="16"/>
      <c r="E88" s="16">
        <f t="shared" si="8"/>
        <v>3516</v>
      </c>
      <c r="F88" s="16"/>
    </row>
    <row r="89" spans="1:6" x14ac:dyDescent="0.25">
      <c r="A89" s="7" t="s">
        <v>132</v>
      </c>
      <c r="B89" s="1" t="s">
        <v>70</v>
      </c>
      <c r="C89" s="16">
        <f>'ProForma Income Stmt'!H89</f>
        <v>38</v>
      </c>
      <c r="D89" s="16"/>
      <c r="E89" s="16">
        <f t="shared" si="8"/>
        <v>38</v>
      </c>
      <c r="F89" s="16"/>
    </row>
    <row r="90" spans="1:6" x14ac:dyDescent="0.25">
      <c r="A90" s="7" t="s">
        <v>133</v>
      </c>
      <c r="B90" s="1" t="s">
        <v>72</v>
      </c>
      <c r="C90" s="16">
        <f>'ProForma Income Stmt'!H90</f>
        <v>0</v>
      </c>
      <c r="D90" s="16"/>
      <c r="E90" s="16">
        <f t="shared" si="8"/>
        <v>0</v>
      </c>
      <c r="F90" s="16"/>
    </row>
    <row r="91" spans="1:6" x14ac:dyDescent="0.25">
      <c r="A91" s="7" t="s">
        <v>134</v>
      </c>
      <c r="B91" s="1" t="s">
        <v>74</v>
      </c>
      <c r="C91" s="16">
        <f>'ProForma Income Stmt'!H91</f>
        <v>4443</v>
      </c>
      <c r="D91" s="16"/>
      <c r="E91" s="16">
        <f t="shared" si="8"/>
        <v>4443</v>
      </c>
      <c r="F91" s="16"/>
    </row>
    <row r="92" spans="1:6" x14ac:dyDescent="0.25">
      <c r="A92" s="7" t="s">
        <v>135</v>
      </c>
      <c r="B92" s="1" t="s">
        <v>76</v>
      </c>
      <c r="C92" s="16">
        <f>'ProForma Income Stmt'!H92</f>
        <v>11394</v>
      </c>
      <c r="D92" s="16"/>
      <c r="E92" s="16">
        <f t="shared" si="8"/>
        <v>11394</v>
      </c>
      <c r="F92" s="16"/>
    </row>
    <row r="93" spans="1:6" x14ac:dyDescent="0.25">
      <c r="A93" s="7" t="s">
        <v>136</v>
      </c>
      <c r="B93" s="1" t="s">
        <v>109</v>
      </c>
      <c r="C93" s="16">
        <f>'ProForma Income Stmt'!H93</f>
        <v>13257</v>
      </c>
      <c r="D93" s="16"/>
      <c r="E93" s="16">
        <f t="shared" si="8"/>
        <v>13257</v>
      </c>
      <c r="F93" s="16"/>
    </row>
    <row r="94" spans="1:6" x14ac:dyDescent="0.25">
      <c r="A94" s="7" t="s">
        <v>137</v>
      </c>
      <c r="B94" s="1" t="s">
        <v>111</v>
      </c>
      <c r="C94" s="16">
        <f>'ProForma Income Stmt'!H94</f>
        <v>1510</v>
      </c>
      <c r="D94" s="16"/>
      <c r="E94" s="16">
        <f t="shared" si="8"/>
        <v>1510</v>
      </c>
      <c r="F94" s="16"/>
    </row>
    <row r="95" spans="1:6" x14ac:dyDescent="0.25">
      <c r="A95" s="7" t="s">
        <v>138</v>
      </c>
      <c r="B95" s="1" t="s">
        <v>78</v>
      </c>
      <c r="C95" s="19">
        <f>'ProForma Income Stmt'!H95</f>
        <v>0</v>
      </c>
      <c r="D95" s="19"/>
      <c r="E95" s="19">
        <f t="shared" si="8"/>
        <v>0</v>
      </c>
      <c r="F95" s="19"/>
    </row>
    <row r="96" spans="1:6" s="17" customFormat="1" x14ac:dyDescent="0.25">
      <c r="A96" s="11"/>
      <c r="B96" s="9" t="s">
        <v>173</v>
      </c>
      <c r="C96" s="23">
        <f>SUM(C71:C95)</f>
        <v>628038.22</v>
      </c>
      <c r="D96" s="23">
        <f t="shared" ref="D96:F96" si="9">SUM(D71:D95)</f>
        <v>0</v>
      </c>
      <c r="E96" s="23">
        <f t="shared" si="9"/>
        <v>628038.22</v>
      </c>
      <c r="F96" s="23">
        <f t="shared" si="9"/>
        <v>0</v>
      </c>
    </row>
    <row r="97" spans="1:6" s="17" customFormat="1" x14ac:dyDescent="0.25">
      <c r="A97" s="11"/>
      <c r="B97" s="9"/>
      <c r="C97" s="23"/>
      <c r="D97" s="23"/>
      <c r="E97" s="23"/>
      <c r="F97" s="23"/>
    </row>
    <row r="98" spans="1:6" x14ac:dyDescent="0.25">
      <c r="A98" s="9" t="s">
        <v>227</v>
      </c>
      <c r="B98" s="1"/>
      <c r="D98" s="16"/>
      <c r="E98" s="16"/>
      <c r="F98" s="16"/>
    </row>
    <row r="99" spans="1:6" x14ac:dyDescent="0.25">
      <c r="A99" s="7" t="s">
        <v>139</v>
      </c>
      <c r="B99" s="1" t="s">
        <v>38</v>
      </c>
      <c r="C99" s="16">
        <f>'ProForma Income Stmt'!H99</f>
        <v>339260.35448214289</v>
      </c>
      <c r="D99" s="16">
        <f>C99*$D$2</f>
        <v>169630.17724107145</v>
      </c>
      <c r="E99" s="16">
        <f>C99*$E$2</f>
        <v>169630.17724107145</v>
      </c>
      <c r="F99" s="16"/>
    </row>
    <row r="100" spans="1:6" x14ac:dyDescent="0.25">
      <c r="A100" s="7" t="s">
        <v>140</v>
      </c>
      <c r="B100" s="1" t="s">
        <v>40</v>
      </c>
      <c r="C100" s="16">
        <f>'ProForma Income Stmt'!H100</f>
        <v>25953.417117883924</v>
      </c>
      <c r="D100" s="16">
        <f t="shared" ref="D100:D110" si="10">C100*$D$2</f>
        <v>12976.708558941962</v>
      </c>
      <c r="E100" s="16">
        <f t="shared" ref="E100:E110" si="11">C100*$E$2</f>
        <v>12976.708558941962</v>
      </c>
      <c r="F100" s="16"/>
    </row>
    <row r="101" spans="1:6" x14ac:dyDescent="0.25">
      <c r="A101" s="7" t="s">
        <v>141</v>
      </c>
      <c r="B101" s="1" t="s">
        <v>42</v>
      </c>
      <c r="C101" s="16">
        <f>'ProForma Income Stmt'!H101</f>
        <v>124642.49999999997</v>
      </c>
      <c r="D101" s="16">
        <f t="shared" si="10"/>
        <v>62321.249999999985</v>
      </c>
      <c r="E101" s="16">
        <f t="shared" si="11"/>
        <v>62321.249999999985</v>
      </c>
      <c r="F101" s="16"/>
    </row>
    <row r="102" spans="1:6" x14ac:dyDescent="0.25">
      <c r="A102" s="7" t="s">
        <v>142</v>
      </c>
      <c r="B102" s="1" t="s">
        <v>44</v>
      </c>
      <c r="C102" s="16">
        <f>'ProForma Income Stmt'!H102</f>
        <v>2711</v>
      </c>
      <c r="D102" s="16">
        <f t="shared" si="10"/>
        <v>1355.5</v>
      </c>
      <c r="E102" s="16">
        <f t="shared" si="11"/>
        <v>1355.5</v>
      </c>
      <c r="F102" s="16"/>
    </row>
    <row r="103" spans="1:6" x14ac:dyDescent="0.25">
      <c r="A103" s="7" t="s">
        <v>143</v>
      </c>
      <c r="B103" s="1" t="s">
        <v>46</v>
      </c>
      <c r="C103" s="16">
        <f>'ProForma Income Stmt'!H103</f>
        <v>990</v>
      </c>
      <c r="D103" s="16">
        <f t="shared" si="10"/>
        <v>495</v>
      </c>
      <c r="E103" s="16">
        <f t="shared" si="11"/>
        <v>495</v>
      </c>
      <c r="F103" s="16"/>
    </row>
    <row r="104" spans="1:6" x14ac:dyDescent="0.25">
      <c r="A104" s="7" t="s">
        <v>144</v>
      </c>
      <c r="B104" s="1" t="s">
        <v>48</v>
      </c>
      <c r="C104" s="16">
        <f>'ProForma Income Stmt'!H104</f>
        <v>91431</v>
      </c>
      <c r="D104" s="16">
        <f t="shared" si="10"/>
        <v>45715.5</v>
      </c>
      <c r="E104" s="16">
        <f t="shared" si="11"/>
        <v>45715.5</v>
      </c>
      <c r="F104" s="16"/>
    </row>
    <row r="105" spans="1:6" x14ac:dyDescent="0.25">
      <c r="A105" s="7" t="s">
        <v>145</v>
      </c>
      <c r="B105" s="1" t="s">
        <v>50</v>
      </c>
      <c r="C105" s="16">
        <f>'ProForma Income Stmt'!H105</f>
        <v>39532</v>
      </c>
      <c r="D105" s="16">
        <f t="shared" si="10"/>
        <v>19766</v>
      </c>
      <c r="E105" s="16">
        <f t="shared" si="11"/>
        <v>19766</v>
      </c>
      <c r="F105" s="16"/>
    </row>
    <row r="106" spans="1:6" x14ac:dyDescent="0.25">
      <c r="A106" s="7" t="s">
        <v>146</v>
      </c>
      <c r="B106" s="1" t="s">
        <v>52</v>
      </c>
      <c r="C106" s="16">
        <f>'ProForma Income Stmt'!H106</f>
        <v>-6366</v>
      </c>
      <c r="D106" s="16">
        <f t="shared" si="10"/>
        <v>-3183</v>
      </c>
      <c r="E106" s="16">
        <f t="shared" si="11"/>
        <v>-3183</v>
      </c>
      <c r="F106" s="16"/>
    </row>
    <row r="107" spans="1:6" x14ac:dyDescent="0.25">
      <c r="A107" s="7" t="s">
        <v>147</v>
      </c>
      <c r="B107" s="1" t="s">
        <v>54</v>
      </c>
      <c r="C107" s="16">
        <f>'ProForma Income Stmt'!H107</f>
        <v>13940</v>
      </c>
      <c r="D107" s="16">
        <f t="shared" si="10"/>
        <v>6970</v>
      </c>
      <c r="E107" s="16">
        <f t="shared" si="11"/>
        <v>6970</v>
      </c>
      <c r="F107" s="16"/>
    </row>
    <row r="108" spans="1:6" x14ac:dyDescent="0.25">
      <c r="A108" s="7" t="s">
        <v>148</v>
      </c>
      <c r="B108" s="1" t="s">
        <v>56</v>
      </c>
      <c r="C108" s="16">
        <f>'ProForma Income Stmt'!H108</f>
        <v>14745</v>
      </c>
      <c r="D108" s="16">
        <f t="shared" si="10"/>
        <v>7372.5</v>
      </c>
      <c r="E108" s="16">
        <f t="shared" si="11"/>
        <v>7372.5</v>
      </c>
      <c r="F108" s="16"/>
    </row>
    <row r="109" spans="1:6" x14ac:dyDescent="0.25">
      <c r="A109" s="7" t="s">
        <v>149</v>
      </c>
      <c r="B109" s="1" t="s">
        <v>58</v>
      </c>
      <c r="C109" s="16">
        <f>'ProForma Income Stmt'!H109</f>
        <v>8895</v>
      </c>
      <c r="D109" s="16">
        <f t="shared" si="10"/>
        <v>4447.5</v>
      </c>
      <c r="E109" s="16">
        <f t="shared" si="11"/>
        <v>4447.5</v>
      </c>
      <c r="F109" s="16"/>
    </row>
    <row r="110" spans="1:6" x14ac:dyDescent="0.25">
      <c r="A110" s="7" t="s">
        <v>150</v>
      </c>
      <c r="B110" s="1" t="s">
        <v>60</v>
      </c>
      <c r="C110" s="16">
        <f>'ProForma Income Stmt'!H110</f>
        <v>5104</v>
      </c>
      <c r="D110" s="16">
        <f t="shared" si="10"/>
        <v>2552</v>
      </c>
      <c r="E110" s="16">
        <f t="shared" si="11"/>
        <v>2552</v>
      </c>
      <c r="F110" s="16"/>
    </row>
    <row r="111" spans="1:6" x14ac:dyDescent="0.25">
      <c r="A111" s="7" t="s">
        <v>151</v>
      </c>
      <c r="B111" s="1" t="s">
        <v>98</v>
      </c>
      <c r="C111" s="16">
        <f>'ProForma Income Stmt'!H111</f>
        <v>40481</v>
      </c>
      <c r="D111" s="16">
        <v>0</v>
      </c>
      <c r="E111" s="16">
        <f>C111</f>
        <v>40481</v>
      </c>
      <c r="F111" s="16"/>
    </row>
    <row r="112" spans="1:6" x14ac:dyDescent="0.25">
      <c r="A112" s="7" t="s">
        <v>152</v>
      </c>
      <c r="B112" s="1" t="s">
        <v>62</v>
      </c>
      <c r="C112" s="16">
        <f>'ProForma Income Stmt'!H112</f>
        <v>19348</v>
      </c>
      <c r="D112" s="16">
        <f t="shared" ref="D112:D124" si="12">C112*$D$2</f>
        <v>9674</v>
      </c>
      <c r="E112" s="16">
        <f t="shared" ref="E112:E124" si="13">C112*$E$2</f>
        <v>9674</v>
      </c>
      <c r="F112" s="16"/>
    </row>
    <row r="113" spans="1:6" x14ac:dyDescent="0.25">
      <c r="A113" s="7" t="s">
        <v>153</v>
      </c>
      <c r="B113" s="1" t="s">
        <v>101</v>
      </c>
      <c r="C113" s="16">
        <f>'ProForma Income Stmt'!H113</f>
        <v>0</v>
      </c>
      <c r="D113" s="16">
        <f t="shared" si="12"/>
        <v>0</v>
      </c>
      <c r="E113" s="16">
        <f t="shared" si="13"/>
        <v>0</v>
      </c>
      <c r="F113" s="16"/>
    </row>
    <row r="114" spans="1:6" x14ac:dyDescent="0.25">
      <c r="A114" s="7" t="s">
        <v>154</v>
      </c>
      <c r="B114" s="1" t="s">
        <v>64</v>
      </c>
      <c r="C114" s="16">
        <f>'ProForma Income Stmt'!H114</f>
        <v>1493</v>
      </c>
      <c r="D114" s="16">
        <f t="shared" si="12"/>
        <v>746.5</v>
      </c>
      <c r="E114" s="16">
        <f t="shared" si="13"/>
        <v>746.5</v>
      </c>
      <c r="F114" s="16"/>
    </row>
    <row r="115" spans="1:6" x14ac:dyDescent="0.25">
      <c r="A115" s="7" t="s">
        <v>155</v>
      </c>
      <c r="B115" s="1" t="s">
        <v>68</v>
      </c>
      <c r="C115" s="16">
        <f>'ProForma Income Stmt'!H115</f>
        <v>2183</v>
      </c>
      <c r="D115" s="16">
        <f t="shared" si="12"/>
        <v>1091.5</v>
      </c>
      <c r="E115" s="16">
        <f t="shared" si="13"/>
        <v>1091.5</v>
      </c>
      <c r="F115" s="16"/>
    </row>
    <row r="116" spans="1:6" x14ac:dyDescent="0.25">
      <c r="A116" s="7" t="s">
        <v>156</v>
      </c>
      <c r="B116" s="1" t="s">
        <v>70</v>
      </c>
      <c r="C116" s="16">
        <f>'ProForma Income Stmt'!H116</f>
        <v>154</v>
      </c>
      <c r="D116" s="16">
        <f t="shared" si="12"/>
        <v>77</v>
      </c>
      <c r="E116" s="16">
        <f t="shared" si="13"/>
        <v>77</v>
      </c>
      <c r="F116" s="16"/>
    </row>
    <row r="117" spans="1:6" x14ac:dyDescent="0.25">
      <c r="A117" s="7" t="s">
        <v>157</v>
      </c>
      <c r="B117" s="1" t="s">
        <v>72</v>
      </c>
      <c r="C117" s="16">
        <f>'ProForma Income Stmt'!H117</f>
        <v>667</v>
      </c>
      <c r="D117" s="16">
        <f t="shared" si="12"/>
        <v>333.5</v>
      </c>
      <c r="E117" s="16">
        <f t="shared" si="13"/>
        <v>333.5</v>
      </c>
      <c r="F117" s="16"/>
    </row>
    <row r="118" spans="1:6" x14ac:dyDescent="0.25">
      <c r="A118" s="7" t="s">
        <v>158</v>
      </c>
      <c r="B118" s="1" t="s">
        <v>74</v>
      </c>
      <c r="C118" s="16">
        <f>'ProForma Income Stmt'!H118</f>
        <v>10544</v>
      </c>
      <c r="D118" s="16">
        <f t="shared" si="12"/>
        <v>5272</v>
      </c>
      <c r="E118" s="16">
        <f t="shared" si="13"/>
        <v>5272</v>
      </c>
      <c r="F118" s="16"/>
    </row>
    <row r="119" spans="1:6" x14ac:dyDescent="0.25">
      <c r="A119" s="7" t="s">
        <v>159</v>
      </c>
      <c r="B119" s="1" t="s">
        <v>76</v>
      </c>
      <c r="C119" s="16">
        <f>'ProForma Income Stmt'!H119</f>
        <v>1219</v>
      </c>
      <c r="D119" s="16">
        <f t="shared" si="12"/>
        <v>609.5</v>
      </c>
      <c r="E119" s="16">
        <f t="shared" si="13"/>
        <v>609.5</v>
      </c>
      <c r="F119" s="16"/>
    </row>
    <row r="120" spans="1:6" x14ac:dyDescent="0.25">
      <c r="A120" s="7" t="s">
        <v>160</v>
      </c>
      <c r="B120" s="1" t="s">
        <v>161</v>
      </c>
      <c r="C120" s="16">
        <f>'ProForma Income Stmt'!H120</f>
        <v>0</v>
      </c>
      <c r="D120" s="16">
        <f t="shared" si="12"/>
        <v>0</v>
      </c>
      <c r="E120" s="16">
        <f t="shared" si="13"/>
        <v>0</v>
      </c>
      <c r="F120" s="16"/>
    </row>
    <row r="121" spans="1:6" x14ac:dyDescent="0.25">
      <c r="A121" s="7" t="s">
        <v>162</v>
      </c>
      <c r="B121" s="1" t="s">
        <v>163</v>
      </c>
      <c r="C121" s="16">
        <f>'ProForma Income Stmt'!H121</f>
        <v>21119</v>
      </c>
      <c r="D121" s="16">
        <f t="shared" si="12"/>
        <v>10559.5</v>
      </c>
      <c r="E121" s="16">
        <f t="shared" si="13"/>
        <v>10559.5</v>
      </c>
      <c r="F121" s="16"/>
    </row>
    <row r="122" spans="1:6" x14ac:dyDescent="0.25">
      <c r="A122" s="7" t="s">
        <v>164</v>
      </c>
      <c r="B122" s="1" t="s">
        <v>111</v>
      </c>
      <c r="C122" s="16">
        <f>'ProForma Income Stmt'!H122</f>
        <v>29460</v>
      </c>
      <c r="D122" s="16">
        <f t="shared" si="12"/>
        <v>14730</v>
      </c>
      <c r="E122" s="16">
        <f t="shared" si="13"/>
        <v>14730</v>
      </c>
      <c r="F122" s="16"/>
    </row>
    <row r="123" spans="1:6" x14ac:dyDescent="0.25">
      <c r="A123" s="7" t="s">
        <v>165</v>
      </c>
      <c r="B123" s="1" t="s">
        <v>78</v>
      </c>
      <c r="C123" s="16">
        <f>'ProForma Income Stmt'!H123</f>
        <v>74</v>
      </c>
      <c r="D123" s="16">
        <f t="shared" si="12"/>
        <v>37</v>
      </c>
      <c r="E123" s="16">
        <f t="shared" si="13"/>
        <v>37</v>
      </c>
      <c r="F123" s="16"/>
    </row>
    <row r="124" spans="1:6" x14ac:dyDescent="0.25">
      <c r="A124" s="7" t="s">
        <v>166</v>
      </c>
      <c r="B124" s="1" t="s">
        <v>167</v>
      </c>
      <c r="C124" s="19">
        <f>'ProForma Income Stmt'!H124</f>
        <v>-5000</v>
      </c>
      <c r="D124" s="19">
        <f t="shared" si="12"/>
        <v>-2500</v>
      </c>
      <c r="E124" s="19">
        <f t="shared" si="13"/>
        <v>-2500</v>
      </c>
      <c r="F124" s="19"/>
    </row>
    <row r="125" spans="1:6" x14ac:dyDescent="0.25">
      <c r="A125" s="11"/>
      <c r="B125" s="9" t="s">
        <v>174</v>
      </c>
      <c r="C125" s="23">
        <f>SUM(C99:C124)</f>
        <v>782580.27160002675</v>
      </c>
      <c r="D125" s="23">
        <f t="shared" ref="D125:F125" si="14">SUM(D99:D124)</f>
        <v>371049.63580001338</v>
      </c>
      <c r="E125" s="23">
        <f t="shared" si="14"/>
        <v>411530.63580001338</v>
      </c>
      <c r="F125" s="23">
        <f t="shared" si="14"/>
        <v>0</v>
      </c>
    </row>
    <row r="126" spans="1:6" x14ac:dyDescent="0.25">
      <c r="A126" s="11"/>
      <c r="B126" s="9"/>
      <c r="C126" s="23"/>
      <c r="D126" s="23"/>
      <c r="E126" s="23"/>
      <c r="F126" s="23"/>
    </row>
    <row r="127" spans="1:6" x14ac:dyDescent="0.25">
      <c r="A127" s="9" t="s">
        <v>234</v>
      </c>
      <c r="B127" s="1"/>
      <c r="D127" s="16"/>
      <c r="E127" s="16"/>
      <c r="F127" s="16"/>
    </row>
    <row r="128" spans="1:6" x14ac:dyDescent="0.25">
      <c r="A128" s="7" t="s">
        <v>79</v>
      </c>
      <c r="B128" s="1" t="s">
        <v>176</v>
      </c>
      <c r="C128" s="16">
        <f>'ProForma Income Stmt'!H128</f>
        <v>9000</v>
      </c>
      <c r="D128" s="16">
        <f>0.5*C128</f>
        <v>4500</v>
      </c>
      <c r="E128" s="16">
        <f>0.5*C128</f>
        <v>4500</v>
      </c>
      <c r="F128" s="16"/>
    </row>
    <row r="129" spans="1:8" x14ac:dyDescent="0.25">
      <c r="A129" s="7" t="s">
        <v>80</v>
      </c>
      <c r="B129" s="1" t="s">
        <v>62</v>
      </c>
      <c r="C129" s="16">
        <f>'ProForma Income Stmt'!H129</f>
        <v>4971</v>
      </c>
      <c r="D129" s="16">
        <f t="shared" ref="D129:D130" si="15">0.5*C129</f>
        <v>2485.5</v>
      </c>
      <c r="E129" s="16">
        <f t="shared" ref="E129:E130" si="16">0.5*C129</f>
        <v>2485.5</v>
      </c>
      <c r="F129" s="16"/>
    </row>
    <row r="130" spans="1:8" ht="17.25" x14ac:dyDescent="0.4">
      <c r="A130" s="7" t="s">
        <v>81</v>
      </c>
      <c r="B130" s="1" t="s">
        <v>82</v>
      </c>
      <c r="C130" s="19">
        <f>'ProForma Income Stmt'!H130</f>
        <v>6000</v>
      </c>
      <c r="D130" s="24">
        <f t="shared" si="15"/>
        <v>3000</v>
      </c>
      <c r="E130" s="24">
        <f t="shared" si="16"/>
        <v>3000</v>
      </c>
      <c r="F130" s="31"/>
    </row>
    <row r="131" spans="1:8" x14ac:dyDescent="0.25">
      <c r="A131" s="11"/>
      <c r="B131" s="9" t="s">
        <v>175</v>
      </c>
      <c r="C131" s="23">
        <f>SUM(C128:C130)</f>
        <v>19971</v>
      </c>
      <c r="D131" s="23">
        <f t="shared" ref="D131:F131" si="17">SUM(D128:D130)</f>
        <v>9985.5</v>
      </c>
      <c r="E131" s="23">
        <f t="shared" si="17"/>
        <v>9985.5</v>
      </c>
      <c r="F131" s="23">
        <f t="shared" si="17"/>
        <v>0</v>
      </c>
    </row>
    <row r="132" spans="1:8" x14ac:dyDescent="0.25">
      <c r="A132" s="11"/>
      <c r="B132" s="9"/>
      <c r="D132" s="16"/>
      <c r="E132" s="16"/>
      <c r="F132" s="16"/>
    </row>
    <row r="133" spans="1:8" x14ac:dyDescent="0.25">
      <c r="A133" s="7" t="s">
        <v>33</v>
      </c>
      <c r="B133" s="1" t="s">
        <v>34</v>
      </c>
      <c r="C133" s="16">
        <f>'ProForma Income Stmt'!H133</f>
        <v>8063</v>
      </c>
      <c r="D133" s="16"/>
      <c r="E133" s="16">
        <f>C133</f>
        <v>8063</v>
      </c>
      <c r="F133" s="16"/>
    </row>
    <row r="134" spans="1:8" x14ac:dyDescent="0.25">
      <c r="A134" s="7" t="s">
        <v>35</v>
      </c>
      <c r="B134" s="1" t="s">
        <v>36</v>
      </c>
      <c r="C134" s="16">
        <f>'ProForma Income Stmt'!H134</f>
        <v>93732</v>
      </c>
      <c r="D134" s="16">
        <f>C134</f>
        <v>93732</v>
      </c>
      <c r="E134" s="16"/>
      <c r="F134" s="16"/>
    </row>
    <row r="135" spans="1:8" x14ac:dyDescent="0.25">
      <c r="A135" s="7" t="s">
        <v>7</v>
      </c>
      <c r="B135" s="1" t="s">
        <v>8</v>
      </c>
      <c r="C135" s="16">
        <f>'ProForma Income Stmt'!H135</f>
        <v>795125.93037163059</v>
      </c>
      <c r="D135" s="16">
        <f>'NARUC Recap'!E21+('Income by Department'!D2*'NARUC Recap'!E35)+(0.5*'NARUC Recap'!E9)</f>
        <v>399315.95793021645</v>
      </c>
      <c r="E135" s="16">
        <f>'NARUC Recap'!E28+('Income by Department'!E2*'NARUC Recap'!E35)+(0.5*'NARUC Recap'!E9)</f>
        <v>390583.02133030305</v>
      </c>
      <c r="F135" s="16">
        <f>'NARUC Recap'!E10-'NARUC Recap'!E9</f>
        <v>5226.9511111111115</v>
      </c>
      <c r="H135" s="32"/>
    </row>
    <row r="136" spans="1:8" x14ac:dyDescent="0.25">
      <c r="A136" s="7" t="s">
        <v>83</v>
      </c>
      <c r="B136" s="1" t="s">
        <v>84</v>
      </c>
      <c r="C136" s="19">
        <f>'ProForma Income Stmt'!H136</f>
        <v>2537</v>
      </c>
      <c r="D136" s="19"/>
      <c r="E136" s="19">
        <f>C136</f>
        <v>2537</v>
      </c>
      <c r="F136" s="19"/>
    </row>
    <row r="137" spans="1:8" x14ac:dyDescent="0.25">
      <c r="A137" s="11"/>
      <c r="B137" s="9" t="s">
        <v>179</v>
      </c>
      <c r="C137" s="23">
        <f>SUM(C133:C136)</f>
        <v>899457.93037163059</v>
      </c>
      <c r="D137" s="23">
        <f t="shared" ref="D137:F137" si="18">SUM(D133:D136)</f>
        <v>493047.95793021645</v>
      </c>
      <c r="E137" s="23">
        <f t="shared" si="18"/>
        <v>401183.02133030305</v>
      </c>
      <c r="F137" s="23">
        <f t="shared" si="18"/>
        <v>5226.9511111111115</v>
      </c>
    </row>
    <row r="138" spans="1:8" x14ac:dyDescent="0.25">
      <c r="A138" s="11"/>
      <c r="B138" s="9"/>
      <c r="D138" s="16"/>
      <c r="E138" s="16"/>
      <c r="F138" s="16"/>
    </row>
    <row r="139" spans="1:8" ht="15.75" x14ac:dyDescent="0.25">
      <c r="A139" s="13"/>
      <c r="B139" s="14" t="s">
        <v>177</v>
      </c>
      <c r="C139" s="23">
        <f>C137+C131+C125+C96+C68+C41</f>
        <v>3535620.5209284429</v>
      </c>
      <c r="D139" s="23">
        <f t="shared" ref="D139:F139" si="19">D137+D131+D125+D96+D68+D41</f>
        <v>1694788.8404547386</v>
      </c>
      <c r="E139" s="23">
        <f t="shared" si="19"/>
        <v>1517234.9423980394</v>
      </c>
      <c r="F139" s="23">
        <f t="shared" si="19"/>
        <v>323596.73807566508</v>
      </c>
    </row>
    <row r="140" spans="1:8" ht="15.75" x14ac:dyDescent="0.25">
      <c r="A140" s="13"/>
      <c r="B140" s="14"/>
      <c r="D140" s="16"/>
      <c r="E140" s="16"/>
      <c r="F140" s="16"/>
    </row>
    <row r="141" spans="1:8" ht="15.75" x14ac:dyDescent="0.25">
      <c r="A141" s="109" t="s">
        <v>178</v>
      </c>
      <c r="B141" s="109"/>
      <c r="C141" s="23">
        <f>C17-C139</f>
        <v>-373825.52092844294</v>
      </c>
      <c r="D141" s="23">
        <f t="shared" ref="D141:F141" si="20">D17-D139</f>
        <v>-123411.41735448805</v>
      </c>
      <c r="E141" s="23">
        <f t="shared" si="20"/>
        <v>-129165.36549828993</v>
      </c>
      <c r="F141" s="23">
        <f t="shared" si="20"/>
        <v>-121248.73807566508</v>
      </c>
    </row>
    <row r="142" spans="1:8" ht="15.75" x14ac:dyDescent="0.25">
      <c r="A142" s="13"/>
      <c r="B142" s="14"/>
      <c r="D142" s="16"/>
      <c r="E142" s="16"/>
      <c r="F142" s="16"/>
    </row>
    <row r="143" spans="1:8" x14ac:dyDescent="0.25">
      <c r="A143" s="7" t="s">
        <v>3</v>
      </c>
      <c r="B143" s="1" t="s">
        <v>4</v>
      </c>
      <c r="C143" s="16">
        <f>'ProForma Income Stmt'!H143</f>
        <v>174</v>
      </c>
      <c r="D143" s="16">
        <v>0</v>
      </c>
      <c r="E143" s="16">
        <v>0</v>
      </c>
      <c r="F143" s="16">
        <f>C143</f>
        <v>174</v>
      </c>
    </row>
    <row r="144" spans="1:8" x14ac:dyDescent="0.25">
      <c r="A144" s="7" t="s">
        <v>9</v>
      </c>
      <c r="B144" s="1" t="s">
        <v>10</v>
      </c>
      <c r="C144" s="16">
        <f>'ProForma Income Stmt'!H144</f>
        <v>0</v>
      </c>
      <c r="D144" s="16">
        <v>0</v>
      </c>
      <c r="E144" s="16">
        <v>0</v>
      </c>
      <c r="F144" s="16">
        <f>C144</f>
        <v>0</v>
      </c>
    </row>
    <row r="145" spans="1:6" x14ac:dyDescent="0.25">
      <c r="A145" s="7" t="s">
        <v>5</v>
      </c>
      <c r="B145" s="1" t="s">
        <v>6</v>
      </c>
      <c r="C145" s="19">
        <f>'ProForma Income Stmt'!H145</f>
        <v>34500</v>
      </c>
      <c r="D145" s="24">
        <v>0</v>
      </c>
      <c r="E145" s="24">
        <f>C145</f>
        <v>34500</v>
      </c>
      <c r="F145" s="24">
        <v>0</v>
      </c>
    </row>
    <row r="146" spans="1:6" x14ac:dyDescent="0.25">
      <c r="A146" s="7"/>
      <c r="B146" s="9" t="s">
        <v>180</v>
      </c>
      <c r="C146" s="23">
        <f>SUM(C143:C145)</f>
        <v>34674</v>
      </c>
      <c r="D146" s="23">
        <f t="shared" ref="D146:F146" si="21">SUM(D143:D145)</f>
        <v>0</v>
      </c>
      <c r="E146" s="23">
        <f t="shared" si="21"/>
        <v>34500</v>
      </c>
      <c r="F146" s="23">
        <f t="shared" si="21"/>
        <v>174</v>
      </c>
    </row>
    <row r="147" spans="1:6" x14ac:dyDescent="0.25">
      <c r="A147" s="2"/>
      <c r="D147" s="16"/>
      <c r="E147" s="16"/>
      <c r="F147" s="16"/>
    </row>
    <row r="148" spans="1:6" ht="15.75" x14ac:dyDescent="0.25">
      <c r="A148" s="109" t="s">
        <v>181</v>
      </c>
      <c r="B148" s="109"/>
      <c r="C148" s="23">
        <f>C141+C146</f>
        <v>-339151.52092844294</v>
      </c>
      <c r="D148" s="23">
        <f t="shared" ref="D148:F148" si="22">D141+D146</f>
        <v>-123411.41735448805</v>
      </c>
      <c r="E148" s="23">
        <f t="shared" si="22"/>
        <v>-94665.365498289932</v>
      </c>
      <c r="F148" s="23">
        <f t="shared" si="22"/>
        <v>-121074.73807566508</v>
      </c>
    </row>
    <row r="149" spans="1:6" x14ac:dyDescent="0.25">
      <c r="A149" s="2"/>
      <c r="D149" s="16"/>
      <c r="E149" s="16"/>
      <c r="F149" s="16"/>
    </row>
    <row r="150" spans="1:6" x14ac:dyDescent="0.25">
      <c r="A150" s="2"/>
      <c r="D150" s="16"/>
      <c r="E150" s="16"/>
      <c r="F150" s="16"/>
    </row>
    <row r="151" spans="1:6" x14ac:dyDescent="0.25">
      <c r="A151" s="11"/>
      <c r="B151" s="9"/>
      <c r="D151" s="16"/>
      <c r="E151" s="16"/>
      <c r="F151" s="16"/>
    </row>
    <row r="152" spans="1:6" x14ac:dyDescent="0.25">
      <c r="A152" s="11"/>
      <c r="B152" s="9"/>
      <c r="D152" s="16"/>
      <c r="E152" s="16"/>
      <c r="F152" s="16"/>
    </row>
    <row r="153" spans="1:6" x14ac:dyDescent="0.25">
      <c r="D153" s="16"/>
      <c r="E153" s="16"/>
      <c r="F153" s="16"/>
    </row>
    <row r="154" spans="1:6" x14ac:dyDescent="0.25">
      <c r="D154" s="16"/>
      <c r="E154" s="16"/>
      <c r="F154" s="16"/>
    </row>
    <row r="155" spans="1:6" x14ac:dyDescent="0.25">
      <c r="D155" s="16"/>
      <c r="E155" s="16"/>
      <c r="F155" s="16"/>
    </row>
    <row r="156" spans="1:6" x14ac:dyDescent="0.25">
      <c r="A156" s="7"/>
      <c r="B156" s="1"/>
      <c r="D156" s="16"/>
      <c r="E156" s="16"/>
      <c r="F156" s="16"/>
    </row>
    <row r="157" spans="1:6" x14ac:dyDescent="0.25">
      <c r="A157" s="7"/>
      <c r="B157" s="1"/>
      <c r="D157" s="16"/>
      <c r="E157" s="16"/>
      <c r="F157" s="16"/>
    </row>
    <row r="158" spans="1:6" x14ac:dyDescent="0.25">
      <c r="A158" s="7"/>
      <c r="B158" s="1"/>
      <c r="D158" s="16"/>
      <c r="E158" s="16"/>
      <c r="F158" s="16"/>
    </row>
    <row r="159" spans="1:6" x14ac:dyDescent="0.25">
      <c r="D159" s="16"/>
      <c r="E159" s="16"/>
      <c r="F159" s="16"/>
    </row>
    <row r="160" spans="1:6" x14ac:dyDescent="0.25">
      <c r="D160" s="16"/>
      <c r="E160" s="16"/>
      <c r="F160" s="16"/>
    </row>
    <row r="161" spans="1:2" x14ac:dyDescent="0.25">
      <c r="A161" s="7"/>
      <c r="B161" s="1"/>
    </row>
    <row r="162" spans="1:2" x14ac:dyDescent="0.25">
      <c r="A162" s="7"/>
      <c r="B162" s="1"/>
    </row>
    <row r="163" spans="1:2" x14ac:dyDescent="0.25">
      <c r="A163" s="7"/>
      <c r="B163" s="1"/>
    </row>
    <row r="164" spans="1:2" x14ac:dyDescent="0.25">
      <c r="A164" s="7"/>
      <c r="B164" s="1"/>
    </row>
    <row r="165" spans="1:2" x14ac:dyDescent="0.25">
      <c r="A165" s="7"/>
      <c r="B165" s="1"/>
    </row>
    <row r="166" spans="1:2" x14ac:dyDescent="0.25">
      <c r="A166" s="7"/>
      <c r="B166" s="1"/>
    </row>
  </sheetData>
  <mergeCells count="2">
    <mergeCell ref="A141:B141"/>
    <mergeCell ref="A148:B148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workbookViewId="0">
      <selection activeCell="F49" sqref="F49"/>
    </sheetView>
  </sheetViews>
  <sheetFormatPr defaultRowHeight="15" x14ac:dyDescent="0.25"/>
  <cols>
    <col min="1" max="1" width="3.42578125" customWidth="1"/>
    <col min="2" max="2" width="27" customWidth="1"/>
    <col min="3" max="3" width="11.85546875" customWidth="1"/>
    <col min="4" max="4" width="13.140625" customWidth="1"/>
    <col min="5" max="5" width="12.28515625" customWidth="1"/>
    <col min="6" max="6" width="68.7109375" customWidth="1"/>
  </cols>
  <sheetData>
    <row r="1" spans="1:6" x14ac:dyDescent="0.25">
      <c r="A1" s="116" t="s">
        <v>244</v>
      </c>
      <c r="B1" s="116"/>
      <c r="C1" s="116"/>
      <c r="D1" s="116"/>
      <c r="E1" s="116"/>
    </row>
    <row r="3" spans="1:6" x14ac:dyDescent="0.25">
      <c r="C3" s="112" t="s">
        <v>242</v>
      </c>
      <c r="D3" s="114" t="s">
        <v>187</v>
      </c>
      <c r="E3" s="114" t="s">
        <v>243</v>
      </c>
    </row>
    <row r="4" spans="1:6" x14ac:dyDescent="0.25">
      <c r="C4" s="112"/>
      <c r="D4" s="114"/>
      <c r="E4" s="114"/>
    </row>
    <row r="5" spans="1:6" x14ac:dyDescent="0.25">
      <c r="C5" s="113"/>
      <c r="D5" s="115"/>
      <c r="E5" s="115"/>
    </row>
    <row r="6" spans="1:6" x14ac:dyDescent="0.25">
      <c r="A6" s="17" t="s">
        <v>240</v>
      </c>
      <c r="B6" s="17"/>
      <c r="D6" s="83"/>
      <c r="E6" s="83"/>
    </row>
    <row r="7" spans="1:6" x14ac:dyDescent="0.25">
      <c r="A7" s="17"/>
      <c r="B7" s="68" t="s">
        <v>14</v>
      </c>
      <c r="C7" s="86">
        <f>'Income by Department'!D6</f>
        <v>1520209</v>
      </c>
      <c r="D7" s="86">
        <v>0</v>
      </c>
      <c r="E7" s="86">
        <f>C7+D7</f>
        <v>1520209</v>
      </c>
    </row>
    <row r="8" spans="1:6" x14ac:dyDescent="0.25">
      <c r="A8" s="17"/>
      <c r="B8" s="68" t="s">
        <v>300</v>
      </c>
      <c r="C8" s="88">
        <f>'Income by Department'!D17-'Condensed ProFormas'!C7</f>
        <v>51168.42310025054</v>
      </c>
      <c r="D8" s="89">
        <v>0</v>
      </c>
      <c r="E8" s="89">
        <f>C8+D8</f>
        <v>51168.42310025054</v>
      </c>
    </row>
    <row r="9" spans="1:6" x14ac:dyDescent="0.25">
      <c r="A9" s="117" t="s">
        <v>170</v>
      </c>
      <c r="B9" s="117"/>
      <c r="C9" s="83">
        <f>SUM(C7:C8)</f>
        <v>1571377.4231002505</v>
      </c>
      <c r="D9" s="83">
        <f t="shared" ref="D9:E9" si="0">SUM(D7:D8)</f>
        <v>0</v>
      </c>
      <c r="E9" s="83">
        <f t="shared" si="0"/>
        <v>1571377.4231002505</v>
      </c>
    </row>
    <row r="10" spans="1:6" ht="7.5" customHeight="1" x14ac:dyDescent="0.25">
      <c r="C10" s="79"/>
      <c r="D10" s="79"/>
      <c r="E10" s="79"/>
    </row>
    <row r="11" spans="1:6" x14ac:dyDescent="0.25">
      <c r="A11" s="17" t="s">
        <v>241</v>
      </c>
      <c r="B11" s="17"/>
      <c r="C11" s="79"/>
      <c r="D11" s="79"/>
    </row>
    <row r="12" spans="1:6" x14ac:dyDescent="0.25">
      <c r="B12" t="s">
        <v>184</v>
      </c>
      <c r="C12" s="79">
        <v>93678</v>
      </c>
      <c r="D12" s="79">
        <f>E12-C12</f>
        <v>-27180.43473227699</v>
      </c>
      <c r="E12" s="79">
        <f>'Income by Department'!D41</f>
        <v>66497.56526772301</v>
      </c>
      <c r="F12" t="s">
        <v>287</v>
      </c>
    </row>
    <row r="13" spans="1:6" x14ac:dyDescent="0.25">
      <c r="B13" t="s">
        <v>182</v>
      </c>
      <c r="C13" s="81">
        <f>'ProForma Income Stmt'!F68</f>
        <v>693814</v>
      </c>
      <c r="D13" s="79">
        <f>'ProForma Income Stmt'!G68</f>
        <v>60394.181456785722</v>
      </c>
      <c r="E13" s="82">
        <f>C13+D13</f>
        <v>754208.18145678577</v>
      </c>
      <c r="F13" t="s">
        <v>289</v>
      </c>
    </row>
    <row r="14" spans="1:6" x14ac:dyDescent="0.25">
      <c r="B14" t="s">
        <v>280</v>
      </c>
      <c r="C14" s="81">
        <f>('ProForma Income Stmt'!F125*'Income by Department'!D2)</f>
        <v>294890</v>
      </c>
      <c r="D14" s="81">
        <f>'ProForma Income Stmt'!G125*'Income by Department'!D2</f>
        <v>96400.135800013391</v>
      </c>
      <c r="E14" s="82">
        <f t="shared" ref="E14:E15" si="1">C14+D14</f>
        <v>391290.13580001338</v>
      </c>
      <c r="F14" t="s">
        <v>288</v>
      </c>
    </row>
    <row r="15" spans="1:6" x14ac:dyDescent="0.25">
      <c r="B15" t="s">
        <v>234</v>
      </c>
      <c r="C15" s="79">
        <f>'ProForma Income Stmt'!F131*0.5</f>
        <v>12014.5</v>
      </c>
      <c r="D15" s="79">
        <f>'ProForma Income Stmt'!G130*0.5</f>
        <v>-2029</v>
      </c>
      <c r="E15" s="82">
        <f t="shared" si="1"/>
        <v>9985.5</v>
      </c>
    </row>
    <row r="16" spans="1:6" x14ac:dyDescent="0.25">
      <c r="B16" t="s">
        <v>262</v>
      </c>
      <c r="C16" s="80">
        <f>'ProForma Income Stmt'!F135*0.55</f>
        <v>441667.60000000003</v>
      </c>
      <c r="D16" s="80">
        <f>E16-C16</f>
        <v>-42351.642069783586</v>
      </c>
      <c r="E16" s="80">
        <f>'Income by Department'!D135</f>
        <v>399315.95793021645</v>
      </c>
      <c r="F16" t="s">
        <v>293</v>
      </c>
    </row>
    <row r="17" spans="1:5" x14ac:dyDescent="0.25">
      <c r="A17" s="117" t="s">
        <v>286</v>
      </c>
      <c r="B17" s="117"/>
      <c r="C17" s="83">
        <f>SUM(C12:C16)</f>
        <v>1536064.1</v>
      </c>
      <c r="D17" s="83">
        <f>SUM(D12:D16)</f>
        <v>85233.240454738538</v>
      </c>
      <c r="E17" s="84">
        <f>SUM(E12:E16)</f>
        <v>1621297.3404547386</v>
      </c>
    </row>
    <row r="18" spans="1:5" ht="7.5" customHeight="1" x14ac:dyDescent="0.25">
      <c r="C18" s="79"/>
      <c r="D18" s="79"/>
      <c r="E18" s="81"/>
    </row>
    <row r="19" spans="1:5" s="17" customFormat="1" x14ac:dyDescent="0.25">
      <c r="A19" s="117" t="s">
        <v>245</v>
      </c>
      <c r="B19" s="117"/>
      <c r="C19" s="83">
        <f>C9-C17</f>
        <v>35313.323100250447</v>
      </c>
      <c r="D19" s="83">
        <f>D9-D17</f>
        <v>-85233.240454738538</v>
      </c>
      <c r="E19" s="83">
        <f>E9-E17</f>
        <v>-49919.917354488047</v>
      </c>
    </row>
    <row r="20" spans="1:5" ht="7.5" customHeight="1" x14ac:dyDescent="0.25">
      <c r="C20" s="79"/>
      <c r="D20" s="79"/>
      <c r="E20" s="79"/>
    </row>
    <row r="21" spans="1:5" s="17" customFormat="1" x14ac:dyDescent="0.25">
      <c r="A21" s="17" t="s">
        <v>246</v>
      </c>
      <c r="C21" s="87">
        <v>0</v>
      </c>
      <c r="D21" s="83">
        <v>0</v>
      </c>
      <c r="E21" s="85">
        <v>0</v>
      </c>
    </row>
    <row r="22" spans="1:5" ht="7.5" customHeight="1" x14ac:dyDescent="0.25">
      <c r="C22" s="82"/>
      <c r="D22" s="79"/>
      <c r="E22" s="82"/>
    </row>
    <row r="23" spans="1:5" s="17" customFormat="1" x14ac:dyDescent="0.25">
      <c r="A23" s="17" t="s">
        <v>247</v>
      </c>
      <c r="C23" s="85">
        <f>C19+C21</f>
        <v>35313.323100250447</v>
      </c>
      <c r="D23" s="85">
        <f>D19+D21</f>
        <v>-85233.240454738538</v>
      </c>
      <c r="E23" s="85">
        <f>E19+E21</f>
        <v>-49919.917354488047</v>
      </c>
    </row>
    <row r="26" spans="1:5" x14ac:dyDescent="0.25">
      <c r="A26" s="116" t="s">
        <v>290</v>
      </c>
      <c r="B26" s="116"/>
      <c r="C26" s="116"/>
      <c r="D26" s="116"/>
      <c r="E26" s="116"/>
    </row>
    <row r="28" spans="1:5" x14ac:dyDescent="0.25">
      <c r="C28" s="112" t="s">
        <v>242</v>
      </c>
      <c r="D28" s="114" t="s">
        <v>187</v>
      </c>
      <c r="E28" s="114" t="s">
        <v>243</v>
      </c>
    </row>
    <row r="29" spans="1:5" x14ac:dyDescent="0.25">
      <c r="C29" s="112"/>
      <c r="D29" s="114"/>
      <c r="E29" s="114"/>
    </row>
    <row r="30" spans="1:5" x14ac:dyDescent="0.25">
      <c r="C30" s="113"/>
      <c r="D30" s="115"/>
      <c r="E30" s="115"/>
    </row>
    <row r="31" spans="1:5" x14ac:dyDescent="0.25">
      <c r="A31" s="17" t="s">
        <v>240</v>
      </c>
      <c r="C31" s="90"/>
      <c r="D31" s="91"/>
      <c r="E31" s="91"/>
    </row>
    <row r="32" spans="1:5" x14ac:dyDescent="0.25">
      <c r="B32" t="s">
        <v>301</v>
      </c>
      <c r="C32" s="86">
        <f>'Income by Department'!E7</f>
        <v>1340418</v>
      </c>
      <c r="D32" s="94">
        <v>0</v>
      </c>
      <c r="E32" s="96">
        <f>C32+D32</f>
        <v>1340418</v>
      </c>
    </row>
    <row r="33" spans="1:6" x14ac:dyDescent="0.25">
      <c r="B33" t="s">
        <v>300</v>
      </c>
      <c r="C33" s="88">
        <f>'Income by Department'!E17-'Condensed ProFormas'!C32</f>
        <v>47651.57689974946</v>
      </c>
      <c r="D33" s="95">
        <v>0</v>
      </c>
      <c r="E33" s="97">
        <f>C33+D33</f>
        <v>47651.57689974946</v>
      </c>
    </row>
    <row r="34" spans="1:6" x14ac:dyDescent="0.25">
      <c r="A34" s="117" t="s">
        <v>170</v>
      </c>
      <c r="B34" s="117"/>
      <c r="C34" s="85">
        <f>SUM(C32:C33)</f>
        <v>1388069.5768997495</v>
      </c>
      <c r="D34" s="83">
        <f>SUM(D32:D33)</f>
        <v>0</v>
      </c>
      <c r="E34" s="83">
        <f>SUM(E32:E33)</f>
        <v>1388069.5768997495</v>
      </c>
    </row>
    <row r="35" spans="1:6" ht="7.5" customHeight="1" x14ac:dyDescent="0.25">
      <c r="C35" s="79"/>
      <c r="D35" s="79"/>
      <c r="E35" s="79"/>
    </row>
    <row r="36" spans="1:6" x14ac:dyDescent="0.25">
      <c r="A36" s="17" t="s">
        <v>241</v>
      </c>
      <c r="B36" s="17"/>
      <c r="C36" s="79"/>
      <c r="D36" s="79"/>
    </row>
    <row r="37" spans="1:6" x14ac:dyDescent="0.25">
      <c r="B37" t="s">
        <v>184</v>
      </c>
      <c r="C37" s="79">
        <v>93678</v>
      </c>
      <c r="D37" s="79">
        <f>E37-C37</f>
        <v>-27180.43473227699</v>
      </c>
      <c r="E37" s="79">
        <f>'Income by Department'!E41</f>
        <v>66497.56526772301</v>
      </c>
      <c r="F37" t="s">
        <v>287</v>
      </c>
    </row>
    <row r="38" spans="1:6" x14ac:dyDescent="0.25">
      <c r="B38" t="s">
        <v>291</v>
      </c>
      <c r="C38" s="81">
        <f>'ProForma Income Stmt'!F96</f>
        <v>632729</v>
      </c>
      <c r="D38" s="79">
        <f>'ProForma Income Stmt'!G96</f>
        <v>-4690.7799999999988</v>
      </c>
      <c r="E38" s="82">
        <f>C38+D38</f>
        <v>628038.22</v>
      </c>
      <c r="F38" t="s">
        <v>292</v>
      </c>
    </row>
    <row r="39" spans="1:6" x14ac:dyDescent="0.25">
      <c r="B39" t="s">
        <v>280</v>
      </c>
      <c r="C39" s="81">
        <f>'ProForma Income Stmt'!F125*'Income by Department'!E2</f>
        <v>294890</v>
      </c>
      <c r="D39" s="81">
        <f>'ProForma Income Stmt'!G125*'Income by Department'!E2</f>
        <v>96400.135800013391</v>
      </c>
      <c r="E39" s="82">
        <f t="shared" ref="E39:E40" si="2">C39+D39</f>
        <v>391290.13580001338</v>
      </c>
      <c r="F39" t="s">
        <v>288</v>
      </c>
    </row>
    <row r="40" spans="1:6" x14ac:dyDescent="0.25">
      <c r="B40" t="s">
        <v>234</v>
      </c>
      <c r="C40" s="79">
        <f>'ProForma Income Stmt'!F131*0.5</f>
        <v>12014.5</v>
      </c>
      <c r="D40" s="79">
        <f>'ProForma Income Stmt'!G131*0.5</f>
        <v>-2029</v>
      </c>
      <c r="E40" s="82">
        <f t="shared" si="2"/>
        <v>9985.5</v>
      </c>
    </row>
    <row r="41" spans="1:6" x14ac:dyDescent="0.25">
      <c r="B41" t="s">
        <v>262</v>
      </c>
      <c r="C41" s="80">
        <f>'ProForma Income Stmt'!F135-'Condensed ProFormas'!C16</f>
        <v>361364.39999999997</v>
      </c>
      <c r="D41" s="80">
        <f>E41-C41</f>
        <v>29218.621330303082</v>
      </c>
      <c r="E41" s="80">
        <f>'Income by Department'!E135</f>
        <v>390583.02133030305</v>
      </c>
      <c r="F41" t="s">
        <v>285</v>
      </c>
    </row>
    <row r="42" spans="1:6" x14ac:dyDescent="0.25">
      <c r="A42" s="117" t="s">
        <v>286</v>
      </c>
      <c r="B42" s="117"/>
      <c r="C42" s="83">
        <f>SUM(C37:C41)</f>
        <v>1394675.9</v>
      </c>
      <c r="D42" s="83">
        <f>SUM(D37:D41)</f>
        <v>91718.542398039484</v>
      </c>
      <c r="E42" s="84">
        <f>SUM(E37:E41)</f>
        <v>1486394.4423980394</v>
      </c>
    </row>
    <row r="43" spans="1:6" ht="7.5" customHeight="1" x14ac:dyDescent="0.25">
      <c r="C43" s="79"/>
      <c r="D43" s="79"/>
      <c r="E43" s="81"/>
    </row>
    <row r="44" spans="1:6" x14ac:dyDescent="0.25">
      <c r="A44" s="117" t="s">
        <v>245</v>
      </c>
      <c r="B44" s="117"/>
      <c r="C44" s="83">
        <f>C34-C42</f>
        <v>-6606.3231002504472</v>
      </c>
      <c r="D44" s="83">
        <f>D34-D42</f>
        <v>-91718.542398039484</v>
      </c>
      <c r="E44" s="83">
        <f>E34-E42</f>
        <v>-98324.865498289932</v>
      </c>
      <c r="F44" s="17"/>
    </row>
    <row r="45" spans="1:6" ht="7.5" customHeight="1" x14ac:dyDescent="0.25">
      <c r="D45" s="79"/>
      <c r="E45" s="79"/>
    </row>
    <row r="46" spans="1:6" x14ac:dyDescent="0.25">
      <c r="A46" s="17" t="s">
        <v>246</v>
      </c>
      <c r="B46" s="17"/>
      <c r="C46" s="83">
        <f>'ProForma Income Stmt'!F145</f>
        <v>34500</v>
      </c>
      <c r="D46" s="83">
        <v>0</v>
      </c>
      <c r="E46" s="85">
        <f>C46+D46</f>
        <v>34500</v>
      </c>
      <c r="F46" s="17"/>
    </row>
    <row r="47" spans="1:6" ht="7.5" customHeight="1" x14ac:dyDescent="0.25">
      <c r="C47" s="82"/>
      <c r="D47" s="79"/>
      <c r="E47" s="82"/>
    </row>
    <row r="48" spans="1:6" x14ac:dyDescent="0.25">
      <c r="A48" s="17" t="s">
        <v>247</v>
      </c>
      <c r="B48" s="17"/>
      <c r="C48" s="85">
        <f>C44+C46</f>
        <v>27893.676899749553</v>
      </c>
      <c r="D48" s="85">
        <f>D44+D46</f>
        <v>-91718.542398039484</v>
      </c>
      <c r="E48" s="85">
        <f>E44+E46</f>
        <v>-63824.865498289932</v>
      </c>
      <c r="F48" s="17"/>
    </row>
    <row r="51" spans="1:6" x14ac:dyDescent="0.25">
      <c r="A51" s="116" t="s">
        <v>294</v>
      </c>
      <c r="B51" s="116"/>
      <c r="C51" s="116"/>
      <c r="D51" s="116"/>
      <c r="E51" s="116"/>
    </row>
    <row r="53" spans="1:6" x14ac:dyDescent="0.25">
      <c r="C53" s="112" t="s">
        <v>242</v>
      </c>
      <c r="D53" s="114" t="s">
        <v>187</v>
      </c>
      <c r="E53" s="114" t="s">
        <v>243</v>
      </c>
    </row>
    <row r="54" spans="1:6" x14ac:dyDescent="0.25">
      <c r="C54" s="112"/>
      <c r="D54" s="114"/>
      <c r="E54" s="114"/>
    </row>
    <row r="55" spans="1:6" x14ac:dyDescent="0.25">
      <c r="C55" s="113"/>
      <c r="D55" s="115"/>
      <c r="E55" s="115"/>
    </row>
    <row r="56" spans="1:6" x14ac:dyDescent="0.25">
      <c r="A56" s="17" t="s">
        <v>240</v>
      </c>
      <c r="C56" s="90"/>
      <c r="D56" s="91"/>
      <c r="E56" s="91"/>
    </row>
    <row r="57" spans="1:6" x14ac:dyDescent="0.25">
      <c r="B57" t="s">
        <v>298</v>
      </c>
      <c r="C57" s="86">
        <f>'ProForma Income Stmt'!F8</f>
        <v>198648</v>
      </c>
      <c r="D57" s="92">
        <v>0</v>
      </c>
      <c r="E57" s="96">
        <f>C57+D57</f>
        <v>198648</v>
      </c>
    </row>
    <row r="58" spans="1:6" x14ac:dyDescent="0.25">
      <c r="B58" t="s">
        <v>302</v>
      </c>
      <c r="C58" s="88">
        <f>'ProForma Income Stmt'!H12+'ProForma Income Stmt'!H16</f>
        <v>3700</v>
      </c>
      <c r="D58" s="93">
        <v>0</v>
      </c>
      <c r="E58" s="97">
        <f>C58+D58</f>
        <v>3700</v>
      </c>
    </row>
    <row r="59" spans="1:6" x14ac:dyDescent="0.25">
      <c r="A59" s="117" t="s">
        <v>170</v>
      </c>
      <c r="B59" s="117"/>
      <c r="C59" s="85">
        <f>SUM(C57:C58)</f>
        <v>202348</v>
      </c>
      <c r="D59" s="83">
        <f>SUM(D57:D58)</f>
        <v>0</v>
      </c>
      <c r="E59" s="83">
        <f>SUM(E57:E58)</f>
        <v>202348</v>
      </c>
    </row>
    <row r="60" spans="1:6" ht="7.5" customHeight="1" x14ac:dyDescent="0.25">
      <c r="C60" s="79"/>
      <c r="D60" s="79"/>
      <c r="E60" s="79"/>
    </row>
    <row r="61" spans="1:6" x14ac:dyDescent="0.25">
      <c r="A61" s="17" t="s">
        <v>241</v>
      </c>
      <c r="B61" s="17"/>
      <c r="C61" s="79"/>
      <c r="D61" s="79"/>
    </row>
    <row r="62" spans="1:6" x14ac:dyDescent="0.25">
      <c r="B62" t="s">
        <v>184</v>
      </c>
      <c r="C62" s="79">
        <f>'ProForma Income Stmt'!F41-187356</f>
        <v>246193</v>
      </c>
      <c r="D62" s="79">
        <f>E62-C62</f>
        <v>72176.786964554049</v>
      </c>
      <c r="E62" s="79">
        <f>'ProForma Income Stmt'!H41-'Condensed ProFormas'!E12-'Condensed ProFormas'!E37</f>
        <v>318369.78696455405</v>
      </c>
      <c r="F62" t="s">
        <v>295</v>
      </c>
    </row>
    <row r="63" spans="1:6" x14ac:dyDescent="0.25">
      <c r="B63" t="s">
        <v>262</v>
      </c>
      <c r="C63" s="80">
        <v>0</v>
      </c>
      <c r="D63" s="80">
        <f>'Income by Department'!F135</f>
        <v>5226.9511111111115</v>
      </c>
      <c r="E63" s="80">
        <f>C63+D63</f>
        <v>5226.9511111111115</v>
      </c>
      <c r="F63" t="s">
        <v>285</v>
      </c>
    </row>
    <row r="64" spans="1:6" x14ac:dyDescent="0.25">
      <c r="A64" s="117" t="s">
        <v>286</v>
      </c>
      <c r="B64" s="117"/>
      <c r="C64" s="83">
        <f>SUM(C62:C63)</f>
        <v>246193</v>
      </c>
      <c r="D64" s="83">
        <f>SUM(D62:D63)</f>
        <v>77403.738075665155</v>
      </c>
      <c r="E64" s="84">
        <f>SUM(E62:E63)</f>
        <v>323596.73807566514</v>
      </c>
    </row>
    <row r="65" spans="1:6" ht="7.5" customHeight="1" x14ac:dyDescent="0.25">
      <c r="C65" s="79"/>
      <c r="D65" s="79"/>
      <c r="E65" s="81"/>
    </row>
    <row r="66" spans="1:6" x14ac:dyDescent="0.25">
      <c r="A66" s="117" t="s">
        <v>245</v>
      </c>
      <c r="B66" s="117"/>
      <c r="C66" s="83">
        <f>C59-C64</f>
        <v>-43845</v>
      </c>
      <c r="D66" s="83">
        <f t="shared" ref="D66:E66" si="3">D59-D64</f>
        <v>-77403.738075665155</v>
      </c>
      <c r="E66" s="83">
        <f t="shared" si="3"/>
        <v>-121248.73807566514</v>
      </c>
      <c r="F66" s="17"/>
    </row>
    <row r="67" spans="1:6" ht="7.5" customHeight="1" x14ac:dyDescent="0.25">
      <c r="C67" s="79"/>
      <c r="D67" s="79"/>
      <c r="E67" s="79"/>
    </row>
    <row r="68" spans="1:6" x14ac:dyDescent="0.25">
      <c r="A68" s="117" t="s">
        <v>246</v>
      </c>
      <c r="B68" s="117"/>
      <c r="C68" s="83">
        <f>'ProForma Income Stmt'!F143+'ProForma Income Stmt'!F144</f>
        <v>24695</v>
      </c>
      <c r="D68" s="83">
        <f>'ProForma Income Stmt'!G143+'ProForma Income Stmt'!G144</f>
        <v>-24521</v>
      </c>
      <c r="E68" s="83">
        <f>'ProForma Income Stmt'!H143+'ProForma Income Stmt'!H144</f>
        <v>174</v>
      </c>
      <c r="F68" s="17"/>
    </row>
    <row r="69" spans="1:6" ht="7.5" customHeight="1" x14ac:dyDescent="0.25">
      <c r="C69" s="82"/>
      <c r="D69" s="79"/>
      <c r="E69" s="82"/>
    </row>
    <row r="70" spans="1:6" x14ac:dyDescent="0.25">
      <c r="A70" s="17" t="s">
        <v>247</v>
      </c>
      <c r="B70" s="17"/>
      <c r="C70" s="85">
        <f>C66+C68</f>
        <v>-19150</v>
      </c>
      <c r="D70" s="85">
        <f>D66+D68</f>
        <v>-101924.73807566515</v>
      </c>
      <c r="E70" s="85">
        <f>E66+E68</f>
        <v>-121074.73807566514</v>
      </c>
      <c r="F70" s="17"/>
    </row>
    <row r="73" spans="1:6" x14ac:dyDescent="0.25">
      <c r="A73" s="116" t="s">
        <v>296</v>
      </c>
      <c r="B73" s="116"/>
      <c r="C73" s="116"/>
      <c r="D73" s="116"/>
      <c r="E73" s="116"/>
    </row>
    <row r="75" spans="1:6" x14ac:dyDescent="0.25">
      <c r="C75" s="112" t="s">
        <v>242</v>
      </c>
      <c r="D75" s="114" t="s">
        <v>187</v>
      </c>
      <c r="E75" s="114" t="s">
        <v>243</v>
      </c>
    </row>
    <row r="76" spans="1:6" x14ac:dyDescent="0.25">
      <c r="C76" s="112"/>
      <c r="D76" s="114"/>
      <c r="E76" s="114"/>
    </row>
    <row r="77" spans="1:6" x14ac:dyDescent="0.25">
      <c r="C77" s="113"/>
      <c r="D77" s="115"/>
      <c r="E77" s="115"/>
    </row>
    <row r="78" spans="1:6" x14ac:dyDescent="0.25">
      <c r="A78" s="17" t="s">
        <v>240</v>
      </c>
      <c r="B78" s="17"/>
      <c r="C78" s="83"/>
      <c r="D78" s="83"/>
      <c r="E78" s="83"/>
    </row>
    <row r="79" spans="1:6" x14ac:dyDescent="0.25">
      <c r="A79" s="17"/>
      <c r="B79" t="s">
        <v>14</v>
      </c>
      <c r="C79" s="86">
        <f>C7</f>
        <v>1520209</v>
      </c>
      <c r="D79" s="86">
        <f>D7</f>
        <v>0</v>
      </c>
      <c r="E79" s="86">
        <f>E7</f>
        <v>1520209</v>
      </c>
    </row>
    <row r="80" spans="1:6" x14ac:dyDescent="0.25">
      <c r="A80" s="17"/>
      <c r="B80" s="68" t="s">
        <v>297</v>
      </c>
      <c r="C80" s="86">
        <f>C32</f>
        <v>1340418</v>
      </c>
      <c r="D80" s="86">
        <f>D32</f>
        <v>0</v>
      </c>
      <c r="E80" s="86">
        <f>E32</f>
        <v>1340418</v>
      </c>
    </row>
    <row r="81" spans="1:5" x14ac:dyDescent="0.25">
      <c r="A81" s="17"/>
      <c r="B81" s="68" t="s">
        <v>298</v>
      </c>
      <c r="C81" s="86">
        <f>C57</f>
        <v>198648</v>
      </c>
      <c r="D81" s="86">
        <f>D57</f>
        <v>0</v>
      </c>
      <c r="E81" s="86">
        <f>E57</f>
        <v>198648</v>
      </c>
    </row>
    <row r="82" spans="1:5" x14ac:dyDescent="0.25">
      <c r="A82" s="17"/>
      <c r="B82" s="68" t="s">
        <v>299</v>
      </c>
      <c r="C82" s="89">
        <f>C8+C33+C58</f>
        <v>102520</v>
      </c>
      <c r="D82" s="89">
        <f>D8+D33+D58</f>
        <v>0</v>
      </c>
      <c r="E82" s="89">
        <f>E8+E33+E58</f>
        <v>102520</v>
      </c>
    </row>
    <row r="83" spans="1:5" x14ac:dyDescent="0.25">
      <c r="A83" s="117" t="s">
        <v>170</v>
      </c>
      <c r="B83" s="117"/>
      <c r="C83" s="83">
        <f>SUM(C79:C82)</f>
        <v>3161795</v>
      </c>
      <c r="D83" s="83">
        <f t="shared" ref="D83:E83" si="4">SUM(D79:D82)</f>
        <v>0</v>
      </c>
      <c r="E83" s="83">
        <f t="shared" si="4"/>
        <v>3161795</v>
      </c>
    </row>
    <row r="84" spans="1:5" ht="7.5" customHeight="1" x14ac:dyDescent="0.25">
      <c r="C84" s="79"/>
      <c r="D84" s="79"/>
      <c r="E84" s="79"/>
    </row>
    <row r="85" spans="1:5" x14ac:dyDescent="0.25">
      <c r="A85" s="17" t="s">
        <v>241</v>
      </c>
      <c r="B85" s="17"/>
      <c r="C85" s="79"/>
      <c r="D85" s="79"/>
    </row>
    <row r="86" spans="1:5" x14ac:dyDescent="0.25">
      <c r="B86" t="s">
        <v>184</v>
      </c>
      <c r="C86" s="79">
        <f>C12+C37+C62</f>
        <v>433549</v>
      </c>
      <c r="D86" s="79">
        <f>D12+D37+D62</f>
        <v>17815.917500000069</v>
      </c>
      <c r="E86" s="79">
        <f>E12+E37+E62</f>
        <v>451364.9175000001</v>
      </c>
    </row>
    <row r="87" spans="1:5" x14ac:dyDescent="0.25">
      <c r="B87" t="s">
        <v>182</v>
      </c>
      <c r="C87" s="79">
        <f>C13</f>
        <v>693814</v>
      </c>
      <c r="D87" s="79">
        <f>D13</f>
        <v>60394.181456785722</v>
      </c>
      <c r="E87" s="79">
        <f>E13</f>
        <v>754208.18145678577</v>
      </c>
    </row>
    <row r="88" spans="1:5" x14ac:dyDescent="0.25">
      <c r="B88" t="s">
        <v>291</v>
      </c>
      <c r="C88" s="79">
        <f>C38</f>
        <v>632729</v>
      </c>
      <c r="D88" s="79">
        <f>D38</f>
        <v>-4690.7799999999988</v>
      </c>
      <c r="E88" s="79">
        <f>E38</f>
        <v>628038.22</v>
      </c>
    </row>
    <row r="89" spans="1:5" x14ac:dyDescent="0.25">
      <c r="B89" t="s">
        <v>280</v>
      </c>
      <c r="C89" s="79">
        <f t="shared" ref="C89:E90" si="5">C14+C39</f>
        <v>589780</v>
      </c>
      <c r="D89" s="79">
        <f t="shared" si="5"/>
        <v>192800.27160002678</v>
      </c>
      <c r="E89" s="79">
        <f t="shared" si="5"/>
        <v>782580.27160002675</v>
      </c>
    </row>
    <row r="90" spans="1:5" x14ac:dyDescent="0.25">
      <c r="B90" t="s">
        <v>234</v>
      </c>
      <c r="C90" s="79">
        <f t="shared" si="5"/>
        <v>24029</v>
      </c>
      <c r="D90" s="79">
        <f t="shared" si="5"/>
        <v>-4058</v>
      </c>
      <c r="E90" s="79">
        <f t="shared" si="5"/>
        <v>19971</v>
      </c>
    </row>
    <row r="91" spans="1:5" x14ac:dyDescent="0.25">
      <c r="B91" t="s">
        <v>262</v>
      </c>
      <c r="C91" s="80">
        <f>C16+C41+C63</f>
        <v>803032</v>
      </c>
      <c r="D91" s="80">
        <f>D16+D41+D63</f>
        <v>-7906.0696283693924</v>
      </c>
      <c r="E91" s="80">
        <f>E16+E41+E63</f>
        <v>795125.93037163059</v>
      </c>
    </row>
    <row r="92" spans="1:5" x14ac:dyDescent="0.25">
      <c r="A92" s="117" t="s">
        <v>286</v>
      </c>
      <c r="B92" s="117"/>
      <c r="C92" s="83">
        <f>SUM(C86:C91)</f>
        <v>3176933</v>
      </c>
      <c r="D92" s="83">
        <f>SUM(D86:D91)</f>
        <v>254355.52092844321</v>
      </c>
      <c r="E92" s="84">
        <f>SUM(E86:E91)</f>
        <v>3431288.5209284429</v>
      </c>
    </row>
    <row r="93" spans="1:5" ht="7.5" customHeight="1" x14ac:dyDescent="0.25">
      <c r="C93" s="79"/>
      <c r="D93" s="79"/>
      <c r="E93" s="81"/>
    </row>
    <row r="94" spans="1:5" x14ac:dyDescent="0.25">
      <c r="A94" s="117" t="s">
        <v>245</v>
      </c>
      <c r="B94" s="117"/>
      <c r="C94" s="83">
        <f>C83-C92</f>
        <v>-15138</v>
      </c>
      <c r="D94" s="83">
        <f>D83-D92</f>
        <v>-254355.52092844321</v>
      </c>
      <c r="E94" s="83">
        <f>E83-E92</f>
        <v>-269493.52092844294</v>
      </c>
    </row>
    <row r="95" spans="1:5" ht="7.5" customHeight="1" x14ac:dyDescent="0.25">
      <c r="C95" s="79"/>
      <c r="D95" s="79"/>
      <c r="E95" s="79"/>
    </row>
    <row r="96" spans="1:5" x14ac:dyDescent="0.25">
      <c r="A96" s="117" t="s">
        <v>246</v>
      </c>
      <c r="B96" s="117"/>
      <c r="C96" s="85">
        <f>C68+C46+C21</f>
        <v>59195</v>
      </c>
      <c r="D96" s="85">
        <f>D68+D46+D21</f>
        <v>-24521</v>
      </c>
      <c r="E96" s="85">
        <f>E68+E46+E21</f>
        <v>34674</v>
      </c>
    </row>
    <row r="97" spans="1:5" ht="7.5" customHeight="1" x14ac:dyDescent="0.25">
      <c r="C97" s="82"/>
      <c r="D97" s="79"/>
      <c r="E97" s="82"/>
    </row>
    <row r="98" spans="1:5" x14ac:dyDescent="0.25">
      <c r="A98" s="17" t="s">
        <v>247</v>
      </c>
      <c r="B98" s="17"/>
      <c r="C98" s="85">
        <f>C94+C96</f>
        <v>44057</v>
      </c>
      <c r="D98" s="85">
        <f>D94+D96</f>
        <v>-278876.52092844318</v>
      </c>
      <c r="E98" s="85">
        <f>E94+E96</f>
        <v>-234819.52092844294</v>
      </c>
    </row>
  </sheetData>
  <mergeCells count="30">
    <mergeCell ref="A92:B92"/>
    <mergeCell ref="A94:B94"/>
    <mergeCell ref="A96:B96"/>
    <mergeCell ref="A9:B9"/>
    <mergeCell ref="A34:B34"/>
    <mergeCell ref="A59:B59"/>
    <mergeCell ref="A83:B83"/>
    <mergeCell ref="A64:B64"/>
    <mergeCell ref="A66:B66"/>
    <mergeCell ref="A68:B68"/>
    <mergeCell ref="A73:E73"/>
    <mergeCell ref="C75:C77"/>
    <mergeCell ref="D75:D77"/>
    <mergeCell ref="E75:E77"/>
    <mergeCell ref="A42:B42"/>
    <mergeCell ref="A44:B44"/>
    <mergeCell ref="A51:E51"/>
    <mergeCell ref="C53:C55"/>
    <mergeCell ref="D53:D55"/>
    <mergeCell ref="E53:E55"/>
    <mergeCell ref="A19:B19"/>
    <mergeCell ref="A26:E26"/>
    <mergeCell ref="C28:C30"/>
    <mergeCell ref="D28:D30"/>
    <mergeCell ref="E28:E30"/>
    <mergeCell ref="C3:C5"/>
    <mergeCell ref="D3:D5"/>
    <mergeCell ref="E3:E5"/>
    <mergeCell ref="A1:E1"/>
    <mergeCell ref="A17:B17"/>
  </mergeCells>
  <pageMargins left="0.25" right="0.25" top="0.32" bottom="0.32" header="0.3" footer="0.3"/>
  <pageSetup scale="86" fitToHeight="2" orientation="landscape" verticalDpi="597" r:id="rId1"/>
  <rowBreaks count="1" manualBreakCount="1">
    <brk id="4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5"/>
  <sheetViews>
    <sheetView workbookViewId="0">
      <selection activeCell="B19" sqref="B19"/>
    </sheetView>
  </sheetViews>
  <sheetFormatPr defaultRowHeight="12.75" x14ac:dyDescent="0.2"/>
  <cols>
    <col min="1" max="1" width="48" style="67" customWidth="1"/>
    <col min="2" max="2" width="16.140625" style="98" customWidth="1"/>
    <col min="3" max="3" width="13.7109375" style="67" bestFit="1" customWidth="1"/>
    <col min="4" max="4" width="12.140625" style="67" bestFit="1" customWidth="1"/>
    <col min="5" max="5" width="12" style="67" bestFit="1" customWidth="1"/>
    <col min="6" max="16384" width="9.140625" style="67"/>
  </cols>
  <sheetData>
    <row r="4" spans="1:5" s="70" customFormat="1" x14ac:dyDescent="0.2">
      <c r="B4" s="100" t="s">
        <v>182</v>
      </c>
      <c r="C4" s="71" t="s">
        <v>183</v>
      </c>
      <c r="D4" s="71" t="s">
        <v>309</v>
      </c>
      <c r="E4" s="71" t="s">
        <v>210</v>
      </c>
    </row>
    <row r="6" spans="1:5" x14ac:dyDescent="0.2">
      <c r="A6" s="67" t="s">
        <v>303</v>
      </c>
      <c r="B6" s="98">
        <f>'Condensed ProFormas'!E12+'Condensed ProFormas'!E13+'Condensed ProFormas'!E14+'Condensed ProFormas'!E15</f>
        <v>1221981.3825245223</v>
      </c>
      <c r="C6" s="98">
        <f>'Condensed ProFormas'!E37+'Condensed ProFormas'!E38+'Condensed ProFormas'!E39+'Condensed ProFormas'!E40</f>
        <v>1095811.4210677363</v>
      </c>
      <c r="D6" s="98">
        <f>'Condensed ProFormas'!E62</f>
        <v>318369.78696455405</v>
      </c>
      <c r="E6" s="101">
        <f>SUM(B6:D6)</f>
        <v>2636162.5905568125</v>
      </c>
    </row>
    <row r="7" spans="1:5" x14ac:dyDescent="0.2">
      <c r="A7" s="67" t="s">
        <v>304</v>
      </c>
      <c r="B7" s="98">
        <f>'Condensed ProFormas'!E16</f>
        <v>399315.95793021645</v>
      </c>
      <c r="C7" s="98">
        <f>'Condensed ProFormas'!E41</f>
        <v>390583.02133030305</v>
      </c>
      <c r="D7" s="98">
        <f>'Condensed ProFormas'!E63</f>
        <v>5226.9511111111115</v>
      </c>
      <c r="E7" s="101">
        <f>SUM(B7:D7)</f>
        <v>795125.93037163059</v>
      </c>
    </row>
    <row r="8" spans="1:5" x14ac:dyDescent="0.2">
      <c r="B8" s="99"/>
      <c r="C8" s="99"/>
      <c r="D8" s="99"/>
      <c r="E8" s="72"/>
    </row>
    <row r="9" spans="1:5" s="69" customFormat="1" x14ac:dyDescent="0.2">
      <c r="A9" s="73" t="s">
        <v>305</v>
      </c>
      <c r="B9" s="77">
        <f>SUM(B6:B8)</f>
        <v>1621297.3404547386</v>
      </c>
      <c r="C9" s="77">
        <f>SUM(C6:C8)</f>
        <v>1486394.4423980394</v>
      </c>
      <c r="D9" s="77">
        <f>SUM(D6:D8)</f>
        <v>323596.73807566514</v>
      </c>
      <c r="E9" s="77">
        <f>SUM(E6:E8)</f>
        <v>3431288.5209284429</v>
      </c>
    </row>
    <row r="10" spans="1:5" x14ac:dyDescent="0.2">
      <c r="A10" s="67" t="s">
        <v>306</v>
      </c>
      <c r="B10" s="98">
        <v>176065</v>
      </c>
      <c r="C10" s="98">
        <v>89228</v>
      </c>
      <c r="D10" s="98">
        <v>0</v>
      </c>
      <c r="E10" s="101">
        <f>SUM(B10:D10)</f>
        <v>265293</v>
      </c>
    </row>
    <row r="11" spans="1:5" x14ac:dyDescent="0.2">
      <c r="A11" s="67" t="s">
        <v>307</v>
      </c>
      <c r="B11" s="98">
        <f>B10*0.2</f>
        <v>35213</v>
      </c>
      <c r="C11" s="98">
        <f>C10*0.2</f>
        <v>17845.600000000002</v>
      </c>
      <c r="D11" s="98">
        <v>0</v>
      </c>
      <c r="E11" s="101">
        <f>SUM(B11:D11)</f>
        <v>53058.600000000006</v>
      </c>
    </row>
    <row r="12" spans="1:5" x14ac:dyDescent="0.2">
      <c r="B12" s="99"/>
      <c r="C12" s="99"/>
      <c r="D12" s="99"/>
      <c r="E12" s="72"/>
    </row>
    <row r="13" spans="1:5" s="69" customFormat="1" x14ac:dyDescent="0.2">
      <c r="A13" s="73" t="s">
        <v>308</v>
      </c>
      <c r="B13" s="77">
        <f>B11+B10+B9</f>
        <v>1832575.3404547386</v>
      </c>
      <c r="C13" s="77">
        <f t="shared" ref="C13:D13" si="0">C11+C10+C9</f>
        <v>1593468.0423980395</v>
      </c>
      <c r="D13" s="77">
        <f t="shared" si="0"/>
        <v>323596.73807566514</v>
      </c>
      <c r="E13" s="77">
        <f>SUM(B13:D13)</f>
        <v>3749640.120928443</v>
      </c>
    </row>
    <row r="14" spans="1:5" x14ac:dyDescent="0.2">
      <c r="C14" s="98"/>
      <c r="D14" s="98"/>
    </row>
    <row r="15" spans="1:5" x14ac:dyDescent="0.2">
      <c r="A15" s="67" t="s">
        <v>310</v>
      </c>
      <c r="B15" s="98">
        <f>'Condensed ProFormas'!E8</f>
        <v>51168.42310025054</v>
      </c>
      <c r="C15" s="98">
        <f>'Condensed ProFormas'!E33</f>
        <v>47651.57689974946</v>
      </c>
      <c r="D15" s="98">
        <f>'Condensed ProFormas'!E58</f>
        <v>3700</v>
      </c>
      <c r="E15" s="98">
        <f>SUM(B15:D15)</f>
        <v>102520</v>
      </c>
    </row>
    <row r="16" spans="1:5" x14ac:dyDescent="0.2">
      <c r="A16" s="67" t="s">
        <v>311</v>
      </c>
      <c r="B16" s="98">
        <f>'Condensed ProFormas'!E21</f>
        <v>0</v>
      </c>
      <c r="C16" s="98">
        <f>'Condensed ProFormas'!E46</f>
        <v>34500</v>
      </c>
      <c r="D16" s="98">
        <v>0</v>
      </c>
      <c r="E16" s="98">
        <f t="shared" ref="E16:E17" si="1">SUM(B16:D16)</f>
        <v>34500</v>
      </c>
    </row>
    <row r="17" spans="1:5" x14ac:dyDescent="0.2">
      <c r="A17" s="67" t="s">
        <v>312</v>
      </c>
      <c r="B17" s="98">
        <v>0</v>
      </c>
      <c r="C17" s="98">
        <v>0</v>
      </c>
      <c r="D17" s="98">
        <f>'Condensed ProFormas'!E68</f>
        <v>174</v>
      </c>
      <c r="E17" s="98">
        <f t="shared" si="1"/>
        <v>174</v>
      </c>
    </row>
    <row r="18" spans="1:5" x14ac:dyDescent="0.2">
      <c r="B18" s="99"/>
      <c r="C18" s="99"/>
      <c r="D18" s="99"/>
      <c r="E18" s="99"/>
    </row>
    <row r="19" spans="1:5" s="69" customFormat="1" x14ac:dyDescent="0.2">
      <c r="A19" s="73" t="s">
        <v>313</v>
      </c>
      <c r="B19" s="77">
        <f>B13-B15-B16-B17</f>
        <v>1781406.917354488</v>
      </c>
      <c r="C19" s="77">
        <f t="shared" ref="C19:E19" si="2">C13-C15-C16-C17</f>
        <v>1511316.46549829</v>
      </c>
      <c r="D19" s="77">
        <f t="shared" si="2"/>
        <v>319722.73807566514</v>
      </c>
      <c r="E19" s="77">
        <f t="shared" si="2"/>
        <v>3612446.120928443</v>
      </c>
    </row>
    <row r="20" spans="1:5" x14ac:dyDescent="0.2">
      <c r="C20" s="98"/>
      <c r="D20" s="98"/>
      <c r="E20" s="98"/>
    </row>
    <row r="21" spans="1:5" x14ac:dyDescent="0.2">
      <c r="A21" s="67" t="s">
        <v>314</v>
      </c>
      <c r="B21" s="98">
        <f>'Condensed ProFormas'!E7</f>
        <v>1520209</v>
      </c>
      <c r="C21" s="98">
        <f>'Condensed ProFormas'!E32</f>
        <v>1340418</v>
      </c>
      <c r="D21" s="98">
        <f>'Condensed ProFormas'!E57</f>
        <v>198648</v>
      </c>
      <c r="E21" s="98">
        <f>SUM(B21:D21)</f>
        <v>3059275</v>
      </c>
    </row>
    <row r="22" spans="1:5" x14ac:dyDescent="0.2">
      <c r="C22" s="98"/>
      <c r="D22" s="98"/>
    </row>
    <row r="23" spans="1:5" s="69" customFormat="1" x14ac:dyDescent="0.2">
      <c r="A23" s="73" t="s">
        <v>315</v>
      </c>
      <c r="B23" s="77">
        <f>B19-B21</f>
        <v>261197.91735448805</v>
      </c>
      <c r="C23" s="77">
        <f>C19-C21</f>
        <v>170898.46549829002</v>
      </c>
      <c r="D23" s="77">
        <f>D19-D21</f>
        <v>121074.73807566514</v>
      </c>
      <c r="E23" s="77">
        <f>E19-E21</f>
        <v>553171.12092844304</v>
      </c>
    </row>
    <row r="25" spans="1:5" x14ac:dyDescent="0.2">
      <c r="A25" s="102" t="s">
        <v>316</v>
      </c>
      <c r="B25" s="103">
        <f>B23/B21</f>
        <v>0.17181711024897764</v>
      </c>
      <c r="C25" s="103">
        <f>C23/C21</f>
        <v>0.12749639701816151</v>
      </c>
      <c r="D25" s="103">
        <f>D23/D21</f>
        <v>0.60949386893230806</v>
      </c>
      <c r="E25" s="103">
        <f>E23/E21</f>
        <v>0.18081771691934953</v>
      </c>
    </row>
  </sheetData>
  <pageMargins left="0.7" right="0.7" top="0.75" bottom="0.75" header="0.3" footer="0.3"/>
  <pageSetup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opLeftCell="A13" workbookViewId="0">
      <selection activeCell="B24" sqref="B24"/>
    </sheetView>
  </sheetViews>
  <sheetFormatPr defaultRowHeight="12.75" x14ac:dyDescent="0.2"/>
  <cols>
    <col min="1" max="1" width="3.28515625" style="67" customWidth="1"/>
    <col min="2" max="2" width="37.28515625" style="67" bestFit="1" customWidth="1"/>
    <col min="3" max="4" width="12" style="67" bestFit="1" customWidth="1"/>
    <col min="5" max="5" width="13.7109375" style="67" bestFit="1" customWidth="1"/>
    <col min="6" max="6" width="13.28515625" style="67" bestFit="1" customWidth="1"/>
    <col min="7" max="7" width="12" style="67" bestFit="1" customWidth="1"/>
    <col min="8" max="8" width="11" style="67" bestFit="1" customWidth="1"/>
    <col min="9" max="9" width="12" style="67" bestFit="1" customWidth="1"/>
    <col min="10" max="16384" width="9.140625" style="67"/>
  </cols>
  <sheetData>
    <row r="2" spans="1:9" s="70" customFormat="1" x14ac:dyDescent="0.2">
      <c r="E2" s="70" t="s">
        <v>252</v>
      </c>
      <c r="H2" s="70" t="s">
        <v>253</v>
      </c>
    </row>
    <row r="3" spans="1:9" s="70" customFormat="1" x14ac:dyDescent="0.2">
      <c r="C3" s="70" t="s">
        <v>254</v>
      </c>
      <c r="D3" s="70" t="s">
        <v>255</v>
      </c>
      <c r="E3" s="70" t="s">
        <v>256</v>
      </c>
      <c r="F3" s="70" t="s">
        <v>257</v>
      </c>
      <c r="G3" s="70" t="s">
        <v>258</v>
      </c>
      <c r="H3" s="70" t="s">
        <v>259</v>
      </c>
      <c r="I3" s="70" t="s">
        <v>254</v>
      </c>
    </row>
    <row r="4" spans="1:9" s="70" customFormat="1" x14ac:dyDescent="0.2">
      <c r="A4" s="118" t="s">
        <v>260</v>
      </c>
      <c r="B4" s="118"/>
      <c r="C4" s="71" t="s">
        <v>261</v>
      </c>
      <c r="D4" s="71" t="s">
        <v>262</v>
      </c>
      <c r="E4" s="71" t="s">
        <v>262</v>
      </c>
      <c r="F4" s="71" t="s">
        <v>263</v>
      </c>
      <c r="G4" s="71" t="s">
        <v>262</v>
      </c>
      <c r="H4" s="71" t="s">
        <v>262</v>
      </c>
      <c r="I4" s="71" t="s">
        <v>264</v>
      </c>
    </row>
    <row r="6" spans="1:9" x14ac:dyDescent="0.2">
      <c r="A6" s="72" t="s">
        <v>184</v>
      </c>
      <c r="B6" s="72"/>
    </row>
    <row r="7" spans="1:9" x14ac:dyDescent="0.2">
      <c r="B7" s="67" t="s">
        <v>265</v>
      </c>
      <c r="C7" s="74">
        <v>119783</v>
      </c>
      <c r="D7" s="74">
        <v>116611.10465753425</v>
      </c>
      <c r="E7" s="74">
        <v>473.91111111111115</v>
      </c>
      <c r="F7" s="74">
        <v>3171.8953424657534</v>
      </c>
      <c r="G7" s="74">
        <v>116908.38</v>
      </c>
      <c r="H7" s="74">
        <v>1416.79</v>
      </c>
      <c r="I7" s="74">
        <v>118325.17</v>
      </c>
    </row>
    <row r="8" spans="1:9" x14ac:dyDescent="0.2">
      <c r="B8" s="67" t="s">
        <v>266</v>
      </c>
      <c r="C8" s="74">
        <v>152081</v>
      </c>
      <c r="D8" s="74">
        <v>110894.79410654491</v>
      </c>
      <c r="E8" s="74">
        <v>4753.0400000000009</v>
      </c>
      <c r="F8" s="74">
        <v>41186.205893455095</v>
      </c>
      <c r="G8" s="74">
        <v>131349.28999999998</v>
      </c>
      <c r="H8" s="74">
        <v>2095.3799999999997</v>
      </c>
      <c r="I8" s="74">
        <v>133444.67000000001</v>
      </c>
    </row>
    <row r="9" spans="1:9" x14ac:dyDescent="0.2">
      <c r="B9" s="67" t="s">
        <v>267</v>
      </c>
      <c r="C9" s="76">
        <v>38942.199999999997</v>
      </c>
      <c r="D9" s="76">
        <v>14128.931272015654</v>
      </c>
      <c r="E9" s="76">
        <v>5563.1714285714279</v>
      </c>
      <c r="F9" s="76">
        <v>24813.268727984345</v>
      </c>
      <c r="G9" s="76">
        <v>8808.35</v>
      </c>
      <c r="H9" s="76">
        <v>5563.17</v>
      </c>
      <c r="I9" s="76">
        <v>14371.52</v>
      </c>
    </row>
    <row r="10" spans="1:9" s="69" customFormat="1" x14ac:dyDescent="0.2">
      <c r="B10" s="73" t="s">
        <v>268</v>
      </c>
      <c r="C10" s="75">
        <f>SUM(C7:C9)</f>
        <v>310806.2</v>
      </c>
      <c r="D10" s="75">
        <f t="shared" ref="D10:I10" si="0">SUM(D7:D9)</f>
        <v>241634.83003609479</v>
      </c>
      <c r="E10" s="75">
        <f t="shared" si="0"/>
        <v>10790.122539682539</v>
      </c>
      <c r="F10" s="75">
        <f t="shared" si="0"/>
        <v>69171.369963905192</v>
      </c>
      <c r="G10" s="75">
        <f t="shared" si="0"/>
        <v>257066.02</v>
      </c>
      <c r="H10" s="75">
        <f t="shared" si="0"/>
        <v>9075.34</v>
      </c>
      <c r="I10" s="75">
        <f t="shared" si="0"/>
        <v>266141.36000000004</v>
      </c>
    </row>
    <row r="11" spans="1:9" x14ac:dyDescent="0.2">
      <c r="C11" s="74"/>
      <c r="D11" s="74"/>
      <c r="E11" s="74"/>
      <c r="F11" s="74"/>
      <c r="G11" s="74"/>
      <c r="H11" s="74"/>
      <c r="I11" s="74"/>
    </row>
    <row r="12" spans="1:9" x14ac:dyDescent="0.2">
      <c r="A12" s="72" t="s">
        <v>269</v>
      </c>
      <c r="B12" s="72"/>
      <c r="C12" s="74"/>
      <c r="D12" s="74"/>
      <c r="E12" s="74"/>
      <c r="F12" s="74"/>
      <c r="G12" s="74"/>
      <c r="H12" s="74"/>
      <c r="I12" s="74"/>
    </row>
    <row r="13" spans="1:9" x14ac:dyDescent="0.2">
      <c r="B13" s="67" t="s">
        <v>270</v>
      </c>
      <c r="C13" s="74">
        <v>4265308</v>
      </c>
      <c r="D13" s="74">
        <v>2355418.3811915317</v>
      </c>
      <c r="E13" s="74">
        <v>97329.719333333356</v>
      </c>
      <c r="F13" s="74">
        <v>1909889.6188084686</v>
      </c>
      <c r="G13" s="74">
        <v>2932660.2200000025</v>
      </c>
      <c r="H13" s="74">
        <v>78279.029999999984</v>
      </c>
      <c r="I13" s="74">
        <v>3010939.25</v>
      </c>
    </row>
    <row r="14" spans="1:9" x14ac:dyDescent="0.2">
      <c r="B14" s="67" t="s">
        <v>271</v>
      </c>
      <c r="C14" s="74">
        <v>5237931.4800000004</v>
      </c>
      <c r="D14" s="74">
        <v>2466318.6774397679</v>
      </c>
      <c r="E14" s="74">
        <v>158291.80654545454</v>
      </c>
      <c r="F14" s="74">
        <v>2771612.8025602321</v>
      </c>
      <c r="G14" s="74">
        <v>2194736.5900000003</v>
      </c>
      <c r="H14" s="74">
        <v>155203.51999999999</v>
      </c>
      <c r="I14" s="74">
        <v>2349940.1099999994</v>
      </c>
    </row>
    <row r="15" spans="1:9" x14ac:dyDescent="0.2">
      <c r="B15" s="67" t="s">
        <v>272</v>
      </c>
      <c r="C15" s="74">
        <v>59060</v>
      </c>
      <c r="D15" s="74">
        <v>41692.422794520542</v>
      </c>
      <c r="E15" s="74">
        <v>1181.2</v>
      </c>
      <c r="F15" s="74">
        <v>17367.577205479451</v>
      </c>
      <c r="G15" s="74">
        <v>52620.22</v>
      </c>
      <c r="H15" s="74">
        <v>386.60999999999996</v>
      </c>
      <c r="I15" s="74">
        <v>53006.829999999994</v>
      </c>
    </row>
    <row r="16" spans="1:9" x14ac:dyDescent="0.2">
      <c r="B16" s="67" t="s">
        <v>273</v>
      </c>
      <c r="C16" s="74">
        <v>2491375</v>
      </c>
      <c r="D16" s="74">
        <v>1097978.3711415525</v>
      </c>
      <c r="E16" s="74">
        <v>53665.888888888891</v>
      </c>
      <c r="F16" s="74">
        <v>1393396.6288584475</v>
      </c>
      <c r="G16" s="74">
        <v>1055267.9000000001</v>
      </c>
      <c r="H16" s="74">
        <v>55945.45</v>
      </c>
      <c r="I16" s="74">
        <v>1111213.3500000001</v>
      </c>
    </row>
    <row r="17" spans="1:9" x14ac:dyDescent="0.2">
      <c r="B17" s="67" t="s">
        <v>274</v>
      </c>
      <c r="C17" s="74">
        <v>69597.540000000008</v>
      </c>
      <c r="D17" s="74">
        <v>40675.294126027402</v>
      </c>
      <c r="E17" s="74">
        <v>2867.4594285714279</v>
      </c>
      <c r="F17" s="74">
        <v>28922.245873972603</v>
      </c>
      <c r="G17" s="74">
        <v>46921.98000000001</v>
      </c>
      <c r="H17" s="74">
        <v>3805.6000000000004</v>
      </c>
      <c r="I17" s="74">
        <v>50727.58</v>
      </c>
    </row>
    <row r="18" spans="1:9" x14ac:dyDescent="0.2">
      <c r="B18" s="67" t="s">
        <v>267</v>
      </c>
      <c r="C18" s="74">
        <v>8200</v>
      </c>
      <c r="D18" s="74">
        <v>3697.8630136986299</v>
      </c>
      <c r="E18" s="74">
        <v>1640</v>
      </c>
      <c r="F18" s="74">
        <v>4502.1369863013697</v>
      </c>
      <c r="G18" s="74">
        <v>2050</v>
      </c>
      <c r="H18" s="74">
        <v>1640</v>
      </c>
      <c r="I18" s="74">
        <v>3690</v>
      </c>
    </row>
    <row r="19" spans="1:9" x14ac:dyDescent="0.2">
      <c r="B19" s="67" t="s">
        <v>265</v>
      </c>
      <c r="C19" s="74">
        <v>19358</v>
      </c>
      <c r="D19" s="74">
        <v>18608.594764079146</v>
      </c>
      <c r="E19" s="74">
        <v>154.97777777777776</v>
      </c>
      <c r="F19" s="74">
        <v>749.40523592085242</v>
      </c>
      <c r="G19" s="74">
        <v>19358</v>
      </c>
      <c r="H19" s="74">
        <v>0</v>
      </c>
      <c r="I19" s="74">
        <v>19358</v>
      </c>
    </row>
    <row r="20" spans="1:9" x14ac:dyDescent="0.2">
      <c r="B20" s="67" t="s">
        <v>275</v>
      </c>
      <c r="C20" s="76">
        <v>2583147.7399999998</v>
      </c>
      <c r="D20" s="76">
        <v>0</v>
      </c>
      <c r="E20" s="76">
        <v>64406.074013333331</v>
      </c>
      <c r="F20" s="76">
        <v>0</v>
      </c>
      <c r="G20" s="76">
        <v>0</v>
      </c>
      <c r="H20" s="76">
        <v>0</v>
      </c>
      <c r="I20" s="76">
        <v>0</v>
      </c>
    </row>
    <row r="21" spans="1:9" s="69" customFormat="1" x14ac:dyDescent="0.2">
      <c r="B21" s="73" t="s">
        <v>276</v>
      </c>
      <c r="C21" s="75">
        <f>SUM(C13:C20)</f>
        <v>14733977.76</v>
      </c>
      <c r="D21" s="75">
        <f t="shared" ref="D21:I21" si="1">SUM(D13:D20)</f>
        <v>6024389.6044711778</v>
      </c>
      <c r="E21" s="75">
        <f t="shared" si="1"/>
        <v>379537.12598735932</v>
      </c>
      <c r="F21" s="75">
        <f t="shared" si="1"/>
        <v>6126440.4155288227</v>
      </c>
      <c r="G21" s="75">
        <f t="shared" si="1"/>
        <v>6303614.9100000029</v>
      </c>
      <c r="H21" s="75">
        <f t="shared" si="1"/>
        <v>295260.20999999996</v>
      </c>
      <c r="I21" s="75">
        <f t="shared" si="1"/>
        <v>6598875.1199999992</v>
      </c>
    </row>
    <row r="22" spans="1:9" x14ac:dyDescent="0.2">
      <c r="C22" s="74"/>
      <c r="D22" s="74"/>
      <c r="E22" s="74"/>
      <c r="F22" s="74"/>
      <c r="G22" s="74"/>
      <c r="H22" s="74"/>
      <c r="I22" s="74"/>
    </row>
    <row r="23" spans="1:9" x14ac:dyDescent="0.2">
      <c r="A23" s="72" t="s">
        <v>277</v>
      </c>
      <c r="B23" s="72"/>
      <c r="C23" s="74"/>
      <c r="D23" s="74"/>
      <c r="E23" s="74"/>
      <c r="F23" s="74"/>
      <c r="G23" s="74"/>
      <c r="H23" s="74"/>
      <c r="I23" s="74"/>
    </row>
    <row r="24" spans="1:9" x14ac:dyDescent="0.2">
      <c r="B24" s="67" t="s">
        <v>278</v>
      </c>
      <c r="C24" s="74">
        <v>10971980.459999999</v>
      </c>
      <c r="D24" s="74">
        <v>8040672.7820237009</v>
      </c>
      <c r="E24" s="74">
        <v>254190.01910173157</v>
      </c>
      <c r="F24" s="74">
        <v>2931307.6779762977</v>
      </c>
      <c r="G24" s="74">
        <v>7389253.6900000023</v>
      </c>
      <c r="H24" s="74">
        <v>281775.32000000018</v>
      </c>
      <c r="I24" s="74">
        <v>7671029.0099999979</v>
      </c>
    </row>
    <row r="25" spans="1:9" x14ac:dyDescent="0.2">
      <c r="B25" s="67" t="s">
        <v>279</v>
      </c>
      <c r="C25" s="74">
        <v>7182862</v>
      </c>
      <c r="D25" s="74">
        <v>2551810.9625863014</v>
      </c>
      <c r="E25" s="74">
        <v>113043.45600000001</v>
      </c>
      <c r="F25" s="74">
        <v>4631051.0374136977</v>
      </c>
      <c r="G25" s="74">
        <v>3905262.4</v>
      </c>
      <c r="H25" s="74">
        <v>174001.91</v>
      </c>
      <c r="I25" s="74">
        <v>4079264.310000001</v>
      </c>
    </row>
    <row r="26" spans="1:9" x14ac:dyDescent="0.2">
      <c r="B26" s="67" t="s">
        <v>265</v>
      </c>
      <c r="C26" s="74">
        <v>1595</v>
      </c>
      <c r="D26" s="74">
        <v>1595</v>
      </c>
      <c r="E26" s="74">
        <v>0</v>
      </c>
      <c r="F26" s="74">
        <v>0</v>
      </c>
      <c r="G26" s="74">
        <v>1595</v>
      </c>
      <c r="H26" s="74">
        <v>0</v>
      </c>
      <c r="I26" s="74">
        <v>1595</v>
      </c>
    </row>
    <row r="27" spans="1:9" x14ac:dyDescent="0.2">
      <c r="B27" s="67" t="s">
        <v>267</v>
      </c>
      <c r="C27" s="76">
        <v>34995</v>
      </c>
      <c r="D27" s="76">
        <v>38324.025440313111</v>
      </c>
      <c r="E27" s="76">
        <v>3570.7142857142858</v>
      </c>
      <c r="F27" s="76">
        <v>1036.9745596868888</v>
      </c>
      <c r="G27" s="76">
        <v>34995</v>
      </c>
      <c r="H27" s="76">
        <v>0</v>
      </c>
      <c r="I27" s="76">
        <v>34995</v>
      </c>
    </row>
    <row r="28" spans="1:9" s="69" customFormat="1" x14ac:dyDescent="0.2">
      <c r="B28" s="73" t="s">
        <v>283</v>
      </c>
      <c r="C28" s="75">
        <f>SUM(C24:C27)</f>
        <v>18191432.460000001</v>
      </c>
      <c r="D28" s="75">
        <f t="shared" ref="D28:I28" si="2">SUM(D24:D27)</f>
        <v>10632402.770050315</v>
      </c>
      <c r="E28" s="75">
        <f t="shared" si="2"/>
        <v>370804.18938744586</v>
      </c>
      <c r="F28" s="75">
        <f t="shared" si="2"/>
        <v>7563395.689949682</v>
      </c>
      <c r="G28" s="75">
        <f t="shared" si="2"/>
        <v>11331106.090000002</v>
      </c>
      <c r="H28" s="75">
        <f t="shared" si="2"/>
        <v>455777.23000000021</v>
      </c>
      <c r="I28" s="75">
        <f t="shared" si="2"/>
        <v>11786883.319999998</v>
      </c>
    </row>
    <row r="29" spans="1:9" x14ac:dyDescent="0.2">
      <c r="C29" s="74"/>
      <c r="D29" s="74"/>
      <c r="E29" s="74"/>
      <c r="F29" s="74"/>
      <c r="G29" s="74"/>
      <c r="H29" s="74"/>
      <c r="I29" s="74"/>
    </row>
    <row r="30" spans="1:9" x14ac:dyDescent="0.2">
      <c r="A30" s="72" t="s">
        <v>280</v>
      </c>
      <c r="B30" s="72"/>
      <c r="C30" s="74"/>
      <c r="D30" s="74"/>
      <c r="E30" s="74"/>
      <c r="F30" s="74"/>
      <c r="G30" s="74"/>
      <c r="H30" s="74"/>
      <c r="I30" s="74"/>
    </row>
    <row r="31" spans="1:9" x14ac:dyDescent="0.2">
      <c r="B31" s="67" t="s">
        <v>266</v>
      </c>
      <c r="C31" s="74">
        <v>155060.39000000001</v>
      </c>
      <c r="D31" s="74">
        <v>37977.833290332681</v>
      </c>
      <c r="E31" s="74">
        <v>4904.193257142857</v>
      </c>
      <c r="F31" s="74">
        <v>117082.55670966733</v>
      </c>
      <c r="G31" s="74">
        <v>47566.47</v>
      </c>
      <c r="H31" s="74">
        <v>7327.11</v>
      </c>
      <c r="I31" s="74">
        <v>54893.579999999987</v>
      </c>
    </row>
    <row r="32" spans="1:9" x14ac:dyDescent="0.2">
      <c r="B32" s="67" t="s">
        <v>265</v>
      </c>
      <c r="C32" s="74">
        <v>12236</v>
      </c>
      <c r="D32" s="74">
        <v>10660.979569471623</v>
      </c>
      <c r="E32" s="74">
        <v>175.88571428571427</v>
      </c>
      <c r="F32" s="74">
        <v>1575.020430528376</v>
      </c>
      <c r="G32" s="74">
        <v>12185</v>
      </c>
      <c r="H32" s="74">
        <v>51</v>
      </c>
      <c r="I32" s="74">
        <v>12236</v>
      </c>
    </row>
    <row r="33" spans="1:9" x14ac:dyDescent="0.2">
      <c r="B33" s="67" t="s">
        <v>281</v>
      </c>
      <c r="C33" s="74">
        <v>305804.24</v>
      </c>
      <c r="D33" s="74">
        <v>177452.76130567514</v>
      </c>
      <c r="E33" s="74">
        <v>15120.27062857143</v>
      </c>
      <c r="F33" s="74">
        <v>128351.47869432485</v>
      </c>
      <c r="G33" s="74">
        <v>202932.44</v>
      </c>
      <c r="H33" s="74">
        <v>19608.72</v>
      </c>
      <c r="I33" s="74">
        <v>222541.16</v>
      </c>
    </row>
    <row r="34" spans="1:9" x14ac:dyDescent="0.2">
      <c r="B34" s="67" t="s">
        <v>267</v>
      </c>
      <c r="C34" s="76">
        <v>147385</v>
      </c>
      <c r="D34" s="76">
        <v>113114.742074364</v>
      </c>
      <c r="E34" s="76">
        <v>13794.142857142857</v>
      </c>
      <c r="F34" s="76">
        <v>34270.257925636004</v>
      </c>
      <c r="G34" s="76">
        <v>116322.4</v>
      </c>
      <c r="H34" s="76">
        <v>12692.2</v>
      </c>
      <c r="I34" s="76">
        <v>129014.6</v>
      </c>
    </row>
    <row r="35" spans="1:9" s="69" customFormat="1" x14ac:dyDescent="0.2">
      <c r="B35" s="73" t="s">
        <v>284</v>
      </c>
      <c r="C35" s="75">
        <f>SUM(C31:C34)</f>
        <v>620485.63</v>
      </c>
      <c r="D35" s="75">
        <f t="shared" ref="D35:I35" si="3">SUM(D31:D34)</f>
        <v>339206.31623984344</v>
      </c>
      <c r="E35" s="75">
        <f t="shared" si="3"/>
        <v>33994.492457142856</v>
      </c>
      <c r="F35" s="75">
        <f t="shared" si="3"/>
        <v>281279.31376015657</v>
      </c>
      <c r="G35" s="75">
        <f t="shared" si="3"/>
        <v>379006.31000000006</v>
      </c>
      <c r="H35" s="75">
        <f t="shared" si="3"/>
        <v>39679.03</v>
      </c>
      <c r="I35" s="75">
        <f t="shared" si="3"/>
        <v>418685.33999999997</v>
      </c>
    </row>
    <row r="36" spans="1:9" x14ac:dyDescent="0.2">
      <c r="C36" s="74"/>
      <c r="D36" s="74"/>
      <c r="E36" s="74"/>
      <c r="F36" s="74"/>
      <c r="G36" s="74"/>
      <c r="H36" s="74"/>
      <c r="I36" s="74"/>
    </row>
    <row r="37" spans="1:9" s="69" customFormat="1" ht="15" customHeight="1" x14ac:dyDescent="0.2">
      <c r="A37" s="119" t="s">
        <v>282</v>
      </c>
      <c r="B37" s="119"/>
      <c r="C37" s="77">
        <f>C35+C28+C21+C10</f>
        <v>33856702.050000004</v>
      </c>
      <c r="D37" s="77">
        <f t="shared" ref="D37:I37" si="4">D35+D28+D21+D10</f>
        <v>17237633.520797431</v>
      </c>
      <c r="E37" s="77">
        <f t="shared" si="4"/>
        <v>795125.93037163059</v>
      </c>
      <c r="F37" s="77">
        <f t="shared" si="4"/>
        <v>14040286.789202565</v>
      </c>
      <c r="G37" s="77">
        <f t="shared" si="4"/>
        <v>18270793.330000006</v>
      </c>
      <c r="H37" s="77">
        <f t="shared" si="4"/>
        <v>799791.81000000017</v>
      </c>
      <c r="I37" s="77">
        <f t="shared" si="4"/>
        <v>19070585.139999997</v>
      </c>
    </row>
  </sheetData>
  <mergeCells count="2">
    <mergeCell ref="A4:B4"/>
    <mergeCell ref="A37:B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3" workbookViewId="0">
      <selection activeCell="J20" sqref="J20"/>
    </sheetView>
  </sheetViews>
  <sheetFormatPr defaultRowHeight="15" x14ac:dyDescent="0.25"/>
  <cols>
    <col min="1" max="1" width="33.42578125" style="25" customWidth="1"/>
    <col min="2" max="2" width="10.42578125" style="25" customWidth="1"/>
    <col min="3" max="3" width="13.7109375" style="25" customWidth="1"/>
    <col min="4" max="4" width="13.140625" style="25" customWidth="1"/>
    <col min="5" max="5" width="11.42578125" style="25" customWidth="1"/>
    <col min="6" max="6" width="11.5703125" style="25" customWidth="1"/>
    <col min="7" max="7" width="2.28515625" style="25" customWidth="1"/>
    <col min="9" max="16384" width="9.140625" style="25"/>
  </cols>
  <sheetData>
    <row r="1" spans="1:7" ht="15" customHeight="1" x14ac:dyDescent="0.25">
      <c r="B1" s="33"/>
    </row>
    <row r="2" spans="1:7" ht="15" customHeight="1" x14ac:dyDescent="0.25">
      <c r="B2" s="34" t="str">
        <f>[1]Admin!B2</f>
        <v>2021</v>
      </c>
      <c r="C2" s="34" t="s">
        <v>211</v>
      </c>
      <c r="D2" s="34" t="s">
        <v>211</v>
      </c>
      <c r="E2" s="34" t="s">
        <v>211</v>
      </c>
      <c r="F2" s="34" t="s">
        <v>211</v>
      </c>
    </row>
    <row r="3" spans="1:7" x14ac:dyDescent="0.25">
      <c r="A3" s="27"/>
      <c r="B3" s="36" t="s">
        <v>188</v>
      </c>
      <c r="C3" s="27" t="s">
        <v>189</v>
      </c>
      <c r="D3" s="27" t="s">
        <v>189</v>
      </c>
      <c r="E3" s="27" t="s">
        <v>189</v>
      </c>
      <c r="F3" s="27" t="s">
        <v>189</v>
      </c>
    </row>
    <row r="4" spans="1:7" x14ac:dyDescent="0.25">
      <c r="A4" s="37" t="s">
        <v>190</v>
      </c>
      <c r="B4" s="38" t="s">
        <v>191</v>
      </c>
      <c r="C4" s="37" t="s">
        <v>214</v>
      </c>
      <c r="D4" s="37" t="s">
        <v>212</v>
      </c>
      <c r="E4" s="37" t="s">
        <v>215</v>
      </c>
      <c r="F4" s="37" t="s">
        <v>216</v>
      </c>
      <c r="G4" s="39"/>
    </row>
    <row r="6" spans="1:7" x14ac:dyDescent="0.25">
      <c r="A6" s="42" t="s">
        <v>192</v>
      </c>
      <c r="C6" s="43">
        <v>202950</v>
      </c>
      <c r="D6" s="44">
        <v>162485.96000000002</v>
      </c>
      <c r="E6" s="43">
        <v>115890.84</v>
      </c>
      <c r="F6" s="43">
        <v>286429.52</v>
      </c>
    </row>
    <row r="7" spans="1:7" x14ac:dyDescent="0.25">
      <c r="C7" s="41"/>
    </row>
    <row r="8" spans="1:7" x14ac:dyDescent="0.25">
      <c r="A8" s="25" t="s">
        <v>193</v>
      </c>
      <c r="B8" s="45">
        <v>7</v>
      </c>
    </row>
    <row r="9" spans="1:7" x14ac:dyDescent="0.25">
      <c r="A9" s="25" t="s">
        <v>194</v>
      </c>
      <c r="C9" s="46"/>
      <c r="D9" s="46">
        <v>102.5</v>
      </c>
      <c r="E9" s="46"/>
      <c r="F9" s="46">
        <v>906.45</v>
      </c>
    </row>
    <row r="10" spans="1:7" x14ac:dyDescent="0.25">
      <c r="A10" s="25" t="s">
        <v>195</v>
      </c>
      <c r="C10" s="47"/>
      <c r="D10" s="47">
        <v>175.71428571428572</v>
      </c>
      <c r="E10" s="47"/>
      <c r="F10" s="47">
        <v>1553.9142857142861</v>
      </c>
    </row>
    <row r="11" spans="1:7" x14ac:dyDescent="0.25">
      <c r="A11" s="25" t="s">
        <v>213</v>
      </c>
      <c r="C11" s="48">
        <v>5721.4987499999997</v>
      </c>
      <c r="D11" s="49">
        <v>5375.9121428571434</v>
      </c>
      <c r="E11" s="48">
        <v>0</v>
      </c>
      <c r="F11" s="48">
        <v>46081.584482142862</v>
      </c>
    </row>
    <row r="12" spans="1:7" x14ac:dyDescent="0.25">
      <c r="A12" s="25" t="s">
        <v>196</v>
      </c>
      <c r="C12" s="49">
        <v>3641.62</v>
      </c>
      <c r="D12" s="49">
        <v>2469.23</v>
      </c>
      <c r="E12" s="49">
        <v>1589.16</v>
      </c>
      <c r="F12" s="49">
        <v>3249.25</v>
      </c>
    </row>
    <row r="13" spans="1:7" x14ac:dyDescent="0.25">
      <c r="A13" s="25" t="s">
        <v>197</v>
      </c>
      <c r="C13" s="50">
        <v>3750</v>
      </c>
      <c r="D13" s="60">
        <v>2000</v>
      </c>
      <c r="E13" s="50">
        <v>1500</v>
      </c>
      <c r="F13" s="50">
        <v>3500</v>
      </c>
      <c r="G13" s="39"/>
    </row>
    <row r="14" spans="1:7" x14ac:dyDescent="0.25">
      <c r="A14" s="42" t="s">
        <v>198</v>
      </c>
      <c r="C14" s="44">
        <v>227333.86750000002</v>
      </c>
      <c r="D14" s="44">
        <v>172331.10214285715</v>
      </c>
      <c r="E14" s="44">
        <v>118980</v>
      </c>
      <c r="F14" s="44">
        <v>339260.35448214289</v>
      </c>
    </row>
    <row r="16" spans="1:7" x14ac:dyDescent="0.25">
      <c r="A16" s="35" t="s">
        <v>199</v>
      </c>
    </row>
    <row r="17" spans="1:6" x14ac:dyDescent="0.25">
      <c r="A17" s="25" t="s">
        <v>200</v>
      </c>
      <c r="B17" s="40">
        <v>7.6499999999999999E-2</v>
      </c>
      <c r="C17" s="43">
        <v>16529</v>
      </c>
      <c r="D17" s="44">
        <v>13183.329313928571</v>
      </c>
      <c r="E17" s="43">
        <v>9101.9700000000012</v>
      </c>
      <c r="F17" s="43">
        <v>25953.417117883924</v>
      </c>
    </row>
    <row r="18" spans="1:6" x14ac:dyDescent="0.25">
      <c r="A18" s="25" t="s">
        <v>201</v>
      </c>
      <c r="B18" s="40">
        <v>0.26900000000000002</v>
      </c>
      <c r="C18" s="43">
        <v>55192</v>
      </c>
      <c r="D18" s="44">
        <v>46443</v>
      </c>
      <c r="E18" s="43">
        <v>32065</v>
      </c>
      <c r="F18" s="43">
        <v>91431</v>
      </c>
    </row>
    <row r="19" spans="1:6" x14ac:dyDescent="0.25">
      <c r="B19" s="40"/>
      <c r="C19" s="48"/>
      <c r="E19" s="48"/>
      <c r="F19" s="48"/>
    </row>
    <row r="20" spans="1:6" x14ac:dyDescent="0.25">
      <c r="A20" s="35" t="s">
        <v>42</v>
      </c>
      <c r="B20" s="40"/>
      <c r="C20" s="48"/>
      <c r="E20" s="48"/>
      <c r="F20" s="48"/>
    </row>
    <row r="21" spans="1:6" x14ac:dyDescent="0.25">
      <c r="A21" s="25" t="s">
        <v>202</v>
      </c>
      <c r="C21" s="51">
        <v>5502</v>
      </c>
      <c r="D21" s="61">
        <v>5688</v>
      </c>
      <c r="E21" s="51">
        <v>3555</v>
      </c>
      <c r="F21" s="51">
        <v>9830</v>
      </c>
    </row>
    <row r="22" spans="1:6" x14ac:dyDescent="0.25">
      <c r="A22" s="25" t="s">
        <v>203</v>
      </c>
      <c r="B22" s="40">
        <f>'[1]Data Input &amp; Totals'!$B$6</f>
        <v>0.06</v>
      </c>
      <c r="C22" s="48">
        <v>4258.5999999999995</v>
      </c>
      <c r="D22" s="49">
        <v>5867.6249999999991</v>
      </c>
      <c r="E22" s="48">
        <v>3643.8749999999995</v>
      </c>
      <c r="F22" s="48">
        <v>10075.749999999998</v>
      </c>
    </row>
    <row r="23" spans="1:6" x14ac:dyDescent="0.25">
      <c r="A23" s="25" t="s">
        <v>204</v>
      </c>
      <c r="B23" s="26">
        <v>9</v>
      </c>
      <c r="C23" s="48">
        <v>45</v>
      </c>
      <c r="D23" s="49">
        <v>36</v>
      </c>
      <c r="E23" s="48">
        <v>27</v>
      </c>
      <c r="F23" s="48">
        <v>63</v>
      </c>
    </row>
    <row r="24" spans="1:6" x14ac:dyDescent="0.25">
      <c r="A24" s="25" t="s">
        <v>205</v>
      </c>
      <c r="B24" s="26">
        <v>36</v>
      </c>
      <c r="C24" s="48">
        <v>180.75</v>
      </c>
      <c r="D24" s="49">
        <v>144</v>
      </c>
      <c r="E24" s="48">
        <v>108</v>
      </c>
      <c r="F24" s="48">
        <v>252</v>
      </c>
    </row>
    <row r="25" spans="1:6" x14ac:dyDescent="0.25">
      <c r="A25" s="25" t="s">
        <v>206</v>
      </c>
      <c r="B25" s="26">
        <v>6</v>
      </c>
      <c r="C25" s="48">
        <v>35.099999999999994</v>
      </c>
      <c r="D25" s="49">
        <v>24</v>
      </c>
      <c r="E25" s="48">
        <v>18</v>
      </c>
      <c r="F25" s="48">
        <v>42</v>
      </c>
    </row>
    <row r="26" spans="1:6" x14ac:dyDescent="0.25">
      <c r="A26" s="25" t="s">
        <v>207</v>
      </c>
      <c r="B26" s="26">
        <v>11</v>
      </c>
      <c r="C26" s="50">
        <v>54.400000000000006</v>
      </c>
      <c r="D26" s="60">
        <v>44</v>
      </c>
      <c r="E26" s="50">
        <v>33</v>
      </c>
      <c r="F26" s="50">
        <v>77</v>
      </c>
    </row>
    <row r="27" spans="1:6" x14ac:dyDescent="0.25">
      <c r="A27" s="42" t="s">
        <v>208</v>
      </c>
      <c r="C27" s="43">
        <v>54938.05</v>
      </c>
      <c r="D27" s="44">
        <v>72309.75</v>
      </c>
      <c r="E27" s="43">
        <v>45425.25</v>
      </c>
      <c r="F27" s="43">
        <v>124642.49999999997</v>
      </c>
    </row>
    <row r="28" spans="1:6" x14ac:dyDescent="0.25">
      <c r="D28" s="44"/>
    </row>
    <row r="29" spans="1:6" x14ac:dyDescent="0.25">
      <c r="A29" s="42" t="s">
        <v>209</v>
      </c>
      <c r="C29" s="44">
        <v>354752.07832125004</v>
      </c>
      <c r="D29" s="44">
        <v>304181.2479332143</v>
      </c>
      <c r="E29" s="44">
        <v>205512.84</v>
      </c>
      <c r="F29" s="44">
        <v>581117.30695572332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ProForma Income Stmt</vt:lpstr>
      <vt:lpstr>Income by Department</vt:lpstr>
      <vt:lpstr>Condensed ProFormas</vt:lpstr>
      <vt:lpstr>PSC 2-2</vt:lpstr>
      <vt:lpstr>NARUC Recap</vt:lpstr>
      <vt:lpstr>2021 Payroll</vt:lpstr>
      <vt:lpstr>'ProForma Income Stmt'!Print_Titles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</dc:creator>
  <cp:lastModifiedBy>Todd Osterloh</cp:lastModifiedBy>
  <cp:revision/>
  <cp:lastPrinted>2020-03-03T19:48:27Z</cp:lastPrinted>
  <dcterms:created xsi:type="dcterms:W3CDTF">2020-01-20T00:54:34Z</dcterms:created>
  <dcterms:modified xsi:type="dcterms:W3CDTF">2020-03-05T23:08:16Z</dcterms:modified>
</cp:coreProperties>
</file>