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019" sheetId="1" r:id="rId1"/>
    <sheet name="2018" sheetId="2" r:id="rId2"/>
    <sheet name="2017" sheetId="3" r:id="rId3"/>
    <sheet name="2016" sheetId="4" r:id="rId4"/>
    <sheet name="2015" sheetId="5" r:id="rId5"/>
  </sheets>
  <calcPr calcId="125725"/>
</workbook>
</file>

<file path=xl/calcChain.xml><?xml version="1.0" encoding="utf-8"?>
<calcChain xmlns="http://schemas.openxmlformats.org/spreadsheetml/2006/main">
  <c r="I39" i="1"/>
  <c r="I38"/>
  <c r="I37"/>
  <c r="I35"/>
  <c r="I34"/>
  <c r="I33"/>
  <c r="I32"/>
  <c r="I28"/>
  <c r="I27"/>
  <c r="I26"/>
  <c r="I22"/>
  <c r="I20"/>
  <c r="I19"/>
  <c r="I18"/>
  <c r="I13"/>
  <c r="I12"/>
  <c r="I11"/>
  <c r="I10"/>
  <c r="Q16" i="2" l="1"/>
  <c r="P16"/>
  <c r="O16"/>
  <c r="M16"/>
  <c r="L16"/>
  <c r="J16"/>
  <c r="H16"/>
  <c r="F16"/>
  <c r="Q24"/>
  <c r="P24"/>
  <c r="O24"/>
  <c r="M24"/>
  <c r="L24"/>
  <c r="J24"/>
  <c r="H24"/>
  <c r="F24"/>
  <c r="Q31"/>
  <c r="P31"/>
  <c r="O31"/>
  <c r="M31"/>
  <c r="L31"/>
  <c r="J31"/>
  <c r="H31"/>
  <c r="F31"/>
  <c r="Q40"/>
  <c r="P40"/>
  <c r="O40"/>
  <c r="M40"/>
  <c r="L40"/>
  <c r="J40"/>
  <c r="H40"/>
  <c r="F40"/>
  <c r="E21"/>
  <c r="E28"/>
  <c r="E31" s="1"/>
  <c r="E13"/>
  <c r="E23"/>
  <c r="E30"/>
  <c r="E22"/>
  <c r="E29"/>
  <c r="E14"/>
  <c r="E12"/>
  <c r="E16" s="1"/>
  <c r="E19"/>
  <c r="E24" s="1"/>
  <c r="E20"/>
  <c r="E39"/>
  <c r="E38"/>
  <c r="E37"/>
  <c r="E36"/>
  <c r="E35"/>
  <c r="E34"/>
  <c r="E40" s="1"/>
  <c r="E11"/>
  <c r="E10"/>
  <c r="G10" l="1"/>
  <c r="I22"/>
  <c r="I23"/>
  <c r="I30"/>
  <c r="I39"/>
  <c r="I38"/>
  <c r="I37"/>
  <c r="I36"/>
  <c r="I35"/>
  <c r="I34"/>
  <c r="I29"/>
  <c r="I28"/>
  <c r="I21"/>
  <c r="I20"/>
  <c r="I19"/>
  <c r="I24" s="1"/>
  <c r="I14"/>
  <c r="I13"/>
  <c r="I12"/>
  <c r="I11"/>
  <c r="I10"/>
  <c r="G12"/>
  <c r="G11"/>
  <c r="G14"/>
  <c r="G30"/>
  <c r="G39"/>
  <c r="G38"/>
  <c r="G37"/>
  <c r="G36"/>
  <c r="G35"/>
  <c r="G34"/>
  <c r="G29"/>
  <c r="G31" s="1"/>
  <c r="G23"/>
  <c r="G22"/>
  <c r="G21"/>
  <c r="G13"/>
  <c r="I16" l="1"/>
  <c r="I31"/>
  <c r="G16"/>
  <c r="G24"/>
  <c r="G40"/>
  <c r="I40"/>
  <c r="K22"/>
  <c r="K23"/>
  <c r="K30"/>
  <c r="K39"/>
  <c r="K38"/>
  <c r="K37"/>
  <c r="K36"/>
  <c r="K35"/>
  <c r="K34"/>
  <c r="K29"/>
  <c r="K28"/>
  <c r="K31" s="1"/>
  <c r="K21"/>
  <c r="K20"/>
  <c r="K19"/>
  <c r="K14"/>
  <c r="K13"/>
  <c r="K12"/>
  <c r="K11"/>
  <c r="K10"/>
  <c r="K16" s="1"/>
  <c r="N30"/>
  <c r="N23"/>
  <c r="N15" i="5"/>
  <c r="N32"/>
  <c r="N24"/>
  <c r="Q41" i="3"/>
  <c r="P41"/>
  <c r="O41"/>
  <c r="N41"/>
  <c r="M41"/>
  <c r="L41"/>
  <c r="K41"/>
  <c r="J41"/>
  <c r="I41"/>
  <c r="H41"/>
  <c r="G41"/>
  <c r="F41"/>
  <c r="E41"/>
  <c r="Q30"/>
  <c r="P30"/>
  <c r="O30"/>
  <c r="N30"/>
  <c r="M30"/>
  <c r="L30"/>
  <c r="K30"/>
  <c r="J30"/>
  <c r="I30"/>
  <c r="H30"/>
  <c r="G30"/>
  <c r="F30"/>
  <c r="E30"/>
  <c r="Q23"/>
  <c r="P23"/>
  <c r="O23"/>
  <c r="N23"/>
  <c r="M23"/>
  <c r="L23"/>
  <c r="K23"/>
  <c r="J23"/>
  <c r="I23"/>
  <c r="H23"/>
  <c r="G23"/>
  <c r="F23"/>
  <c r="E23"/>
  <c r="Q16"/>
  <c r="P16"/>
  <c r="O16"/>
  <c r="N16"/>
  <c r="M16"/>
  <c r="L16"/>
  <c r="K16"/>
  <c r="J16"/>
  <c r="I16"/>
  <c r="H16"/>
  <c r="G16"/>
  <c r="F16"/>
  <c r="E16"/>
  <c r="G21"/>
  <c r="G20"/>
  <c r="G19"/>
  <c r="G22"/>
  <c r="G29"/>
  <c r="G13"/>
  <c r="G27"/>
  <c r="G26"/>
  <c r="G39"/>
  <c r="G40"/>
  <c r="G37"/>
  <c r="G36"/>
  <c r="G35"/>
  <c r="G34"/>
  <c r="G33"/>
  <c r="G14"/>
  <c r="G11"/>
  <c r="G12"/>
  <c r="G10"/>
  <c r="I27"/>
  <c r="I26"/>
  <c r="I12"/>
  <c r="I22"/>
  <c r="I34"/>
  <c r="I40"/>
  <c r="I39"/>
  <c r="I37"/>
  <c r="I36"/>
  <c r="I35"/>
  <c r="I33"/>
  <c r="I29"/>
  <c r="I21"/>
  <c r="I20"/>
  <c r="I19"/>
  <c r="I14"/>
  <c r="I13"/>
  <c r="I11"/>
  <c r="I10"/>
  <c r="N40"/>
  <c r="K22"/>
  <c r="K39"/>
  <c r="E39"/>
  <c r="E40"/>
  <c r="E29"/>
  <c r="E28"/>
  <c r="K40" i="2" l="1"/>
  <c r="K24"/>
  <c r="E14" i="3"/>
  <c r="E11"/>
  <c r="E34"/>
  <c r="E13"/>
  <c r="K37" i="4"/>
  <c r="K40" s="1"/>
  <c r="E37"/>
  <c r="E37" i="3"/>
  <c r="E36"/>
  <c r="E35"/>
  <c r="E33"/>
  <c r="E12"/>
  <c r="E20"/>
  <c r="E19"/>
  <c r="E21"/>
  <c r="E27"/>
  <c r="E26"/>
  <c r="E22"/>
  <c r="N27"/>
  <c r="E10"/>
  <c r="Q40" i="4"/>
  <c r="P40"/>
  <c r="O40"/>
  <c r="N40"/>
  <c r="M40"/>
  <c r="L40"/>
  <c r="J40"/>
  <c r="I40"/>
  <c r="H40"/>
  <c r="G40"/>
  <c r="F40"/>
  <c r="E40"/>
  <c r="D40"/>
  <c r="E39"/>
  <c r="K39"/>
  <c r="Q29" l="1"/>
  <c r="P29"/>
  <c r="O29"/>
  <c r="N29"/>
  <c r="M29"/>
  <c r="L29"/>
  <c r="K29"/>
  <c r="J29"/>
  <c r="I29"/>
  <c r="H29"/>
  <c r="G29"/>
  <c r="F29"/>
  <c r="E29"/>
  <c r="D29"/>
  <c r="Q22"/>
  <c r="P22"/>
  <c r="O22"/>
  <c r="N22"/>
  <c r="M22"/>
  <c r="L22"/>
  <c r="K22"/>
  <c r="J22"/>
  <c r="I22"/>
  <c r="H22"/>
  <c r="G22"/>
  <c r="F22"/>
  <c r="E22"/>
  <c r="D22"/>
  <c r="Q15"/>
  <c r="P15"/>
  <c r="O15"/>
  <c r="N15"/>
  <c r="M15"/>
  <c r="L15"/>
  <c r="K15"/>
  <c r="J15"/>
  <c r="I15"/>
  <c r="H15"/>
  <c r="G15"/>
  <c r="F15"/>
  <c r="E15"/>
  <c r="D15"/>
  <c r="E10"/>
  <c r="N9"/>
  <c r="E9"/>
  <c r="E20"/>
  <c r="E26"/>
  <c r="E25"/>
  <c r="E27"/>
  <c r="E13"/>
  <c r="E12"/>
  <c r="E19"/>
  <c r="E18"/>
  <c r="E36"/>
  <c r="E35"/>
  <c r="E34"/>
  <c r="E33"/>
  <c r="E32"/>
  <c r="E11"/>
  <c r="K21"/>
  <c r="E21"/>
  <c r="E28" l="1"/>
  <c r="N30" i="5"/>
  <c r="N41"/>
  <c r="N40"/>
  <c r="N39"/>
  <c r="N38"/>
  <c r="N37"/>
  <c r="N36"/>
  <c r="N9"/>
  <c r="N23"/>
  <c r="K15"/>
  <c r="K11"/>
  <c r="K41" l="1"/>
  <c r="K40"/>
  <c r="K39"/>
  <c r="K38"/>
  <c r="K37"/>
  <c r="K36"/>
  <c r="E24"/>
  <c r="K24"/>
  <c r="K30"/>
  <c r="K31"/>
  <c r="K29"/>
  <c r="K28"/>
  <c r="K22"/>
  <c r="K21"/>
  <c r="K20"/>
  <c r="K14"/>
  <c r="K13"/>
  <c r="K12"/>
  <c r="K32"/>
  <c r="E32"/>
  <c r="K10"/>
  <c r="E15"/>
  <c r="K9" i="4"/>
  <c r="K36"/>
  <c r="K35"/>
  <c r="K34"/>
  <c r="K33"/>
  <c r="K32"/>
  <c r="K28"/>
  <c r="K27"/>
  <c r="K26"/>
  <c r="K25"/>
  <c r="K20"/>
  <c r="K19"/>
  <c r="K18"/>
  <c r="K13"/>
  <c r="K12"/>
  <c r="K11"/>
  <c r="K10"/>
  <c r="K40" i="3"/>
  <c r="K27"/>
  <c r="K26"/>
  <c r="K11"/>
  <c r="K34"/>
  <c r="K37"/>
  <c r="K36"/>
  <c r="K35"/>
  <c r="K33"/>
  <c r="K29"/>
  <c r="K28"/>
  <c r="K21"/>
  <c r="K20"/>
  <c r="K19"/>
  <c r="K14"/>
  <c r="K13"/>
  <c r="K12"/>
  <c r="K10"/>
  <c r="E23" i="5" l="1"/>
  <c r="E11"/>
  <c r="E14"/>
  <c r="E13"/>
  <c r="E12"/>
  <c r="E21"/>
  <c r="E20"/>
  <c r="E41"/>
  <c r="E40"/>
  <c r="E39"/>
  <c r="E38"/>
  <c r="E37"/>
  <c r="E36"/>
  <c r="E30"/>
  <c r="E31"/>
  <c r="E29"/>
  <c r="E28"/>
  <c r="E22"/>
  <c r="E10"/>
  <c r="E9"/>
  <c r="N31"/>
  <c r="N29"/>
  <c r="N28"/>
  <c r="N22"/>
  <c r="N21"/>
  <c r="N20"/>
  <c r="N14"/>
  <c r="N13"/>
  <c r="N12"/>
  <c r="N11"/>
  <c r="N10"/>
  <c r="N39" i="4" l="1"/>
  <c r="N37"/>
  <c r="N36"/>
  <c r="N35"/>
  <c r="N34"/>
  <c r="N33"/>
  <c r="N32"/>
  <c r="N28"/>
  <c r="N27"/>
  <c r="N26"/>
  <c r="N25"/>
  <c r="N21"/>
  <c r="N20"/>
  <c r="N19"/>
  <c r="N18"/>
  <c r="N13"/>
  <c r="N12"/>
  <c r="N11"/>
  <c r="N10"/>
  <c r="N39" i="3"/>
  <c r="N37"/>
  <c r="N36"/>
  <c r="N35"/>
  <c r="N34"/>
  <c r="N33"/>
  <c r="N29"/>
  <c r="N28"/>
  <c r="N26"/>
  <c r="N22"/>
  <c r="N21"/>
  <c r="N20"/>
  <c r="N19"/>
  <c r="N14"/>
  <c r="N13"/>
  <c r="N12"/>
  <c r="N11"/>
  <c r="N10"/>
  <c r="N39" i="2"/>
  <c r="N38"/>
  <c r="N37"/>
  <c r="N36"/>
  <c r="N35"/>
  <c r="N34"/>
  <c r="N29"/>
  <c r="N28"/>
  <c r="N31" s="1"/>
  <c r="N22"/>
  <c r="N21"/>
  <c r="N20"/>
  <c r="N19"/>
  <c r="N24" s="1"/>
  <c r="N14"/>
  <c r="N13"/>
  <c r="N12"/>
  <c r="N11"/>
  <c r="N10"/>
  <c r="D42" i="5"/>
  <c r="D33"/>
  <c r="D25"/>
  <c r="D17"/>
  <c r="D39" i="3"/>
  <c r="D41" s="1"/>
  <c r="D38"/>
  <c r="D30"/>
  <c r="D23"/>
  <c r="D16"/>
  <c r="D40" i="2"/>
  <c r="D31"/>
  <c r="D24"/>
  <c r="D16"/>
  <c r="N16" l="1"/>
  <c r="N40"/>
  <c r="Q40" i="1"/>
  <c r="P40"/>
  <c r="O40"/>
  <c r="N40"/>
  <c r="M40"/>
  <c r="L40"/>
  <c r="K40"/>
  <c r="J40"/>
  <c r="I40"/>
  <c r="H40"/>
  <c r="G40"/>
  <c r="F40"/>
  <c r="E40"/>
  <c r="Q15"/>
  <c r="P15"/>
  <c r="O15"/>
  <c r="N15"/>
  <c r="M15"/>
  <c r="L15"/>
  <c r="K15"/>
  <c r="J15"/>
  <c r="I15"/>
  <c r="H15"/>
  <c r="G15"/>
  <c r="F15"/>
  <c r="E15"/>
  <c r="Q23"/>
  <c r="P23"/>
  <c r="O23"/>
  <c r="N23"/>
  <c r="M23"/>
  <c r="L23"/>
  <c r="K23"/>
  <c r="J23"/>
  <c r="I23"/>
  <c r="H23"/>
  <c r="G23"/>
  <c r="F23"/>
  <c r="E23"/>
  <c r="Q29"/>
  <c r="P29"/>
  <c r="O29"/>
  <c r="N29"/>
  <c r="M29"/>
  <c r="L29"/>
  <c r="K29"/>
  <c r="J29"/>
  <c r="I29"/>
  <c r="H29"/>
  <c r="G29"/>
  <c r="F29"/>
  <c r="E29"/>
  <c r="E27"/>
  <c r="E26"/>
  <c r="E18"/>
  <c r="E20"/>
  <c r="E22"/>
  <c r="E12"/>
  <c r="E13"/>
  <c r="E28"/>
  <c r="E19"/>
  <c r="E38"/>
  <c r="E36"/>
  <c r="E37"/>
  <c r="E39"/>
  <c r="E35"/>
  <c r="E34"/>
  <c r="E33"/>
  <c r="E32"/>
  <c r="E11"/>
  <c r="E10"/>
  <c r="N39"/>
  <c r="N38"/>
  <c r="N37"/>
  <c r="N36"/>
  <c r="N35"/>
  <c r="N34"/>
  <c r="N33"/>
  <c r="N32"/>
  <c r="N28"/>
  <c r="N27"/>
  <c r="N26"/>
  <c r="N22"/>
  <c r="N21"/>
  <c r="N20"/>
  <c r="N19"/>
  <c r="N18"/>
  <c r="N13"/>
  <c r="N12"/>
  <c r="N11"/>
  <c r="N10"/>
  <c r="D40"/>
  <c r="D29"/>
  <c r="D23"/>
  <c r="D15"/>
  <c r="G37"/>
  <c r="G38"/>
  <c r="G39"/>
  <c r="G35"/>
  <c r="G34"/>
  <c r="G33"/>
  <c r="G32"/>
  <c r="G28"/>
  <c r="G27"/>
  <c r="G26"/>
  <c r="G22"/>
  <c r="G20"/>
  <c r="G19"/>
  <c r="G18"/>
  <c r="G13"/>
  <c r="G12"/>
  <c r="G11"/>
  <c r="G10"/>
  <c r="K22"/>
  <c r="K39"/>
  <c r="K38"/>
  <c r="K37"/>
  <c r="K35"/>
  <c r="K34"/>
  <c r="K33"/>
  <c r="K32"/>
  <c r="K28"/>
  <c r="K27"/>
  <c r="K26"/>
  <c r="K20"/>
  <c r="K19"/>
  <c r="K18"/>
  <c r="K13"/>
  <c r="K12"/>
  <c r="K11"/>
  <c r="K10"/>
  <c r="K42" i="5" l="1"/>
  <c r="J42"/>
  <c r="I42"/>
  <c r="H42"/>
  <c r="G42"/>
  <c r="F42"/>
  <c r="E42"/>
  <c r="N17"/>
  <c r="N25"/>
  <c r="M25"/>
  <c r="K33"/>
  <c r="J33"/>
  <c r="I33"/>
  <c r="H33"/>
  <c r="G33"/>
  <c r="F33"/>
  <c r="E33"/>
  <c r="K17"/>
  <c r="J17"/>
  <c r="I17"/>
  <c r="H17"/>
  <c r="G17"/>
  <c r="F17"/>
  <c r="E17"/>
  <c r="K25"/>
  <c r="J25"/>
  <c r="I25"/>
  <c r="H25"/>
  <c r="G25"/>
  <c r="F25"/>
  <c r="E25"/>
  <c r="P42"/>
  <c r="P33"/>
  <c r="P25"/>
  <c r="P10"/>
  <c r="P9"/>
  <c r="P17" s="1"/>
  <c r="L42"/>
  <c r="M42"/>
  <c r="N42"/>
  <c r="O42"/>
  <c r="Q42"/>
  <c r="L33"/>
  <c r="M33"/>
  <c r="N33"/>
  <c r="O33"/>
  <c r="Q33"/>
  <c r="L14"/>
  <c r="L22"/>
  <c r="L25" s="1"/>
  <c r="Q25"/>
  <c r="O25"/>
  <c r="L13"/>
  <c r="L11"/>
  <c r="M17"/>
  <c r="O15"/>
  <c r="O17" s="1"/>
  <c r="Q10"/>
  <c r="Q9"/>
  <c r="A1" i="4"/>
  <c r="A1" i="3"/>
  <c r="A1" i="2"/>
  <c r="A2"/>
  <c r="A2" i="3" s="1"/>
  <c r="A2" i="4" s="1"/>
  <c r="A2" i="5" s="1"/>
  <c r="L17" l="1"/>
  <c r="Q17"/>
</calcChain>
</file>

<file path=xl/comments1.xml><?xml version="1.0" encoding="utf-8"?>
<comments xmlns="http://schemas.openxmlformats.org/spreadsheetml/2006/main">
  <authors>
    <author>Windows User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as OIT August 2017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as OIT August 2017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Placed on leave as Superintendent 4/17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Interim Superintendent 4/17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Chief Operator Nov 2016.  
Fired May 2017
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Nov 2016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Chief in May 2017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Took over as chief operator 4/17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Interim Superintendent and classified Administration 4/17
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Rehired in May 2017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in November 2016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12/16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Lump sum VAC and Sick excluded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office manager 1/17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8/1/2014
Wages mainly lump sum accruals
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Lump sum VAC and Sick excluded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April 2015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6/2015
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Resigned after being certified July 2014
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Lump sum VAC and Sick excluded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Fired August 2014
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Lump sum VAC and Sick excluded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October 2014
</t>
        </r>
      </text>
    </comment>
  </commentList>
</comments>
</file>

<file path=xl/sharedStrings.xml><?xml version="1.0" encoding="utf-8"?>
<sst xmlns="http://schemas.openxmlformats.org/spreadsheetml/2006/main" count="255" uniqueCount="56">
  <si>
    <t>WATER</t>
  </si>
  <si>
    <t>Employee #</t>
  </si>
  <si>
    <t>ADMINISTRATION</t>
  </si>
  <si>
    <t>Director of Finance</t>
  </si>
  <si>
    <t>Superintendent</t>
  </si>
  <si>
    <t>Office Manager</t>
  </si>
  <si>
    <t>Part-time Clerical</t>
  </si>
  <si>
    <t>Accts Payable</t>
  </si>
  <si>
    <t>WTP Operator</t>
  </si>
  <si>
    <t xml:space="preserve">WTP Asst Chief Operator </t>
  </si>
  <si>
    <t>WTP Chief Operator</t>
  </si>
  <si>
    <t>WASTEWATER</t>
  </si>
  <si>
    <t>WWTP Operator</t>
  </si>
  <si>
    <t>WWTP Chief Operator</t>
  </si>
  <si>
    <t>WWTP Asst Chief Operator</t>
  </si>
  <si>
    <t>MAINTENANCE</t>
  </si>
  <si>
    <t>Maint / Distribution</t>
  </si>
  <si>
    <t>Dist Chief Operator</t>
  </si>
  <si>
    <t>Asst Office Mgr</t>
  </si>
  <si>
    <t>Chief Operator /Manager</t>
  </si>
  <si>
    <t>Asst Manager</t>
  </si>
  <si>
    <t>Former Superintendent</t>
  </si>
  <si>
    <t>Part time Operator</t>
  </si>
  <si>
    <t>Fiscal Year Ending June 30, 2019</t>
  </si>
  <si>
    <t>Fiscal Year Ending June 30, 2018</t>
  </si>
  <si>
    <t>Fiscal Year Ending June 30, 2017</t>
  </si>
  <si>
    <t>Fiscal Year Ending June 30, 2016</t>
  </si>
  <si>
    <t>Fiscal Year Ending June 30, 2015</t>
  </si>
  <si>
    <t>Clerical</t>
  </si>
  <si>
    <t>Asst Office Manager</t>
  </si>
  <si>
    <t>Front Office / Billing</t>
  </si>
  <si>
    <t>Part time Clerical</t>
  </si>
  <si>
    <t>Part-time/Full Time AP</t>
  </si>
  <si>
    <t>Operator in Training</t>
  </si>
  <si>
    <t>PSC Question 11</t>
  </si>
  <si>
    <t>Princeton Water &amp; Wastewater Employee Benefits</t>
  </si>
  <si>
    <t>Healthcare</t>
  </si>
  <si>
    <t>PWWC</t>
  </si>
  <si>
    <t>Employee</t>
  </si>
  <si>
    <t>Dental</t>
  </si>
  <si>
    <t>Vision</t>
  </si>
  <si>
    <t>CERS Benefit</t>
  </si>
  <si>
    <t>Social Security &amp; Medicare</t>
  </si>
  <si>
    <t>KPEDC</t>
  </si>
  <si>
    <t>Life Ins/STD</t>
  </si>
  <si>
    <t xml:space="preserve">FY2019  </t>
  </si>
  <si>
    <t>Gross Wages</t>
  </si>
  <si>
    <t>FY2016</t>
  </si>
  <si>
    <t>FY2017</t>
  </si>
  <si>
    <t>WWTP Asst Chief Oper</t>
  </si>
  <si>
    <t>Chief Operator /Mgr</t>
  </si>
  <si>
    <t>WTP Asst Chief Oper</t>
  </si>
  <si>
    <t>Int Superintendent</t>
  </si>
  <si>
    <t>Chief Oper till 4/17</t>
  </si>
  <si>
    <t>WWTP Asst/Chief Oper</t>
  </si>
  <si>
    <t>FY2018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</si>
</sst>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0" xfId="1" applyFont="1"/>
    <xf numFmtId="0" fontId="2" fillId="0" borderId="0" xfId="0" applyFont="1" applyBorder="1" applyAlignment="1">
      <alignment horizontal="left"/>
    </xf>
    <xf numFmtId="44" fontId="4" fillId="0" borderId="0" xfId="1" applyFont="1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3" fillId="0" borderId="0" xfId="1" applyFont="1" applyAlignment="1">
      <alignment vertical="top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2" fillId="0" borderId="0" xfId="0" applyFont="1" applyBorder="1" applyAlignment="1"/>
    <xf numFmtId="0" fontId="5" fillId="0" borderId="0" xfId="0" applyFont="1" applyAlignment="1"/>
    <xf numFmtId="14" fontId="2" fillId="0" borderId="0" xfId="0" applyNumberFormat="1" applyFont="1" applyAlignme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2" fillId="0" borderId="0" xfId="1" applyFont="1"/>
    <xf numFmtId="44" fontId="2" fillId="0" borderId="0" xfId="1" applyFont="1" applyBorder="1"/>
    <xf numFmtId="44" fontId="2" fillId="0" borderId="0" xfId="1" applyFont="1" applyAlignment="1">
      <alignment horizontal="left"/>
    </xf>
    <xf numFmtId="44" fontId="3" fillId="0" borderId="3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2" fillId="0" borderId="7" xfId="1" applyFont="1" applyBorder="1"/>
    <xf numFmtId="0" fontId="3" fillId="0" borderId="2" xfId="0" applyFont="1" applyBorder="1" applyAlignment="1">
      <alignment horizontal="center"/>
    </xf>
    <xf numFmtId="44" fontId="2" fillId="0" borderId="7" xfId="1" applyFont="1" applyBorder="1" applyAlignment="1">
      <alignment horizontal="left"/>
    </xf>
    <xf numFmtId="4" fontId="2" fillId="0" borderId="0" xfId="0" applyNumberFormat="1" applyFont="1" applyBorder="1"/>
    <xf numFmtId="0" fontId="2" fillId="0" borderId="7" xfId="0" applyFont="1" applyBorder="1"/>
    <xf numFmtId="44" fontId="3" fillId="0" borderId="0" xfId="0" applyNumberFormat="1" applyFont="1"/>
    <xf numFmtId="44" fontId="2" fillId="0" borderId="0" xfId="0" applyNumberFormat="1" applyFont="1"/>
    <xf numFmtId="44" fontId="3" fillId="0" borderId="2" xfId="1" applyFont="1" applyBorder="1" applyAlignment="1">
      <alignment horizontal="center"/>
    </xf>
    <xf numFmtId="44" fontId="0" fillId="0" borderId="0" xfId="1" applyFont="1"/>
    <xf numFmtId="44" fontId="3" fillId="0" borderId="7" xfId="1" applyFont="1" applyBorder="1"/>
    <xf numFmtId="44" fontId="2" fillId="0" borderId="0" xfId="1" applyFont="1" applyFill="1" applyBorder="1"/>
    <xf numFmtId="0" fontId="0" fillId="0" borderId="4" xfId="0" applyBorder="1"/>
    <xf numFmtId="44" fontId="2" fillId="0" borderId="0" xfId="1" applyFont="1" applyFill="1"/>
    <xf numFmtId="44" fontId="2" fillId="0" borderId="7" xfId="1" applyFont="1" applyFill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tabSelected="1" workbookViewId="0">
      <selection activeCell="T7" sqref="T7"/>
    </sheetView>
  </sheetViews>
  <sheetFormatPr defaultRowHeight="12.75"/>
  <cols>
    <col min="1" max="1" width="4.7109375" style="20" customWidth="1"/>
    <col min="2" max="2" width="10" style="3" bestFit="1" customWidth="1"/>
    <col min="3" max="3" width="22.42578125" style="3" bestFit="1" customWidth="1"/>
    <col min="4" max="4" width="14.85546875" style="3" hidden="1" customWidth="1"/>
    <col min="5" max="5" width="12.85546875" style="3" customWidth="1"/>
    <col min="6" max="6" width="9.140625" style="3" customWidth="1"/>
    <col min="7" max="7" width="10.85546875" style="45" customWidth="1"/>
    <col min="8" max="8" width="9.85546875" style="45" customWidth="1"/>
    <col min="9" max="9" width="9.140625" style="45" customWidth="1"/>
    <col min="10" max="10" width="9.140625" style="45"/>
    <col min="11" max="11" width="9.140625" style="45" customWidth="1"/>
    <col min="12" max="12" width="10.7109375" style="45" customWidth="1"/>
    <col min="13" max="13" width="10" style="45" bestFit="1" customWidth="1"/>
    <col min="14" max="14" width="11" style="45" bestFit="1" customWidth="1"/>
    <col min="15" max="15" width="11.7109375" style="45" customWidth="1"/>
    <col min="16" max="16" width="11.5703125" style="45" customWidth="1"/>
    <col min="17" max="17" width="11" style="45" customWidth="1"/>
    <col min="18" max="16384" width="9.140625" style="3"/>
  </cols>
  <sheetData>
    <row r="1" spans="1:19">
      <c r="A1" s="23" t="s">
        <v>34</v>
      </c>
      <c r="B1" s="2"/>
      <c r="C1" s="2"/>
      <c r="D1" s="2"/>
    </row>
    <row r="2" spans="1:19" s="8" customFormat="1" ht="15.7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s="8" customFormat="1" ht="15.7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9" ht="15.75">
      <c r="D4" s="29"/>
      <c r="S4"/>
    </row>
    <row r="5" spans="1:19" ht="16.5" thickBot="1">
      <c r="D5" s="29"/>
    </row>
    <row r="6" spans="1:19" ht="15" customHeight="1">
      <c r="D6" s="66" t="s">
        <v>45</v>
      </c>
      <c r="E6" s="41" t="s">
        <v>36</v>
      </c>
      <c r="F6" s="42"/>
      <c r="G6" s="48" t="s">
        <v>39</v>
      </c>
      <c r="H6" s="49"/>
      <c r="I6" s="48" t="s">
        <v>40</v>
      </c>
      <c r="J6" s="49"/>
      <c r="K6" s="48" t="s">
        <v>44</v>
      </c>
      <c r="L6" s="49"/>
      <c r="M6" s="59" t="s">
        <v>43</v>
      </c>
      <c r="N6" s="48" t="s">
        <v>41</v>
      </c>
      <c r="O6" s="63"/>
      <c r="P6" s="48" t="s">
        <v>42</v>
      </c>
      <c r="Q6" s="49"/>
    </row>
    <row r="7" spans="1:19" s="5" customFormat="1" ht="13.5" thickBot="1">
      <c r="A7" s="24"/>
      <c r="B7" s="21" t="s">
        <v>1</v>
      </c>
      <c r="C7" s="21"/>
      <c r="D7" s="67" t="s">
        <v>46</v>
      </c>
      <c r="E7" s="43" t="s">
        <v>37</v>
      </c>
      <c r="F7" s="44" t="s">
        <v>38</v>
      </c>
      <c r="G7" s="50" t="s">
        <v>37</v>
      </c>
      <c r="H7" s="51" t="s">
        <v>38</v>
      </c>
      <c r="I7" s="50" t="s">
        <v>37</v>
      </c>
      <c r="J7" s="51" t="s">
        <v>38</v>
      </c>
      <c r="K7" s="50" t="s">
        <v>37</v>
      </c>
      <c r="L7" s="51" t="s">
        <v>38</v>
      </c>
      <c r="M7" s="51" t="s">
        <v>38</v>
      </c>
      <c r="N7" s="50" t="s">
        <v>37</v>
      </c>
      <c r="O7" s="51" t="s">
        <v>38</v>
      </c>
      <c r="P7" s="50" t="s">
        <v>37</v>
      </c>
      <c r="Q7" s="51" t="s">
        <v>38</v>
      </c>
    </row>
    <row r="8" spans="1:19">
      <c r="A8" s="33" t="s">
        <v>2</v>
      </c>
      <c r="B8" s="33"/>
      <c r="C8" s="6"/>
      <c r="D8" s="30"/>
    </row>
    <row r="9" spans="1:19">
      <c r="B9" s="3">
        <v>155</v>
      </c>
      <c r="C9" s="3" t="s">
        <v>6</v>
      </c>
      <c r="D9" s="45">
        <v>11030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843.79</v>
      </c>
      <c r="Q9" s="45">
        <v>843.79</v>
      </c>
    </row>
    <row r="10" spans="1:19">
      <c r="B10" s="3">
        <v>175</v>
      </c>
      <c r="C10" s="3" t="s">
        <v>4</v>
      </c>
      <c r="D10" s="45">
        <v>71177.48</v>
      </c>
      <c r="E10" s="45">
        <f>(1480*6)+(1490*6)+(9*12)</f>
        <v>17928</v>
      </c>
      <c r="F10" s="45">
        <v>0</v>
      </c>
      <c r="G10" s="45">
        <f>36*12</f>
        <v>432</v>
      </c>
      <c r="H10" s="45">
        <v>283.95999999999998</v>
      </c>
      <c r="I10" s="45">
        <f>7.02*12</f>
        <v>84.24</v>
      </c>
      <c r="J10" s="45">
        <v>149.63999999999999</v>
      </c>
      <c r="K10" s="45">
        <f>10.88*12</f>
        <v>130.56</v>
      </c>
      <c r="L10" s="45">
        <v>228.46</v>
      </c>
      <c r="M10" s="45">
        <v>0</v>
      </c>
      <c r="N10" s="45">
        <f>0.2148*D10</f>
        <v>15288.922703999999</v>
      </c>
      <c r="O10" s="45">
        <v>3558.82</v>
      </c>
      <c r="P10" s="45">
        <v>5160.1899999999996</v>
      </c>
      <c r="Q10" s="45">
        <v>5160.1899999999996</v>
      </c>
    </row>
    <row r="11" spans="1:19">
      <c r="B11" s="3">
        <v>186</v>
      </c>
      <c r="C11" s="3" t="s">
        <v>5</v>
      </c>
      <c r="D11" s="45">
        <v>41997.599999999999</v>
      </c>
      <c r="E11" s="45">
        <f>(1480*6)+(1490*6)+(9*12)</f>
        <v>17928</v>
      </c>
      <c r="F11" s="45">
        <v>0</v>
      </c>
      <c r="G11" s="45">
        <f t="shared" ref="G11:G13" si="0">36*12</f>
        <v>432</v>
      </c>
      <c r="H11" s="45">
        <v>283.95999999999998</v>
      </c>
      <c r="I11" s="45">
        <f t="shared" ref="I11:I13" si="1">7.02*12</f>
        <v>84.24</v>
      </c>
      <c r="J11" s="45">
        <v>149.63999999999999</v>
      </c>
      <c r="K11" s="45">
        <f t="shared" ref="K11:K13" si="2">10.88*12</f>
        <v>130.56</v>
      </c>
      <c r="L11" s="45">
        <v>192.96</v>
      </c>
      <c r="M11" s="45">
        <v>0</v>
      </c>
      <c r="N11" s="45">
        <f t="shared" ref="N11:N13" si="3">0.2148*D11</f>
        <v>9021.0844799999995</v>
      </c>
      <c r="O11" s="45">
        <v>2099.88</v>
      </c>
      <c r="P11" s="45">
        <v>3179.92</v>
      </c>
      <c r="Q11" s="45">
        <v>3179.92</v>
      </c>
    </row>
    <row r="12" spans="1:19">
      <c r="B12" s="3">
        <v>193</v>
      </c>
      <c r="C12" s="3" t="s">
        <v>3</v>
      </c>
      <c r="D12" s="45">
        <v>46500</v>
      </c>
      <c r="E12" s="45">
        <f>(1326*6)+(1334*6)+(9*12)</f>
        <v>16068</v>
      </c>
      <c r="F12" s="45">
        <v>0</v>
      </c>
      <c r="G12" s="45">
        <f t="shared" si="0"/>
        <v>432</v>
      </c>
      <c r="H12" s="45">
        <v>24.84</v>
      </c>
      <c r="I12" s="45">
        <f t="shared" si="1"/>
        <v>84.24</v>
      </c>
      <c r="J12" s="45">
        <v>61.58</v>
      </c>
      <c r="K12" s="45">
        <f t="shared" si="2"/>
        <v>130.56</v>
      </c>
      <c r="L12" s="45">
        <v>734.3</v>
      </c>
      <c r="M12" s="45">
        <v>2100</v>
      </c>
      <c r="N12" s="45">
        <f t="shared" si="3"/>
        <v>9988.1999999999989</v>
      </c>
      <c r="O12" s="45">
        <v>2324.9899999999998</v>
      </c>
      <c r="P12" s="45">
        <v>3550.94</v>
      </c>
      <c r="Q12" s="45">
        <v>3550.94</v>
      </c>
    </row>
    <row r="13" spans="1:19">
      <c r="B13" s="3">
        <v>198</v>
      </c>
      <c r="C13" s="3" t="s">
        <v>7</v>
      </c>
      <c r="D13" s="45">
        <v>37474.400000000001</v>
      </c>
      <c r="E13" s="45">
        <f>175*12</f>
        <v>2100</v>
      </c>
      <c r="F13" s="45">
        <v>0</v>
      </c>
      <c r="G13" s="45">
        <f t="shared" si="0"/>
        <v>432</v>
      </c>
      <c r="H13" s="45">
        <v>283.16000000000003</v>
      </c>
      <c r="I13" s="45">
        <f t="shared" si="1"/>
        <v>84.24</v>
      </c>
      <c r="J13" s="45">
        <v>149.19999999999999</v>
      </c>
      <c r="K13" s="45">
        <f t="shared" si="2"/>
        <v>130.56</v>
      </c>
      <c r="L13" s="45">
        <v>662.4</v>
      </c>
      <c r="M13" s="45">
        <v>0</v>
      </c>
      <c r="N13" s="45">
        <f t="shared" si="3"/>
        <v>8049.5011199999999</v>
      </c>
      <c r="O13" s="45">
        <v>2248.36</v>
      </c>
      <c r="P13" s="45">
        <v>2833.4300000000003</v>
      </c>
      <c r="Q13" s="45">
        <v>2833.4300000000003</v>
      </c>
    </row>
    <row r="14" spans="1:19">
      <c r="B14" s="3">
        <v>201</v>
      </c>
      <c r="C14" s="3" t="s">
        <v>6</v>
      </c>
      <c r="D14" s="52">
        <v>9966</v>
      </c>
      <c r="E14" s="52">
        <v>0</v>
      </c>
      <c r="F14" s="52">
        <v>0</v>
      </c>
      <c r="G14" s="52"/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762.4</v>
      </c>
      <c r="Q14" s="52">
        <v>762.4</v>
      </c>
    </row>
    <row r="15" spans="1:19" s="8" customFormat="1">
      <c r="A15" s="23"/>
      <c r="D15" s="57">
        <f>SUM(D9:D14)</f>
        <v>218145.47999999998</v>
      </c>
      <c r="E15" s="57">
        <f t="shared" ref="E15:Q15" si="4">SUM(E9:E14)</f>
        <v>54024</v>
      </c>
      <c r="F15" s="57">
        <f t="shared" si="4"/>
        <v>0</v>
      </c>
      <c r="G15" s="57">
        <f t="shared" si="4"/>
        <v>1728</v>
      </c>
      <c r="H15" s="57">
        <f t="shared" si="4"/>
        <v>875.92000000000007</v>
      </c>
      <c r="I15" s="57">
        <f t="shared" si="4"/>
        <v>336.96</v>
      </c>
      <c r="J15" s="57">
        <f t="shared" si="4"/>
        <v>510.05999999999995</v>
      </c>
      <c r="K15" s="57">
        <f t="shared" si="4"/>
        <v>522.24</v>
      </c>
      <c r="L15" s="57">
        <f t="shared" si="4"/>
        <v>1818.12</v>
      </c>
      <c r="M15" s="57">
        <f t="shared" si="4"/>
        <v>2100</v>
      </c>
      <c r="N15" s="57">
        <f t="shared" si="4"/>
        <v>42347.708304</v>
      </c>
      <c r="O15" s="57">
        <f t="shared" si="4"/>
        <v>10232.050000000001</v>
      </c>
      <c r="P15" s="57">
        <f t="shared" si="4"/>
        <v>16330.67</v>
      </c>
      <c r="Q15" s="57">
        <f t="shared" si="4"/>
        <v>16330.67</v>
      </c>
    </row>
    <row r="16" spans="1:19" s="12" customFormat="1">
      <c r="A16" s="25"/>
      <c r="B16" s="11"/>
      <c r="C16" s="11"/>
      <c r="D16" s="11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>
      <c r="A17" s="34" t="s">
        <v>0</v>
      </c>
      <c r="B17" s="34"/>
      <c r="C17" s="5"/>
      <c r="D17" s="31"/>
      <c r="E17" s="45"/>
      <c r="F17" s="45"/>
    </row>
    <row r="18" spans="1:17">
      <c r="B18" s="3">
        <v>115</v>
      </c>
      <c r="C18" s="3" t="s">
        <v>10</v>
      </c>
      <c r="D18" s="45">
        <v>46738.63</v>
      </c>
      <c r="E18" s="46">
        <f>(1480*3)+(1326*3)+(1334*6)+(9*12)</f>
        <v>16530</v>
      </c>
      <c r="F18" s="45">
        <v>0</v>
      </c>
      <c r="G18" s="45">
        <f t="shared" ref="G18:G22" si="5">36*12</f>
        <v>432</v>
      </c>
      <c r="H18" s="45">
        <v>219.04</v>
      </c>
      <c r="I18" s="45">
        <f t="shared" ref="I18:I20" si="6">7.02*12</f>
        <v>84.24</v>
      </c>
      <c r="J18" s="45">
        <v>127.56</v>
      </c>
      <c r="K18" s="45">
        <f t="shared" ref="K18:K20" si="7">10.88*12</f>
        <v>130.56</v>
      </c>
      <c r="L18" s="45">
        <v>0</v>
      </c>
      <c r="M18" s="45">
        <v>0</v>
      </c>
      <c r="N18" s="45">
        <f t="shared" ref="N18:N22" si="8">0.2148*D18</f>
        <v>10039.457724</v>
      </c>
      <c r="O18" s="45">
        <v>2336.9499999999998</v>
      </c>
      <c r="P18" s="45">
        <v>3548.77</v>
      </c>
      <c r="Q18" s="45">
        <v>3548.77</v>
      </c>
    </row>
    <row r="19" spans="1:17">
      <c r="B19" s="13">
        <v>181</v>
      </c>
      <c r="C19" s="13" t="s">
        <v>9</v>
      </c>
      <c r="D19" s="45">
        <v>47650.83</v>
      </c>
      <c r="E19" s="45">
        <f t="shared" ref="E19" si="9">(1480*6)+(1490*6)+(9*12)</f>
        <v>17928</v>
      </c>
      <c r="F19" s="45">
        <v>0</v>
      </c>
      <c r="G19" s="45">
        <f t="shared" si="5"/>
        <v>432</v>
      </c>
      <c r="H19" s="45">
        <v>283.95999999999998</v>
      </c>
      <c r="I19" s="45">
        <f t="shared" si="6"/>
        <v>84.24</v>
      </c>
      <c r="J19" s="45">
        <v>149.63999999999999</v>
      </c>
      <c r="K19" s="45">
        <f t="shared" si="7"/>
        <v>130.56</v>
      </c>
      <c r="L19" s="45">
        <v>0</v>
      </c>
      <c r="M19" s="45">
        <v>0</v>
      </c>
      <c r="N19" s="45">
        <f t="shared" si="8"/>
        <v>10235.398284000001</v>
      </c>
      <c r="O19" s="45">
        <v>2382.5500000000002</v>
      </c>
      <c r="P19" s="45">
        <v>3612.42</v>
      </c>
      <c r="Q19" s="45">
        <v>3612.42</v>
      </c>
    </row>
    <row r="20" spans="1:17">
      <c r="B20" s="3">
        <v>191</v>
      </c>
      <c r="C20" s="3" t="s">
        <v>8</v>
      </c>
      <c r="D20" s="45">
        <v>41932.339999999997</v>
      </c>
      <c r="E20" s="45">
        <f>(1326*6)+(1334*6)+(9*12)</f>
        <v>16068</v>
      </c>
      <c r="F20" s="45">
        <v>0</v>
      </c>
      <c r="G20" s="45">
        <f t="shared" si="5"/>
        <v>432</v>
      </c>
      <c r="H20" s="45">
        <v>24.84</v>
      </c>
      <c r="I20" s="45">
        <f t="shared" si="6"/>
        <v>84.24</v>
      </c>
      <c r="J20" s="45">
        <v>61.58</v>
      </c>
      <c r="K20" s="45">
        <f t="shared" si="7"/>
        <v>130.56</v>
      </c>
      <c r="L20" s="45">
        <v>101.28</v>
      </c>
      <c r="M20" s="45">
        <v>0</v>
      </c>
      <c r="N20" s="45">
        <f t="shared" si="8"/>
        <v>9007.0666319999982</v>
      </c>
      <c r="O20" s="45">
        <v>2515.7800000000002</v>
      </c>
      <c r="P20" s="45">
        <v>3201.3100000000004</v>
      </c>
      <c r="Q20" s="45">
        <v>3201.3100000000004</v>
      </c>
    </row>
    <row r="21" spans="1:17">
      <c r="B21" s="3">
        <v>200</v>
      </c>
      <c r="C21" s="3" t="s">
        <v>8</v>
      </c>
      <c r="D21" s="46">
        <v>3896</v>
      </c>
      <c r="E21" s="45">
        <v>710</v>
      </c>
      <c r="F21" s="45">
        <v>0</v>
      </c>
      <c r="G21" s="45">
        <v>36</v>
      </c>
      <c r="H21" s="45">
        <v>0</v>
      </c>
      <c r="I21" s="45">
        <v>7.02</v>
      </c>
      <c r="J21" s="45">
        <v>0</v>
      </c>
      <c r="K21" s="45">
        <v>10.88</v>
      </c>
      <c r="L21" s="45">
        <v>25.26</v>
      </c>
      <c r="M21" s="45">
        <v>0</v>
      </c>
      <c r="N21" s="45">
        <f t="shared" si="8"/>
        <v>836.86079999999993</v>
      </c>
      <c r="O21" s="45">
        <v>233.75</v>
      </c>
      <c r="P21" s="45">
        <v>298.05</v>
      </c>
      <c r="Q21" s="45">
        <v>298.05</v>
      </c>
    </row>
    <row r="22" spans="1:17">
      <c r="B22" s="3">
        <v>206</v>
      </c>
      <c r="C22" s="3" t="s">
        <v>8</v>
      </c>
      <c r="D22" s="52">
        <v>31464.53</v>
      </c>
      <c r="E22" s="52">
        <f>(710*3)+(1326*3)+(1334*6)+(9*12)</f>
        <v>14220</v>
      </c>
      <c r="F22" s="52">
        <v>0</v>
      </c>
      <c r="G22" s="52">
        <f t="shared" si="5"/>
        <v>432</v>
      </c>
      <c r="H22" s="52">
        <v>16.739999999999998</v>
      </c>
      <c r="I22" s="52">
        <f>7.02*12</f>
        <v>84.24</v>
      </c>
      <c r="J22" s="52">
        <v>39.99</v>
      </c>
      <c r="K22" s="52">
        <f>10.88*12</f>
        <v>130.56</v>
      </c>
      <c r="L22" s="52">
        <v>0</v>
      </c>
      <c r="M22" s="52">
        <v>0</v>
      </c>
      <c r="N22" s="52">
        <f t="shared" si="8"/>
        <v>6758.5810439999996</v>
      </c>
      <c r="O22" s="52">
        <v>1887.67</v>
      </c>
      <c r="P22" s="52">
        <v>2402.61</v>
      </c>
      <c r="Q22" s="52">
        <v>2402.61</v>
      </c>
    </row>
    <row r="23" spans="1:17" s="8" customFormat="1">
      <c r="A23" s="23"/>
      <c r="D23" s="57">
        <f>SUM(D18:D22)</f>
        <v>171682.33</v>
      </c>
      <c r="E23" s="57">
        <f t="shared" ref="E23:Q23" si="10">SUM(E18:E22)</f>
        <v>65456</v>
      </c>
      <c r="F23" s="57">
        <f t="shared" si="10"/>
        <v>0</v>
      </c>
      <c r="G23" s="57">
        <f t="shared" si="10"/>
        <v>1764</v>
      </c>
      <c r="H23" s="57">
        <f t="shared" si="10"/>
        <v>544.58000000000004</v>
      </c>
      <c r="I23" s="57">
        <f t="shared" si="10"/>
        <v>343.97999999999996</v>
      </c>
      <c r="J23" s="57">
        <f t="shared" si="10"/>
        <v>378.77</v>
      </c>
      <c r="K23" s="57">
        <f t="shared" si="10"/>
        <v>533.12</v>
      </c>
      <c r="L23" s="57">
        <f t="shared" si="10"/>
        <v>126.54</v>
      </c>
      <c r="M23" s="57">
        <f t="shared" si="10"/>
        <v>0</v>
      </c>
      <c r="N23" s="57">
        <f t="shared" si="10"/>
        <v>36877.364483999998</v>
      </c>
      <c r="O23" s="57">
        <f t="shared" si="10"/>
        <v>9356.7000000000007</v>
      </c>
      <c r="P23" s="57">
        <f t="shared" si="10"/>
        <v>13063.16</v>
      </c>
      <c r="Q23" s="57">
        <f t="shared" si="10"/>
        <v>13063.16</v>
      </c>
    </row>
    <row r="24" spans="1:17" s="12" customFormat="1">
      <c r="A24" s="25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>
      <c r="A25" s="34" t="s">
        <v>11</v>
      </c>
      <c r="B25" s="34"/>
      <c r="C25" s="5"/>
      <c r="D25" s="31"/>
      <c r="E25" s="45"/>
      <c r="F25" s="45"/>
    </row>
    <row r="26" spans="1:17">
      <c r="A26" s="23"/>
      <c r="B26" s="3">
        <v>199</v>
      </c>
      <c r="C26" s="3" t="s">
        <v>14</v>
      </c>
      <c r="D26" s="45">
        <v>37491</v>
      </c>
      <c r="E26" s="45">
        <f>(1326*6)+(1334*6)+(9*12)</f>
        <v>16068</v>
      </c>
      <c r="F26" s="45">
        <v>0</v>
      </c>
      <c r="G26" s="45">
        <f t="shared" ref="G26:G28" si="11">36*12</f>
        <v>432</v>
      </c>
      <c r="H26" s="45">
        <v>24.84</v>
      </c>
      <c r="I26" s="45">
        <f t="shared" ref="I26:I28" si="12">7.02*12</f>
        <v>84.24</v>
      </c>
      <c r="J26" s="45">
        <v>61.58</v>
      </c>
      <c r="K26" s="45">
        <f t="shared" ref="K26:K28" si="13">10.88*12</f>
        <v>130.56</v>
      </c>
      <c r="L26" s="45">
        <v>0</v>
      </c>
      <c r="M26" s="45">
        <v>0</v>
      </c>
      <c r="N26" s="45">
        <f t="shared" ref="N26:N28" si="14">0.2148*D26</f>
        <v>8053.0667999999996</v>
      </c>
      <c r="O26" s="45">
        <v>2249.46</v>
      </c>
      <c r="P26" s="45">
        <v>2861.6899999999996</v>
      </c>
      <c r="Q26" s="45">
        <v>2861.6899999999996</v>
      </c>
    </row>
    <row r="27" spans="1:17">
      <c r="B27" s="3">
        <v>202</v>
      </c>
      <c r="C27" s="3" t="s">
        <v>13</v>
      </c>
      <c r="D27" s="46">
        <v>44042</v>
      </c>
      <c r="E27" s="45">
        <f>710*12</f>
        <v>8520</v>
      </c>
      <c r="F27" s="45">
        <v>0</v>
      </c>
      <c r="G27" s="45">
        <f t="shared" si="11"/>
        <v>432</v>
      </c>
      <c r="H27" s="45">
        <v>0</v>
      </c>
      <c r="I27" s="45">
        <f t="shared" si="12"/>
        <v>84.24</v>
      </c>
      <c r="J27" s="45">
        <v>0</v>
      </c>
      <c r="K27" s="45">
        <f t="shared" si="13"/>
        <v>130.56</v>
      </c>
      <c r="L27" s="45">
        <v>190.74</v>
      </c>
      <c r="M27" s="45">
        <v>0</v>
      </c>
      <c r="N27" s="45">
        <f t="shared" si="14"/>
        <v>9460.2215999999989</v>
      </c>
      <c r="O27" s="45">
        <v>2202.1</v>
      </c>
      <c r="P27" s="45">
        <v>3369.21</v>
      </c>
      <c r="Q27" s="45">
        <v>3369.21</v>
      </c>
    </row>
    <row r="28" spans="1:17">
      <c r="B28" s="3">
        <v>205</v>
      </c>
      <c r="C28" s="3" t="s">
        <v>12</v>
      </c>
      <c r="D28" s="52">
        <v>30892</v>
      </c>
      <c r="E28" s="52">
        <f t="shared" ref="E28" si="15">(1480*6)+(1490*6)+(9*12)</f>
        <v>17928</v>
      </c>
      <c r="F28" s="52">
        <v>0</v>
      </c>
      <c r="G28" s="52">
        <f t="shared" si="11"/>
        <v>432</v>
      </c>
      <c r="H28" s="52">
        <v>283.95999999999998</v>
      </c>
      <c r="I28" s="52">
        <f t="shared" si="12"/>
        <v>84.24</v>
      </c>
      <c r="J28" s="52">
        <v>149.63999999999999</v>
      </c>
      <c r="K28" s="52">
        <f t="shared" si="13"/>
        <v>130.56</v>
      </c>
      <c r="L28" s="52">
        <v>667.26</v>
      </c>
      <c r="M28" s="52">
        <v>0</v>
      </c>
      <c r="N28" s="52">
        <f t="shared" si="14"/>
        <v>6635.6016</v>
      </c>
      <c r="O28" s="52">
        <v>1853.52</v>
      </c>
      <c r="P28" s="52">
        <v>2293.4700000000003</v>
      </c>
      <c r="Q28" s="52">
        <v>2293.4700000000003</v>
      </c>
    </row>
    <row r="29" spans="1:17" s="8" customFormat="1">
      <c r="A29" s="23"/>
      <c r="D29" s="57">
        <f>SUM(D26:D28)</f>
        <v>112425</v>
      </c>
      <c r="E29" s="57">
        <f t="shared" ref="E29:Q29" si="16">SUM(E26:E28)</f>
        <v>42516</v>
      </c>
      <c r="F29" s="57">
        <f t="shared" si="16"/>
        <v>0</v>
      </c>
      <c r="G29" s="57">
        <f t="shared" si="16"/>
        <v>1296</v>
      </c>
      <c r="H29" s="57">
        <f t="shared" si="16"/>
        <v>308.79999999999995</v>
      </c>
      <c r="I29" s="57">
        <f t="shared" si="16"/>
        <v>252.71999999999997</v>
      </c>
      <c r="J29" s="57">
        <f t="shared" si="16"/>
        <v>211.21999999999997</v>
      </c>
      <c r="K29" s="57">
        <f t="shared" si="16"/>
        <v>391.68</v>
      </c>
      <c r="L29" s="57">
        <f t="shared" si="16"/>
        <v>858</v>
      </c>
      <c r="M29" s="57">
        <f t="shared" si="16"/>
        <v>0</v>
      </c>
      <c r="N29" s="57">
        <f t="shared" si="16"/>
        <v>24148.89</v>
      </c>
      <c r="O29" s="57">
        <f t="shared" si="16"/>
        <v>6305.08</v>
      </c>
      <c r="P29" s="57">
        <f t="shared" si="16"/>
        <v>8524.369999999999</v>
      </c>
      <c r="Q29" s="57">
        <f t="shared" si="16"/>
        <v>8524.369999999999</v>
      </c>
    </row>
    <row r="30" spans="1:17" s="12" customFormat="1">
      <c r="A30" s="25"/>
      <c r="B30" s="14"/>
      <c r="C30" s="14"/>
      <c r="D30" s="14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>
      <c r="A31" s="35" t="s">
        <v>15</v>
      </c>
      <c r="B31" s="35"/>
      <c r="C31" s="15"/>
      <c r="D31" s="32"/>
      <c r="E31" s="45"/>
      <c r="F31" s="45"/>
    </row>
    <row r="32" spans="1:17" s="1" customFormat="1">
      <c r="A32" s="26"/>
      <c r="B32" s="3">
        <v>173</v>
      </c>
      <c r="C32" s="3" t="s">
        <v>17</v>
      </c>
      <c r="D32" s="62">
        <v>52430.05</v>
      </c>
      <c r="E32" s="45">
        <f t="shared" ref="E32:E39" si="17">(1480*6)+(1490*6)+(9*12)</f>
        <v>17928</v>
      </c>
      <c r="F32" s="47">
        <v>0</v>
      </c>
      <c r="G32" s="45">
        <f t="shared" ref="G32:G35" si="18">36*12</f>
        <v>432</v>
      </c>
      <c r="H32" s="45">
        <v>283.95999999999998</v>
      </c>
      <c r="I32" s="45">
        <f t="shared" ref="I32:I35" si="19">7.02*12</f>
        <v>84.24</v>
      </c>
      <c r="J32" s="45">
        <v>149.63999999999999</v>
      </c>
      <c r="K32" s="45">
        <f t="shared" ref="K32:K35" si="20">10.88*12</f>
        <v>130.56</v>
      </c>
      <c r="L32" s="47">
        <v>395.56</v>
      </c>
      <c r="M32" s="47">
        <v>960</v>
      </c>
      <c r="N32" s="45">
        <f t="shared" ref="N32:N39" si="21">0.2148*D32</f>
        <v>11261.97474</v>
      </c>
      <c r="O32" s="47">
        <v>2621.54</v>
      </c>
      <c r="P32" s="47">
        <v>3885.29</v>
      </c>
      <c r="Q32" s="47">
        <v>3885.29</v>
      </c>
    </row>
    <row r="33" spans="1:17">
      <c r="B33" s="3">
        <v>188</v>
      </c>
      <c r="C33" s="3" t="s">
        <v>16</v>
      </c>
      <c r="D33" s="62">
        <v>46947.26</v>
      </c>
      <c r="E33" s="45">
        <f t="shared" si="17"/>
        <v>17928</v>
      </c>
      <c r="F33" s="45">
        <v>0</v>
      </c>
      <c r="G33" s="45">
        <f t="shared" si="18"/>
        <v>432</v>
      </c>
      <c r="H33" s="45">
        <v>283.95999999999998</v>
      </c>
      <c r="I33" s="45">
        <f t="shared" si="19"/>
        <v>84.24</v>
      </c>
      <c r="J33" s="45">
        <v>149.63999999999999</v>
      </c>
      <c r="K33" s="45">
        <f t="shared" si="20"/>
        <v>130.56</v>
      </c>
      <c r="L33" s="45">
        <v>168.98</v>
      </c>
      <c r="M33" s="45">
        <v>576</v>
      </c>
      <c r="N33" s="45">
        <f t="shared" si="21"/>
        <v>10084.271448</v>
      </c>
      <c r="O33" s="45">
        <v>2347.35</v>
      </c>
      <c r="P33" s="45">
        <v>3558.45</v>
      </c>
      <c r="Q33" s="45">
        <v>3558.45</v>
      </c>
    </row>
    <row r="34" spans="1:17">
      <c r="B34" s="3">
        <v>189</v>
      </c>
      <c r="C34" s="3" t="s">
        <v>16</v>
      </c>
      <c r="D34" s="62">
        <v>45047.4</v>
      </c>
      <c r="E34" s="45">
        <f t="shared" si="17"/>
        <v>17928</v>
      </c>
      <c r="F34" s="45">
        <v>0</v>
      </c>
      <c r="G34" s="45">
        <f t="shared" si="18"/>
        <v>432</v>
      </c>
      <c r="H34" s="45">
        <v>283.95999999999998</v>
      </c>
      <c r="I34" s="45">
        <f t="shared" si="19"/>
        <v>84.24</v>
      </c>
      <c r="J34" s="45">
        <v>149.63999999999999</v>
      </c>
      <c r="K34" s="45">
        <f t="shared" si="20"/>
        <v>130.56</v>
      </c>
      <c r="L34" s="45">
        <v>168.98</v>
      </c>
      <c r="M34" s="45">
        <v>0</v>
      </c>
      <c r="N34" s="45">
        <f t="shared" si="21"/>
        <v>9676.1815200000001</v>
      </c>
      <c r="O34" s="45">
        <v>2252.39</v>
      </c>
      <c r="P34" s="45">
        <v>3373.17</v>
      </c>
      <c r="Q34" s="45">
        <v>3373.17</v>
      </c>
    </row>
    <row r="35" spans="1:17">
      <c r="B35" s="3">
        <v>192</v>
      </c>
      <c r="C35" s="3" t="s">
        <v>16</v>
      </c>
      <c r="D35" s="62">
        <v>46279.12</v>
      </c>
      <c r="E35" s="45">
        <f t="shared" si="17"/>
        <v>17928</v>
      </c>
      <c r="F35" s="45">
        <v>0</v>
      </c>
      <c r="G35" s="45">
        <f t="shared" si="18"/>
        <v>432</v>
      </c>
      <c r="H35" s="45">
        <v>283.95999999999998</v>
      </c>
      <c r="I35" s="45">
        <f t="shared" si="19"/>
        <v>84.24</v>
      </c>
      <c r="J35" s="45">
        <v>149.63999999999999</v>
      </c>
      <c r="K35" s="45">
        <f t="shared" si="20"/>
        <v>130.56</v>
      </c>
      <c r="L35" s="45">
        <v>217.62</v>
      </c>
      <c r="M35" s="45">
        <v>0</v>
      </c>
      <c r="N35" s="45">
        <f t="shared" si="21"/>
        <v>9940.7549760000002</v>
      </c>
      <c r="O35" s="45">
        <v>2776.75</v>
      </c>
      <c r="P35" s="45">
        <v>3507.1499999999996</v>
      </c>
      <c r="Q35" s="45">
        <v>3507.1499999999996</v>
      </c>
    </row>
    <row r="36" spans="1:17">
      <c r="B36" s="3">
        <v>195</v>
      </c>
      <c r="C36" s="3" t="s">
        <v>16</v>
      </c>
      <c r="D36" s="62">
        <v>2241.6799999999998</v>
      </c>
      <c r="E36" s="45">
        <f>1489</f>
        <v>1489</v>
      </c>
      <c r="F36" s="45">
        <v>0</v>
      </c>
      <c r="G36" s="45">
        <v>36</v>
      </c>
      <c r="H36" s="45">
        <v>16.21</v>
      </c>
      <c r="I36" s="45">
        <v>7.02</v>
      </c>
      <c r="J36" s="45">
        <v>8.7899999999999991</v>
      </c>
      <c r="K36" s="45">
        <v>10.88</v>
      </c>
      <c r="L36" s="45">
        <v>9.84</v>
      </c>
      <c r="M36" s="45">
        <v>0</v>
      </c>
      <c r="N36" s="45">
        <f t="shared" si="21"/>
        <v>481.51286399999992</v>
      </c>
      <c r="O36" s="45">
        <v>134.5</v>
      </c>
      <c r="P36" s="45">
        <v>169.58</v>
      </c>
      <c r="Q36" s="45">
        <v>169.58</v>
      </c>
    </row>
    <row r="37" spans="1:17">
      <c r="B37" s="3">
        <v>204</v>
      </c>
      <c r="C37" s="3" t="s">
        <v>16</v>
      </c>
      <c r="D37" s="62">
        <v>22360</v>
      </c>
      <c r="E37" s="45">
        <f>(1480*6)+(1490*1)+(9*7)</f>
        <v>10433</v>
      </c>
      <c r="F37" s="45">
        <v>0</v>
      </c>
      <c r="G37" s="45">
        <f>36*7</f>
        <v>252</v>
      </c>
      <c r="H37" s="45">
        <v>164.96</v>
      </c>
      <c r="I37" s="45">
        <f>7.02*7</f>
        <v>49.14</v>
      </c>
      <c r="J37" s="45">
        <v>87.04</v>
      </c>
      <c r="K37" s="45">
        <f>10.88*7</f>
        <v>76.160000000000011</v>
      </c>
      <c r="L37" s="45">
        <v>98.38</v>
      </c>
      <c r="M37" s="45">
        <v>0</v>
      </c>
      <c r="N37" s="45">
        <f t="shared" si="21"/>
        <v>4802.9279999999999</v>
      </c>
      <c r="O37" s="45">
        <v>1341.6</v>
      </c>
      <c r="P37" s="45">
        <v>1691.32</v>
      </c>
      <c r="Q37" s="45">
        <v>1691.32</v>
      </c>
    </row>
    <row r="38" spans="1:17">
      <c r="B38" s="17">
        <v>207</v>
      </c>
      <c r="C38" s="16" t="s">
        <v>16</v>
      </c>
      <c r="D38" s="62">
        <v>28478.46</v>
      </c>
      <c r="E38" s="64">
        <f>979*7</f>
        <v>6853</v>
      </c>
      <c r="F38" s="45">
        <v>0</v>
      </c>
      <c r="G38" s="45">
        <f>36*7</f>
        <v>252</v>
      </c>
      <c r="H38" s="45">
        <v>0</v>
      </c>
      <c r="I38" s="45">
        <f>7.02*7</f>
        <v>49.14</v>
      </c>
      <c r="J38" s="45">
        <v>40.6</v>
      </c>
      <c r="K38" s="45">
        <f>10.88*7</f>
        <v>76.160000000000011</v>
      </c>
      <c r="L38" s="45">
        <v>111.44</v>
      </c>
      <c r="M38" s="45">
        <v>0</v>
      </c>
      <c r="N38" s="45">
        <f t="shared" si="21"/>
        <v>6117.1732079999992</v>
      </c>
      <c r="O38" s="45">
        <v>1519.0800000000002</v>
      </c>
      <c r="P38" s="45">
        <v>2151.6</v>
      </c>
      <c r="Q38" s="45">
        <v>2151.6</v>
      </c>
    </row>
    <row r="39" spans="1:17">
      <c r="A39" s="27"/>
      <c r="B39" s="3">
        <v>208</v>
      </c>
      <c r="C39" s="3" t="s">
        <v>16</v>
      </c>
      <c r="D39" s="65">
        <v>13784.75</v>
      </c>
      <c r="E39" s="52">
        <f>+(1490*3)+(9*3)</f>
        <v>4497</v>
      </c>
      <c r="F39" s="52">
        <v>0</v>
      </c>
      <c r="G39" s="52">
        <f>36*3</f>
        <v>108</v>
      </c>
      <c r="H39" s="52">
        <v>71.400000000000006</v>
      </c>
      <c r="I39" s="52">
        <f>7.02*3</f>
        <v>21.06</v>
      </c>
      <c r="J39" s="52">
        <v>37.56</v>
      </c>
      <c r="K39" s="52">
        <f>10.88*3</f>
        <v>32.64</v>
      </c>
      <c r="L39" s="52">
        <v>57.6</v>
      </c>
      <c r="M39" s="52">
        <v>0</v>
      </c>
      <c r="N39" s="52">
        <f t="shared" si="21"/>
        <v>2960.9643000000001</v>
      </c>
      <c r="O39" s="52">
        <v>827.13</v>
      </c>
      <c r="P39" s="52">
        <v>1046.21</v>
      </c>
      <c r="Q39" s="52">
        <v>1046.21</v>
      </c>
    </row>
    <row r="40" spans="1:17" s="8" customFormat="1">
      <c r="A40" s="23"/>
      <c r="D40" s="57">
        <f>SUM(D32:D39)</f>
        <v>257568.71999999997</v>
      </c>
      <c r="E40" s="57">
        <f t="shared" ref="E40:Q40" si="22">SUM(E32:E39)</f>
        <v>94984</v>
      </c>
      <c r="F40" s="57">
        <f t="shared" si="22"/>
        <v>0</v>
      </c>
      <c r="G40" s="57">
        <f t="shared" si="22"/>
        <v>2376</v>
      </c>
      <c r="H40" s="57">
        <f t="shared" si="22"/>
        <v>1388.41</v>
      </c>
      <c r="I40" s="57">
        <f t="shared" si="22"/>
        <v>463.31999999999994</v>
      </c>
      <c r="J40" s="57">
        <f t="shared" si="22"/>
        <v>772.55</v>
      </c>
      <c r="K40" s="57">
        <f t="shared" si="22"/>
        <v>718.07999999999993</v>
      </c>
      <c r="L40" s="57">
        <f t="shared" si="22"/>
        <v>1228.4000000000001</v>
      </c>
      <c r="M40" s="57">
        <f t="shared" si="22"/>
        <v>1536</v>
      </c>
      <c r="N40" s="57">
        <f t="shared" si="22"/>
        <v>55325.761055999996</v>
      </c>
      <c r="O40" s="57">
        <f t="shared" si="22"/>
        <v>13820.339999999998</v>
      </c>
      <c r="P40" s="57">
        <f t="shared" si="22"/>
        <v>19382.769999999997</v>
      </c>
      <c r="Q40" s="57">
        <f t="shared" si="22"/>
        <v>19382.769999999997</v>
      </c>
    </row>
    <row r="41" spans="1:17">
      <c r="B41" s="9"/>
      <c r="C41" s="9"/>
      <c r="D41" s="9"/>
      <c r="E41" s="45"/>
      <c r="F41" s="45"/>
    </row>
    <row r="42" spans="1:17">
      <c r="E42" s="45"/>
      <c r="F42" s="45"/>
    </row>
    <row r="43" spans="1:17">
      <c r="B43" s="18"/>
      <c r="C43" s="18"/>
      <c r="D43" s="18"/>
      <c r="E43" s="45"/>
      <c r="F43" s="45"/>
    </row>
    <row r="44" spans="1:17">
      <c r="B44" s="9"/>
      <c r="C44" s="9"/>
      <c r="D44" s="9"/>
      <c r="E44" s="45"/>
      <c r="F44" s="45"/>
    </row>
    <row r="63" spans="12:17" ht="15">
      <c r="L63"/>
      <c r="M63"/>
      <c r="N63"/>
      <c r="O63"/>
      <c r="P63"/>
      <c r="Q63"/>
    </row>
    <row r="64" spans="12:17" ht="15">
      <c r="L64"/>
      <c r="M64"/>
      <c r="N64"/>
      <c r="O64"/>
      <c r="P64"/>
      <c r="Q64"/>
    </row>
    <row r="89" spans="12:17" ht="15">
      <c r="L89"/>
      <c r="M89"/>
      <c r="N89"/>
      <c r="O89"/>
      <c r="P89"/>
      <c r="Q89"/>
    </row>
    <row r="122" spans="12:17" ht="15">
      <c r="L122"/>
      <c r="M122"/>
      <c r="N122"/>
      <c r="O122"/>
      <c r="P122"/>
      <c r="Q122"/>
    </row>
  </sheetData>
  <sortState ref="B30:K37">
    <sortCondition ref="B30:B37"/>
  </sortState>
  <mergeCells count="12">
    <mergeCell ref="P6:Q6"/>
    <mergeCell ref="A2:Q2"/>
    <mergeCell ref="A3:Q3"/>
    <mergeCell ref="E6:F6"/>
    <mergeCell ref="G6:H6"/>
    <mergeCell ref="I6:J6"/>
    <mergeCell ref="K6:L6"/>
    <mergeCell ref="N6:O6"/>
    <mergeCell ref="A8:B8"/>
    <mergeCell ref="A17:B17"/>
    <mergeCell ref="A25:B25"/>
    <mergeCell ref="A31:B31"/>
  </mergeCells>
  <pageMargins left="0.15" right="0.15" top="0.51" bottom="0.5" header="0.3" footer="0.3"/>
  <pageSetup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>
      <selection activeCell="P125" sqref="P125"/>
    </sheetView>
  </sheetViews>
  <sheetFormatPr defaultRowHeight="12.75"/>
  <cols>
    <col min="1" max="1" width="4.7109375" style="1" customWidth="1"/>
    <col min="2" max="2" width="10" style="3" bestFit="1" customWidth="1"/>
    <col min="3" max="3" width="22.42578125" style="3" bestFit="1" customWidth="1"/>
    <col min="4" max="4" width="22.42578125" style="3" hidden="1" customWidth="1"/>
    <col min="5" max="5" width="12.42578125" style="3" customWidth="1"/>
    <col min="6" max="6" width="9.140625" style="3" customWidth="1"/>
    <col min="7" max="7" width="11.28515625" style="3" customWidth="1"/>
    <col min="8" max="8" width="10.5703125" style="3" customWidth="1"/>
    <col min="9" max="9" width="9.140625" style="3" customWidth="1"/>
    <col min="10" max="10" width="9.140625" style="3"/>
    <col min="11" max="11" width="9.140625" style="3" customWidth="1"/>
    <col min="12" max="12" width="10.140625" style="3" customWidth="1"/>
    <col min="13" max="13" width="10" style="3" bestFit="1" customWidth="1"/>
    <col min="14" max="14" width="12" style="3" customWidth="1"/>
    <col min="15" max="15" width="11.28515625" style="45" customWidth="1"/>
    <col min="16" max="16" width="11.42578125" style="45" customWidth="1"/>
    <col min="17" max="17" width="12.85546875" style="45" customWidth="1"/>
    <col min="18" max="16384" width="9.140625" style="3"/>
  </cols>
  <sheetData>
    <row r="1" spans="1:19" ht="15">
      <c r="A1" s="23" t="str">
        <f>'2019'!A1</f>
        <v>PSC Question 11</v>
      </c>
      <c r="B1" s="2"/>
      <c r="C1" s="2"/>
      <c r="D1" s="2"/>
      <c r="E1"/>
    </row>
    <row r="2" spans="1:19" s="8" customFormat="1" ht="15.75">
      <c r="A2" s="36" t="str">
        <f>'2019'!A2:C2</f>
        <v>Princeton Water &amp; Wastewater Employee Benefits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S2" s="3"/>
    </row>
    <row r="3" spans="1:19" s="8" customFormat="1" ht="15.75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3"/>
    </row>
    <row r="4" spans="1:19" s="8" customFormat="1" ht="15.75">
      <c r="A4" s="22"/>
      <c r="B4" s="22"/>
      <c r="C4" s="22"/>
      <c r="D4" s="29"/>
      <c r="G4" s="3"/>
      <c r="O4" s="9"/>
      <c r="P4" s="9"/>
      <c r="Q4" s="9"/>
      <c r="S4" s="3"/>
    </row>
    <row r="5" spans="1:19" s="8" customFormat="1" ht="16.5" thickBot="1">
      <c r="A5" s="22"/>
      <c r="B5" s="22"/>
      <c r="C5" s="22"/>
      <c r="D5" s="29"/>
      <c r="G5" s="3"/>
      <c r="O5" s="9"/>
      <c r="P5" s="9"/>
      <c r="Q5" s="9"/>
      <c r="S5" s="3"/>
    </row>
    <row r="6" spans="1:19">
      <c r="D6" s="66" t="s">
        <v>55</v>
      </c>
      <c r="E6" s="41" t="s">
        <v>36</v>
      </c>
      <c r="F6" s="42"/>
      <c r="G6" s="41" t="s">
        <v>39</v>
      </c>
      <c r="H6" s="42"/>
      <c r="I6" s="41" t="s">
        <v>40</v>
      </c>
      <c r="J6" s="42"/>
      <c r="K6" s="41" t="s">
        <v>44</v>
      </c>
      <c r="L6" s="42"/>
      <c r="M6" s="53" t="s">
        <v>43</v>
      </c>
      <c r="N6" s="48" t="s">
        <v>41</v>
      </c>
      <c r="O6" s="49"/>
      <c r="P6" s="48" t="s">
        <v>42</v>
      </c>
      <c r="Q6" s="49"/>
    </row>
    <row r="7" spans="1:19" s="5" customFormat="1" ht="13.5" thickBot="1">
      <c r="A7" s="21"/>
      <c r="B7" s="21" t="s">
        <v>1</v>
      </c>
      <c r="C7" s="21"/>
      <c r="D7" s="67" t="s">
        <v>46</v>
      </c>
      <c r="E7" s="43" t="s">
        <v>37</v>
      </c>
      <c r="F7" s="44" t="s">
        <v>38</v>
      </c>
      <c r="G7" s="43" t="s">
        <v>37</v>
      </c>
      <c r="H7" s="44" t="s">
        <v>38</v>
      </c>
      <c r="I7" s="43" t="s">
        <v>37</v>
      </c>
      <c r="J7" s="44" t="s">
        <v>38</v>
      </c>
      <c r="K7" s="43" t="s">
        <v>37</v>
      </c>
      <c r="L7" s="44" t="s">
        <v>38</v>
      </c>
      <c r="M7" s="44" t="s">
        <v>38</v>
      </c>
      <c r="N7" s="50" t="s">
        <v>37</v>
      </c>
      <c r="O7" s="51" t="s">
        <v>38</v>
      </c>
      <c r="P7" s="50" t="s">
        <v>37</v>
      </c>
      <c r="Q7" s="51" t="s">
        <v>38</v>
      </c>
      <c r="S7" s="3"/>
    </row>
    <row r="8" spans="1:19">
      <c r="A8" s="33" t="s">
        <v>2</v>
      </c>
      <c r="B8" s="33"/>
      <c r="C8" s="6"/>
      <c r="D8" s="30"/>
    </row>
    <row r="9" spans="1:19">
      <c r="B9" s="3">
        <v>155</v>
      </c>
      <c r="C9" s="3" t="s">
        <v>6</v>
      </c>
      <c r="D9" s="45">
        <v>9666.89</v>
      </c>
      <c r="E9" s="45">
        <v>0</v>
      </c>
      <c r="F9" s="45">
        <v>0</v>
      </c>
      <c r="G9" s="45"/>
      <c r="H9" s="45">
        <v>0</v>
      </c>
      <c r="I9" s="45">
        <v>0</v>
      </c>
      <c r="J9" s="45">
        <v>0</v>
      </c>
      <c r="K9" s="45"/>
      <c r="L9" s="45">
        <v>0</v>
      </c>
      <c r="M9" s="45">
        <v>0</v>
      </c>
      <c r="N9" s="45">
        <v>0</v>
      </c>
      <c r="O9" s="45">
        <v>0</v>
      </c>
      <c r="P9" s="45">
        <v>739.57</v>
      </c>
      <c r="Q9" s="45">
        <v>739.57</v>
      </c>
    </row>
    <row r="10" spans="1:19">
      <c r="B10" s="3">
        <v>171</v>
      </c>
      <c r="C10" s="3" t="s">
        <v>21</v>
      </c>
      <c r="D10" s="45">
        <v>4702.29</v>
      </c>
      <c r="E10" s="45">
        <f>967*3+(8.28*3)</f>
        <v>2925.84</v>
      </c>
      <c r="F10" s="45">
        <v>0</v>
      </c>
      <c r="G10" s="45">
        <f>36.15*3</f>
        <v>108.44999999999999</v>
      </c>
      <c r="H10" s="45">
        <v>0</v>
      </c>
      <c r="I10" s="45">
        <f>5.95*3</f>
        <v>17.850000000000001</v>
      </c>
      <c r="J10" s="45">
        <v>28.72</v>
      </c>
      <c r="K10" s="45">
        <f>10.88*3</f>
        <v>32.64</v>
      </c>
      <c r="L10" s="45">
        <v>0</v>
      </c>
      <c r="M10" s="45">
        <v>0</v>
      </c>
      <c r="N10" s="45">
        <f>0.1918*D10</f>
        <v>901.89922200000001</v>
      </c>
      <c r="O10" s="45">
        <v>435.32</v>
      </c>
      <c r="P10" s="45">
        <v>357.51</v>
      </c>
      <c r="Q10" s="45">
        <v>357.51</v>
      </c>
    </row>
    <row r="11" spans="1:19">
      <c r="B11" s="3">
        <v>175</v>
      </c>
      <c r="C11" s="3" t="s">
        <v>4</v>
      </c>
      <c r="D11" s="45">
        <v>63615.83</v>
      </c>
      <c r="E11" s="45">
        <f>(1454*6)+(1480*6)+(8.28*12)</f>
        <v>17703.36</v>
      </c>
      <c r="F11" s="45">
        <v>0</v>
      </c>
      <c r="G11" s="45">
        <f>36.15*12</f>
        <v>433.79999999999995</v>
      </c>
      <c r="H11" s="45">
        <v>235.94</v>
      </c>
      <c r="I11" s="45">
        <f>5.95*12</f>
        <v>71.400000000000006</v>
      </c>
      <c r="J11" s="45">
        <v>133.63999999999999</v>
      </c>
      <c r="K11" s="45">
        <f>10.88*12</f>
        <v>130.56</v>
      </c>
      <c r="L11" s="45">
        <v>177.34</v>
      </c>
      <c r="M11" s="45">
        <v>0</v>
      </c>
      <c r="N11" s="45">
        <f t="shared" ref="N11:N14" si="0">0.1918*D11</f>
        <v>12201.516194</v>
      </c>
      <c r="O11" s="45">
        <v>3180.66</v>
      </c>
      <c r="P11" s="45">
        <v>4597.32</v>
      </c>
      <c r="Q11" s="45">
        <v>4597.32</v>
      </c>
    </row>
    <row r="12" spans="1:19">
      <c r="B12" s="3">
        <v>186</v>
      </c>
      <c r="C12" s="3" t="s">
        <v>5</v>
      </c>
      <c r="D12" s="45">
        <v>39680.050000000003</v>
      </c>
      <c r="E12" s="45">
        <f>(1454*6)+(1480*6)+(8.28*12)</f>
        <v>17703.36</v>
      </c>
      <c r="F12" s="45">
        <v>0</v>
      </c>
      <c r="G12" s="45">
        <f>36.15*12</f>
        <v>433.79999999999995</v>
      </c>
      <c r="H12" s="3">
        <v>199.67</v>
      </c>
      <c r="I12" s="45">
        <f t="shared" ref="I12:I14" si="1">5.95*12</f>
        <v>71.400000000000006</v>
      </c>
      <c r="J12" s="45">
        <v>110.15</v>
      </c>
      <c r="K12" s="45">
        <f t="shared" ref="K12:K14" si="2">10.88*12</f>
        <v>130.56</v>
      </c>
      <c r="L12" s="45">
        <v>197.96</v>
      </c>
      <c r="M12" s="45">
        <v>0</v>
      </c>
      <c r="N12" s="45">
        <f t="shared" si="0"/>
        <v>7610.6335900000004</v>
      </c>
      <c r="O12" s="45">
        <v>1984</v>
      </c>
      <c r="P12" s="45">
        <v>3012.02</v>
      </c>
      <c r="Q12" s="45">
        <v>3012.02</v>
      </c>
    </row>
    <row r="13" spans="1:19">
      <c r="B13" s="3">
        <v>193</v>
      </c>
      <c r="C13" s="3" t="s">
        <v>3</v>
      </c>
      <c r="D13" s="45">
        <v>42647.5</v>
      </c>
      <c r="E13" s="45">
        <f>(1303*6)+(1326*6)+(8.28*12)</f>
        <v>15873.36</v>
      </c>
      <c r="F13" s="45">
        <v>0</v>
      </c>
      <c r="G13" s="45">
        <f>36.15*12</f>
        <v>433.79999999999995</v>
      </c>
      <c r="H13" s="45">
        <v>0</v>
      </c>
      <c r="I13" s="45">
        <f t="shared" si="1"/>
        <v>71.400000000000006</v>
      </c>
      <c r="J13" s="45">
        <v>52.86</v>
      </c>
      <c r="K13" s="45">
        <f t="shared" si="2"/>
        <v>130.56</v>
      </c>
      <c r="L13" s="45">
        <v>406.9</v>
      </c>
      <c r="M13" s="45">
        <v>6480</v>
      </c>
      <c r="N13" s="45">
        <f t="shared" si="0"/>
        <v>8179.7905000000001</v>
      </c>
      <c r="O13" s="45">
        <v>2132.16</v>
      </c>
      <c r="P13" s="45">
        <v>3236.26</v>
      </c>
      <c r="Q13" s="45">
        <v>3236.26</v>
      </c>
    </row>
    <row r="14" spans="1:19">
      <c r="B14" s="3">
        <v>198</v>
      </c>
      <c r="C14" s="3" t="s">
        <v>7</v>
      </c>
      <c r="D14" s="45">
        <v>35482</v>
      </c>
      <c r="E14" s="45">
        <f>(175*12)+(8.28*12)</f>
        <v>2199.36</v>
      </c>
      <c r="F14" s="45">
        <v>0</v>
      </c>
      <c r="G14" s="45">
        <f>36.15*12</f>
        <v>433.79999999999995</v>
      </c>
      <c r="H14" s="45">
        <v>220.74</v>
      </c>
      <c r="I14" s="45">
        <f t="shared" si="1"/>
        <v>71.400000000000006</v>
      </c>
      <c r="J14" s="45">
        <v>125.28</v>
      </c>
      <c r="K14" s="45">
        <f t="shared" si="2"/>
        <v>130.56</v>
      </c>
      <c r="L14" s="45">
        <v>331.2</v>
      </c>
      <c r="M14" s="45">
        <v>0</v>
      </c>
      <c r="N14" s="45">
        <f t="shared" si="0"/>
        <v>6805.4475999999995</v>
      </c>
      <c r="O14" s="45">
        <v>2128.92</v>
      </c>
      <c r="P14" s="45">
        <v>2687.56</v>
      </c>
      <c r="Q14" s="45">
        <v>2687.56</v>
      </c>
    </row>
    <row r="15" spans="1:19">
      <c r="B15" s="3">
        <v>201</v>
      </c>
      <c r="C15" s="3" t="s">
        <v>6</v>
      </c>
      <c r="D15" s="52">
        <v>9165.01</v>
      </c>
      <c r="E15" s="52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/>
      <c r="L15" s="61">
        <v>0</v>
      </c>
      <c r="M15" s="61">
        <v>0</v>
      </c>
      <c r="N15" s="61">
        <v>0</v>
      </c>
      <c r="O15" s="52">
        <v>0</v>
      </c>
      <c r="P15" s="52">
        <v>701.19</v>
      </c>
      <c r="Q15" s="52">
        <v>701.19</v>
      </c>
    </row>
    <row r="16" spans="1:19" s="8" customFormat="1">
      <c r="A16" s="28"/>
      <c r="D16" s="57">
        <f>SUM(D9:D15)</f>
        <v>204959.57</v>
      </c>
      <c r="E16" s="57">
        <f t="shared" ref="E16:Q16" si="3">SUM(E9:E15)</f>
        <v>56405.279999999999</v>
      </c>
      <c r="F16" s="57">
        <f t="shared" si="3"/>
        <v>0</v>
      </c>
      <c r="G16" s="57">
        <f t="shared" si="3"/>
        <v>1843.6499999999999</v>
      </c>
      <c r="H16" s="57">
        <f t="shared" si="3"/>
        <v>656.35</v>
      </c>
      <c r="I16" s="57">
        <f t="shared" si="3"/>
        <v>303.45000000000005</v>
      </c>
      <c r="J16" s="57">
        <f t="shared" si="3"/>
        <v>450.65</v>
      </c>
      <c r="K16" s="57">
        <f t="shared" si="3"/>
        <v>554.88</v>
      </c>
      <c r="L16" s="57">
        <f t="shared" si="3"/>
        <v>1113.4000000000001</v>
      </c>
      <c r="M16" s="57">
        <f t="shared" si="3"/>
        <v>6480</v>
      </c>
      <c r="N16" s="57">
        <f t="shared" si="3"/>
        <v>35699.287106000003</v>
      </c>
      <c r="O16" s="57">
        <f t="shared" si="3"/>
        <v>9861.06</v>
      </c>
      <c r="P16" s="57">
        <f t="shared" si="3"/>
        <v>15331.43</v>
      </c>
      <c r="Q16" s="57">
        <f t="shared" si="3"/>
        <v>15331.43</v>
      </c>
    </row>
    <row r="17" spans="1:19" s="12" customFormat="1">
      <c r="A17" s="10"/>
      <c r="B17" s="11"/>
      <c r="C17" s="11"/>
      <c r="D17" s="1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6"/>
      <c r="Q17" s="46"/>
      <c r="S17" s="3"/>
    </row>
    <row r="18" spans="1:19" ht="15">
      <c r="A18" s="34" t="s">
        <v>0</v>
      </c>
      <c r="B18" s="34"/>
      <c r="C18" s="5"/>
      <c r="D18" s="31"/>
      <c r="E18" s="45"/>
      <c r="F18"/>
      <c r="G18" s="45"/>
      <c r="H18" s="45"/>
      <c r="I18" s="45"/>
      <c r="J18" s="45"/>
      <c r="K18" s="45"/>
      <c r="L18"/>
      <c r="M18" s="45"/>
      <c r="N18" s="45"/>
    </row>
    <row r="19" spans="1:19">
      <c r="B19" s="3">
        <v>115</v>
      </c>
      <c r="C19" s="3" t="s">
        <v>10</v>
      </c>
      <c r="D19" s="45">
        <v>44580.65</v>
      </c>
      <c r="E19" s="45">
        <f>(1454*6)+(1480*6)+(8.28*12)</f>
        <v>17703.36</v>
      </c>
      <c r="F19" s="45">
        <v>0</v>
      </c>
      <c r="G19" s="45"/>
      <c r="H19" s="45">
        <v>235.94</v>
      </c>
      <c r="I19" s="45">
        <f t="shared" ref="I19:I21" si="4">5.95*12</f>
        <v>71.400000000000006</v>
      </c>
      <c r="J19" s="45">
        <v>117.84</v>
      </c>
      <c r="K19" s="45">
        <f t="shared" ref="K19:K21" si="5">10.88*12</f>
        <v>130.56</v>
      </c>
      <c r="L19" s="45">
        <v>0</v>
      </c>
      <c r="M19" s="45">
        <v>0</v>
      </c>
      <c r="N19" s="45">
        <f t="shared" ref="N19:N22" si="6">0.1918*D19</f>
        <v>8550.5686700000006</v>
      </c>
      <c r="O19" s="45">
        <v>2229.04</v>
      </c>
      <c r="P19" s="45">
        <v>3383.21</v>
      </c>
      <c r="Q19" s="45">
        <v>3383.21</v>
      </c>
    </row>
    <row r="20" spans="1:19">
      <c r="B20" s="13">
        <v>181</v>
      </c>
      <c r="C20" s="13" t="s">
        <v>9</v>
      </c>
      <c r="D20" s="45">
        <v>43270.41</v>
      </c>
      <c r="E20" s="45">
        <f>(1454*6)+(1480*6)+(8.28*12)</f>
        <v>17703.36</v>
      </c>
      <c r="F20" s="45">
        <v>0</v>
      </c>
      <c r="G20" s="45"/>
      <c r="H20" s="45">
        <v>235.24</v>
      </c>
      <c r="I20" s="45">
        <f t="shared" si="4"/>
        <v>71.400000000000006</v>
      </c>
      <c r="J20" s="45">
        <v>133.63999999999999</v>
      </c>
      <c r="K20" s="45">
        <f t="shared" si="5"/>
        <v>130.56</v>
      </c>
      <c r="L20" s="45">
        <v>0</v>
      </c>
      <c r="M20" s="45">
        <v>0</v>
      </c>
      <c r="N20" s="45">
        <f t="shared" si="6"/>
        <v>8299.2646380000006</v>
      </c>
      <c r="O20" s="45">
        <v>2163.52</v>
      </c>
      <c r="P20" s="45">
        <v>3281.7200000000003</v>
      </c>
      <c r="Q20" s="45">
        <v>3281.7200000000003</v>
      </c>
    </row>
    <row r="21" spans="1:19">
      <c r="B21" s="3">
        <v>191</v>
      </c>
      <c r="C21" s="3" t="s">
        <v>8</v>
      </c>
      <c r="D21" s="45">
        <v>41255.519999999997</v>
      </c>
      <c r="E21" s="45">
        <f>(1303*6)+(1326*6)+(8.28*12)</f>
        <v>15873.36</v>
      </c>
      <c r="F21" s="45">
        <v>0</v>
      </c>
      <c r="G21" s="45">
        <f>36.15*12</f>
        <v>433.79999999999995</v>
      </c>
      <c r="H21" s="45">
        <v>0</v>
      </c>
      <c r="I21" s="45">
        <f t="shared" si="4"/>
        <v>71.400000000000006</v>
      </c>
      <c r="J21" s="45">
        <v>52.86</v>
      </c>
      <c r="K21" s="45">
        <f t="shared" si="5"/>
        <v>130.56</v>
      </c>
      <c r="L21" s="45">
        <v>103.8</v>
      </c>
      <c r="M21" s="45">
        <v>0</v>
      </c>
      <c r="N21" s="45">
        <f t="shared" si="6"/>
        <v>7912.808735999999</v>
      </c>
      <c r="O21" s="45">
        <v>2475.33</v>
      </c>
      <c r="P21" s="45">
        <v>3151.8900000000003</v>
      </c>
      <c r="Q21" s="45">
        <v>3151.8900000000003</v>
      </c>
    </row>
    <row r="22" spans="1:19">
      <c r="B22" s="3">
        <v>200</v>
      </c>
      <c r="C22" s="3" t="s">
        <v>8</v>
      </c>
      <c r="D22" s="46">
        <v>32345.5</v>
      </c>
      <c r="E22" s="45">
        <f>(702*2)+(709*6)+(8.28*8)</f>
        <v>5724.24</v>
      </c>
      <c r="F22" s="45">
        <v>0</v>
      </c>
      <c r="G22" s="45">
        <f>18.28*8</f>
        <v>146.24</v>
      </c>
      <c r="H22" s="45">
        <v>0</v>
      </c>
      <c r="I22" s="45">
        <f>5.95*8</f>
        <v>47.6</v>
      </c>
      <c r="J22" s="45">
        <v>0</v>
      </c>
      <c r="K22" s="45">
        <f>10.88*8</f>
        <v>87.04</v>
      </c>
      <c r="L22" s="45">
        <v>159.36000000000001</v>
      </c>
      <c r="M22" s="45">
        <v>0</v>
      </c>
      <c r="N22" s="45">
        <f t="shared" si="6"/>
        <v>6203.8669</v>
      </c>
      <c r="O22" s="45">
        <v>1580.6200000000001</v>
      </c>
      <c r="P22" s="45">
        <v>2474.44</v>
      </c>
      <c r="Q22" s="45">
        <v>2474.44</v>
      </c>
    </row>
    <row r="23" spans="1:19">
      <c r="B23" s="3">
        <v>206</v>
      </c>
      <c r="C23" s="3" t="s">
        <v>8</v>
      </c>
      <c r="D23" s="52">
        <v>22461</v>
      </c>
      <c r="E23" s="52">
        <f>(702*3)+(709*6)+(8.28*9)</f>
        <v>6434.52</v>
      </c>
      <c r="F23" s="61"/>
      <c r="G23" s="61">
        <f>18.28*9</f>
        <v>164.52</v>
      </c>
      <c r="H23" s="61">
        <v>0</v>
      </c>
      <c r="I23" s="52">
        <f>5.95*9</f>
        <v>53.550000000000004</v>
      </c>
      <c r="J23" s="61">
        <v>0</v>
      </c>
      <c r="K23" s="52">
        <f>10.88*9</f>
        <v>97.92</v>
      </c>
      <c r="L23" s="61">
        <v>0</v>
      </c>
      <c r="M23" s="61">
        <v>0</v>
      </c>
      <c r="N23" s="65">
        <f>0.1918*19268</f>
        <v>3695.6023999999998</v>
      </c>
      <c r="O23" s="52">
        <v>1156.08</v>
      </c>
      <c r="P23" s="52">
        <v>1718.27</v>
      </c>
      <c r="Q23" s="52">
        <v>1718.27</v>
      </c>
    </row>
    <row r="24" spans="1:19" s="8" customFormat="1">
      <c r="A24" s="28"/>
      <c r="D24" s="57">
        <f>SUM(D19:D23)</f>
        <v>183913.08</v>
      </c>
      <c r="E24" s="57">
        <f t="shared" ref="E24:Q24" si="7">SUM(E19:E23)</f>
        <v>63438.84</v>
      </c>
      <c r="F24" s="57">
        <f t="shared" si="7"/>
        <v>0</v>
      </c>
      <c r="G24" s="57">
        <f t="shared" si="7"/>
        <v>744.56</v>
      </c>
      <c r="H24" s="57">
        <f t="shared" si="7"/>
        <v>471.18</v>
      </c>
      <c r="I24" s="57">
        <f t="shared" si="7"/>
        <v>315.35000000000002</v>
      </c>
      <c r="J24" s="57">
        <f t="shared" si="7"/>
        <v>304.33999999999997</v>
      </c>
      <c r="K24" s="57">
        <f t="shared" si="7"/>
        <v>576.64</v>
      </c>
      <c r="L24" s="57">
        <f t="shared" si="7"/>
        <v>263.16000000000003</v>
      </c>
      <c r="M24" s="57">
        <f t="shared" si="7"/>
        <v>0</v>
      </c>
      <c r="N24" s="57">
        <f t="shared" si="7"/>
        <v>34662.111344000004</v>
      </c>
      <c r="O24" s="57">
        <f t="shared" si="7"/>
        <v>9604.59</v>
      </c>
      <c r="P24" s="57">
        <f t="shared" si="7"/>
        <v>14009.53</v>
      </c>
      <c r="Q24" s="57">
        <f t="shared" si="7"/>
        <v>14009.53</v>
      </c>
    </row>
    <row r="25" spans="1:19" s="12" customFormat="1">
      <c r="A25" s="1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6"/>
      <c r="Q25" s="46"/>
      <c r="S25" s="3"/>
    </row>
    <row r="26" spans="1:19" ht="15">
      <c r="A26" s="34" t="s">
        <v>11</v>
      </c>
      <c r="B26" s="34"/>
      <c r="C26" s="5"/>
      <c r="D26" s="31"/>
      <c r="E26" s="45"/>
      <c r="F26"/>
      <c r="G26" s="45"/>
      <c r="H26" s="45"/>
      <c r="I26" s="45"/>
      <c r="J26" s="45"/>
      <c r="K26" s="45"/>
      <c r="L26"/>
      <c r="M26" s="45"/>
      <c r="N26" s="45"/>
    </row>
    <row r="27" spans="1:19">
      <c r="A27" s="7"/>
      <c r="B27" s="3">
        <v>165</v>
      </c>
      <c r="C27" s="3" t="s">
        <v>22</v>
      </c>
      <c r="D27" s="45">
        <v>537.5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/>
      <c r="L27" s="45">
        <v>0</v>
      </c>
      <c r="M27" s="45">
        <v>0</v>
      </c>
      <c r="N27" s="45">
        <v>0</v>
      </c>
      <c r="O27" s="45">
        <v>0</v>
      </c>
      <c r="P27" s="45">
        <v>41.14</v>
      </c>
      <c r="Q27" s="45">
        <v>41.14</v>
      </c>
    </row>
    <row r="28" spans="1:19">
      <c r="A28" s="7"/>
      <c r="B28" s="3">
        <v>199</v>
      </c>
      <c r="C28" s="3" t="s">
        <v>14</v>
      </c>
      <c r="D28" s="45">
        <v>37629.379999999997</v>
      </c>
      <c r="E28" s="45">
        <f>(1303*6)+(1326*6)+(8.28*12)</f>
        <v>15873.36</v>
      </c>
      <c r="F28" s="45">
        <v>0</v>
      </c>
      <c r="G28" s="45"/>
      <c r="H28" s="45">
        <v>0</v>
      </c>
      <c r="I28" s="45">
        <f t="shared" ref="I28:I29" si="8">5.95*12</f>
        <v>71.400000000000006</v>
      </c>
      <c r="J28" s="45">
        <v>53.67</v>
      </c>
      <c r="K28" s="45">
        <f t="shared" ref="K28:K29" si="9">10.88*12</f>
        <v>130.56</v>
      </c>
      <c r="L28" s="45">
        <v>0</v>
      </c>
      <c r="M28" s="45">
        <v>0</v>
      </c>
      <c r="N28" s="45">
        <f t="shared" ref="N28:N29" si="10">0.1918*D28</f>
        <v>7217.3150839999998</v>
      </c>
      <c r="O28" s="45">
        <v>2257.7600000000002</v>
      </c>
      <c r="P28" s="45">
        <v>2874.47</v>
      </c>
      <c r="Q28" s="45">
        <v>2874.47</v>
      </c>
    </row>
    <row r="29" spans="1:19">
      <c r="B29" s="3">
        <v>202</v>
      </c>
      <c r="C29" s="3" t="s">
        <v>13</v>
      </c>
      <c r="D29" s="46">
        <v>43040.38</v>
      </c>
      <c r="E29" s="45">
        <f>(702*6)+(709*6)+(8.28*12)</f>
        <v>8565.36</v>
      </c>
      <c r="F29" s="9">
        <v>0</v>
      </c>
      <c r="G29" s="9">
        <f>18.28*12</f>
        <v>219.36</v>
      </c>
      <c r="H29" s="9">
        <v>0</v>
      </c>
      <c r="I29" s="45">
        <f t="shared" si="8"/>
        <v>71.400000000000006</v>
      </c>
      <c r="J29" s="9">
        <v>0</v>
      </c>
      <c r="K29" s="45">
        <f t="shared" si="9"/>
        <v>130.56</v>
      </c>
      <c r="L29" s="9">
        <v>177.34</v>
      </c>
      <c r="M29" s="9">
        <v>0</v>
      </c>
      <c r="N29" s="45">
        <f t="shared" si="10"/>
        <v>8255.1448839999994</v>
      </c>
      <c r="O29" s="45">
        <v>2152.02</v>
      </c>
      <c r="P29" s="45">
        <v>3292.59</v>
      </c>
      <c r="Q29" s="45">
        <v>3292.59</v>
      </c>
    </row>
    <row r="30" spans="1:19">
      <c r="B30" s="3">
        <v>205</v>
      </c>
      <c r="C30" s="3" t="s">
        <v>12</v>
      </c>
      <c r="D30" s="52">
        <v>26919</v>
      </c>
      <c r="E30" s="52">
        <f>(1454*3)+(1480*6)+(8.28*9)</f>
        <v>13316.52</v>
      </c>
      <c r="F30" s="52">
        <v>0</v>
      </c>
      <c r="G30" s="52">
        <f>36.15*9</f>
        <v>325.34999999999997</v>
      </c>
      <c r="H30" s="52">
        <v>184.68</v>
      </c>
      <c r="I30" s="52">
        <f>5.95*9</f>
        <v>53.550000000000004</v>
      </c>
      <c r="J30" s="52">
        <v>101.88</v>
      </c>
      <c r="K30" s="52">
        <f>10.88*9</f>
        <v>97.92</v>
      </c>
      <c r="L30" s="52">
        <v>137.88</v>
      </c>
      <c r="M30" s="52">
        <v>0</v>
      </c>
      <c r="N30" s="65">
        <f>0.1918*22303</f>
        <v>4277.7154</v>
      </c>
      <c r="O30" s="52">
        <v>1338.18</v>
      </c>
      <c r="P30" s="52">
        <v>2037.34</v>
      </c>
      <c r="Q30" s="52">
        <v>2037.34</v>
      </c>
    </row>
    <row r="31" spans="1:19" s="8" customFormat="1">
      <c r="A31" s="28"/>
      <c r="D31" s="57">
        <f>SUM(D27:D30)</f>
        <v>108126.26</v>
      </c>
      <c r="E31" s="57">
        <f t="shared" ref="E31:Q31" si="11">SUM(E27:E30)</f>
        <v>37755.240000000005</v>
      </c>
      <c r="F31" s="57">
        <f t="shared" si="11"/>
        <v>0</v>
      </c>
      <c r="G31" s="57">
        <f t="shared" si="11"/>
        <v>544.71</v>
      </c>
      <c r="H31" s="57">
        <f t="shared" si="11"/>
        <v>184.68</v>
      </c>
      <c r="I31" s="57">
        <f t="shared" si="11"/>
        <v>196.35000000000002</v>
      </c>
      <c r="J31" s="57">
        <f t="shared" si="11"/>
        <v>155.55000000000001</v>
      </c>
      <c r="K31" s="57">
        <f t="shared" si="11"/>
        <v>359.04</v>
      </c>
      <c r="L31" s="57">
        <f t="shared" si="11"/>
        <v>315.22000000000003</v>
      </c>
      <c r="M31" s="57">
        <f t="shared" si="11"/>
        <v>0</v>
      </c>
      <c r="N31" s="57">
        <f t="shared" si="11"/>
        <v>19750.175368</v>
      </c>
      <c r="O31" s="57">
        <f t="shared" si="11"/>
        <v>5747.9600000000009</v>
      </c>
      <c r="P31" s="57">
        <f t="shared" si="11"/>
        <v>8245.5399999999991</v>
      </c>
      <c r="Q31" s="57">
        <f t="shared" si="11"/>
        <v>8245.5399999999991</v>
      </c>
    </row>
    <row r="32" spans="1:19" s="12" customFormat="1" ht="15">
      <c r="A32" s="10"/>
      <c r="B32" s="14"/>
      <c r="C32" s="14"/>
      <c r="D32" s="14"/>
      <c r="E32" s="45"/>
      <c r="F32"/>
      <c r="G32" s="47"/>
      <c r="H32" s="47"/>
      <c r="I32" s="47"/>
      <c r="J32" s="47"/>
      <c r="K32" s="47"/>
      <c r="L32"/>
      <c r="M32" s="47"/>
      <c r="N32" s="47"/>
      <c r="O32" s="46"/>
      <c r="P32" s="46"/>
      <c r="Q32" s="46"/>
      <c r="S32" s="3"/>
    </row>
    <row r="33" spans="1:17" ht="15">
      <c r="A33" s="35" t="s">
        <v>15</v>
      </c>
      <c r="B33" s="35"/>
      <c r="C33" s="15"/>
      <c r="D33" s="32"/>
      <c r="E33" s="45"/>
      <c r="F33"/>
      <c r="G33" s="45"/>
      <c r="H33" s="45"/>
      <c r="I33" s="45"/>
      <c r="J33" s="45"/>
      <c r="K33" s="45"/>
      <c r="L33"/>
      <c r="M33" s="45"/>
      <c r="N33" s="45"/>
    </row>
    <row r="34" spans="1:17">
      <c r="B34" s="3">
        <v>173</v>
      </c>
      <c r="C34" s="3" t="s">
        <v>17</v>
      </c>
      <c r="D34" s="62">
        <v>48930.37</v>
      </c>
      <c r="E34" s="45">
        <f t="shared" ref="E34:E39" si="12">(1454*6)+(1480*6)+(8.28*12)</f>
        <v>17703.36</v>
      </c>
      <c r="F34" s="45">
        <v>0</v>
      </c>
      <c r="G34" s="45">
        <f>36.15*12</f>
        <v>433.79999999999995</v>
      </c>
      <c r="H34" s="45">
        <v>235.94</v>
      </c>
      <c r="I34" s="45">
        <f t="shared" ref="I34:I39" si="13">5.95*12</f>
        <v>71.400000000000006</v>
      </c>
      <c r="J34" s="45">
        <v>133.63999999999999</v>
      </c>
      <c r="K34" s="45">
        <f t="shared" ref="K34:K39" si="14">10.88*12</f>
        <v>130.56</v>
      </c>
      <c r="L34" s="45">
        <v>290.04000000000002</v>
      </c>
      <c r="M34" s="45">
        <v>944.6</v>
      </c>
      <c r="N34" s="45">
        <f t="shared" ref="N34:N39" si="15">0.1918*D34</f>
        <v>9384.8449660000006</v>
      </c>
      <c r="O34" s="45">
        <v>2446.54</v>
      </c>
      <c r="P34" s="45">
        <v>3615.1499999999996</v>
      </c>
      <c r="Q34" s="45">
        <v>3615.1499999999996</v>
      </c>
    </row>
    <row r="35" spans="1:17">
      <c r="B35" s="3">
        <v>188</v>
      </c>
      <c r="C35" s="3" t="s">
        <v>16</v>
      </c>
      <c r="D35" s="62">
        <v>44281.64</v>
      </c>
      <c r="E35" s="45">
        <f t="shared" si="12"/>
        <v>17703.36</v>
      </c>
      <c r="F35" s="45">
        <v>0</v>
      </c>
      <c r="G35" s="45">
        <f t="shared" ref="G35:G39" si="16">36.15*12</f>
        <v>433.79999999999995</v>
      </c>
      <c r="H35" s="45">
        <v>235.94</v>
      </c>
      <c r="I35" s="45">
        <f t="shared" si="13"/>
        <v>71.400000000000006</v>
      </c>
      <c r="J35" s="45">
        <v>133.63999999999999</v>
      </c>
      <c r="K35" s="45">
        <f t="shared" si="14"/>
        <v>130.56</v>
      </c>
      <c r="L35" s="45">
        <v>158.6</v>
      </c>
      <c r="M35" s="45">
        <v>566.79999999999995</v>
      </c>
      <c r="N35" s="45">
        <f t="shared" si="15"/>
        <v>8493.2185520000003</v>
      </c>
      <c r="O35" s="45">
        <v>2214.12</v>
      </c>
      <c r="P35" s="45">
        <v>3359.2599999999998</v>
      </c>
      <c r="Q35" s="45">
        <v>3359.2599999999998</v>
      </c>
    </row>
    <row r="36" spans="1:17">
      <c r="B36" s="3">
        <v>189</v>
      </c>
      <c r="C36" s="3" t="s">
        <v>16</v>
      </c>
      <c r="D36" s="62">
        <v>40689.46</v>
      </c>
      <c r="E36" s="45">
        <f t="shared" si="12"/>
        <v>17703.36</v>
      </c>
      <c r="F36" s="45">
        <v>0</v>
      </c>
      <c r="G36" s="45">
        <f t="shared" si="16"/>
        <v>433.79999999999995</v>
      </c>
      <c r="H36" s="45">
        <v>235.94</v>
      </c>
      <c r="I36" s="45">
        <f t="shared" si="13"/>
        <v>71.400000000000006</v>
      </c>
      <c r="J36" s="45">
        <v>133.63999999999999</v>
      </c>
      <c r="K36" s="45">
        <f t="shared" si="14"/>
        <v>130.56</v>
      </c>
      <c r="L36" s="45">
        <v>158.6</v>
      </c>
      <c r="M36" s="45">
        <v>0</v>
      </c>
      <c r="N36" s="45">
        <f t="shared" si="15"/>
        <v>7804.2384279999997</v>
      </c>
      <c r="O36" s="45">
        <v>2034.48</v>
      </c>
      <c r="P36" s="45">
        <v>3046.38</v>
      </c>
      <c r="Q36" s="45">
        <v>3046.38</v>
      </c>
    </row>
    <row r="37" spans="1:17">
      <c r="B37" s="3">
        <v>192</v>
      </c>
      <c r="C37" s="3" t="s">
        <v>16</v>
      </c>
      <c r="D37" s="62">
        <v>41798.9</v>
      </c>
      <c r="E37" s="45">
        <f t="shared" si="12"/>
        <v>17703.36</v>
      </c>
      <c r="F37" s="45">
        <v>0</v>
      </c>
      <c r="G37" s="45">
        <f t="shared" si="16"/>
        <v>433.79999999999995</v>
      </c>
      <c r="H37" s="45">
        <v>235.94</v>
      </c>
      <c r="I37" s="45">
        <f t="shared" si="13"/>
        <v>71.400000000000006</v>
      </c>
      <c r="J37" s="45">
        <v>133.63999999999999</v>
      </c>
      <c r="K37" s="45">
        <f t="shared" si="14"/>
        <v>130.56</v>
      </c>
      <c r="L37" s="45">
        <v>204.78</v>
      </c>
      <c r="M37" s="45">
        <v>0</v>
      </c>
      <c r="N37" s="45">
        <f t="shared" si="15"/>
        <v>8017.0290199999999</v>
      </c>
      <c r="O37" s="45">
        <v>2507.98</v>
      </c>
      <c r="P37" s="45">
        <v>3169.44</v>
      </c>
      <c r="Q37" s="45">
        <v>3169.44</v>
      </c>
    </row>
    <row r="38" spans="1:17">
      <c r="B38" s="3">
        <v>195</v>
      </c>
      <c r="C38" s="3" t="s">
        <v>16</v>
      </c>
      <c r="D38" s="62">
        <v>44110.83</v>
      </c>
      <c r="E38" s="45">
        <f t="shared" si="12"/>
        <v>17703.36</v>
      </c>
      <c r="F38" s="45">
        <v>0</v>
      </c>
      <c r="G38" s="45">
        <f t="shared" si="16"/>
        <v>433.79999999999995</v>
      </c>
      <c r="H38" s="45">
        <v>242.24</v>
      </c>
      <c r="I38" s="45">
        <f t="shared" si="13"/>
        <v>71.400000000000006</v>
      </c>
      <c r="J38" s="45">
        <v>135.62</v>
      </c>
      <c r="K38" s="45">
        <f t="shared" si="14"/>
        <v>130.56</v>
      </c>
      <c r="L38" s="45">
        <v>155.04</v>
      </c>
      <c r="M38" s="45">
        <v>0</v>
      </c>
      <c r="N38" s="45">
        <f t="shared" si="15"/>
        <v>8460.4571940000005</v>
      </c>
      <c r="O38" s="45">
        <v>2646.7000000000003</v>
      </c>
      <c r="P38" s="45">
        <v>3345.65</v>
      </c>
      <c r="Q38" s="45">
        <v>3345.65</v>
      </c>
    </row>
    <row r="39" spans="1:17">
      <c r="B39" s="3">
        <v>204</v>
      </c>
      <c r="C39" s="3" t="s">
        <v>16</v>
      </c>
      <c r="D39" s="65">
        <v>38384</v>
      </c>
      <c r="E39" s="52">
        <f t="shared" si="12"/>
        <v>17703.36</v>
      </c>
      <c r="F39" s="52">
        <v>0</v>
      </c>
      <c r="G39" s="52">
        <f t="shared" si="16"/>
        <v>433.79999999999995</v>
      </c>
      <c r="H39" s="52">
        <v>235.94</v>
      </c>
      <c r="I39" s="52">
        <f t="shared" si="13"/>
        <v>71.400000000000006</v>
      </c>
      <c r="J39" s="52">
        <v>133.63999999999999</v>
      </c>
      <c r="K39" s="52">
        <f t="shared" si="14"/>
        <v>130.56</v>
      </c>
      <c r="L39" s="52">
        <v>157.80000000000001</v>
      </c>
      <c r="M39" s="52">
        <v>0</v>
      </c>
      <c r="N39" s="52">
        <f t="shared" si="15"/>
        <v>7362.0511999999999</v>
      </c>
      <c r="O39" s="52">
        <v>2303.04</v>
      </c>
      <c r="P39" s="52">
        <v>2907.99</v>
      </c>
      <c r="Q39" s="52">
        <v>2907.99</v>
      </c>
    </row>
    <row r="40" spans="1:17" s="8" customFormat="1">
      <c r="A40" s="28"/>
      <c r="D40" s="57">
        <f>SUM(D34:D39)</f>
        <v>258195.20000000001</v>
      </c>
      <c r="E40" s="57">
        <f t="shared" ref="E40:Q40" si="17">SUM(E34:E39)</f>
        <v>106220.16</v>
      </c>
      <c r="F40" s="57">
        <f t="shared" si="17"/>
        <v>0</v>
      </c>
      <c r="G40" s="57">
        <f t="shared" si="17"/>
        <v>2602.8000000000002</v>
      </c>
      <c r="H40" s="57">
        <f t="shared" si="17"/>
        <v>1421.94</v>
      </c>
      <c r="I40" s="57">
        <f t="shared" si="17"/>
        <v>428.4</v>
      </c>
      <c r="J40" s="57">
        <f t="shared" si="17"/>
        <v>803.81999999999994</v>
      </c>
      <c r="K40" s="57">
        <f t="shared" si="17"/>
        <v>783.3599999999999</v>
      </c>
      <c r="L40" s="57">
        <f t="shared" si="17"/>
        <v>1124.8599999999999</v>
      </c>
      <c r="M40" s="57">
        <f t="shared" si="17"/>
        <v>1511.4</v>
      </c>
      <c r="N40" s="57">
        <f t="shared" si="17"/>
        <v>49521.839360000005</v>
      </c>
      <c r="O40" s="57">
        <f t="shared" si="17"/>
        <v>14152.86</v>
      </c>
      <c r="P40" s="57">
        <f t="shared" si="17"/>
        <v>19443.870000000003</v>
      </c>
      <c r="Q40" s="57">
        <f t="shared" si="17"/>
        <v>19443.870000000003</v>
      </c>
    </row>
    <row r="41" spans="1:17">
      <c r="B41" s="9"/>
      <c r="C41" s="9"/>
      <c r="D41" s="9"/>
    </row>
    <row r="43" spans="1:17">
      <c r="B43" s="18"/>
      <c r="C43" s="18"/>
      <c r="D43" s="18"/>
    </row>
    <row r="44" spans="1:17">
      <c r="B44" s="9"/>
      <c r="C44" s="9"/>
      <c r="D44" s="9"/>
    </row>
  </sheetData>
  <sortState ref="B32:K37">
    <sortCondition ref="B32:B37"/>
  </sortState>
  <mergeCells count="12">
    <mergeCell ref="P6:Q6"/>
    <mergeCell ref="A2:Q2"/>
    <mergeCell ref="A3:Q3"/>
    <mergeCell ref="E6:F6"/>
    <mergeCell ref="G6:H6"/>
    <mergeCell ref="I6:J6"/>
    <mergeCell ref="K6:L6"/>
    <mergeCell ref="N6:O6"/>
    <mergeCell ref="A8:B8"/>
    <mergeCell ref="A18:B18"/>
    <mergeCell ref="A26:B26"/>
    <mergeCell ref="A33:B33"/>
  </mergeCells>
  <pageMargins left="0.15" right="0.15" top="0.51" bottom="0.5" header="0.3" footer="0.3"/>
  <pageSetup scale="74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opLeftCell="A7" workbookViewId="0">
      <selection activeCell="A3" sqref="A3:Q3"/>
    </sheetView>
  </sheetViews>
  <sheetFormatPr defaultRowHeight="12.75"/>
  <cols>
    <col min="1" max="1" width="4.7109375" style="1" customWidth="1"/>
    <col min="2" max="2" width="10.42578125" style="3" customWidth="1"/>
    <col min="3" max="3" width="18.85546875" style="3" customWidth="1"/>
    <col min="4" max="4" width="22" style="3" hidden="1" customWidth="1"/>
    <col min="5" max="5" width="12" style="3" customWidth="1"/>
    <col min="6" max="6" width="9.140625" style="3" customWidth="1"/>
    <col min="7" max="7" width="10.42578125" style="45" customWidth="1"/>
    <col min="8" max="10" width="9.140625" style="45"/>
    <col min="11" max="11" width="11" style="45" customWidth="1"/>
    <col min="12" max="12" width="11.140625" style="45" customWidth="1"/>
    <col min="13" max="13" width="10" style="45" bestFit="1" customWidth="1"/>
    <col min="14" max="14" width="13.5703125" style="45" bestFit="1" customWidth="1"/>
    <col min="15" max="15" width="12.5703125" style="45" customWidth="1"/>
    <col min="16" max="16" width="10.85546875" style="45" customWidth="1"/>
    <col min="17" max="17" width="12" style="45" customWidth="1"/>
    <col min="18" max="18" width="11" style="3" bestFit="1" customWidth="1"/>
    <col min="19" max="16384" width="9.140625" style="3"/>
  </cols>
  <sheetData>
    <row r="1" spans="1:19" ht="15">
      <c r="A1" s="23" t="str">
        <f>'2019'!A1</f>
        <v>PSC Question 11</v>
      </c>
      <c r="B1" s="2"/>
      <c r="C1" s="2"/>
      <c r="D1" s="2"/>
      <c r="E1"/>
    </row>
    <row r="2" spans="1:19" s="8" customFormat="1" ht="15.75">
      <c r="A2" s="36" t="str">
        <f>'2018'!A2:C2</f>
        <v>Princeton Water &amp; Wastewater Employee Benefits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S2" s="3"/>
    </row>
    <row r="3" spans="1:19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3"/>
    </row>
    <row r="5" spans="1:19" ht="13.5" thickBot="1"/>
    <row r="6" spans="1:19">
      <c r="D6" s="66" t="s">
        <v>48</v>
      </c>
      <c r="E6" s="41" t="s">
        <v>36</v>
      </c>
      <c r="F6" s="42"/>
      <c r="G6" s="48" t="s">
        <v>39</v>
      </c>
      <c r="H6" s="49"/>
      <c r="I6" s="48" t="s">
        <v>40</v>
      </c>
      <c r="J6" s="49"/>
      <c r="K6" s="48" t="s">
        <v>44</v>
      </c>
      <c r="L6" s="49"/>
      <c r="M6" s="59" t="s">
        <v>43</v>
      </c>
      <c r="N6" s="48" t="s">
        <v>41</v>
      </c>
      <c r="O6" s="49"/>
      <c r="P6" s="48" t="s">
        <v>42</v>
      </c>
      <c r="Q6" s="49"/>
    </row>
    <row r="7" spans="1:19" s="5" customFormat="1" ht="13.5" thickBot="1">
      <c r="A7" s="21"/>
      <c r="B7" s="21" t="s">
        <v>1</v>
      </c>
      <c r="C7" s="21"/>
      <c r="D7" s="67" t="s">
        <v>46</v>
      </c>
      <c r="E7" s="43" t="s">
        <v>37</v>
      </c>
      <c r="F7" s="44" t="s">
        <v>38</v>
      </c>
      <c r="G7" s="50" t="s">
        <v>37</v>
      </c>
      <c r="H7" s="51" t="s">
        <v>38</v>
      </c>
      <c r="I7" s="50" t="s">
        <v>37</v>
      </c>
      <c r="J7" s="51" t="s">
        <v>38</v>
      </c>
      <c r="K7" s="50" t="s">
        <v>37</v>
      </c>
      <c r="L7" s="51" t="s">
        <v>38</v>
      </c>
      <c r="M7" s="51" t="s">
        <v>38</v>
      </c>
      <c r="N7" s="50" t="s">
        <v>37</v>
      </c>
      <c r="O7" s="51" t="s">
        <v>38</v>
      </c>
      <c r="P7" s="50" t="s">
        <v>37</v>
      </c>
      <c r="Q7" s="51" t="s">
        <v>38</v>
      </c>
      <c r="S7" s="3"/>
    </row>
    <row r="8" spans="1:19">
      <c r="A8" s="37" t="s">
        <v>2</v>
      </c>
      <c r="B8" s="37"/>
      <c r="C8" s="6"/>
      <c r="D8" s="30"/>
    </row>
    <row r="9" spans="1:19">
      <c r="B9" s="3">
        <v>155</v>
      </c>
      <c r="C9" s="3" t="s">
        <v>6</v>
      </c>
      <c r="D9" s="45">
        <v>10601.75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811.05</v>
      </c>
      <c r="Q9" s="45">
        <v>811.05</v>
      </c>
    </row>
    <row r="10" spans="1:19">
      <c r="B10" s="3">
        <v>171</v>
      </c>
      <c r="C10" s="3" t="s">
        <v>4</v>
      </c>
      <c r="D10" s="45">
        <v>57831.91</v>
      </c>
      <c r="E10" s="45">
        <f>(967.18*12)+(7.96*12)</f>
        <v>11701.68</v>
      </c>
      <c r="F10" s="45">
        <v>0</v>
      </c>
      <c r="G10" s="45">
        <f>32.26*12</f>
        <v>387.12</v>
      </c>
      <c r="H10" s="45">
        <v>0</v>
      </c>
      <c r="I10" s="45">
        <f>5.95*12</f>
        <v>71.400000000000006</v>
      </c>
      <c r="J10" s="45">
        <v>34.72</v>
      </c>
      <c r="K10" s="45">
        <f>10.88*12</f>
        <v>130.56</v>
      </c>
      <c r="L10" s="45">
        <v>0</v>
      </c>
      <c r="M10" s="45">
        <v>1260</v>
      </c>
      <c r="N10" s="45">
        <f>0.1868*D10</f>
        <v>10803.000788000001</v>
      </c>
      <c r="O10" s="45">
        <v>2691.4</v>
      </c>
      <c r="P10" s="45">
        <v>4286.49</v>
      </c>
      <c r="Q10" s="45">
        <v>4286.49</v>
      </c>
    </row>
    <row r="11" spans="1:19">
      <c r="B11" s="3">
        <v>175</v>
      </c>
      <c r="C11" s="3" t="s">
        <v>52</v>
      </c>
      <c r="D11" s="45">
        <v>10788.5</v>
      </c>
      <c r="E11" s="45">
        <f>(1454*2)+(7.96*2)</f>
        <v>2923.92</v>
      </c>
      <c r="F11" s="45">
        <v>0</v>
      </c>
      <c r="G11" s="45">
        <f>36*2</f>
        <v>72</v>
      </c>
      <c r="H11" s="45">
        <v>40.299999999999997</v>
      </c>
      <c r="I11" s="45">
        <f>5.95*2</f>
        <v>11.9</v>
      </c>
      <c r="J11" s="45">
        <v>26.1</v>
      </c>
      <c r="K11" s="45">
        <f>10.88*2</f>
        <v>21.76</v>
      </c>
      <c r="L11" s="45">
        <v>31.8</v>
      </c>
      <c r="M11" s="45">
        <v>0</v>
      </c>
      <c r="N11" s="45">
        <f t="shared" ref="N11:N14" si="0">0.1868*D11</f>
        <v>2015.2918</v>
      </c>
      <c r="O11" s="45">
        <v>539.4</v>
      </c>
      <c r="P11" s="45">
        <v>783.54</v>
      </c>
      <c r="Q11" s="45">
        <v>783.54</v>
      </c>
    </row>
    <row r="12" spans="1:19">
      <c r="B12" s="3">
        <v>186</v>
      </c>
      <c r="C12" s="3" t="s">
        <v>5</v>
      </c>
      <c r="D12" s="45">
        <v>39920.019999999997</v>
      </c>
      <c r="E12" s="45">
        <f>(1454*12)+(7.96*12)</f>
        <v>17543.52</v>
      </c>
      <c r="F12" s="45">
        <v>0</v>
      </c>
      <c r="G12" s="45">
        <f>53.46*12</f>
        <v>641.52</v>
      </c>
      <c r="H12" s="45">
        <v>16.12</v>
      </c>
      <c r="I12" s="45">
        <f>5.95*12</f>
        <v>71.400000000000006</v>
      </c>
      <c r="K12" s="45">
        <f t="shared" ref="K12:K14" si="1">10.88*12</f>
        <v>130.56</v>
      </c>
      <c r="L12" s="45">
        <v>213.59</v>
      </c>
      <c r="M12" s="45">
        <v>0</v>
      </c>
      <c r="N12" s="45">
        <f t="shared" si="0"/>
        <v>7457.0597359999992</v>
      </c>
      <c r="O12" s="45">
        <v>1996</v>
      </c>
      <c r="P12" s="45">
        <v>2972.88</v>
      </c>
      <c r="Q12" s="45">
        <v>2972.88</v>
      </c>
    </row>
    <row r="13" spans="1:19">
      <c r="B13" s="3">
        <v>193</v>
      </c>
      <c r="C13" s="3" t="s">
        <v>3</v>
      </c>
      <c r="D13" s="45">
        <v>43798.46</v>
      </c>
      <c r="E13" s="45">
        <f>(1303*12)+(7.96*12)</f>
        <v>15731.52</v>
      </c>
      <c r="F13" s="45">
        <v>0</v>
      </c>
      <c r="G13" s="45">
        <f>34.11*12</f>
        <v>409.32</v>
      </c>
      <c r="H13" s="45">
        <v>0</v>
      </c>
      <c r="I13" s="45">
        <f>5.95*12</f>
        <v>71.400000000000006</v>
      </c>
      <c r="J13" s="45">
        <v>40.17</v>
      </c>
      <c r="K13" s="45">
        <f t="shared" si="1"/>
        <v>130.56</v>
      </c>
      <c r="L13" s="45">
        <v>295.20999999999998</v>
      </c>
      <c r="M13" s="45">
        <v>1060</v>
      </c>
      <c r="N13" s="45">
        <f t="shared" si="0"/>
        <v>8181.5523279999998</v>
      </c>
      <c r="O13" s="45">
        <v>2190.14</v>
      </c>
      <c r="P13" s="45">
        <v>3190.23</v>
      </c>
      <c r="Q13" s="45">
        <v>3190.23</v>
      </c>
    </row>
    <row r="14" spans="1:19">
      <c r="B14" s="3">
        <v>198</v>
      </c>
      <c r="C14" s="3" t="s">
        <v>7</v>
      </c>
      <c r="D14" s="45">
        <v>34036</v>
      </c>
      <c r="E14" s="45">
        <f>(175*12)+(7.96*12)</f>
        <v>2195.52</v>
      </c>
      <c r="F14" s="45">
        <v>0</v>
      </c>
      <c r="G14" s="45">
        <f>36*12</f>
        <v>432</v>
      </c>
      <c r="H14" s="45">
        <v>177.32</v>
      </c>
      <c r="I14" s="45">
        <f>5.95*12</f>
        <v>71.400000000000006</v>
      </c>
      <c r="J14" s="45">
        <v>101.79</v>
      </c>
      <c r="K14" s="45">
        <f t="shared" si="1"/>
        <v>130.56</v>
      </c>
      <c r="L14" s="45">
        <v>0</v>
      </c>
      <c r="M14" s="45">
        <v>0</v>
      </c>
      <c r="N14" s="45">
        <f t="shared" si="0"/>
        <v>6357.9247999999998</v>
      </c>
      <c r="O14" s="45">
        <v>2042.1599999999999</v>
      </c>
      <c r="P14" s="45">
        <v>2502.54</v>
      </c>
      <c r="Q14" s="45">
        <v>2502.54</v>
      </c>
    </row>
    <row r="15" spans="1:19">
      <c r="B15" s="3">
        <v>201</v>
      </c>
      <c r="C15" s="3" t="s">
        <v>6</v>
      </c>
      <c r="D15" s="52">
        <v>10082.299999999999</v>
      </c>
      <c r="E15" s="52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52">
        <v>0</v>
      </c>
      <c r="P15" s="52">
        <v>771.25</v>
      </c>
      <c r="Q15" s="52">
        <v>771.25</v>
      </c>
    </row>
    <row r="16" spans="1:19" s="8" customFormat="1">
      <c r="A16" s="28"/>
      <c r="D16" s="57">
        <f>SUM(D9:D15)</f>
        <v>207058.93999999997</v>
      </c>
      <c r="E16" s="57">
        <f t="shared" ref="E16:Q16" si="2">SUM(E9:E15)</f>
        <v>50096.159999999996</v>
      </c>
      <c r="F16" s="57">
        <f t="shared" si="2"/>
        <v>0</v>
      </c>
      <c r="G16" s="57">
        <f t="shared" si="2"/>
        <v>1941.9599999999998</v>
      </c>
      <c r="H16" s="57">
        <f t="shared" si="2"/>
        <v>233.74</v>
      </c>
      <c r="I16" s="57">
        <f t="shared" si="2"/>
        <v>297.5</v>
      </c>
      <c r="J16" s="57">
        <f t="shared" si="2"/>
        <v>202.78000000000003</v>
      </c>
      <c r="K16" s="57">
        <f t="shared" si="2"/>
        <v>544</v>
      </c>
      <c r="L16" s="57">
        <f t="shared" si="2"/>
        <v>540.6</v>
      </c>
      <c r="M16" s="57">
        <f t="shared" si="2"/>
        <v>2320</v>
      </c>
      <c r="N16" s="57">
        <f t="shared" si="2"/>
        <v>34814.829451999998</v>
      </c>
      <c r="O16" s="57">
        <f t="shared" si="2"/>
        <v>9459.1</v>
      </c>
      <c r="P16" s="57">
        <f t="shared" si="2"/>
        <v>15317.98</v>
      </c>
      <c r="Q16" s="57">
        <f t="shared" si="2"/>
        <v>15317.98</v>
      </c>
    </row>
    <row r="17" spans="1:19" s="12" customFormat="1">
      <c r="A17" s="10"/>
      <c r="B17" s="11"/>
      <c r="C17" s="11"/>
      <c r="D17" s="1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6"/>
      <c r="Q17" s="46"/>
      <c r="S17" s="3"/>
    </row>
    <row r="18" spans="1:19">
      <c r="A18" s="38" t="s">
        <v>0</v>
      </c>
      <c r="B18" s="38"/>
      <c r="C18" s="5"/>
      <c r="D18" s="31"/>
      <c r="E18" s="45"/>
      <c r="F18" s="45">
        <v>0</v>
      </c>
    </row>
    <row r="19" spans="1:19">
      <c r="B19" s="3">
        <v>115</v>
      </c>
      <c r="C19" s="3" t="s">
        <v>10</v>
      </c>
      <c r="D19" s="46">
        <v>45097.45</v>
      </c>
      <c r="E19" s="45">
        <f>(1454*12)+(7.96*12)</f>
        <v>17543.52</v>
      </c>
      <c r="F19" s="45">
        <v>0</v>
      </c>
      <c r="G19" s="45">
        <f>36*12</f>
        <v>432</v>
      </c>
      <c r="H19" s="45">
        <v>177.32</v>
      </c>
      <c r="I19" s="45">
        <f t="shared" ref="I19:I22" si="3">5.95*12</f>
        <v>71.400000000000006</v>
      </c>
      <c r="J19" s="45">
        <v>40.17</v>
      </c>
      <c r="K19" s="45">
        <f t="shared" ref="K19:K22" si="4">10.88*12</f>
        <v>130.56</v>
      </c>
      <c r="L19" s="45">
        <v>0</v>
      </c>
      <c r="M19" s="45">
        <v>0</v>
      </c>
      <c r="N19" s="45">
        <f t="shared" ref="N19:N22" si="5">0.1868*D19</f>
        <v>8424.2036599999992</v>
      </c>
      <c r="O19" s="45">
        <v>2254.89</v>
      </c>
      <c r="P19" s="45">
        <v>3344.5</v>
      </c>
      <c r="Q19" s="45">
        <v>3344.5</v>
      </c>
    </row>
    <row r="20" spans="1:19">
      <c r="B20" s="13">
        <v>181</v>
      </c>
      <c r="C20" s="13" t="s">
        <v>51</v>
      </c>
      <c r="D20" s="45">
        <v>41283.129999999997</v>
      </c>
      <c r="E20" s="45">
        <f>(1454*12)+(7.96*12)</f>
        <v>17543.52</v>
      </c>
      <c r="F20" s="45">
        <v>0</v>
      </c>
      <c r="G20" s="45">
        <f>36*12</f>
        <v>432</v>
      </c>
      <c r="H20" s="45">
        <v>177.32</v>
      </c>
      <c r="I20" s="45">
        <f t="shared" si="3"/>
        <v>71.400000000000006</v>
      </c>
      <c r="J20" s="45">
        <v>101.79</v>
      </c>
      <c r="K20" s="45">
        <f t="shared" si="4"/>
        <v>130.56</v>
      </c>
      <c r="L20" s="45">
        <v>0</v>
      </c>
      <c r="M20" s="45">
        <v>0</v>
      </c>
      <c r="N20" s="45">
        <f t="shared" si="5"/>
        <v>7711.6886839999988</v>
      </c>
      <c r="O20" s="45">
        <v>2064.16</v>
      </c>
      <c r="P20" s="45">
        <v>3056.51</v>
      </c>
      <c r="Q20" s="45">
        <v>3056.51</v>
      </c>
    </row>
    <row r="21" spans="1:19">
      <c r="B21" s="3">
        <v>191</v>
      </c>
      <c r="C21" s="3" t="s">
        <v>8</v>
      </c>
      <c r="D21" s="45">
        <v>37864.51</v>
      </c>
      <c r="E21" s="45">
        <f>(1303*12)+(7.96*12)</f>
        <v>15731.52</v>
      </c>
      <c r="F21" s="45">
        <v>0</v>
      </c>
      <c r="G21" s="45">
        <f>34.11*12</f>
        <v>409.32</v>
      </c>
      <c r="H21" s="45">
        <v>0</v>
      </c>
      <c r="I21" s="45">
        <f t="shared" si="3"/>
        <v>71.400000000000006</v>
      </c>
      <c r="J21" s="45">
        <v>40.17</v>
      </c>
      <c r="K21" s="45">
        <f t="shared" si="4"/>
        <v>130.56</v>
      </c>
      <c r="L21" s="45">
        <v>0</v>
      </c>
      <c r="M21" s="45">
        <v>0</v>
      </c>
      <c r="N21" s="45">
        <f t="shared" si="5"/>
        <v>7073.0904680000003</v>
      </c>
      <c r="O21" s="45">
        <v>2271.84</v>
      </c>
      <c r="P21" s="45">
        <v>2805.66</v>
      </c>
      <c r="Q21" s="45">
        <v>2805.66</v>
      </c>
    </row>
    <row r="22" spans="1:19">
      <c r="B22" s="3">
        <v>200</v>
      </c>
      <c r="C22" s="3" t="s">
        <v>8</v>
      </c>
      <c r="D22" s="52">
        <v>38852</v>
      </c>
      <c r="E22" s="52">
        <f>(11*7.96)+(702*11)</f>
        <v>7809.56</v>
      </c>
      <c r="F22" s="52">
        <v>0</v>
      </c>
      <c r="G22" s="52">
        <f>17.25*11</f>
        <v>189.75</v>
      </c>
      <c r="H22" s="52">
        <v>0</v>
      </c>
      <c r="I22" s="52">
        <f>5.95*11</f>
        <v>65.45</v>
      </c>
      <c r="J22" s="52">
        <v>0</v>
      </c>
      <c r="K22" s="52">
        <f>10.88*11</f>
        <v>119.68</v>
      </c>
      <c r="L22" s="52">
        <v>229.38</v>
      </c>
      <c r="M22" s="52">
        <v>0</v>
      </c>
      <c r="N22" s="52">
        <f t="shared" si="5"/>
        <v>7257.5536000000002</v>
      </c>
      <c r="O22" s="52">
        <v>2331.12</v>
      </c>
      <c r="P22" s="52">
        <v>2868.72</v>
      </c>
      <c r="Q22" s="52">
        <v>2868.72</v>
      </c>
    </row>
    <row r="23" spans="1:19" s="8" customFormat="1">
      <c r="A23" s="28"/>
      <c r="D23" s="57">
        <f>SUM(D19:D22)</f>
        <v>163097.09</v>
      </c>
      <c r="E23" s="57">
        <f t="shared" ref="E23:Q23" si="6">SUM(E19:E22)</f>
        <v>58628.119999999995</v>
      </c>
      <c r="F23" s="57">
        <f t="shared" si="6"/>
        <v>0</v>
      </c>
      <c r="G23" s="57">
        <f t="shared" si="6"/>
        <v>1463.07</v>
      </c>
      <c r="H23" s="57">
        <f t="shared" si="6"/>
        <v>354.64</v>
      </c>
      <c r="I23" s="57">
        <f t="shared" si="6"/>
        <v>279.65000000000003</v>
      </c>
      <c r="J23" s="57">
        <f t="shared" si="6"/>
        <v>182.13</v>
      </c>
      <c r="K23" s="57">
        <f t="shared" si="6"/>
        <v>511.36</v>
      </c>
      <c r="L23" s="57">
        <f t="shared" si="6"/>
        <v>229.38</v>
      </c>
      <c r="M23" s="57">
        <f t="shared" si="6"/>
        <v>0</v>
      </c>
      <c r="N23" s="57">
        <f t="shared" si="6"/>
        <v>30466.536411999998</v>
      </c>
      <c r="O23" s="57">
        <f t="shared" si="6"/>
        <v>8922.0099999999984</v>
      </c>
      <c r="P23" s="57">
        <f t="shared" si="6"/>
        <v>12075.39</v>
      </c>
      <c r="Q23" s="57">
        <f t="shared" si="6"/>
        <v>12075.39</v>
      </c>
    </row>
    <row r="24" spans="1:19" s="12" customFormat="1">
      <c r="A24" s="10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S24" s="3"/>
    </row>
    <row r="25" spans="1:19">
      <c r="A25" s="38" t="s">
        <v>11</v>
      </c>
      <c r="B25" s="38"/>
      <c r="C25" s="5"/>
      <c r="D25" s="31"/>
      <c r="E25" s="45"/>
      <c r="F25" s="45"/>
    </row>
    <row r="26" spans="1:19">
      <c r="A26" s="7"/>
      <c r="B26" s="4">
        <v>162</v>
      </c>
      <c r="C26" s="3" t="s">
        <v>54</v>
      </c>
      <c r="D26" s="45">
        <v>41731.25</v>
      </c>
      <c r="E26" s="45">
        <f>(1303*11)+(7.96*11)</f>
        <v>14420.56</v>
      </c>
      <c r="F26" s="45">
        <v>0</v>
      </c>
      <c r="G26" s="45">
        <f>34.11*11</f>
        <v>375.21</v>
      </c>
      <c r="H26" s="45">
        <v>0</v>
      </c>
      <c r="I26" s="45">
        <f>5.95*11</f>
        <v>65.45</v>
      </c>
      <c r="J26" s="45">
        <v>35.020000000000003</v>
      </c>
      <c r="K26" s="45">
        <f>10.88*11</f>
        <v>119.68</v>
      </c>
      <c r="L26" s="45">
        <v>557.29999999999995</v>
      </c>
      <c r="M26" s="45">
        <v>0</v>
      </c>
      <c r="N26" s="45">
        <f t="shared" ref="N26:N29" si="7">0.1868*D26</f>
        <v>7795.3975</v>
      </c>
      <c r="O26" s="45">
        <v>2014.89</v>
      </c>
      <c r="P26" s="45">
        <v>3105.52</v>
      </c>
      <c r="Q26" s="45">
        <v>3105.52</v>
      </c>
    </row>
    <row r="27" spans="1:19">
      <c r="A27" s="7"/>
      <c r="B27" s="4">
        <v>165</v>
      </c>
      <c r="C27" s="3" t="s">
        <v>13</v>
      </c>
      <c r="D27" s="45">
        <v>28244.63</v>
      </c>
      <c r="E27" s="45">
        <f>(1303*5)+(7.96*5)</f>
        <v>6554.8</v>
      </c>
      <c r="F27" s="45">
        <v>0</v>
      </c>
      <c r="G27" s="45">
        <f>34.11*5</f>
        <v>170.55</v>
      </c>
      <c r="H27" s="45">
        <v>0</v>
      </c>
      <c r="I27" s="45">
        <f>5.95*5</f>
        <v>29.75</v>
      </c>
      <c r="J27" s="45">
        <v>8.24</v>
      </c>
      <c r="K27" s="45">
        <f>10.88*5</f>
        <v>54.400000000000006</v>
      </c>
      <c r="L27" s="45">
        <v>0</v>
      </c>
      <c r="M27" s="45">
        <v>0</v>
      </c>
      <c r="N27" s="64">
        <f>19384.6*0.1868</f>
        <v>3621.0432799999994</v>
      </c>
      <c r="O27" s="45">
        <v>969.23</v>
      </c>
      <c r="P27" s="45">
        <v>2085.87</v>
      </c>
      <c r="Q27" s="45">
        <v>2085.87</v>
      </c>
      <c r="R27" s="58"/>
    </row>
    <row r="28" spans="1:19">
      <c r="B28" s="4">
        <v>199</v>
      </c>
      <c r="C28" s="3" t="s">
        <v>12</v>
      </c>
      <c r="D28" s="46">
        <v>33289.08</v>
      </c>
      <c r="E28" s="45">
        <f>(175*12)+(7.96*12)</f>
        <v>2195.52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f t="shared" ref="K26:K29" si="8">10.88*12</f>
        <v>130.56</v>
      </c>
      <c r="L28" s="45">
        <v>0</v>
      </c>
      <c r="M28" s="45">
        <v>0</v>
      </c>
      <c r="N28" s="45">
        <f t="shared" si="7"/>
        <v>6218.4001440000002</v>
      </c>
      <c r="O28" s="45">
        <v>1997.46</v>
      </c>
      <c r="P28" s="45">
        <v>2470.16</v>
      </c>
      <c r="Q28" s="45">
        <v>2470.16</v>
      </c>
    </row>
    <row r="29" spans="1:19">
      <c r="B29" s="4">
        <v>202</v>
      </c>
      <c r="C29" s="3" t="s">
        <v>13</v>
      </c>
      <c r="D29" s="52">
        <v>38587.1</v>
      </c>
      <c r="E29" s="52">
        <f>(702*12)+(7.96*12)</f>
        <v>8519.52</v>
      </c>
      <c r="F29" s="52"/>
      <c r="G29" s="52">
        <f>17.25*12</f>
        <v>207</v>
      </c>
      <c r="H29" s="52">
        <v>0</v>
      </c>
      <c r="I29" s="52">
        <f t="shared" ref="I26:I29" si="9">5.95*12</f>
        <v>71.400000000000006</v>
      </c>
      <c r="J29" s="52">
        <v>0</v>
      </c>
      <c r="K29" s="52">
        <f t="shared" si="8"/>
        <v>130.56</v>
      </c>
      <c r="L29" s="52">
        <v>155.82</v>
      </c>
      <c r="M29" s="52">
        <v>0</v>
      </c>
      <c r="N29" s="52">
        <f t="shared" si="7"/>
        <v>7208.0702799999999</v>
      </c>
      <c r="O29" s="52">
        <v>1929.35</v>
      </c>
      <c r="P29" s="52">
        <v>2877.15</v>
      </c>
      <c r="Q29" s="52">
        <v>2877.15</v>
      </c>
    </row>
    <row r="30" spans="1:19" s="8" customFormat="1">
      <c r="A30" s="28"/>
      <c r="D30" s="57">
        <f>SUM(D26:D29)</f>
        <v>141852.06</v>
      </c>
      <c r="E30" s="57">
        <f t="shared" ref="E30:Q30" si="10">SUM(E26:E29)</f>
        <v>31690.400000000001</v>
      </c>
      <c r="F30" s="57">
        <f t="shared" si="10"/>
        <v>0</v>
      </c>
      <c r="G30" s="57">
        <f t="shared" si="10"/>
        <v>752.76</v>
      </c>
      <c r="H30" s="57">
        <f t="shared" si="10"/>
        <v>0</v>
      </c>
      <c r="I30" s="57">
        <f t="shared" si="10"/>
        <v>166.60000000000002</v>
      </c>
      <c r="J30" s="57">
        <f t="shared" si="10"/>
        <v>43.260000000000005</v>
      </c>
      <c r="K30" s="57">
        <f t="shared" si="10"/>
        <v>435.2</v>
      </c>
      <c r="L30" s="57">
        <f t="shared" si="10"/>
        <v>713.11999999999989</v>
      </c>
      <c r="M30" s="57">
        <f t="shared" si="10"/>
        <v>0</v>
      </c>
      <c r="N30" s="57">
        <f t="shared" si="10"/>
        <v>24842.911204</v>
      </c>
      <c r="O30" s="57">
        <f t="shared" si="10"/>
        <v>6910.93</v>
      </c>
      <c r="P30" s="57">
        <f t="shared" si="10"/>
        <v>10538.699999999999</v>
      </c>
      <c r="Q30" s="57">
        <f t="shared" si="10"/>
        <v>10538.699999999999</v>
      </c>
    </row>
    <row r="31" spans="1:19" s="12" customFormat="1">
      <c r="A31" s="10"/>
      <c r="B31" s="14"/>
      <c r="C31" s="14"/>
      <c r="D31" s="1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6"/>
      <c r="Q31" s="46"/>
      <c r="S31" s="3"/>
    </row>
    <row r="32" spans="1:19">
      <c r="A32" s="39" t="s">
        <v>15</v>
      </c>
      <c r="B32" s="39"/>
      <c r="C32" s="15"/>
      <c r="D32" s="32"/>
      <c r="E32" s="45"/>
      <c r="F32" s="47">
        <v>0</v>
      </c>
      <c r="G32" s="47"/>
      <c r="H32" s="47"/>
      <c r="I32" s="47"/>
      <c r="J32" s="47"/>
      <c r="K32" s="47"/>
      <c r="L32" s="47"/>
      <c r="M32" s="47"/>
      <c r="N32" s="47"/>
    </row>
    <row r="33" spans="1:19" s="1" customFormat="1">
      <c r="A33" s="16"/>
      <c r="B33" s="3">
        <v>173</v>
      </c>
      <c r="C33" s="3" t="s">
        <v>17</v>
      </c>
      <c r="D33" s="62">
        <v>46123.12</v>
      </c>
      <c r="E33" s="45">
        <f t="shared" ref="E33:E37" si="11">(1454*12)+(7.96*12)</f>
        <v>17543.52</v>
      </c>
      <c r="F33" s="45">
        <v>0</v>
      </c>
      <c r="G33" s="45">
        <f>36*12</f>
        <v>432</v>
      </c>
      <c r="H33" s="45">
        <v>177.32</v>
      </c>
      <c r="I33" s="45">
        <f t="shared" ref="I33:I40" si="12">5.95*12</f>
        <v>71.400000000000006</v>
      </c>
      <c r="J33" s="45">
        <v>101.79</v>
      </c>
      <c r="K33" s="45">
        <f t="shared" ref="K33:K40" si="13">10.88*12</f>
        <v>130.56</v>
      </c>
      <c r="L33" s="45">
        <v>174.32</v>
      </c>
      <c r="M33" s="45">
        <v>946.08</v>
      </c>
      <c r="N33" s="45">
        <f t="shared" ref="N33:N40" si="14">0.1868*D33</f>
        <v>8615.7988160000004</v>
      </c>
      <c r="O33" s="47">
        <v>2306.15</v>
      </c>
      <c r="P33" s="47">
        <v>3327.02</v>
      </c>
      <c r="Q33" s="47">
        <v>3327.02</v>
      </c>
      <c r="S33" s="3"/>
    </row>
    <row r="34" spans="1:19">
      <c r="B34" s="3">
        <v>175</v>
      </c>
      <c r="C34" s="3" t="s">
        <v>53</v>
      </c>
      <c r="D34" s="62">
        <v>44718.21</v>
      </c>
      <c r="E34" s="45">
        <f>(1454*10)+(7.96*10)</f>
        <v>14619.6</v>
      </c>
      <c r="F34" s="45">
        <v>0</v>
      </c>
      <c r="G34" s="45">
        <f>36*10</f>
        <v>360</v>
      </c>
      <c r="H34" s="45">
        <v>137.02000000000001</v>
      </c>
      <c r="I34" s="45">
        <f>5.95*10</f>
        <v>59.5</v>
      </c>
      <c r="J34" s="45">
        <v>75.69</v>
      </c>
      <c r="K34" s="45">
        <f>10.88*10</f>
        <v>108.80000000000001</v>
      </c>
      <c r="L34" s="45">
        <v>137.30000000000001</v>
      </c>
      <c r="M34" s="45">
        <v>0</v>
      </c>
      <c r="N34" s="45">
        <f t="shared" si="14"/>
        <v>8353.3616279999987</v>
      </c>
      <c r="O34" s="45">
        <v>2235.9</v>
      </c>
      <c r="P34" s="45">
        <v>3156.3599999999997</v>
      </c>
      <c r="Q34" s="45">
        <v>3156.3599999999997</v>
      </c>
    </row>
    <row r="35" spans="1:19">
      <c r="B35" s="3">
        <v>188</v>
      </c>
      <c r="C35" s="3" t="s">
        <v>16</v>
      </c>
      <c r="D35" s="62">
        <v>42018</v>
      </c>
      <c r="E35" s="45">
        <f t="shared" si="11"/>
        <v>17543.52</v>
      </c>
      <c r="F35" s="45">
        <v>0</v>
      </c>
      <c r="G35" s="45">
        <f t="shared" ref="G35:G40" si="15">36*12</f>
        <v>432</v>
      </c>
      <c r="H35" s="45">
        <v>177.32</v>
      </c>
      <c r="I35" s="45">
        <f t="shared" si="12"/>
        <v>71.400000000000006</v>
      </c>
      <c r="J35" s="45">
        <v>101.79</v>
      </c>
      <c r="K35" s="45">
        <f t="shared" si="13"/>
        <v>130.56</v>
      </c>
      <c r="L35" s="45">
        <v>179.28</v>
      </c>
      <c r="M35" s="45">
        <v>569.34</v>
      </c>
      <c r="N35" s="45">
        <f t="shared" si="14"/>
        <v>7848.9623999999994</v>
      </c>
      <c r="O35" s="45">
        <v>2100.94</v>
      </c>
      <c r="P35" s="45">
        <v>3110.21</v>
      </c>
      <c r="Q35" s="45">
        <v>3110.21</v>
      </c>
    </row>
    <row r="36" spans="1:19">
      <c r="B36" s="3">
        <v>189</v>
      </c>
      <c r="C36" s="3" t="s">
        <v>16</v>
      </c>
      <c r="D36" s="62">
        <v>41499.75</v>
      </c>
      <c r="E36" s="45">
        <f t="shared" si="11"/>
        <v>17543.52</v>
      </c>
      <c r="F36" s="45">
        <v>0</v>
      </c>
      <c r="G36" s="45">
        <f t="shared" si="15"/>
        <v>432</v>
      </c>
      <c r="H36" s="45">
        <v>177.32</v>
      </c>
      <c r="I36" s="45">
        <f t="shared" si="12"/>
        <v>71.400000000000006</v>
      </c>
      <c r="J36" s="45">
        <v>101.79</v>
      </c>
      <c r="K36" s="45">
        <f t="shared" si="13"/>
        <v>130.56</v>
      </c>
      <c r="L36" s="45">
        <v>179.28</v>
      </c>
      <c r="M36" s="45">
        <v>0</v>
      </c>
      <c r="N36" s="45">
        <f t="shared" si="14"/>
        <v>7752.1532999999999</v>
      </c>
      <c r="O36" s="45">
        <v>2075.0100000000002</v>
      </c>
      <c r="P36" s="45">
        <v>3075.07</v>
      </c>
      <c r="Q36" s="45">
        <v>3075.07</v>
      </c>
    </row>
    <row r="37" spans="1:19">
      <c r="B37" s="3">
        <v>192</v>
      </c>
      <c r="C37" s="3" t="s">
        <v>16</v>
      </c>
      <c r="D37" s="62">
        <v>42944.75</v>
      </c>
      <c r="E37" s="45">
        <f t="shared" si="11"/>
        <v>17543.52</v>
      </c>
      <c r="F37" s="45">
        <v>0</v>
      </c>
      <c r="G37" s="45">
        <f t="shared" si="15"/>
        <v>432</v>
      </c>
      <c r="H37" s="45">
        <v>177.32</v>
      </c>
      <c r="I37" s="45">
        <f t="shared" si="12"/>
        <v>71.400000000000006</v>
      </c>
      <c r="J37" s="45">
        <v>101.79</v>
      </c>
      <c r="K37" s="45">
        <f t="shared" si="13"/>
        <v>130.56</v>
      </c>
      <c r="L37" s="45">
        <v>198.78</v>
      </c>
      <c r="M37" s="45">
        <v>0</v>
      </c>
      <c r="N37" s="45">
        <f t="shared" si="14"/>
        <v>8022.0792999999994</v>
      </c>
      <c r="O37" s="45">
        <v>2576.71</v>
      </c>
      <c r="P37" s="45">
        <v>3161.44</v>
      </c>
      <c r="Q37" s="45">
        <v>3161.44</v>
      </c>
    </row>
    <row r="38" spans="1:19">
      <c r="B38" s="3">
        <v>195</v>
      </c>
      <c r="C38" s="3" t="s">
        <v>16</v>
      </c>
      <c r="D38" s="62">
        <f>1680+1245</f>
        <v>2925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223.76</v>
      </c>
      <c r="Q38" s="45">
        <v>223.76</v>
      </c>
    </row>
    <row r="39" spans="1:19">
      <c r="B39" s="17">
        <v>203</v>
      </c>
      <c r="C39" s="16" t="s">
        <v>16</v>
      </c>
      <c r="D39" s="62">
        <f>11038.5+3354.8</f>
        <v>14393.3</v>
      </c>
      <c r="E39" s="45">
        <f>(1303*7)+(7.96*7)</f>
        <v>9176.7199999999993</v>
      </c>
      <c r="F39" s="45">
        <v>0</v>
      </c>
      <c r="G39" s="45">
        <f>34.11*7</f>
        <v>238.76999999999998</v>
      </c>
      <c r="H39" s="45">
        <v>0</v>
      </c>
      <c r="I39" s="45">
        <f>5.95*7</f>
        <v>41.65</v>
      </c>
      <c r="J39" s="45">
        <v>16.48</v>
      </c>
      <c r="K39" s="45">
        <f>10.88*7</f>
        <v>76.160000000000011</v>
      </c>
      <c r="L39" s="45">
        <v>85.3</v>
      </c>
      <c r="M39" s="45">
        <v>0</v>
      </c>
      <c r="N39" s="45">
        <f t="shared" si="14"/>
        <v>2688.6684399999999</v>
      </c>
      <c r="O39" s="45">
        <v>863.63</v>
      </c>
      <c r="P39" s="45">
        <v>1038.8800000000001</v>
      </c>
      <c r="Q39" s="45">
        <v>1038.8800000000001</v>
      </c>
    </row>
    <row r="40" spans="1:19">
      <c r="B40" s="3">
        <v>204</v>
      </c>
      <c r="C40" s="3" t="s">
        <v>16</v>
      </c>
      <c r="D40" s="65">
        <v>21092.25</v>
      </c>
      <c r="E40" s="52">
        <f>(1454*6)+(7.96*6)</f>
        <v>8771.76</v>
      </c>
      <c r="F40" s="56"/>
      <c r="G40" s="52">
        <f>36*6</f>
        <v>216</v>
      </c>
      <c r="H40" s="56">
        <v>104.78</v>
      </c>
      <c r="I40" s="52">
        <f>5.95*6</f>
        <v>35.700000000000003</v>
      </c>
      <c r="J40" s="52">
        <v>67.86</v>
      </c>
      <c r="K40" s="52">
        <f>10.88*6</f>
        <v>65.28</v>
      </c>
      <c r="L40" s="52">
        <v>84.24</v>
      </c>
      <c r="M40" s="52">
        <v>0</v>
      </c>
      <c r="N40" s="65">
        <f>0.1868*17317.67</f>
        <v>3234.9407559999995</v>
      </c>
      <c r="O40" s="52">
        <v>1039.06</v>
      </c>
      <c r="P40" s="52">
        <v>1600.34</v>
      </c>
      <c r="Q40" s="52">
        <v>1600.34</v>
      </c>
      <c r="R40" s="58"/>
    </row>
    <row r="41" spans="1:19" s="8" customFormat="1">
      <c r="A41" s="28"/>
      <c r="D41" s="57">
        <f>SUM(D33:D40)</f>
        <v>255714.38</v>
      </c>
      <c r="E41" s="57">
        <f t="shared" ref="E41:Q41" si="16">SUM(E33:E40)</f>
        <v>102742.16</v>
      </c>
      <c r="F41" s="57">
        <f t="shared" si="16"/>
        <v>0</v>
      </c>
      <c r="G41" s="57">
        <f t="shared" si="16"/>
        <v>2542.77</v>
      </c>
      <c r="H41" s="57">
        <f t="shared" si="16"/>
        <v>951.07999999999993</v>
      </c>
      <c r="I41" s="57">
        <f t="shared" si="16"/>
        <v>422.45</v>
      </c>
      <c r="J41" s="57">
        <f t="shared" si="16"/>
        <v>567.19000000000005</v>
      </c>
      <c r="K41" s="57">
        <f t="shared" si="16"/>
        <v>772.4799999999999</v>
      </c>
      <c r="L41" s="57">
        <f t="shared" si="16"/>
        <v>1038.4999999999998</v>
      </c>
      <c r="M41" s="57">
        <f t="shared" si="16"/>
        <v>1515.42</v>
      </c>
      <c r="N41" s="57">
        <f t="shared" si="16"/>
        <v>46515.964639999998</v>
      </c>
      <c r="O41" s="57">
        <f t="shared" si="16"/>
        <v>13197.399999999998</v>
      </c>
      <c r="P41" s="57">
        <f t="shared" si="16"/>
        <v>18693.080000000002</v>
      </c>
      <c r="Q41" s="57">
        <f t="shared" si="16"/>
        <v>18693.080000000002</v>
      </c>
    </row>
    <row r="42" spans="1:19">
      <c r="B42" s="9"/>
      <c r="C42" s="9"/>
      <c r="D42" s="9"/>
    </row>
    <row r="43" spans="1:19">
      <c r="H43" s="3"/>
    </row>
    <row r="44" spans="1:19">
      <c r="B44" s="18"/>
      <c r="C44" s="18"/>
      <c r="D44" s="18"/>
      <c r="H44" s="3"/>
    </row>
    <row r="45" spans="1:19">
      <c r="B45" s="9"/>
      <c r="C45" s="9"/>
      <c r="D45" s="9"/>
    </row>
    <row r="51" spans="5:5" ht="15">
      <c r="E51"/>
    </row>
  </sheetData>
  <sortState ref="B31:K38">
    <sortCondition ref="B31:B38"/>
  </sortState>
  <mergeCells count="12">
    <mergeCell ref="P6:Q6"/>
    <mergeCell ref="A2:Q2"/>
    <mergeCell ref="A3:Q3"/>
    <mergeCell ref="E6:F6"/>
    <mergeCell ref="G6:H6"/>
    <mergeCell ref="I6:J6"/>
    <mergeCell ref="K6:L6"/>
    <mergeCell ref="N6:O6"/>
    <mergeCell ref="A8:B8"/>
    <mergeCell ref="A18:B18"/>
    <mergeCell ref="A25:B25"/>
    <mergeCell ref="A32:B32"/>
  </mergeCells>
  <pageMargins left="0.15" right="0.15" top="0.51" bottom="0.5" header="0.3" footer="0.3"/>
  <pageSetup scale="74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workbookViewId="0">
      <selection activeCell="M22" sqref="M22"/>
    </sheetView>
  </sheetViews>
  <sheetFormatPr defaultRowHeight="12.75"/>
  <cols>
    <col min="1" max="1" width="3.42578125" style="1" customWidth="1"/>
    <col min="2" max="2" width="10.42578125" style="3" customWidth="1"/>
    <col min="3" max="3" width="18.140625" style="3" customWidth="1"/>
    <col min="4" max="4" width="22" style="3" hidden="1" customWidth="1"/>
    <col min="5" max="5" width="12" style="3" customWidth="1"/>
    <col min="6" max="6" width="9.140625" style="3" customWidth="1"/>
    <col min="7" max="10" width="9.140625" style="3" hidden="1" customWidth="1"/>
    <col min="11" max="11" width="9.140625" style="45"/>
    <col min="12" max="12" width="11.140625" style="45" customWidth="1"/>
    <col min="13" max="13" width="10" style="45" bestFit="1" customWidth="1"/>
    <col min="14" max="14" width="12.85546875" style="45" customWidth="1"/>
    <col min="15" max="15" width="11" style="45" customWidth="1"/>
    <col min="16" max="16" width="12.5703125" style="45" customWidth="1"/>
    <col min="17" max="17" width="10.85546875" style="45" customWidth="1"/>
    <col min="18" max="18" width="9.140625" style="3"/>
    <col min="19" max="19" width="11" style="3" bestFit="1" customWidth="1"/>
    <col min="20" max="16384" width="9.140625" style="3"/>
  </cols>
  <sheetData>
    <row r="1" spans="1:21">
      <c r="A1" s="23" t="str">
        <f>'2019'!A1</f>
        <v>PSC Question 11</v>
      </c>
      <c r="B1" s="2"/>
      <c r="C1" s="2"/>
      <c r="D1" s="2"/>
    </row>
    <row r="2" spans="1:21" s="8" customFormat="1" ht="15.75">
      <c r="A2" s="36" t="str">
        <f>'2017'!A2:C2</f>
        <v>Princeton Water &amp; Wastewater Employee Benefits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S2" s="3"/>
      <c r="T2" s="3"/>
      <c r="U2" s="3"/>
    </row>
    <row r="3" spans="1:21" s="8" customFormat="1" ht="15.7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3"/>
      <c r="T3" s="3"/>
      <c r="U3" s="3"/>
    </row>
    <row r="5" spans="1:21" ht="13.5" thickBot="1"/>
    <row r="6" spans="1:21">
      <c r="D6" s="66" t="s">
        <v>47</v>
      </c>
      <c r="E6" s="41" t="s">
        <v>36</v>
      </c>
      <c r="F6" s="42"/>
      <c r="G6" s="41" t="s">
        <v>39</v>
      </c>
      <c r="H6" s="42"/>
      <c r="I6" s="41" t="s">
        <v>40</v>
      </c>
      <c r="J6" s="42"/>
      <c r="K6" s="48" t="s">
        <v>44</v>
      </c>
      <c r="L6" s="49"/>
      <c r="M6" s="59" t="s">
        <v>43</v>
      </c>
      <c r="N6" s="48" t="s">
        <v>41</v>
      </c>
      <c r="O6" s="49"/>
      <c r="P6" s="48" t="s">
        <v>42</v>
      </c>
      <c r="Q6" s="49"/>
    </row>
    <row r="7" spans="1:21" s="5" customFormat="1" ht="13.5" thickBot="1">
      <c r="A7" s="21"/>
      <c r="B7" s="21" t="s">
        <v>1</v>
      </c>
      <c r="C7" s="21"/>
      <c r="D7" s="67" t="s">
        <v>46</v>
      </c>
      <c r="E7" s="43" t="s">
        <v>37</v>
      </c>
      <c r="F7" s="44" t="s">
        <v>38</v>
      </c>
      <c r="G7" s="43" t="s">
        <v>37</v>
      </c>
      <c r="H7" s="44" t="s">
        <v>38</v>
      </c>
      <c r="I7" s="43" t="s">
        <v>37</v>
      </c>
      <c r="J7" s="44" t="s">
        <v>38</v>
      </c>
      <c r="K7" s="50" t="s">
        <v>37</v>
      </c>
      <c r="L7" s="51" t="s">
        <v>38</v>
      </c>
      <c r="M7" s="51" t="s">
        <v>38</v>
      </c>
      <c r="N7" s="50" t="s">
        <v>37</v>
      </c>
      <c r="O7" s="51" t="s">
        <v>38</v>
      </c>
      <c r="P7" s="50" t="s">
        <v>37</v>
      </c>
      <c r="Q7" s="51" t="s">
        <v>38</v>
      </c>
      <c r="S7" s="3"/>
      <c r="T7" s="3"/>
      <c r="U7" s="3"/>
    </row>
    <row r="8" spans="1:21">
      <c r="A8" s="40" t="s">
        <v>2</v>
      </c>
      <c r="B8" s="40"/>
      <c r="C8" s="6"/>
      <c r="D8" s="30"/>
    </row>
    <row r="9" spans="1:21">
      <c r="B9" s="4">
        <v>155</v>
      </c>
      <c r="C9" s="3" t="s">
        <v>5</v>
      </c>
      <c r="D9" s="45">
        <v>28624.11</v>
      </c>
      <c r="E9" s="45">
        <f>(1283*6)+(7.34*6)</f>
        <v>7742.04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f>10.88*6</f>
        <v>65.28</v>
      </c>
      <c r="L9" s="45">
        <v>86.4</v>
      </c>
      <c r="M9" s="45">
        <v>0</v>
      </c>
      <c r="N9" s="45">
        <f>0.1706*20632.2</f>
        <v>3519.8533200000002</v>
      </c>
      <c r="O9" s="45">
        <v>1031.6099999999999</v>
      </c>
      <c r="P9" s="45">
        <v>2111</v>
      </c>
      <c r="Q9" s="45">
        <v>2111</v>
      </c>
      <c r="S9" s="58"/>
    </row>
    <row r="10" spans="1:21">
      <c r="B10" s="4">
        <v>171</v>
      </c>
      <c r="C10" s="3" t="s">
        <v>4</v>
      </c>
      <c r="D10" s="45">
        <v>65312.56</v>
      </c>
      <c r="E10" s="45">
        <f>(1432*6)+(967*6)+(7.34*12)</f>
        <v>14482.08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f t="shared" ref="K10:K13" si="0">10.88*12</f>
        <v>130.56</v>
      </c>
      <c r="L10" s="45">
        <v>140.4</v>
      </c>
      <c r="M10" s="45">
        <v>1560</v>
      </c>
      <c r="N10" s="45">
        <f t="shared" ref="N10:N13" si="1">0.1706*D10</f>
        <v>11142.322736</v>
      </c>
      <c r="O10" s="45">
        <v>3265.68</v>
      </c>
      <c r="P10" s="45">
        <v>4746.79</v>
      </c>
      <c r="Q10" s="45">
        <v>4746.79</v>
      </c>
    </row>
    <row r="11" spans="1:21">
      <c r="B11" s="4">
        <v>186</v>
      </c>
      <c r="C11" s="3" t="s">
        <v>18</v>
      </c>
      <c r="D11" s="45">
        <v>36706.629999999997</v>
      </c>
      <c r="E11" s="45">
        <f>(1432*6)+(1447*6)+(7.34*12)</f>
        <v>17362.080000000002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f t="shared" si="0"/>
        <v>130.56</v>
      </c>
      <c r="L11" s="45">
        <v>349.96000000000004</v>
      </c>
      <c r="M11" s="45">
        <v>0</v>
      </c>
      <c r="N11" s="45">
        <f t="shared" si="1"/>
        <v>6262.1510779999999</v>
      </c>
      <c r="O11" s="45">
        <v>1835.33</v>
      </c>
      <c r="P11" s="45">
        <v>2667.52</v>
      </c>
      <c r="Q11" s="45">
        <v>2667.52</v>
      </c>
    </row>
    <row r="12" spans="1:21">
      <c r="B12" s="4">
        <v>193</v>
      </c>
      <c r="C12" s="3" t="s">
        <v>3</v>
      </c>
      <c r="D12" s="45">
        <v>39356.14</v>
      </c>
      <c r="E12" s="45">
        <f>(1432*6)+(1303*6)+(7.34*12)</f>
        <v>16498.080000000002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f t="shared" si="0"/>
        <v>130.56</v>
      </c>
      <c r="L12" s="45">
        <v>430.03999999999996</v>
      </c>
      <c r="M12" s="45">
        <v>1040</v>
      </c>
      <c r="N12" s="45">
        <f t="shared" si="1"/>
        <v>6714.1574840000003</v>
      </c>
      <c r="O12" s="45">
        <v>1968.03</v>
      </c>
      <c r="P12" s="45">
        <v>2773.16</v>
      </c>
      <c r="Q12" s="45">
        <v>2773.16</v>
      </c>
    </row>
    <row r="13" spans="1:21">
      <c r="B13" s="4">
        <v>198</v>
      </c>
      <c r="C13" s="3" t="s">
        <v>7</v>
      </c>
      <c r="D13" s="45">
        <v>30546.5</v>
      </c>
      <c r="E13" s="45">
        <f>(175*12)+(7.34*12)</f>
        <v>2188.08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f t="shared" si="0"/>
        <v>130.56</v>
      </c>
      <c r="L13" s="45">
        <v>10.8</v>
      </c>
      <c r="M13" s="45">
        <v>0</v>
      </c>
      <c r="N13" s="45">
        <f t="shared" si="1"/>
        <v>5211.2329</v>
      </c>
      <c r="O13" s="45">
        <v>1832.8</v>
      </c>
      <c r="P13" s="45">
        <v>2196.46</v>
      </c>
      <c r="Q13" s="45">
        <v>2196.46</v>
      </c>
    </row>
    <row r="14" spans="1:21">
      <c r="B14" s="4">
        <v>201</v>
      </c>
      <c r="C14" s="3" t="s">
        <v>6</v>
      </c>
      <c r="D14" s="52">
        <v>11580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885.89</v>
      </c>
      <c r="Q14" s="52">
        <v>885.89</v>
      </c>
    </row>
    <row r="15" spans="1:21" s="8" customFormat="1">
      <c r="A15" s="7"/>
      <c r="D15" s="57">
        <f>SUM(D9:D14)</f>
        <v>212125.94</v>
      </c>
      <c r="E15" s="57">
        <f t="shared" ref="E15:Q15" si="2">SUM(E9:E14)</f>
        <v>58272.36</v>
      </c>
      <c r="F15" s="57">
        <f t="shared" si="2"/>
        <v>0</v>
      </c>
      <c r="G15" s="57">
        <f t="shared" si="2"/>
        <v>0</v>
      </c>
      <c r="H15" s="57">
        <f t="shared" si="2"/>
        <v>0</v>
      </c>
      <c r="I15" s="57">
        <f t="shared" si="2"/>
        <v>0</v>
      </c>
      <c r="J15" s="57">
        <f t="shared" si="2"/>
        <v>0</v>
      </c>
      <c r="K15" s="57">
        <f t="shared" si="2"/>
        <v>587.52</v>
      </c>
      <c r="L15" s="57">
        <f t="shared" si="2"/>
        <v>1017.5999999999999</v>
      </c>
      <c r="M15" s="57">
        <f t="shared" si="2"/>
        <v>2600</v>
      </c>
      <c r="N15" s="57">
        <f t="shared" si="2"/>
        <v>32849.717517999998</v>
      </c>
      <c r="O15" s="57">
        <f t="shared" si="2"/>
        <v>9933.4499999999989</v>
      </c>
      <c r="P15" s="57">
        <f t="shared" si="2"/>
        <v>15380.82</v>
      </c>
      <c r="Q15" s="57">
        <f t="shared" si="2"/>
        <v>15380.82</v>
      </c>
      <c r="S15" s="3"/>
      <c r="T15" s="3"/>
      <c r="U15" s="3"/>
    </row>
    <row r="16" spans="1:21" s="12" customFormat="1">
      <c r="A16" s="10"/>
      <c r="B16" s="11"/>
      <c r="C16" s="11"/>
      <c r="D16" s="11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S16" s="3"/>
      <c r="T16" s="3"/>
      <c r="U16" s="3"/>
    </row>
    <row r="17" spans="1:21">
      <c r="A17" s="34" t="s">
        <v>0</v>
      </c>
      <c r="B17" s="34"/>
      <c r="C17" s="5"/>
      <c r="D17" s="31"/>
      <c r="E17" s="45"/>
      <c r="F17" s="45"/>
      <c r="G17" s="45"/>
      <c r="H17" s="45"/>
      <c r="I17" s="45"/>
      <c r="J17" s="45"/>
    </row>
    <row r="18" spans="1:21">
      <c r="B18" s="4">
        <v>115</v>
      </c>
      <c r="C18" s="3" t="s">
        <v>10</v>
      </c>
      <c r="D18" s="46">
        <v>44869.62</v>
      </c>
      <c r="E18" s="45">
        <f t="shared" ref="E18:E19" si="3">(1432*6)+(1447*6)+(7.34*12)</f>
        <v>17362.080000000002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f t="shared" ref="K18:K21" si="4">10.88*12</f>
        <v>130.56</v>
      </c>
      <c r="L18" s="45">
        <v>0</v>
      </c>
      <c r="M18" s="45">
        <v>0</v>
      </c>
      <c r="N18" s="45">
        <f t="shared" ref="N18:N21" si="5">0.1706*D18</f>
        <v>7654.7571720000005</v>
      </c>
      <c r="O18" s="45">
        <v>2243.4699999999998</v>
      </c>
      <c r="P18" s="45">
        <v>3260.92</v>
      </c>
      <c r="Q18" s="45">
        <v>3260.92</v>
      </c>
    </row>
    <row r="19" spans="1:21">
      <c r="B19" s="19">
        <v>181</v>
      </c>
      <c r="C19" s="13" t="s">
        <v>51</v>
      </c>
      <c r="D19" s="45">
        <v>39520.019999999997</v>
      </c>
      <c r="E19" s="45">
        <f t="shared" si="3"/>
        <v>17362.080000000002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f t="shared" si="4"/>
        <v>130.56</v>
      </c>
      <c r="L19" s="45">
        <v>147.6</v>
      </c>
      <c r="M19" s="45">
        <v>0</v>
      </c>
      <c r="N19" s="45">
        <f t="shared" si="5"/>
        <v>6742.1154119999992</v>
      </c>
      <c r="O19" s="45">
        <v>1976</v>
      </c>
      <c r="P19" s="45">
        <v>2871.76</v>
      </c>
      <c r="Q19" s="45">
        <v>2871.76</v>
      </c>
    </row>
    <row r="20" spans="1:21">
      <c r="B20" s="4">
        <v>191</v>
      </c>
      <c r="C20" s="3" t="s">
        <v>8</v>
      </c>
      <c r="D20" s="45">
        <v>38533.660000000003</v>
      </c>
      <c r="E20" s="45">
        <f>(1283*6)+(1303*6)+(7.34*12)</f>
        <v>15604.08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f t="shared" si="4"/>
        <v>130.56</v>
      </c>
      <c r="L20" s="45">
        <v>250.12</v>
      </c>
      <c r="M20" s="45">
        <v>0</v>
      </c>
      <c r="N20" s="45">
        <f t="shared" si="5"/>
        <v>6573.8423960000009</v>
      </c>
      <c r="O20" s="45">
        <v>2311.92</v>
      </c>
      <c r="P20" s="45">
        <v>2771.13</v>
      </c>
      <c r="Q20" s="45">
        <v>2771.13</v>
      </c>
    </row>
    <row r="21" spans="1:21">
      <c r="B21" s="4">
        <v>200</v>
      </c>
      <c r="C21" s="3" t="s">
        <v>8</v>
      </c>
      <c r="D21" s="52">
        <v>25700</v>
      </c>
      <c r="E21" s="52">
        <f>(696*6)+(702*0.5)+(7.34*7)</f>
        <v>4578.38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65">
        <f>10.88*7</f>
        <v>76.160000000000011</v>
      </c>
      <c r="L21" s="52">
        <v>127.47</v>
      </c>
      <c r="M21" s="52">
        <v>0</v>
      </c>
      <c r="N21" s="65">
        <f t="shared" si="5"/>
        <v>4384.42</v>
      </c>
      <c r="O21" s="52">
        <v>1542</v>
      </c>
      <c r="P21" s="52">
        <v>1848.1200000000001</v>
      </c>
      <c r="Q21" s="52">
        <v>1848.1200000000001</v>
      </c>
    </row>
    <row r="22" spans="1:21" s="8" customFormat="1">
      <c r="A22" s="7"/>
      <c r="D22" s="57">
        <f>SUM(D18:D21)</f>
        <v>148623.29999999999</v>
      </c>
      <c r="E22" s="57">
        <f t="shared" ref="E22:Q22" si="6">SUM(E18:E21)</f>
        <v>54906.62</v>
      </c>
      <c r="F22" s="57">
        <f t="shared" si="6"/>
        <v>0</v>
      </c>
      <c r="G22" s="57">
        <f t="shared" si="6"/>
        <v>0</v>
      </c>
      <c r="H22" s="57">
        <f t="shared" si="6"/>
        <v>0</v>
      </c>
      <c r="I22" s="57">
        <f t="shared" si="6"/>
        <v>0</v>
      </c>
      <c r="J22" s="57">
        <f t="shared" si="6"/>
        <v>0</v>
      </c>
      <c r="K22" s="57">
        <f t="shared" si="6"/>
        <v>467.84000000000003</v>
      </c>
      <c r="L22" s="57">
        <f t="shared" si="6"/>
        <v>525.19000000000005</v>
      </c>
      <c r="M22" s="57">
        <f t="shared" si="6"/>
        <v>0</v>
      </c>
      <c r="N22" s="57">
        <f t="shared" si="6"/>
        <v>25355.134980000003</v>
      </c>
      <c r="O22" s="57">
        <f t="shared" si="6"/>
        <v>8073.3899999999994</v>
      </c>
      <c r="P22" s="57">
        <f t="shared" si="6"/>
        <v>10751.930000000002</v>
      </c>
      <c r="Q22" s="57">
        <f t="shared" si="6"/>
        <v>10751.930000000002</v>
      </c>
      <c r="S22" s="3"/>
      <c r="T22" s="3"/>
      <c r="U22" s="3"/>
    </row>
    <row r="23" spans="1:21" s="12" customFormat="1">
      <c r="A23" s="10"/>
      <c r="E23" s="45"/>
      <c r="F23" s="9"/>
      <c r="G23" s="9"/>
      <c r="H23" s="9"/>
      <c r="I23" s="9"/>
      <c r="J23" s="9"/>
      <c r="K23" s="9"/>
      <c r="L23" s="9"/>
      <c r="M23" s="9"/>
      <c r="N23" s="9"/>
      <c r="O23" s="46"/>
      <c r="P23" s="46"/>
      <c r="Q23" s="46"/>
      <c r="S23" s="3"/>
      <c r="T23" s="3"/>
      <c r="U23" s="3"/>
    </row>
    <row r="24" spans="1:21">
      <c r="A24" s="34" t="s">
        <v>11</v>
      </c>
      <c r="B24" s="34"/>
      <c r="C24" s="5"/>
      <c r="D24" s="31"/>
      <c r="E24" s="45"/>
      <c r="F24" s="46"/>
      <c r="G24" s="46"/>
      <c r="H24" s="46"/>
      <c r="I24" s="46"/>
      <c r="J24" s="46"/>
      <c r="K24" s="46"/>
      <c r="L24" s="46"/>
      <c r="M24" s="46"/>
      <c r="N24" s="46"/>
    </row>
    <row r="25" spans="1:21">
      <c r="A25" s="7"/>
      <c r="B25" s="4">
        <v>162</v>
      </c>
      <c r="C25" s="3" t="s">
        <v>49</v>
      </c>
      <c r="D25" s="45">
        <v>40594.33</v>
      </c>
      <c r="E25" s="45">
        <f>(1283*6)+(1303*6)+(7.34*12)</f>
        <v>15604.08</v>
      </c>
      <c r="F25" s="45"/>
      <c r="G25" s="45">
        <v>0</v>
      </c>
      <c r="H25" s="45">
        <v>0</v>
      </c>
      <c r="I25" s="45">
        <v>0</v>
      </c>
      <c r="J25" s="45">
        <v>0</v>
      </c>
      <c r="K25" s="45">
        <f t="shared" ref="K25:K28" si="7">10.88*12</f>
        <v>130.56</v>
      </c>
      <c r="L25" s="45">
        <v>1038.96</v>
      </c>
      <c r="M25" s="45">
        <v>160</v>
      </c>
      <c r="N25" s="45">
        <f t="shared" ref="N25:N28" si="8">0.1706*D25</f>
        <v>6925.3926980000006</v>
      </c>
      <c r="O25" s="45">
        <v>2029.7</v>
      </c>
      <c r="P25" s="45">
        <v>2950.3</v>
      </c>
      <c r="Q25" s="45">
        <v>2950.3</v>
      </c>
    </row>
    <row r="26" spans="1:21">
      <c r="A26" s="7"/>
      <c r="B26" s="4">
        <v>165</v>
      </c>
      <c r="C26" s="3" t="s">
        <v>13</v>
      </c>
      <c r="D26" s="45">
        <v>46261.88</v>
      </c>
      <c r="E26" s="45">
        <f>(1283*6)+(1303*6)+(7.34*12)</f>
        <v>15604.08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f t="shared" si="7"/>
        <v>130.56</v>
      </c>
      <c r="L26" s="45">
        <v>140.4</v>
      </c>
      <c r="M26" s="45">
        <v>0</v>
      </c>
      <c r="N26" s="45">
        <f t="shared" si="8"/>
        <v>7892.2767279999998</v>
      </c>
      <c r="O26" s="45">
        <v>2313.12</v>
      </c>
      <c r="P26" s="45">
        <v>3361.93</v>
      </c>
      <c r="Q26" s="45">
        <v>3361.93</v>
      </c>
    </row>
    <row r="27" spans="1:21">
      <c r="B27" s="4">
        <v>199</v>
      </c>
      <c r="C27" s="3" t="s">
        <v>12</v>
      </c>
      <c r="D27" s="46">
        <v>29525.51</v>
      </c>
      <c r="E27" s="45">
        <f>(175*12)+(7.34*12)</f>
        <v>2188.08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f t="shared" si="7"/>
        <v>130.56</v>
      </c>
      <c r="L27" s="45">
        <v>0</v>
      </c>
      <c r="M27" s="45">
        <v>0</v>
      </c>
      <c r="N27" s="45">
        <f t="shared" si="8"/>
        <v>5037.0520059999999</v>
      </c>
      <c r="O27" s="45">
        <v>1771.4</v>
      </c>
      <c r="P27" s="45">
        <v>2123.19</v>
      </c>
      <c r="Q27" s="45">
        <v>2123.19</v>
      </c>
    </row>
    <row r="28" spans="1:21">
      <c r="B28" s="4">
        <v>202</v>
      </c>
      <c r="C28" s="3" t="s">
        <v>12</v>
      </c>
      <c r="D28" s="52">
        <v>34817.75</v>
      </c>
      <c r="E28" s="52">
        <f>(696*6)+(702*6)+(7.34*12)</f>
        <v>8476.08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f t="shared" si="7"/>
        <v>130.56</v>
      </c>
      <c r="L28" s="52">
        <v>147.6</v>
      </c>
      <c r="M28" s="52">
        <v>0</v>
      </c>
      <c r="N28" s="52">
        <f t="shared" si="8"/>
        <v>5939.9081500000002</v>
      </c>
      <c r="O28" s="52">
        <v>1841.25</v>
      </c>
      <c r="P28" s="52">
        <v>2522.84</v>
      </c>
      <c r="Q28" s="52">
        <v>2522.84</v>
      </c>
    </row>
    <row r="29" spans="1:21" s="8" customFormat="1">
      <c r="A29" s="7"/>
      <c r="D29" s="57">
        <f>SUM(D25:D28)</f>
        <v>151199.46999999997</v>
      </c>
      <c r="E29" s="57">
        <f t="shared" ref="E29:Q29" si="9">SUM(E25:E28)</f>
        <v>41872.32</v>
      </c>
      <c r="F29" s="57">
        <f t="shared" si="9"/>
        <v>0</v>
      </c>
      <c r="G29" s="57">
        <f t="shared" si="9"/>
        <v>0</v>
      </c>
      <c r="H29" s="57">
        <f t="shared" si="9"/>
        <v>0</v>
      </c>
      <c r="I29" s="57">
        <f t="shared" si="9"/>
        <v>0</v>
      </c>
      <c r="J29" s="57">
        <f t="shared" si="9"/>
        <v>0</v>
      </c>
      <c r="K29" s="57">
        <f t="shared" si="9"/>
        <v>522.24</v>
      </c>
      <c r="L29" s="57">
        <f t="shared" si="9"/>
        <v>1326.96</v>
      </c>
      <c r="M29" s="57">
        <f t="shared" si="9"/>
        <v>160</v>
      </c>
      <c r="N29" s="57">
        <f t="shared" si="9"/>
        <v>25794.629581999998</v>
      </c>
      <c r="O29" s="57">
        <f t="shared" si="9"/>
        <v>7955.4699999999993</v>
      </c>
      <c r="P29" s="57">
        <f t="shared" si="9"/>
        <v>10958.26</v>
      </c>
      <c r="Q29" s="57">
        <f t="shared" si="9"/>
        <v>10958.26</v>
      </c>
      <c r="S29" s="3"/>
      <c r="T29" s="3"/>
      <c r="U29" s="3"/>
    </row>
    <row r="30" spans="1:21" s="12" customFormat="1">
      <c r="A30" s="10"/>
      <c r="B30" s="14"/>
      <c r="C30" s="14"/>
      <c r="D30" s="14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S30" s="3"/>
      <c r="T30" s="3"/>
      <c r="U30" s="3"/>
    </row>
    <row r="31" spans="1:21">
      <c r="A31" s="35" t="s">
        <v>15</v>
      </c>
      <c r="B31" s="35"/>
      <c r="C31" s="15"/>
      <c r="D31" s="32"/>
      <c r="E31" s="45"/>
      <c r="F31" s="45"/>
      <c r="G31" s="45"/>
      <c r="H31" s="45"/>
      <c r="I31" s="45"/>
      <c r="J31" s="45"/>
    </row>
    <row r="32" spans="1:21" s="1" customFormat="1">
      <c r="A32" s="16"/>
      <c r="B32" s="4">
        <v>173</v>
      </c>
      <c r="C32" s="3" t="s">
        <v>20</v>
      </c>
      <c r="D32" s="62">
        <v>43019.28</v>
      </c>
      <c r="E32" s="45">
        <f t="shared" ref="E32:E36" si="10">(1432*6)+(1447*6)+(7.34*12)</f>
        <v>17362.080000000002</v>
      </c>
      <c r="F32" s="47">
        <v>0</v>
      </c>
      <c r="G32" s="45">
        <v>0</v>
      </c>
      <c r="H32" s="45">
        <v>0</v>
      </c>
      <c r="I32" s="45">
        <v>0</v>
      </c>
      <c r="J32" s="45">
        <v>0</v>
      </c>
      <c r="K32" s="45">
        <f t="shared" ref="K32:K39" si="11">10.88*12</f>
        <v>130.56</v>
      </c>
      <c r="L32" s="47">
        <v>179.61</v>
      </c>
      <c r="M32" s="47">
        <v>624</v>
      </c>
      <c r="N32" s="45">
        <f t="shared" ref="N32:N39" si="12">0.1706*D32</f>
        <v>7339.0891679999995</v>
      </c>
      <c r="O32" s="47">
        <v>2150.9499999999998</v>
      </c>
      <c r="P32" s="47">
        <v>3046.8</v>
      </c>
      <c r="Q32" s="47">
        <v>3046.8</v>
      </c>
      <c r="S32" s="3"/>
      <c r="T32" s="3"/>
      <c r="U32" s="3"/>
    </row>
    <row r="33" spans="1:21">
      <c r="B33" s="4">
        <v>175</v>
      </c>
      <c r="C33" s="3" t="s">
        <v>50</v>
      </c>
      <c r="D33" s="62">
        <v>50879.53</v>
      </c>
      <c r="E33" s="45">
        <f t="shared" si="10"/>
        <v>17362.080000000002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f t="shared" si="11"/>
        <v>130.56</v>
      </c>
      <c r="L33" s="45">
        <v>184.12</v>
      </c>
      <c r="M33" s="45">
        <v>0</v>
      </c>
      <c r="N33" s="45">
        <f t="shared" si="12"/>
        <v>8680.0478179999991</v>
      </c>
      <c r="O33" s="45">
        <v>2543.96</v>
      </c>
      <c r="P33" s="45">
        <v>3561.61</v>
      </c>
      <c r="Q33" s="45">
        <v>3561.61</v>
      </c>
    </row>
    <row r="34" spans="1:21">
      <c r="B34" s="4">
        <v>188</v>
      </c>
      <c r="C34" s="3" t="s">
        <v>16</v>
      </c>
      <c r="D34" s="62">
        <v>39910.21</v>
      </c>
      <c r="E34" s="45">
        <f t="shared" si="10"/>
        <v>17362.080000000002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f t="shared" si="11"/>
        <v>130.56</v>
      </c>
      <c r="L34" s="45">
        <v>193.25</v>
      </c>
      <c r="M34" s="45">
        <v>390</v>
      </c>
      <c r="N34" s="45">
        <f t="shared" si="12"/>
        <v>6808.681826</v>
      </c>
      <c r="O34" s="45">
        <v>1995.54</v>
      </c>
      <c r="P34" s="45">
        <v>2900.44</v>
      </c>
      <c r="Q34" s="45">
        <v>2900.44</v>
      </c>
    </row>
    <row r="35" spans="1:21">
      <c r="B35" s="4">
        <v>189</v>
      </c>
      <c r="C35" s="3" t="s">
        <v>16</v>
      </c>
      <c r="D35" s="62">
        <v>39848.199999999997</v>
      </c>
      <c r="E35" s="45">
        <f t="shared" si="10"/>
        <v>17362.080000000002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f t="shared" si="11"/>
        <v>130.56</v>
      </c>
      <c r="L35" s="45">
        <v>193.25</v>
      </c>
      <c r="M35" s="45">
        <v>0</v>
      </c>
      <c r="N35" s="45">
        <f t="shared" si="12"/>
        <v>6798.1029199999994</v>
      </c>
      <c r="O35" s="45">
        <v>1992.45</v>
      </c>
      <c r="P35" s="45">
        <v>2895.96</v>
      </c>
      <c r="Q35" s="45">
        <v>2895.96</v>
      </c>
    </row>
    <row r="36" spans="1:21">
      <c r="B36" s="4">
        <v>192</v>
      </c>
      <c r="C36" s="3" t="s">
        <v>16</v>
      </c>
      <c r="D36" s="62">
        <v>40008.9</v>
      </c>
      <c r="E36" s="45">
        <f t="shared" si="10"/>
        <v>17362.080000000002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f t="shared" si="11"/>
        <v>130.56</v>
      </c>
      <c r="L36" s="45">
        <v>213.24</v>
      </c>
      <c r="M36" s="45">
        <v>0</v>
      </c>
      <c r="N36" s="45">
        <f t="shared" si="12"/>
        <v>6825.5183400000005</v>
      </c>
      <c r="O36" s="45">
        <v>2400.5700000000002</v>
      </c>
      <c r="P36" s="45">
        <v>2877.15</v>
      </c>
      <c r="Q36" s="45">
        <v>2877.15</v>
      </c>
    </row>
    <row r="37" spans="1:21">
      <c r="B37" s="4">
        <v>195</v>
      </c>
      <c r="C37" s="3" t="s">
        <v>16</v>
      </c>
      <c r="D37" s="62">
        <v>30796.240000000002</v>
      </c>
      <c r="E37" s="46">
        <f>(696*6)+(702*3)+(7.34*9)</f>
        <v>6348.06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f>10.88*9</f>
        <v>97.92</v>
      </c>
      <c r="L37" s="45">
        <v>206</v>
      </c>
      <c r="M37" s="45">
        <v>0</v>
      </c>
      <c r="N37" s="45">
        <f t="shared" si="12"/>
        <v>5253.8385440000002</v>
      </c>
      <c r="O37" s="45">
        <v>1833.54</v>
      </c>
      <c r="P37" s="45">
        <v>2215.75</v>
      </c>
      <c r="Q37" s="45">
        <v>2215.75</v>
      </c>
    </row>
    <row r="38" spans="1:21">
      <c r="B38" s="4">
        <v>196</v>
      </c>
      <c r="C38" s="3" t="s">
        <v>16</v>
      </c>
      <c r="D38" s="62">
        <v>658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50.339999999999996</v>
      </c>
      <c r="Q38" s="45">
        <v>50.339999999999996</v>
      </c>
    </row>
    <row r="39" spans="1:21" ht="15">
      <c r="B39" s="19">
        <v>203</v>
      </c>
      <c r="C39" s="16" t="s">
        <v>16</v>
      </c>
      <c r="D39" s="65">
        <v>5640.5</v>
      </c>
      <c r="E39" s="52">
        <f>1283+7.34</f>
        <v>1290.3399999999999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65">
        <f>10.88</f>
        <v>10.88</v>
      </c>
      <c r="L39" s="52">
        <v>36.520000000000003</v>
      </c>
      <c r="M39" s="52">
        <v>0</v>
      </c>
      <c r="N39" s="65">
        <f t="shared" si="12"/>
        <v>962.26930000000004</v>
      </c>
      <c r="O39" s="52">
        <v>338.43999999999994</v>
      </c>
      <c r="P39" s="52">
        <v>405.61</v>
      </c>
      <c r="Q39" s="52">
        <v>405.61</v>
      </c>
      <c r="S39"/>
    </row>
    <row r="40" spans="1:21" s="8" customFormat="1">
      <c r="A40" s="7"/>
      <c r="D40" s="57">
        <f>SUM(D32:D39)</f>
        <v>250760.85999999996</v>
      </c>
      <c r="E40" s="57">
        <f t="shared" ref="E40:Q40" si="13">SUM(E32:E39)</f>
        <v>94448.8</v>
      </c>
      <c r="F40" s="57">
        <f t="shared" si="13"/>
        <v>0</v>
      </c>
      <c r="G40" s="57">
        <f t="shared" si="13"/>
        <v>0</v>
      </c>
      <c r="H40" s="57">
        <f t="shared" si="13"/>
        <v>0</v>
      </c>
      <c r="I40" s="57">
        <f t="shared" si="13"/>
        <v>0</v>
      </c>
      <c r="J40" s="57">
        <f t="shared" si="13"/>
        <v>0</v>
      </c>
      <c r="K40" s="57">
        <f t="shared" si="13"/>
        <v>761.59999999999991</v>
      </c>
      <c r="L40" s="57">
        <f t="shared" si="13"/>
        <v>1205.99</v>
      </c>
      <c r="M40" s="57">
        <f t="shared" si="13"/>
        <v>1014</v>
      </c>
      <c r="N40" s="57">
        <f t="shared" si="13"/>
        <v>42667.547915999996</v>
      </c>
      <c r="O40" s="57">
        <f t="shared" si="13"/>
        <v>13255.449999999999</v>
      </c>
      <c r="P40" s="57">
        <f t="shared" si="13"/>
        <v>17953.66</v>
      </c>
      <c r="Q40" s="57">
        <f t="shared" si="13"/>
        <v>17953.66</v>
      </c>
      <c r="S40" s="3"/>
      <c r="T40" s="3"/>
      <c r="U40" s="3"/>
    </row>
    <row r="41" spans="1:21">
      <c r="B41" s="9"/>
      <c r="C41" s="9"/>
      <c r="D41" s="9"/>
    </row>
    <row r="42" spans="1:21" ht="15">
      <c r="L42" s="60"/>
      <c r="M42" s="60"/>
      <c r="N42" s="60"/>
      <c r="O42" s="60"/>
      <c r="P42" s="60"/>
      <c r="Q42" s="60"/>
    </row>
    <row r="43" spans="1:21" ht="15">
      <c r="B43" s="18"/>
      <c r="C43" s="18"/>
      <c r="D43" s="18"/>
      <c r="L43" s="60"/>
      <c r="M43" s="60"/>
      <c r="N43" s="60"/>
      <c r="O43" s="60"/>
      <c r="P43" s="60"/>
      <c r="Q43" s="60"/>
    </row>
    <row r="44" spans="1:21" ht="15">
      <c r="B44" s="9"/>
      <c r="C44" s="9"/>
      <c r="D44" s="9"/>
      <c r="L44" s="60"/>
      <c r="M44" s="60"/>
      <c r="N44" s="60"/>
      <c r="O44" s="60"/>
      <c r="P44" s="60"/>
      <c r="Q44" s="60"/>
    </row>
    <row r="45" spans="1:21" ht="15">
      <c r="L45" s="60"/>
      <c r="M45" s="60"/>
      <c r="N45" s="60"/>
      <c r="O45" s="60"/>
      <c r="P45" s="60"/>
      <c r="Q45" s="60"/>
    </row>
    <row r="46" spans="1:21" ht="15">
      <c r="L46" s="60"/>
      <c r="M46" s="60"/>
      <c r="N46" s="60"/>
      <c r="O46" s="60"/>
      <c r="P46" s="60"/>
      <c r="Q46" s="60"/>
    </row>
    <row r="47" spans="1:21" ht="15">
      <c r="L47" s="60"/>
      <c r="M47" s="60"/>
      <c r="N47" s="60"/>
      <c r="O47" s="60"/>
      <c r="P47" s="60"/>
      <c r="Q47" s="60"/>
    </row>
    <row r="48" spans="1:21" ht="15">
      <c r="L48" s="60"/>
      <c r="M48" s="60"/>
      <c r="N48" s="60"/>
      <c r="O48" s="60"/>
      <c r="P48" s="60"/>
      <c r="Q48" s="60"/>
    </row>
  </sheetData>
  <sortState ref="B30:I37">
    <sortCondition ref="B30:B37"/>
  </sortState>
  <mergeCells count="12">
    <mergeCell ref="P6:Q6"/>
    <mergeCell ref="A2:Q2"/>
    <mergeCell ref="A3:Q3"/>
    <mergeCell ref="G6:H6"/>
    <mergeCell ref="I6:J6"/>
    <mergeCell ref="K6:L6"/>
    <mergeCell ref="N6:O6"/>
    <mergeCell ref="A8:B8"/>
    <mergeCell ref="A17:B17"/>
    <mergeCell ref="A24:B24"/>
    <mergeCell ref="A31:B31"/>
    <mergeCell ref="E6:F6"/>
  </mergeCells>
  <pageMargins left="0.15" right="0.15" top="0.5" bottom="0.5" header="0.3" footer="0.3"/>
  <pageSetup scale="99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>
      <selection activeCell="K7" sqref="K7"/>
    </sheetView>
  </sheetViews>
  <sheetFormatPr defaultRowHeight="12.75"/>
  <cols>
    <col min="1" max="1" width="5.7109375" style="1" customWidth="1"/>
    <col min="2" max="2" width="10" style="3" bestFit="1" customWidth="1"/>
    <col min="3" max="3" width="22.42578125" style="3" bestFit="1" customWidth="1"/>
    <col min="4" max="4" width="12" style="3" hidden="1" customWidth="1"/>
    <col min="5" max="5" width="12" style="3" bestFit="1" customWidth="1"/>
    <col min="6" max="6" width="8.7109375" style="3" bestFit="1" customWidth="1"/>
    <col min="7" max="7" width="6.42578125" style="3" hidden="1" customWidth="1"/>
    <col min="8" max="8" width="8.7109375" style="3" hidden="1" customWidth="1"/>
    <col min="9" max="9" width="6.42578125" style="3" hidden="1" customWidth="1"/>
    <col min="10" max="10" width="8.7109375" style="3" hidden="1" customWidth="1"/>
    <col min="11" max="11" width="8.5703125" style="3" bestFit="1" customWidth="1"/>
    <col min="12" max="13" width="10" style="3" bestFit="1" customWidth="1"/>
    <col min="14" max="17" width="11" style="45" bestFit="1" customWidth="1"/>
    <col min="18" max="16384" width="9.140625" style="3"/>
  </cols>
  <sheetData>
    <row r="1" spans="1:17" ht="15">
      <c r="A1" s="23" t="s">
        <v>34</v>
      </c>
      <c r="B1" s="2"/>
      <c r="C1" s="2"/>
      <c r="D1" s="2"/>
      <c r="G1"/>
      <c r="H1" s="1"/>
    </row>
    <row r="2" spans="1:17" s="8" customFormat="1" ht="15.75">
      <c r="A2" s="36" t="str">
        <f>'2016'!A2:F2</f>
        <v>Princeton Water &amp; Wastewater Employee Benefits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8" customFormat="1" ht="15.7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7" ht="13.5" thickBot="1"/>
    <row r="6" spans="1:17">
      <c r="D6" s="66">
        <v>2015</v>
      </c>
      <c r="E6" s="41" t="s">
        <v>36</v>
      </c>
      <c r="F6" s="42"/>
      <c r="G6" s="41" t="s">
        <v>39</v>
      </c>
      <c r="H6" s="42"/>
      <c r="I6" s="41" t="s">
        <v>40</v>
      </c>
      <c r="J6" s="42"/>
      <c r="K6" s="41" t="s">
        <v>44</v>
      </c>
      <c r="L6" s="42"/>
      <c r="M6" s="53" t="s">
        <v>43</v>
      </c>
      <c r="N6" s="48" t="s">
        <v>41</v>
      </c>
      <c r="O6" s="49"/>
      <c r="P6" s="48" t="s">
        <v>42</v>
      </c>
      <c r="Q6" s="49"/>
    </row>
    <row r="7" spans="1:17" s="5" customFormat="1" ht="13.5" thickBot="1">
      <c r="A7" s="21"/>
      <c r="B7" s="21" t="s">
        <v>1</v>
      </c>
      <c r="C7" s="21"/>
      <c r="D7" s="67" t="s">
        <v>46</v>
      </c>
      <c r="E7" s="43" t="s">
        <v>37</v>
      </c>
      <c r="F7" s="44" t="s">
        <v>38</v>
      </c>
      <c r="G7" s="43" t="s">
        <v>37</v>
      </c>
      <c r="H7" s="44" t="s">
        <v>38</v>
      </c>
      <c r="I7" s="43" t="s">
        <v>37</v>
      </c>
      <c r="J7" s="44" t="s">
        <v>38</v>
      </c>
      <c r="K7" s="43" t="s">
        <v>37</v>
      </c>
      <c r="L7" s="44" t="s">
        <v>38</v>
      </c>
      <c r="M7" s="44" t="s">
        <v>38</v>
      </c>
      <c r="N7" s="50" t="s">
        <v>37</v>
      </c>
      <c r="O7" s="51" t="s">
        <v>38</v>
      </c>
      <c r="P7" s="50" t="s">
        <v>37</v>
      </c>
      <c r="Q7" s="51" t="s">
        <v>38</v>
      </c>
    </row>
    <row r="8" spans="1:17">
      <c r="A8" s="40" t="s">
        <v>2</v>
      </c>
      <c r="B8" s="40"/>
      <c r="C8" s="6"/>
      <c r="D8" s="30"/>
    </row>
    <row r="9" spans="1:17">
      <c r="B9" s="4">
        <v>135</v>
      </c>
      <c r="C9" s="3" t="s">
        <v>28</v>
      </c>
      <c r="D9" s="45">
        <v>8325.2099999999991</v>
      </c>
      <c r="E9" s="45">
        <f>913+6.26</f>
        <v>919.26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10.88</v>
      </c>
      <c r="L9" s="45">
        <v>18</v>
      </c>
      <c r="M9" s="45">
        <v>25</v>
      </c>
      <c r="N9" s="64">
        <f>0.1767*3238.2</f>
        <v>572.18993999999998</v>
      </c>
      <c r="O9" s="45">
        <v>161.91</v>
      </c>
      <c r="P9" s="45">
        <f>506.12+118.36</f>
        <v>624.48</v>
      </c>
      <c r="Q9" s="45">
        <f>506.12+118.36</f>
        <v>624.48</v>
      </c>
    </row>
    <row r="10" spans="1:17">
      <c r="B10" s="4">
        <v>155</v>
      </c>
      <c r="C10" s="3" t="s">
        <v>5</v>
      </c>
      <c r="D10" s="45">
        <v>39498.28</v>
      </c>
      <c r="E10" s="45">
        <f>(1273*6)+(1283*6)+(6.26*12)</f>
        <v>15411.12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f>10.88*12</f>
        <v>130.56</v>
      </c>
      <c r="L10" s="45">
        <v>122.4</v>
      </c>
      <c r="M10" s="45">
        <v>0</v>
      </c>
      <c r="N10" s="45">
        <f>0.1767*D10</f>
        <v>6979.3460759999998</v>
      </c>
      <c r="O10" s="45">
        <v>1974.91</v>
      </c>
      <c r="P10" s="45">
        <f>2326.24+543.88</f>
        <v>2870.12</v>
      </c>
      <c r="Q10" s="45">
        <f>2326.24+543.88</f>
        <v>2870.12</v>
      </c>
    </row>
    <row r="11" spans="1:17">
      <c r="B11" s="4">
        <v>166</v>
      </c>
      <c r="C11" s="3" t="s">
        <v>29</v>
      </c>
      <c r="D11" s="45">
        <v>31840.28</v>
      </c>
      <c r="E11" s="45">
        <f>(175*10)+(6.26*10)</f>
        <v>1812.6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f>10.88*10</f>
        <v>108.80000000000001</v>
      </c>
      <c r="L11" s="45">
        <f>75.6+177.32</f>
        <v>252.92</v>
      </c>
      <c r="M11" s="45">
        <v>220</v>
      </c>
      <c r="N11" s="64">
        <f t="shared" ref="N11:N14" si="0">0.1767*D11</f>
        <v>5626.1774759999998</v>
      </c>
      <c r="O11" s="45">
        <v>1592.01</v>
      </c>
      <c r="P11" s="45">
        <v>2313.9900000000002</v>
      </c>
      <c r="Q11" s="45">
        <v>2313.9900000000002</v>
      </c>
    </row>
    <row r="12" spans="1:17">
      <c r="B12" s="4">
        <v>171</v>
      </c>
      <c r="C12" s="3" t="s">
        <v>4</v>
      </c>
      <c r="D12" s="45">
        <v>62650.32</v>
      </c>
      <c r="E12" s="45">
        <f t="shared" ref="E12:E14" si="1">(1400*6)+(1432*6)+(6.26*12)</f>
        <v>17067.12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f t="shared" ref="K12:K14" si="2">10.88*12</f>
        <v>130.56</v>
      </c>
      <c r="L12" s="45">
        <v>122.4</v>
      </c>
      <c r="M12" s="45">
        <v>1560</v>
      </c>
      <c r="N12" s="45">
        <f t="shared" si="0"/>
        <v>11070.311544</v>
      </c>
      <c r="O12" s="45">
        <v>3132.62</v>
      </c>
      <c r="P12" s="45">
        <v>4552.91</v>
      </c>
      <c r="Q12" s="45">
        <v>4552.91</v>
      </c>
    </row>
    <row r="13" spans="1:17">
      <c r="B13" s="4">
        <v>186</v>
      </c>
      <c r="C13" s="3" t="s">
        <v>30</v>
      </c>
      <c r="D13" s="45">
        <v>33130.199999999997</v>
      </c>
      <c r="E13" s="45">
        <f t="shared" si="1"/>
        <v>17067.12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f t="shared" si="2"/>
        <v>130.56</v>
      </c>
      <c r="L13" s="45">
        <f>209.56+122.4</f>
        <v>331.96000000000004</v>
      </c>
      <c r="M13" s="45">
        <v>0</v>
      </c>
      <c r="N13" s="45">
        <f t="shared" si="0"/>
        <v>5854.1063399999994</v>
      </c>
      <c r="O13" s="45">
        <v>1656.51</v>
      </c>
      <c r="P13" s="45">
        <v>2407.79</v>
      </c>
      <c r="Q13" s="45">
        <v>2407.79</v>
      </c>
    </row>
    <row r="14" spans="1:17">
      <c r="B14" s="4">
        <v>193</v>
      </c>
      <c r="C14" s="3" t="s">
        <v>3</v>
      </c>
      <c r="D14" s="45">
        <v>34751.4</v>
      </c>
      <c r="E14" s="45">
        <f t="shared" si="1"/>
        <v>17067.12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f t="shared" si="2"/>
        <v>130.56</v>
      </c>
      <c r="L14" s="45">
        <f>235.82+122.4</f>
        <v>358.22</v>
      </c>
      <c r="M14" s="45">
        <v>1040</v>
      </c>
      <c r="N14" s="45">
        <f t="shared" si="0"/>
        <v>6140.5723800000005</v>
      </c>
      <c r="O14" s="45">
        <v>1737.44</v>
      </c>
      <c r="P14" s="45">
        <v>2479.44</v>
      </c>
      <c r="Q14" s="45">
        <v>2479.44</v>
      </c>
    </row>
    <row r="15" spans="1:17">
      <c r="B15" s="4">
        <v>198</v>
      </c>
      <c r="C15" s="3" t="s">
        <v>32</v>
      </c>
      <c r="D15" s="45">
        <v>18382.759999999998</v>
      </c>
      <c r="E15" s="45">
        <f>(175*4)+(6.26*4)</f>
        <v>725.04</v>
      </c>
      <c r="F15" s="9">
        <v>0</v>
      </c>
      <c r="G15" s="45">
        <v>0</v>
      </c>
      <c r="H15" s="45">
        <v>0</v>
      </c>
      <c r="I15" s="45">
        <v>0</v>
      </c>
      <c r="J15" s="45">
        <v>0</v>
      </c>
      <c r="K15" s="45">
        <f>10.88*4</f>
        <v>43.52</v>
      </c>
      <c r="L15" s="9">
        <v>79.2</v>
      </c>
      <c r="M15" s="9">
        <v>0</v>
      </c>
      <c r="N15" s="64">
        <f>0.1767*11566.83</f>
        <v>2043.8588609999999</v>
      </c>
      <c r="O15" s="45">
        <f>578.34+115.67</f>
        <v>694.01</v>
      </c>
      <c r="P15" s="45">
        <v>1353.29</v>
      </c>
      <c r="Q15" s="45">
        <v>1353.29</v>
      </c>
    </row>
    <row r="16" spans="1:17">
      <c r="B16" s="4">
        <v>201</v>
      </c>
      <c r="C16" s="3" t="s">
        <v>31</v>
      </c>
      <c r="D16" s="52">
        <v>480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/>
      <c r="L16" s="52">
        <v>0</v>
      </c>
      <c r="M16" s="52">
        <v>0</v>
      </c>
      <c r="N16" s="52">
        <v>0</v>
      </c>
      <c r="O16" s="52">
        <v>0</v>
      </c>
      <c r="P16" s="52">
        <v>36.72</v>
      </c>
      <c r="Q16" s="52">
        <v>36.72</v>
      </c>
    </row>
    <row r="17" spans="1:17" s="8" customFormat="1">
      <c r="A17" s="28"/>
      <c r="D17" s="9">
        <f>SUM(D9:D16)</f>
        <v>229058.44999999998</v>
      </c>
      <c r="E17" s="9">
        <f t="shared" ref="E17:K17" si="3">SUM(E9:E16)</f>
        <v>70069.37999999999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685.44</v>
      </c>
      <c r="L17" s="9">
        <f>SUM(L9:L16)</f>
        <v>1285.1000000000001</v>
      </c>
      <c r="M17" s="9">
        <f>SUM(M9:M16)</f>
        <v>2845</v>
      </c>
      <c r="N17" s="9">
        <f>SUM(N9:N16)</f>
        <v>38286.562616999996</v>
      </c>
      <c r="O17" s="9">
        <f>SUM(O9:O16)</f>
        <v>10949.41</v>
      </c>
      <c r="P17" s="9">
        <f>SUM(P9:P16)</f>
        <v>16638.740000000002</v>
      </c>
      <c r="Q17" s="9">
        <f>SUM(Q9:Q16)</f>
        <v>16638.740000000002</v>
      </c>
    </row>
    <row r="18" spans="1:17" s="12" customFormat="1">
      <c r="A18" s="10"/>
      <c r="B18" s="11"/>
      <c r="C18" s="11"/>
      <c r="D18" s="11"/>
      <c r="E18" s="45"/>
      <c r="N18" s="45"/>
      <c r="O18" s="45"/>
      <c r="P18" s="46"/>
      <c r="Q18" s="46"/>
    </row>
    <row r="19" spans="1:17">
      <c r="A19" s="34" t="s">
        <v>0</v>
      </c>
      <c r="B19" s="34"/>
      <c r="C19" s="5"/>
      <c r="D19" s="31"/>
      <c r="E19" s="45"/>
    </row>
    <row r="20" spans="1:17">
      <c r="B20" s="4">
        <v>115</v>
      </c>
      <c r="C20" s="3" t="s">
        <v>10</v>
      </c>
      <c r="D20" s="46">
        <v>44450.51</v>
      </c>
      <c r="E20" s="45">
        <f t="shared" ref="E20:E21" si="4">(1400*6)+(1432*6)+(6.26*12)</f>
        <v>17067.12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f t="shared" ref="K20:K22" si="5">10.88*12</f>
        <v>130.56</v>
      </c>
      <c r="L20" s="45">
        <v>0</v>
      </c>
      <c r="M20" s="45">
        <v>0</v>
      </c>
      <c r="N20" s="45">
        <f t="shared" ref="N20:N22" si="6">0.1767*D20</f>
        <v>7854.4051170000002</v>
      </c>
      <c r="O20" s="45">
        <v>2222.56</v>
      </c>
      <c r="P20" s="45">
        <v>3230.2400000000002</v>
      </c>
      <c r="Q20" s="45">
        <v>3230.2400000000002</v>
      </c>
    </row>
    <row r="21" spans="1:17">
      <c r="B21" s="19">
        <v>181</v>
      </c>
      <c r="C21" s="13" t="s">
        <v>9</v>
      </c>
      <c r="D21" s="45">
        <v>45130.17</v>
      </c>
      <c r="E21" s="45">
        <f t="shared" si="4"/>
        <v>17067.12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f t="shared" si="5"/>
        <v>130.56</v>
      </c>
      <c r="L21" s="45">
        <v>122.4</v>
      </c>
      <c r="M21" s="45">
        <v>0</v>
      </c>
      <c r="N21" s="45">
        <f t="shared" si="6"/>
        <v>7974.5010389999998</v>
      </c>
      <c r="O21" s="45">
        <v>2256.52</v>
      </c>
      <c r="P21" s="45">
        <v>3280.05</v>
      </c>
      <c r="Q21" s="45">
        <v>3280.05</v>
      </c>
    </row>
    <row r="22" spans="1:17">
      <c r="B22" s="4">
        <v>191</v>
      </c>
      <c r="C22" s="3" t="s">
        <v>8</v>
      </c>
      <c r="D22" s="45">
        <v>40070.86</v>
      </c>
      <c r="E22" s="45">
        <f>(1273*6)+(1283*6)+(6.26*12)</f>
        <v>15411.12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f t="shared" si="5"/>
        <v>130.56</v>
      </c>
      <c r="L22" s="45">
        <f>109.72+122.4</f>
        <v>232.12</v>
      </c>
      <c r="M22" s="45">
        <v>0</v>
      </c>
      <c r="N22" s="45">
        <f t="shared" si="6"/>
        <v>7080.5209619999996</v>
      </c>
      <c r="O22" s="45">
        <v>2404.17</v>
      </c>
      <c r="P22" s="45">
        <v>2881.5499999999997</v>
      </c>
      <c r="Q22" s="45">
        <v>2881.5499999999997</v>
      </c>
    </row>
    <row r="23" spans="1:17">
      <c r="B23" s="4">
        <v>197</v>
      </c>
      <c r="C23" s="3" t="s">
        <v>33</v>
      </c>
      <c r="D23" s="45">
        <v>2879.13</v>
      </c>
      <c r="E23" s="45">
        <f>1432+6.26</f>
        <v>1438.26</v>
      </c>
      <c r="F23" s="45">
        <v>126.64</v>
      </c>
      <c r="G23" s="45">
        <v>0</v>
      </c>
      <c r="H23" s="45">
        <v>0</v>
      </c>
      <c r="I23" s="45">
        <v>0</v>
      </c>
      <c r="J23" s="45">
        <v>0</v>
      </c>
      <c r="K23" s="45">
        <v>10.88</v>
      </c>
      <c r="L23" s="45">
        <v>14.4</v>
      </c>
      <c r="M23" s="45">
        <v>0</v>
      </c>
      <c r="N23" s="64">
        <f>0.1767*2399.33</f>
        <v>423.961611</v>
      </c>
      <c r="O23" s="9">
        <v>143.96</v>
      </c>
      <c r="P23" s="45">
        <v>199.56</v>
      </c>
      <c r="Q23" s="45">
        <v>199.56</v>
      </c>
    </row>
    <row r="24" spans="1:17">
      <c r="B24" s="4">
        <v>200</v>
      </c>
      <c r="C24" s="3" t="s">
        <v>8</v>
      </c>
      <c r="D24" s="52">
        <v>10928</v>
      </c>
      <c r="E24" s="52">
        <f>689*2+(6.26*2)</f>
        <v>1390.52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65">
        <f>10.88*2</f>
        <v>21.76</v>
      </c>
      <c r="L24" s="52">
        <v>32.4</v>
      </c>
      <c r="M24" s="52">
        <v>0</v>
      </c>
      <c r="N24" s="65">
        <f>5808*0.1767</f>
        <v>1026.2736</v>
      </c>
      <c r="O24" s="52">
        <v>348.47999999999996</v>
      </c>
      <c r="P24" s="52">
        <v>809.32</v>
      </c>
      <c r="Q24" s="52">
        <v>809.32</v>
      </c>
    </row>
    <row r="25" spans="1:17" s="8" customFormat="1">
      <c r="A25" s="28"/>
      <c r="D25" s="9">
        <f>SUM(D20:D24)</f>
        <v>143458.66999999998</v>
      </c>
      <c r="E25" s="9">
        <f t="shared" ref="E25:K25" si="7">SUM(E20:E24)</f>
        <v>52374.14</v>
      </c>
      <c r="F25" s="9">
        <f t="shared" si="7"/>
        <v>126.64</v>
      </c>
      <c r="G25" s="9">
        <f t="shared" si="7"/>
        <v>0</v>
      </c>
      <c r="H25" s="9">
        <f t="shared" si="7"/>
        <v>0</v>
      </c>
      <c r="I25" s="9">
        <f t="shared" si="7"/>
        <v>0</v>
      </c>
      <c r="J25" s="9">
        <f t="shared" si="7"/>
        <v>0</v>
      </c>
      <c r="K25" s="9">
        <f t="shared" si="7"/>
        <v>424.32</v>
      </c>
      <c r="L25" s="9">
        <f>SUM(L20:L24)</f>
        <v>401.31999999999994</v>
      </c>
      <c r="M25" s="9">
        <f t="shared" ref="M25:N25" si="8">SUM(M20:M24)</f>
        <v>0</v>
      </c>
      <c r="N25" s="9">
        <f t="shared" si="8"/>
        <v>24359.662328999999</v>
      </c>
      <c r="O25" s="9">
        <f>SUM(O20:O24)</f>
        <v>7375.69</v>
      </c>
      <c r="P25" s="9">
        <f>SUM(P20:P24)</f>
        <v>10400.719999999999</v>
      </c>
      <c r="Q25" s="9">
        <f>SUM(Q20:Q24)</f>
        <v>10400.719999999999</v>
      </c>
    </row>
    <row r="26" spans="1:17" s="12" customFormat="1">
      <c r="A26" s="10"/>
      <c r="E26" s="45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6"/>
      <c r="Q26" s="46"/>
    </row>
    <row r="27" spans="1:17">
      <c r="A27" s="34" t="s">
        <v>11</v>
      </c>
      <c r="B27" s="34"/>
      <c r="C27" s="5"/>
      <c r="D27" s="31"/>
      <c r="E27" s="45"/>
      <c r="F27" s="45"/>
      <c r="G27" s="45"/>
      <c r="H27" s="45"/>
      <c r="I27" s="45"/>
      <c r="J27" s="45"/>
      <c r="K27" s="45"/>
      <c r="L27" s="45"/>
      <c r="M27" s="45"/>
    </row>
    <row r="28" spans="1:17">
      <c r="A28" s="7"/>
      <c r="B28" s="4">
        <v>162</v>
      </c>
      <c r="C28" s="3" t="s">
        <v>14</v>
      </c>
      <c r="D28" s="45">
        <v>43632.6</v>
      </c>
      <c r="E28" s="45">
        <f t="shared" ref="E28:E29" si="9">(1273*6)+(1283*6)+(6.26*12)</f>
        <v>15411.12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f t="shared" ref="K28:K31" si="10">10.88*12</f>
        <v>130.56</v>
      </c>
      <c r="L28" s="45">
        <v>1020.9599999999999</v>
      </c>
      <c r="M28" s="45">
        <v>520</v>
      </c>
      <c r="N28" s="45">
        <f t="shared" ref="N28:N31" si="11">0.1767*D28</f>
        <v>7709.8804199999995</v>
      </c>
      <c r="O28" s="45">
        <v>2181.6799999999998</v>
      </c>
      <c r="P28" s="45">
        <v>3170.92</v>
      </c>
      <c r="Q28" s="45">
        <v>3170.92</v>
      </c>
    </row>
    <row r="29" spans="1:17">
      <c r="A29" s="7"/>
      <c r="B29" s="4">
        <v>165</v>
      </c>
      <c r="C29" s="3" t="s">
        <v>13</v>
      </c>
      <c r="D29" s="45">
        <v>47770.29</v>
      </c>
      <c r="E29" s="45">
        <f t="shared" si="9"/>
        <v>15411.12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f t="shared" si="10"/>
        <v>130.56</v>
      </c>
      <c r="L29" s="45">
        <v>480.67999999999995</v>
      </c>
      <c r="M29" s="45">
        <v>0</v>
      </c>
      <c r="N29" s="45">
        <f t="shared" si="11"/>
        <v>8441.0102430000006</v>
      </c>
      <c r="O29" s="9">
        <v>2388.5</v>
      </c>
      <c r="P29" s="45">
        <v>3471.73</v>
      </c>
      <c r="Q29" s="45">
        <v>3471.73</v>
      </c>
    </row>
    <row r="30" spans="1:17">
      <c r="A30" s="7"/>
      <c r="B30" s="4">
        <v>177</v>
      </c>
      <c r="C30" s="3" t="s">
        <v>12</v>
      </c>
      <c r="D30" s="45">
        <v>6189.17</v>
      </c>
      <c r="E30" s="45">
        <f>(913*1.5)+(6.26*2)</f>
        <v>1382.02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f>10.88*2</f>
        <v>21.76</v>
      </c>
      <c r="L30" s="45">
        <v>28.8</v>
      </c>
      <c r="M30" s="45">
        <v>0</v>
      </c>
      <c r="N30" s="64">
        <f>4449.2*0.1767</f>
        <v>786.17363999999998</v>
      </c>
      <c r="O30" s="46">
        <v>222.46</v>
      </c>
      <c r="P30" s="45">
        <v>456.51</v>
      </c>
      <c r="Q30" s="45">
        <v>456.51</v>
      </c>
    </row>
    <row r="31" spans="1:17">
      <c r="B31" s="4">
        <v>195</v>
      </c>
      <c r="C31" s="3" t="s">
        <v>12</v>
      </c>
      <c r="D31" s="46">
        <v>36708.699999999997</v>
      </c>
      <c r="E31" s="45">
        <f>(671*6)+(689*6)+(6.26*12)</f>
        <v>8235.1200000000008</v>
      </c>
      <c r="F31" s="45"/>
      <c r="G31" s="45">
        <v>0</v>
      </c>
      <c r="H31" s="45">
        <v>0</v>
      </c>
      <c r="I31" s="45">
        <v>0</v>
      </c>
      <c r="J31" s="45">
        <v>0</v>
      </c>
      <c r="K31" s="45">
        <f t="shared" si="10"/>
        <v>130.56</v>
      </c>
      <c r="L31" s="45">
        <v>206.38</v>
      </c>
      <c r="M31" s="45">
        <v>0</v>
      </c>
      <c r="N31" s="45">
        <f t="shared" si="11"/>
        <v>6486.4272899999996</v>
      </c>
      <c r="O31" s="45">
        <v>2202.63</v>
      </c>
      <c r="P31" s="45">
        <v>2639.48</v>
      </c>
      <c r="Q31" s="45">
        <v>2639.48</v>
      </c>
    </row>
    <row r="32" spans="1:17">
      <c r="B32" s="4">
        <v>199</v>
      </c>
      <c r="C32" s="3" t="s">
        <v>33</v>
      </c>
      <c r="D32" s="52">
        <v>19347.5</v>
      </c>
      <c r="E32" s="52">
        <f>(175*7)+(6.26*7)</f>
        <v>1268.82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f>10.88*7</f>
        <v>76.160000000000011</v>
      </c>
      <c r="L32" s="52">
        <v>0</v>
      </c>
      <c r="M32" s="52">
        <v>0</v>
      </c>
      <c r="N32" s="65">
        <f>0.1767*15970.67</f>
        <v>2822.0173890000001</v>
      </c>
      <c r="O32" s="54">
        <v>958.24</v>
      </c>
      <c r="P32" s="52">
        <v>1406.97</v>
      </c>
      <c r="Q32" s="52">
        <v>1406.97</v>
      </c>
    </row>
    <row r="33" spans="1:17" s="8" customFormat="1">
      <c r="A33" s="28"/>
      <c r="D33" s="9">
        <f>SUM(D28:D32)</f>
        <v>153648.26</v>
      </c>
      <c r="E33" s="9">
        <f t="shared" ref="E33" si="12">SUM(E28:E32)</f>
        <v>41708.200000000004</v>
      </c>
      <c r="F33" s="9">
        <f t="shared" ref="F33" si="13">SUM(F28:F32)</f>
        <v>0</v>
      </c>
      <c r="G33" s="9">
        <f t="shared" ref="G33" si="14">SUM(G28:G32)</f>
        <v>0</v>
      </c>
      <c r="H33" s="9">
        <f t="shared" ref="H33" si="15">SUM(H28:H32)</f>
        <v>0</v>
      </c>
      <c r="I33" s="9">
        <f t="shared" ref="I33" si="16">SUM(I28:I32)</f>
        <v>0</v>
      </c>
      <c r="J33" s="9">
        <f t="shared" ref="J33" si="17">SUM(J28:J32)</f>
        <v>0</v>
      </c>
      <c r="K33" s="9">
        <f t="shared" ref="K33" si="18">SUM(K28:K32)</f>
        <v>489.6</v>
      </c>
      <c r="L33" s="9">
        <f t="shared" ref="L33:Q33" si="19">SUM(L28:L32)</f>
        <v>1736.8199999999997</v>
      </c>
      <c r="M33" s="9">
        <f t="shared" si="19"/>
        <v>520</v>
      </c>
      <c r="N33" s="9">
        <f t="shared" si="19"/>
        <v>26245.508981999999</v>
      </c>
      <c r="O33" s="9">
        <f t="shared" si="19"/>
        <v>7953.51</v>
      </c>
      <c r="P33" s="9">
        <f t="shared" si="19"/>
        <v>11145.609999999999</v>
      </c>
      <c r="Q33" s="9">
        <f t="shared" si="19"/>
        <v>11145.609999999999</v>
      </c>
    </row>
    <row r="34" spans="1:17" s="12" customFormat="1">
      <c r="A34" s="10"/>
      <c r="B34" s="14"/>
      <c r="C34" s="14"/>
      <c r="D34" s="14"/>
      <c r="E34" s="45"/>
      <c r="L34" s="55"/>
      <c r="N34" s="45"/>
      <c r="O34" s="45"/>
      <c r="P34" s="46"/>
      <c r="Q34" s="46"/>
    </row>
    <row r="35" spans="1:17">
      <c r="A35" s="35" t="s">
        <v>15</v>
      </c>
      <c r="B35" s="35"/>
      <c r="C35" s="15"/>
      <c r="D35" s="32"/>
      <c r="E35" s="45"/>
    </row>
    <row r="36" spans="1:17" s="1" customFormat="1">
      <c r="A36" s="16"/>
      <c r="B36" s="4">
        <v>173</v>
      </c>
      <c r="C36" s="3" t="s">
        <v>20</v>
      </c>
      <c r="D36" s="62">
        <v>44014.720000000001</v>
      </c>
      <c r="E36" s="45">
        <f>(1400*6)+(1432*6)+(6.26*12)</f>
        <v>17067.12</v>
      </c>
      <c r="F36" s="47">
        <v>0</v>
      </c>
      <c r="G36" s="45">
        <v>0</v>
      </c>
      <c r="H36" s="45">
        <v>0</v>
      </c>
      <c r="I36" s="45">
        <v>0</v>
      </c>
      <c r="J36" s="45">
        <v>0</v>
      </c>
      <c r="K36" s="45">
        <f t="shared" ref="K36:K41" si="20">10.88*12</f>
        <v>130.56</v>
      </c>
      <c r="L36" s="47">
        <v>122.4</v>
      </c>
      <c r="M36" s="47">
        <v>120</v>
      </c>
      <c r="N36" s="45">
        <f t="shared" ref="N36:N41" si="21">0.1767*D36</f>
        <v>7777.4010239999998</v>
      </c>
      <c r="O36" s="45">
        <v>2200.73</v>
      </c>
      <c r="P36" s="47">
        <v>3107.37</v>
      </c>
      <c r="Q36" s="47">
        <v>3107.37</v>
      </c>
    </row>
    <row r="37" spans="1:17">
      <c r="B37" s="4">
        <v>175</v>
      </c>
      <c r="C37" s="3" t="s">
        <v>19</v>
      </c>
      <c r="D37" s="62">
        <v>52864.34</v>
      </c>
      <c r="E37" s="45">
        <f t="shared" ref="E37:E41" si="22">(1400*6)+(1432*6)+(6.26*12)</f>
        <v>17067.12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f t="shared" si="20"/>
        <v>130.56</v>
      </c>
      <c r="L37" s="45">
        <v>122.4</v>
      </c>
      <c r="M37" s="45">
        <v>0</v>
      </c>
      <c r="N37" s="45">
        <f t="shared" si="21"/>
        <v>9341.1288779999995</v>
      </c>
      <c r="O37" s="45">
        <v>2643.21</v>
      </c>
      <c r="P37" s="45">
        <v>3782.2400000000002</v>
      </c>
      <c r="Q37" s="45">
        <v>3782.2400000000002</v>
      </c>
    </row>
    <row r="38" spans="1:17">
      <c r="B38" s="4">
        <v>188</v>
      </c>
      <c r="C38" s="3" t="s">
        <v>16</v>
      </c>
      <c r="D38" s="62">
        <v>40023.4</v>
      </c>
      <c r="E38" s="45">
        <f t="shared" si="22"/>
        <v>17067.12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f t="shared" si="20"/>
        <v>130.56</v>
      </c>
      <c r="L38" s="45">
        <v>122.4</v>
      </c>
      <c r="M38" s="45">
        <v>390</v>
      </c>
      <c r="N38" s="45">
        <f t="shared" si="21"/>
        <v>7072.1347800000003</v>
      </c>
      <c r="O38" s="45">
        <v>2001.21</v>
      </c>
      <c r="P38" s="45">
        <v>2908.66</v>
      </c>
      <c r="Q38" s="45">
        <v>2908.66</v>
      </c>
    </row>
    <row r="39" spans="1:17">
      <c r="B39" s="4">
        <v>189</v>
      </c>
      <c r="C39" s="3" t="s">
        <v>16</v>
      </c>
      <c r="D39" s="62">
        <v>39835.93</v>
      </c>
      <c r="E39" s="45">
        <f t="shared" si="22"/>
        <v>17067.12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f t="shared" si="20"/>
        <v>130.56</v>
      </c>
      <c r="L39" s="45">
        <v>122.4</v>
      </c>
      <c r="M39" s="45">
        <v>0</v>
      </c>
      <c r="N39" s="45">
        <f t="shared" si="21"/>
        <v>7039.0088310000001</v>
      </c>
      <c r="O39" s="45">
        <v>1991.8</v>
      </c>
      <c r="P39" s="45">
        <v>2895.22</v>
      </c>
      <c r="Q39" s="45">
        <v>2895.22</v>
      </c>
    </row>
    <row r="40" spans="1:17">
      <c r="B40" s="4">
        <v>192</v>
      </c>
      <c r="C40" s="3" t="s">
        <v>16</v>
      </c>
      <c r="D40" s="62">
        <v>40507.25</v>
      </c>
      <c r="E40" s="45">
        <f t="shared" si="22"/>
        <v>17067.12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f t="shared" si="20"/>
        <v>130.56</v>
      </c>
      <c r="L40" s="45">
        <v>152.56</v>
      </c>
      <c r="M40" s="45">
        <v>0</v>
      </c>
      <c r="N40" s="45">
        <f t="shared" si="21"/>
        <v>7157.6310750000002</v>
      </c>
      <c r="O40" s="45">
        <v>2430.41</v>
      </c>
      <c r="P40" s="45">
        <v>2912.66</v>
      </c>
      <c r="Q40" s="45">
        <v>2912.66</v>
      </c>
    </row>
    <row r="41" spans="1:17">
      <c r="B41" s="4">
        <v>196</v>
      </c>
      <c r="C41" s="3" t="s">
        <v>16</v>
      </c>
      <c r="D41" s="65">
        <v>40499.22</v>
      </c>
      <c r="E41" s="52">
        <f t="shared" si="22"/>
        <v>17067.12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f t="shared" si="20"/>
        <v>130.56</v>
      </c>
      <c r="L41" s="52">
        <v>122.4</v>
      </c>
      <c r="M41" s="52"/>
      <c r="N41" s="52">
        <f t="shared" si="21"/>
        <v>7156.2121740000002</v>
      </c>
      <c r="O41" s="52">
        <v>2429.94</v>
      </c>
      <c r="P41" s="52">
        <v>2912.0299999999997</v>
      </c>
      <c r="Q41" s="52">
        <v>2912.0299999999997</v>
      </c>
    </row>
    <row r="42" spans="1:17" s="8" customFormat="1">
      <c r="A42" s="28"/>
      <c r="D42" s="9">
        <f>SUM(D36:D41)</f>
        <v>257744.86</v>
      </c>
      <c r="E42" s="9">
        <f t="shared" ref="E42" si="23">SUM(E36:E41)</f>
        <v>102402.71999999999</v>
      </c>
      <c r="F42" s="9">
        <f t="shared" ref="F42" si="24">SUM(F36:F41)</f>
        <v>0</v>
      </c>
      <c r="G42" s="9">
        <f t="shared" ref="G42" si="25">SUM(G36:G41)</f>
        <v>0</v>
      </c>
      <c r="H42" s="9">
        <f t="shared" ref="H42" si="26">SUM(H36:H41)</f>
        <v>0</v>
      </c>
      <c r="I42" s="9">
        <f t="shared" ref="I42" si="27">SUM(I36:I41)</f>
        <v>0</v>
      </c>
      <c r="J42" s="9">
        <f t="shared" ref="J42" si="28">SUM(J36:J41)</f>
        <v>0</v>
      </c>
      <c r="K42" s="9">
        <f t="shared" ref="K42" si="29">SUM(K36:K41)</f>
        <v>783.3599999999999</v>
      </c>
      <c r="L42" s="9">
        <f t="shared" ref="L42:Q42" si="30">SUM(L36:L41)</f>
        <v>764.56000000000006</v>
      </c>
      <c r="M42" s="9">
        <f t="shared" si="30"/>
        <v>510</v>
      </c>
      <c r="N42" s="9">
        <f t="shared" si="30"/>
        <v>45543.516761999999</v>
      </c>
      <c r="O42" s="9">
        <f t="shared" si="30"/>
        <v>13697.300000000001</v>
      </c>
      <c r="P42" s="9">
        <f t="shared" si="30"/>
        <v>18518.18</v>
      </c>
      <c r="Q42" s="9">
        <f t="shared" si="30"/>
        <v>18518.18</v>
      </c>
    </row>
    <row r="43" spans="1:17" ht="15">
      <c r="B43" s="9"/>
      <c r="C43" s="9"/>
      <c r="D43" s="9"/>
      <c r="F43"/>
      <c r="G43" s="45"/>
      <c r="H43" s="45"/>
      <c r="I43" s="45"/>
      <c r="J43" s="45"/>
      <c r="K43" s="45"/>
      <c r="L43" s="45"/>
      <c r="M43" s="45"/>
    </row>
    <row r="44" spans="1:17" ht="15">
      <c r="G44" s="8"/>
      <c r="I44" s="8"/>
      <c r="J44" s="8"/>
      <c r="K44" s="8"/>
      <c r="L44" s="8"/>
      <c r="M44" s="8"/>
      <c r="Q44"/>
    </row>
    <row r="45" spans="1:17">
      <c r="B45" s="18"/>
      <c r="C45" s="18"/>
      <c r="D45" s="18"/>
    </row>
    <row r="46" spans="1:17">
      <c r="B46" s="9"/>
      <c r="C46" s="9"/>
      <c r="D46" s="9"/>
    </row>
  </sheetData>
  <sortState ref="B28:E32">
    <sortCondition ref="B28:B32"/>
  </sortState>
  <mergeCells count="12">
    <mergeCell ref="G6:H6"/>
    <mergeCell ref="I6:J6"/>
    <mergeCell ref="K6:L6"/>
    <mergeCell ref="N6:O6"/>
    <mergeCell ref="P6:Q6"/>
    <mergeCell ref="A35:B35"/>
    <mergeCell ref="A8:B8"/>
    <mergeCell ref="A19:B19"/>
    <mergeCell ref="A27:B27"/>
    <mergeCell ref="E6:F6"/>
    <mergeCell ref="A2:Q2"/>
    <mergeCell ref="A3:Q3"/>
  </mergeCells>
  <pageMargins left="0.5" right="0.15" top="0.5" bottom="0.5" header="0.3" footer="0.3"/>
  <pageSetup scale="9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2020-01-15T01:50:03Z</cp:lastPrinted>
  <dcterms:created xsi:type="dcterms:W3CDTF">2020-01-13T18:31:01Z</dcterms:created>
  <dcterms:modified xsi:type="dcterms:W3CDTF">2020-01-15T01:50:58Z</dcterms:modified>
</cp:coreProperties>
</file>