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lients\0583 - Caldwell County Water District\Drafts\Responses to Commission Staff DR\"/>
    </mc:Choice>
  </mc:AlternateContent>
  <xr:revisionPtr revIDLastSave="0" documentId="8_{2B606776-7A4B-4C52-AF01-28A9E6B7D117}" xr6:coauthVersionLast="36" xr6:coauthVersionMax="36" xr10:uidLastSave="{00000000-0000-0000-0000-000000000000}"/>
  <bookViews>
    <workbookView xWindow="-15" yWindow="-15" windowWidth="24405" windowHeight="12795" xr2:uid="{00000000-000D-0000-FFFF-FFFF00000000}"/>
  </bookViews>
  <sheets>
    <sheet name="Proforma" sheetId="30" r:id="rId1"/>
    <sheet name="mtrx" sheetId="25" r:id="rId2"/>
    <sheet name="AlocDep" sheetId="17" r:id="rId3"/>
    <sheet name="Debt" sheetId="26" r:id="rId4"/>
    <sheet name="DSalloc" sheetId="27" r:id="rId5"/>
    <sheet name="Sys" sheetId="18" r:id="rId6"/>
    <sheet name="Fac" sheetId="19" r:id="rId7"/>
    <sheet name="Whol" sheetId="16" r:id="rId8"/>
  </sheets>
  <definedNames>
    <definedName name="_xlnm.Print_Area" localSheetId="2">AlocDep!$B$2:$J$22</definedName>
    <definedName name="_xlnm.Print_Area" localSheetId="3">Debt!$B$2:$L$15</definedName>
    <definedName name="_xlnm.Print_Area" localSheetId="4">DSalloc!$B$2:$I$12</definedName>
    <definedName name="_xlnm.Print_Area" localSheetId="6">Fac!$B$2:$J$45</definedName>
    <definedName name="_xlnm.Print_Area" localSheetId="1">mtrx!$A$2:$K$95</definedName>
    <definedName name="_xlnm.Print_Area" localSheetId="5">Sys!$B$2:$H$40</definedName>
    <definedName name="_xlnm.Print_Area" localSheetId="7">Whol!$B$2:$J$35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3" i="25" l="1"/>
  <c r="P14" i="25"/>
  <c r="P15" i="25" l="1"/>
  <c r="G19" i="18"/>
  <c r="G18" i="18"/>
  <c r="E33" i="18" l="1"/>
  <c r="E20" i="18" l="1"/>
  <c r="E15" i="18"/>
  <c r="F21" i="27" l="1"/>
  <c r="F20" i="27"/>
  <c r="H11" i="26"/>
  <c r="H12" i="26"/>
  <c r="F12" i="26"/>
  <c r="D12" i="26"/>
  <c r="F11" i="26"/>
  <c r="D11" i="26"/>
  <c r="F22" i="27" l="1"/>
  <c r="F23" i="27" s="1"/>
  <c r="G21" i="27" s="1"/>
  <c r="D13" i="17"/>
  <c r="G13" i="17" s="1"/>
  <c r="G20" i="17" s="1"/>
  <c r="D10" i="17"/>
  <c r="F10" i="17" s="1"/>
  <c r="D18" i="17"/>
  <c r="D17" i="17"/>
  <c r="F17" i="17" s="1"/>
  <c r="D16" i="17"/>
  <c r="E16" i="17" s="1"/>
  <c r="D15" i="17"/>
  <c r="E15" i="17" s="1"/>
  <c r="D14" i="17"/>
  <c r="E14" i="17" s="1"/>
  <c r="D12" i="17"/>
  <c r="I12" i="17" s="1"/>
  <c r="D11" i="17"/>
  <c r="E11" i="17" s="1"/>
  <c r="S40" i="17"/>
  <c r="S41" i="17" s="1"/>
  <c r="F20" i="17" l="1"/>
  <c r="E20" i="17"/>
  <c r="I17" i="17"/>
  <c r="G20" i="27"/>
  <c r="G22" i="27"/>
  <c r="D20" i="17"/>
  <c r="P85" i="25" l="1"/>
  <c r="Q85" i="25"/>
  <c r="O90" i="25" l="1"/>
  <c r="O9" i="25"/>
  <c r="P8" i="25" s="1"/>
  <c r="C86" i="25"/>
  <c r="C66" i="25"/>
  <c r="C40" i="25"/>
  <c r="G40" i="25" s="1"/>
  <c r="C36" i="25"/>
  <c r="G36" i="25" s="1"/>
  <c r="C35" i="25"/>
  <c r="G35" i="25" s="1"/>
  <c r="C17" i="25"/>
  <c r="C13" i="25"/>
  <c r="R90" i="25" l="1"/>
  <c r="O92" i="25"/>
  <c r="P7" i="25"/>
  <c r="Q88" i="25" l="1"/>
  <c r="Q89" i="25"/>
  <c r="Q90" i="25"/>
  <c r="P90" i="25" s="1"/>
  <c r="P92" i="25" s="1"/>
  <c r="C12" i="25"/>
  <c r="C11" i="25" s="1"/>
  <c r="D11" i="25" s="1"/>
  <c r="Q92" i="25"/>
  <c r="D86" i="25"/>
  <c r="H86" i="25" s="1"/>
  <c r="D66" i="25"/>
  <c r="H66" i="25" s="1"/>
  <c r="D12" i="25" l="1"/>
  <c r="P21" i="25" s="1"/>
  <c r="E86" i="25"/>
  <c r="I86" i="25"/>
  <c r="E11" i="25"/>
  <c r="I11" i="25"/>
  <c r="E66" i="25"/>
  <c r="I66" i="25"/>
  <c r="P20" i="25"/>
  <c r="J12" i="25" l="1"/>
  <c r="P22" i="25"/>
  <c r="E12" i="25"/>
  <c r="Q21" i="25" s="1"/>
  <c r="J11" i="25"/>
  <c r="Q20" i="25"/>
  <c r="Q22" i="25" l="1"/>
  <c r="R22" i="25" s="1"/>
  <c r="Q23" i="25" s="1"/>
  <c r="P25" i="25"/>
  <c r="P26" i="25" s="1"/>
  <c r="P23" i="25" l="1"/>
  <c r="D13" i="25" s="1"/>
  <c r="E13" i="25" s="1"/>
  <c r="L99" i="30"/>
  <c r="G34" i="30"/>
  <c r="G10" i="30"/>
  <c r="G61" i="30"/>
  <c r="I13" i="25" l="1"/>
  <c r="J13" i="25" s="1"/>
  <c r="D17" i="25"/>
  <c r="E17" i="25" s="1"/>
  <c r="E97" i="30"/>
  <c r="D97" i="30"/>
  <c r="C97" i="30"/>
  <c r="F96" i="30"/>
  <c r="H96" i="30" s="1"/>
  <c r="F95" i="30"/>
  <c r="F94" i="30"/>
  <c r="G94" i="30" s="1"/>
  <c r="F93" i="30"/>
  <c r="G93" i="30" s="1"/>
  <c r="E91" i="30"/>
  <c r="D91" i="30"/>
  <c r="C91" i="30"/>
  <c r="H90" i="30"/>
  <c r="C91" i="25" s="1"/>
  <c r="F90" i="30"/>
  <c r="F89" i="30"/>
  <c r="H89" i="30" s="1"/>
  <c r="F88" i="30"/>
  <c r="E85" i="30"/>
  <c r="D85" i="30"/>
  <c r="C85" i="30"/>
  <c r="F84" i="30"/>
  <c r="G84" i="30" s="1"/>
  <c r="F83" i="30"/>
  <c r="H83" i="30" s="1"/>
  <c r="F82" i="30"/>
  <c r="H82" i="30" s="1"/>
  <c r="F81" i="30"/>
  <c r="H81" i="30" s="1"/>
  <c r="F80" i="30"/>
  <c r="H80" i="30" s="1"/>
  <c r="F79" i="30"/>
  <c r="H79" i="30" s="1"/>
  <c r="F78" i="30"/>
  <c r="H78" i="30" s="1"/>
  <c r="F77" i="30"/>
  <c r="H77" i="30" s="1"/>
  <c r="F76" i="30"/>
  <c r="H76" i="30" s="1"/>
  <c r="F75" i="30"/>
  <c r="H75" i="30" s="1"/>
  <c r="F74" i="30"/>
  <c r="H74" i="30" s="1"/>
  <c r="F73" i="30"/>
  <c r="H73" i="30" s="1"/>
  <c r="F72" i="30"/>
  <c r="H72" i="30" s="1"/>
  <c r="F71" i="30"/>
  <c r="H71" i="30" s="1"/>
  <c r="F70" i="30"/>
  <c r="H70" i="30" s="1"/>
  <c r="F69" i="30"/>
  <c r="H69" i="30" s="1"/>
  <c r="F68" i="30"/>
  <c r="H68" i="30" s="1"/>
  <c r="F67" i="30"/>
  <c r="H67" i="30" s="1"/>
  <c r="F66" i="30"/>
  <c r="G66" i="30" s="1"/>
  <c r="H66" i="30" s="1"/>
  <c r="C68" i="25" s="1"/>
  <c r="F65" i="30"/>
  <c r="G65" i="30" s="1"/>
  <c r="F64" i="30"/>
  <c r="F63" i="30"/>
  <c r="H63" i="30" s="1"/>
  <c r="F62" i="30"/>
  <c r="H62" i="30" s="1"/>
  <c r="F61" i="30"/>
  <c r="H61" i="30" s="1"/>
  <c r="F60" i="30"/>
  <c r="H60" i="30" s="1"/>
  <c r="C62" i="25" s="1"/>
  <c r="F59" i="30"/>
  <c r="H59" i="30" s="1"/>
  <c r="E56" i="30"/>
  <c r="D56" i="30"/>
  <c r="C56" i="30"/>
  <c r="F55" i="30"/>
  <c r="H55" i="30" s="1"/>
  <c r="F54" i="30"/>
  <c r="H54" i="30" s="1"/>
  <c r="H53" i="30"/>
  <c r="C56" i="25" s="1"/>
  <c r="G56" i="25" s="1"/>
  <c r="F53" i="30"/>
  <c r="F52" i="30"/>
  <c r="H52" i="30" s="1"/>
  <c r="F51" i="30"/>
  <c r="H51" i="30" s="1"/>
  <c r="F50" i="30"/>
  <c r="H50" i="30" s="1"/>
  <c r="F49" i="30"/>
  <c r="H49" i="30" s="1"/>
  <c r="F48" i="30"/>
  <c r="H48" i="30" s="1"/>
  <c r="F47" i="30"/>
  <c r="H47" i="30" s="1"/>
  <c r="F46" i="30"/>
  <c r="H46" i="30" s="1"/>
  <c r="F45" i="30"/>
  <c r="H45" i="30" s="1"/>
  <c r="F44" i="30"/>
  <c r="H44" i="30" s="1"/>
  <c r="C47" i="25" s="1"/>
  <c r="G47" i="25" s="1"/>
  <c r="F43" i="30"/>
  <c r="H43" i="30" s="1"/>
  <c r="F42" i="30"/>
  <c r="H42" i="30" s="1"/>
  <c r="F41" i="30"/>
  <c r="H41" i="30" s="1"/>
  <c r="F40" i="30"/>
  <c r="H40" i="30" s="1"/>
  <c r="F39" i="30"/>
  <c r="G39" i="30" s="1"/>
  <c r="H39" i="30" s="1"/>
  <c r="C42" i="25" s="1"/>
  <c r="G42" i="25" s="1"/>
  <c r="F38" i="30"/>
  <c r="G38" i="30" s="1"/>
  <c r="N39" i="30" s="1"/>
  <c r="F37" i="30"/>
  <c r="G37" i="30" s="1"/>
  <c r="F36" i="30"/>
  <c r="H36" i="30" s="1"/>
  <c r="F35" i="30"/>
  <c r="H35" i="30" s="1"/>
  <c r="F34" i="30"/>
  <c r="H34" i="30" s="1"/>
  <c r="F33" i="30"/>
  <c r="F32" i="30"/>
  <c r="G32" i="30" s="1"/>
  <c r="E29" i="30"/>
  <c r="D29" i="30"/>
  <c r="C29" i="30"/>
  <c r="F28" i="30"/>
  <c r="H28" i="30" s="1"/>
  <c r="F27" i="30"/>
  <c r="H27" i="30" s="1"/>
  <c r="F26" i="30"/>
  <c r="H26" i="30" s="1"/>
  <c r="F25" i="30"/>
  <c r="H25" i="30" s="1"/>
  <c r="F24" i="30"/>
  <c r="H24" i="30" s="1"/>
  <c r="F23" i="30"/>
  <c r="H23" i="30" s="1"/>
  <c r="F22" i="30"/>
  <c r="H22" i="30" s="1"/>
  <c r="F21" i="30"/>
  <c r="H21" i="30" s="1"/>
  <c r="F20" i="30"/>
  <c r="H20" i="30" s="1"/>
  <c r="F19" i="30"/>
  <c r="H19" i="30" s="1"/>
  <c r="F18" i="30"/>
  <c r="H18" i="30" s="1"/>
  <c r="F17" i="30"/>
  <c r="H17" i="30" s="1"/>
  <c r="F16" i="30"/>
  <c r="H16" i="30" s="1"/>
  <c r="F15" i="30"/>
  <c r="F14" i="30"/>
  <c r="G14" i="30" s="1"/>
  <c r="F13" i="30"/>
  <c r="G13" i="30" s="1"/>
  <c r="F12" i="30"/>
  <c r="H12" i="30" s="1"/>
  <c r="F11" i="30"/>
  <c r="H11" i="30" s="1"/>
  <c r="F10" i="30"/>
  <c r="H10" i="30" s="1"/>
  <c r="F9" i="30"/>
  <c r="F8" i="30"/>
  <c r="H65" i="30" l="1"/>
  <c r="C67" i="25" s="1"/>
  <c r="N66" i="30"/>
  <c r="H14" i="30"/>
  <c r="C18" i="25" s="1"/>
  <c r="D18" i="25" s="1"/>
  <c r="E18" i="25" s="1"/>
  <c r="N15" i="30"/>
  <c r="L100" i="30" s="1"/>
  <c r="L101" i="30" s="1"/>
  <c r="I17" i="25"/>
  <c r="J17" i="25" s="1"/>
  <c r="G18" i="30"/>
  <c r="C22" i="25"/>
  <c r="G42" i="30"/>
  <c r="C45" i="25"/>
  <c r="G45" i="25" s="1"/>
  <c r="G46" i="30"/>
  <c r="C49" i="25"/>
  <c r="G49" i="25" s="1"/>
  <c r="G50" i="30"/>
  <c r="C53" i="25"/>
  <c r="G53" i="25" s="1"/>
  <c r="O61" i="30"/>
  <c r="C63" i="25"/>
  <c r="D67" i="25"/>
  <c r="E67" i="25" s="1"/>
  <c r="G69" i="30"/>
  <c r="C71" i="25"/>
  <c r="G73" i="30"/>
  <c r="C75" i="25"/>
  <c r="G77" i="30"/>
  <c r="C79" i="25"/>
  <c r="G81" i="30"/>
  <c r="C83" i="25"/>
  <c r="G89" i="30"/>
  <c r="C90" i="25"/>
  <c r="O10" i="30"/>
  <c r="C14" i="25"/>
  <c r="G26" i="30"/>
  <c r="C30" i="25"/>
  <c r="G41" i="30"/>
  <c r="C44" i="25"/>
  <c r="G44" i="25" s="1"/>
  <c r="G45" i="30"/>
  <c r="C48" i="25"/>
  <c r="G48" i="25" s="1"/>
  <c r="G49" i="30"/>
  <c r="C52" i="25"/>
  <c r="G52" i="25" s="1"/>
  <c r="D62" i="25"/>
  <c r="E62" i="25" s="1"/>
  <c r="G68" i="30"/>
  <c r="C70" i="25"/>
  <c r="G72" i="30"/>
  <c r="C74" i="25"/>
  <c r="G76" i="30"/>
  <c r="C78" i="25"/>
  <c r="G80" i="30"/>
  <c r="C82" i="25"/>
  <c r="G22" i="30"/>
  <c r="C26" i="25"/>
  <c r="G17" i="30"/>
  <c r="C21" i="25"/>
  <c r="G25" i="30"/>
  <c r="C29" i="25"/>
  <c r="G12" i="30"/>
  <c r="C16" i="25"/>
  <c r="G20" i="30"/>
  <c r="C24" i="25"/>
  <c r="G40" i="30"/>
  <c r="C43" i="25"/>
  <c r="G43" i="25" s="1"/>
  <c r="G48" i="30"/>
  <c r="C51" i="25"/>
  <c r="G51" i="25" s="1"/>
  <c r="G52" i="30"/>
  <c r="C55" i="25"/>
  <c r="G55" i="25" s="1"/>
  <c r="G55" i="30"/>
  <c r="C58" i="25"/>
  <c r="G58" i="25" s="1"/>
  <c r="G63" i="30"/>
  <c r="C65" i="25"/>
  <c r="G67" i="30"/>
  <c r="C69" i="25"/>
  <c r="G71" i="30"/>
  <c r="C73" i="25"/>
  <c r="G75" i="30"/>
  <c r="C77" i="25"/>
  <c r="G79" i="30"/>
  <c r="C81" i="25"/>
  <c r="G83" i="30"/>
  <c r="C85" i="25"/>
  <c r="D91" i="25"/>
  <c r="J91" i="25" s="1"/>
  <c r="O34" i="30"/>
  <c r="C37" i="25"/>
  <c r="G21" i="30"/>
  <c r="C25" i="25"/>
  <c r="G16" i="30"/>
  <c r="C20" i="25"/>
  <c r="G24" i="30"/>
  <c r="C28" i="25"/>
  <c r="G28" i="30"/>
  <c r="C32" i="25"/>
  <c r="G36" i="30"/>
  <c r="C39" i="25"/>
  <c r="G39" i="25" s="1"/>
  <c r="G11" i="30"/>
  <c r="C15" i="25"/>
  <c r="G19" i="30"/>
  <c r="C23" i="25"/>
  <c r="G23" i="30"/>
  <c r="C27" i="25"/>
  <c r="G27" i="30"/>
  <c r="C31" i="25"/>
  <c r="G35" i="30"/>
  <c r="C38" i="25"/>
  <c r="G38" i="25" s="1"/>
  <c r="G43" i="30"/>
  <c r="C46" i="25"/>
  <c r="G46" i="25" s="1"/>
  <c r="G47" i="30"/>
  <c r="C50" i="25"/>
  <c r="G50" i="25" s="1"/>
  <c r="G51" i="30"/>
  <c r="C54" i="25"/>
  <c r="G54" i="25" s="1"/>
  <c r="G54" i="30"/>
  <c r="C57" i="25"/>
  <c r="G57" i="25" s="1"/>
  <c r="G62" i="30"/>
  <c r="C64" i="25"/>
  <c r="D68" i="25"/>
  <c r="G70" i="30"/>
  <c r="C72" i="25"/>
  <c r="G74" i="30"/>
  <c r="C76" i="25"/>
  <c r="G78" i="30"/>
  <c r="C80" i="25"/>
  <c r="G82" i="30"/>
  <c r="C84" i="25"/>
  <c r="F85" i="30"/>
  <c r="H38" i="30"/>
  <c r="G53" i="30"/>
  <c r="G15" i="30"/>
  <c r="H15" i="30" s="1"/>
  <c r="C19" i="25" s="1"/>
  <c r="D19" i="25" s="1"/>
  <c r="E19" i="25" s="1"/>
  <c r="F29" i="30"/>
  <c r="F56" i="30"/>
  <c r="F91" i="30"/>
  <c r="G64" i="30"/>
  <c r="G95" i="30"/>
  <c r="H88" i="30"/>
  <c r="G90" i="30"/>
  <c r="F97" i="30"/>
  <c r="G96" i="30"/>
  <c r="H97" i="30"/>
  <c r="L104" i="30" s="1"/>
  <c r="G8" i="30"/>
  <c r="G33" i="30"/>
  <c r="E91" i="25" l="1"/>
  <c r="G88" i="30"/>
  <c r="G91" i="30" s="1"/>
  <c r="C89" i="25"/>
  <c r="H68" i="25"/>
  <c r="I68" i="25" s="1"/>
  <c r="D84" i="25"/>
  <c r="E84" i="25" s="1"/>
  <c r="D76" i="25"/>
  <c r="D27" i="25"/>
  <c r="I27" i="25" s="1"/>
  <c r="J27" i="25" s="1"/>
  <c r="D15" i="25"/>
  <c r="I15" i="25" s="1"/>
  <c r="J15" i="25" s="1"/>
  <c r="D32" i="25"/>
  <c r="I32" i="25" s="1"/>
  <c r="J32" i="25" s="1"/>
  <c r="D20" i="25"/>
  <c r="I20" i="25" s="1"/>
  <c r="J20" i="25" s="1"/>
  <c r="G37" i="25"/>
  <c r="D85" i="25"/>
  <c r="D77" i="25"/>
  <c r="E77" i="25" s="1"/>
  <c r="D69" i="25"/>
  <c r="D24" i="25"/>
  <c r="I24" i="25" s="1"/>
  <c r="J24" i="25" s="1"/>
  <c r="D29" i="25"/>
  <c r="I29" i="25" s="1"/>
  <c r="J29" i="25" s="1"/>
  <c r="D26" i="25"/>
  <c r="I26" i="25" s="1"/>
  <c r="J26" i="25" s="1"/>
  <c r="D78" i="25"/>
  <c r="D70" i="25"/>
  <c r="E70" i="25" s="1"/>
  <c r="B33" i="25"/>
  <c r="D14" i="25"/>
  <c r="E14" i="25" s="1"/>
  <c r="D83" i="25"/>
  <c r="D75" i="25"/>
  <c r="E75" i="25" s="1"/>
  <c r="H62" i="25"/>
  <c r="I62" i="25" s="1"/>
  <c r="E68" i="25"/>
  <c r="H56" i="30"/>
  <c r="C41" i="25"/>
  <c r="G41" i="25" s="1"/>
  <c r="D80" i="25"/>
  <c r="D72" i="25"/>
  <c r="E72" i="25" s="1"/>
  <c r="D64" i="25"/>
  <c r="D31" i="25"/>
  <c r="I31" i="25" s="1"/>
  <c r="J31" i="25" s="1"/>
  <c r="D23" i="25"/>
  <c r="I23" i="25" s="1"/>
  <c r="J23" i="25" s="1"/>
  <c r="D28" i="25"/>
  <c r="I28" i="25" s="1"/>
  <c r="J28" i="25" s="1"/>
  <c r="D25" i="25"/>
  <c r="I25" i="25" s="1"/>
  <c r="J25" i="25" s="1"/>
  <c r="D81" i="25"/>
  <c r="E81" i="25" s="1"/>
  <c r="D73" i="25"/>
  <c r="D65" i="25"/>
  <c r="E65" i="25" s="1"/>
  <c r="D16" i="25"/>
  <c r="D21" i="25"/>
  <c r="I21" i="25" s="1"/>
  <c r="J21" i="25" s="1"/>
  <c r="D82" i="25"/>
  <c r="D74" i="25"/>
  <c r="E74" i="25" s="1"/>
  <c r="D30" i="25"/>
  <c r="I30" i="25" s="1"/>
  <c r="J30" i="25" s="1"/>
  <c r="D90" i="25"/>
  <c r="J90" i="25" s="1"/>
  <c r="D79" i="25"/>
  <c r="D71" i="25"/>
  <c r="E71" i="25" s="1"/>
  <c r="D63" i="25"/>
  <c r="D22" i="25"/>
  <c r="I22" i="25" s="1"/>
  <c r="J22" i="25" s="1"/>
  <c r="H67" i="25"/>
  <c r="I67" i="25" s="1"/>
  <c r="L102" i="30"/>
  <c r="L103" i="30" s="1"/>
  <c r="L105" i="30" s="1"/>
  <c r="G56" i="30"/>
  <c r="G97" i="30"/>
  <c r="H91" i="30"/>
  <c r="E21" i="25" l="1"/>
  <c r="E22" i="25"/>
  <c r="E26" i="25"/>
  <c r="E90" i="25"/>
  <c r="E28" i="25"/>
  <c r="E24" i="25"/>
  <c r="E32" i="25"/>
  <c r="E25" i="25"/>
  <c r="E31" i="25"/>
  <c r="E27" i="25"/>
  <c r="H83" i="25"/>
  <c r="I83" i="25" s="1"/>
  <c r="D89" i="25"/>
  <c r="J89" i="25" s="1"/>
  <c r="B92" i="25"/>
  <c r="H63" i="25"/>
  <c r="I63" i="25" s="1"/>
  <c r="H73" i="25"/>
  <c r="I73" i="25" s="1"/>
  <c r="H80" i="25"/>
  <c r="I80" i="25" s="1"/>
  <c r="H78" i="25"/>
  <c r="I78" i="25" s="1"/>
  <c r="H71" i="25"/>
  <c r="I71" i="25" s="1"/>
  <c r="H74" i="25"/>
  <c r="I74" i="25" s="1"/>
  <c r="H65" i="25"/>
  <c r="I65" i="25" s="1"/>
  <c r="H81" i="25"/>
  <c r="I81" i="25" s="1"/>
  <c r="H72" i="25"/>
  <c r="I72" i="25" s="1"/>
  <c r="H70" i="25"/>
  <c r="I70" i="25" s="1"/>
  <c r="H77" i="25"/>
  <c r="I77" i="25" s="1"/>
  <c r="H84" i="25"/>
  <c r="I84" i="25" s="1"/>
  <c r="G93" i="25"/>
  <c r="E10" i="16" s="1"/>
  <c r="H82" i="25"/>
  <c r="I82" i="25" s="1"/>
  <c r="H64" i="25"/>
  <c r="I64" i="25" s="1"/>
  <c r="H69" i="25"/>
  <c r="I69" i="25" s="1"/>
  <c r="H85" i="25"/>
  <c r="I85" i="25" s="1"/>
  <c r="H76" i="25"/>
  <c r="I76" i="25" s="1"/>
  <c r="B59" i="25"/>
  <c r="D59" i="25" s="1"/>
  <c r="H79" i="25"/>
  <c r="I79" i="25" s="1"/>
  <c r="I16" i="25"/>
  <c r="J16" i="25" s="1"/>
  <c r="H75" i="25"/>
  <c r="I75" i="25" s="1"/>
  <c r="I14" i="25"/>
  <c r="E83" i="25"/>
  <c r="E63" i="25"/>
  <c r="E79" i="25"/>
  <c r="E30" i="25"/>
  <c r="E82" i="25"/>
  <c r="E16" i="25"/>
  <c r="E73" i="25"/>
  <c r="E23" i="25"/>
  <c r="E64" i="25"/>
  <c r="E80" i="25"/>
  <c r="E78" i="25"/>
  <c r="E29" i="25"/>
  <c r="E69" i="25"/>
  <c r="E85" i="25"/>
  <c r="E20" i="25"/>
  <c r="E15" i="25"/>
  <c r="E76" i="25"/>
  <c r="J14" i="25" l="1"/>
  <c r="E27" i="17" s="1"/>
  <c r="E28" i="17"/>
  <c r="E89" i="25"/>
  <c r="G14" i="18"/>
  <c r="E26" i="17" l="1"/>
  <c r="F27" i="17" s="1"/>
  <c r="H18" i="17" s="1"/>
  <c r="J93" i="25"/>
  <c r="E12" i="16" s="1"/>
  <c r="E14" i="18"/>
  <c r="G15" i="18"/>
  <c r="G16" i="18"/>
  <c r="E13" i="18"/>
  <c r="E18" i="16"/>
  <c r="F28" i="17" l="1"/>
  <c r="H20" i="17"/>
  <c r="I18" i="17"/>
  <c r="I20" i="17" s="1"/>
  <c r="F23" i="18"/>
  <c r="D23" i="18"/>
  <c r="G14" i="26"/>
  <c r="E14" i="26"/>
  <c r="G13" i="18" l="1"/>
  <c r="I11" i="26"/>
  <c r="C14" i="26"/>
  <c r="I12" i="26"/>
  <c r="D14" i="26"/>
  <c r="H14" i="26"/>
  <c r="F14" i="26"/>
  <c r="J14" i="26" l="1"/>
  <c r="I14" i="26"/>
  <c r="K11" i="26"/>
  <c r="K12" i="26" l="1"/>
  <c r="K14" i="26" s="1"/>
  <c r="E8" i="27"/>
  <c r="F8" i="27" s="1"/>
  <c r="E9" i="27" l="1"/>
  <c r="G9" i="27" l="1"/>
  <c r="G11" i="27" s="1"/>
  <c r="E24" i="16" s="1"/>
  <c r="F9" i="27"/>
  <c r="H9" i="27"/>
  <c r="E11" i="27"/>
  <c r="H11" i="27"/>
  <c r="E25" i="16" s="1"/>
  <c r="E17" i="16"/>
  <c r="E20" i="16"/>
  <c r="E16" i="16"/>
  <c r="K9" i="27" l="1"/>
  <c r="F11" i="27"/>
  <c r="E23" i="16" s="1"/>
  <c r="L25" i="16" s="1"/>
  <c r="E19" i="16"/>
  <c r="L20" i="16" s="1"/>
  <c r="E34" i="18"/>
  <c r="E31" i="18" s="1"/>
  <c r="E16" i="18"/>
  <c r="I14" i="19"/>
  <c r="G34" i="19" s="1"/>
  <c r="E21" i="18"/>
  <c r="E19" i="18"/>
  <c r="E18" i="18"/>
  <c r="G17" i="18"/>
  <c r="I20" i="16"/>
  <c r="F36" i="18" l="1"/>
  <c r="I10" i="19" s="1"/>
  <c r="G28" i="19" s="1"/>
  <c r="F37" i="18"/>
  <c r="I15" i="19"/>
  <c r="E40" i="19" s="1"/>
  <c r="F33" i="18"/>
  <c r="F32" i="18"/>
  <c r="K11" i="27"/>
  <c r="G23" i="18"/>
  <c r="I12" i="19" s="1"/>
  <c r="G21" i="19" s="1"/>
  <c r="F39" i="18"/>
  <c r="I9" i="19" s="1"/>
  <c r="I11" i="19" s="1"/>
  <c r="I18" i="19" s="1"/>
  <c r="E36" i="19" s="1"/>
  <c r="H29" i="16"/>
  <c r="G42" i="19"/>
  <c r="E38" i="19"/>
  <c r="G44" i="19" l="1"/>
  <c r="I43" i="19" s="1"/>
  <c r="G36" i="19"/>
  <c r="E25" i="19"/>
  <c r="G19" i="19"/>
  <c r="E17" i="18"/>
  <c r="E23" i="18" s="1"/>
  <c r="G18" i="16" l="1"/>
  <c r="H18" i="16" s="1"/>
  <c r="I18" i="16" s="1"/>
  <c r="G25" i="16"/>
  <c r="H25" i="16" s="1"/>
  <c r="I25" i="16" s="1"/>
  <c r="L20" i="17"/>
  <c r="I13" i="19"/>
  <c r="G23" i="19" s="1"/>
  <c r="I22" i="19" s="1"/>
  <c r="I39" i="19" l="1"/>
  <c r="G25" i="19"/>
  <c r="I25" i="19" s="1"/>
  <c r="G39" i="19"/>
  <c r="G17" i="16" l="1"/>
  <c r="H17" i="16" s="1"/>
  <c r="I17" i="16" s="1"/>
  <c r="G24" i="16"/>
  <c r="G11" i="16"/>
  <c r="G12" i="16"/>
  <c r="H12" i="16" s="1"/>
  <c r="G19" i="16"/>
  <c r="H19" i="16" s="1"/>
  <c r="I19" i="16" s="1"/>
  <c r="E28" i="19"/>
  <c r="I28" i="19" s="1"/>
  <c r="G32" i="19" s="1"/>
  <c r="I31" i="19" s="1"/>
  <c r="I12" i="16" l="1"/>
  <c r="I35" i="19"/>
  <c r="G10" i="16" s="1"/>
  <c r="H10" i="16" s="1"/>
  <c r="I10" i="16" s="1"/>
  <c r="E34" i="19"/>
  <c r="G23" i="16" l="1"/>
  <c r="G16" i="16"/>
  <c r="H16" i="16" s="1"/>
  <c r="I16" i="16" l="1"/>
  <c r="H24" i="16"/>
  <c r="I24" i="16" s="1"/>
  <c r="H23" i="16" l="1"/>
  <c r="I23" i="16" l="1"/>
  <c r="G9" i="30" l="1"/>
  <c r="G29" i="30" s="1"/>
  <c r="H29" i="30"/>
  <c r="H85" i="30"/>
  <c r="G85" i="30"/>
  <c r="C61" i="25"/>
  <c r="B87" i="25" s="1"/>
  <c r="H99" i="30" l="1"/>
  <c r="H101" i="30" s="1"/>
  <c r="D61" i="25"/>
  <c r="E61" i="25" s="1"/>
  <c r="E93" i="25" s="1"/>
  <c r="C93" i="25"/>
  <c r="D93" i="25" l="1"/>
  <c r="H61" i="25"/>
  <c r="H93" i="25" s="1"/>
  <c r="I61" i="25" l="1"/>
  <c r="I93" i="25" s="1"/>
  <c r="E13" i="16" s="1"/>
  <c r="I13" i="16" s="1"/>
  <c r="E11" i="16"/>
  <c r="L13" i="16" s="1"/>
  <c r="L93" i="25"/>
  <c r="H11" i="16" l="1"/>
  <c r="H27" i="16" s="1"/>
  <c r="H31" i="16" s="1"/>
  <c r="E27" i="16"/>
  <c r="H33" i="16" l="1"/>
  <c r="I11" i="16"/>
  <c r="I27" i="16" s="1"/>
  <c r="L27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G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Estimated avg. BLS employee share of 31.9% from spreadsheet
PSC_1-8_EMPLOYEE_INSURANCE_ahv</t>
        </r>
      </text>
    </comment>
    <comment ref="I5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Have these employees now been added?</t>
        </r>
      </text>
    </comment>
    <comment ref="H8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Are all capital costs deleted here (e.g., all labor and materials)?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D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Water/sewer allocation based number of customers</t>
        </r>
      </text>
    </comment>
    <comment ref="I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85% alloc. to cust. accts. based on past interview with similar municipal system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Water/Sewer allocation based on Musgove testimony.</t>
        </r>
      </text>
    </comment>
    <comment ref="O12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Alan Vilines:</t>
        </r>
        <r>
          <rPr>
            <sz val="9"/>
            <color indexed="81"/>
            <rFont val="Tahoma"/>
            <charset val="1"/>
          </rPr>
          <t xml:space="preserve">
From spreadsheet
PSC_1-7_2019_Employee_Wages</t>
        </r>
      </text>
    </comment>
    <comment ref="D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Salary overhead allocations based on sum of salaries.  See table to the right.</t>
        </r>
      </text>
    </comment>
    <comment ref="H6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Allocations to trans/dist based on table to the right.</t>
        </r>
      </text>
    </comment>
    <comment ref="P6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Estimates for allocations of maint. div. tasks based on Musgove testimony and utility experience.</t>
        </r>
      </text>
    </comment>
    <comment ref="O7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List of maint. division tasks per Musgove testimony</t>
        </r>
      </text>
    </comment>
    <comment ref="E7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Assumed most chemicals used by maint. group on sewer system.</t>
        </r>
      </text>
    </comment>
    <comment ref="O9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Description of Office Work from Musgove testimony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D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Use of funds from Musgove testimony.  PSC 1-6, P.626.</t>
        </r>
      </text>
    </comment>
    <comment ref="F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Costs for Lines &amp; Tank from Depreciation Schedule PSC 2-13.
</t>
        </r>
      </text>
    </comment>
    <comment ref="F2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Amount req'd to result in total loan amount.  Prelim. Engr. Report Addendum (PSC 2-8, p. 70) discussed WTP additions.  Assumed this not completed in 2019 therefore not in depr schedule.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F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Revisions to Joint Use mains based on Prelim. Eng. Report (PSC 2-8) and review of system configuration.</t>
        </r>
      </text>
    </comment>
    <comment ref="E3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Does this figure include usage at the WWTP?</t>
        </r>
      </text>
    </comment>
  </commentList>
</comments>
</file>

<file path=xl/sharedStrings.xml><?xml version="1.0" encoding="utf-8"?>
<sst xmlns="http://schemas.openxmlformats.org/spreadsheetml/2006/main" count="566" uniqueCount="363">
  <si>
    <t>Table B</t>
  </si>
  <si>
    <t>TOTALS</t>
  </si>
  <si>
    <t>Depreciation Expense</t>
  </si>
  <si>
    <t>Principal</t>
  </si>
  <si>
    <t>Interest</t>
  </si>
  <si>
    <t>Totals</t>
  </si>
  <si>
    <t>Size</t>
  </si>
  <si>
    <t>Percent</t>
  </si>
  <si>
    <t>Office Furniture &amp; Equipment</t>
  </si>
  <si>
    <t>2021</t>
  </si>
  <si>
    <t>2022</t>
  </si>
  <si>
    <t>WHOLESALE RATE COMPUTATION</t>
  </si>
  <si>
    <t>Allocation</t>
  </si>
  <si>
    <t>Wholesale</t>
  </si>
  <si>
    <t>Total</t>
  </si>
  <si>
    <t>Factor</t>
  </si>
  <si>
    <t>Retail</t>
  </si>
  <si>
    <t>PTF</t>
  </si>
  <si>
    <t>Admin &amp; General</t>
  </si>
  <si>
    <t>Trans. / Distribution</t>
  </si>
  <si>
    <t>Customer</t>
  </si>
  <si>
    <t>Total Revenue Required</t>
  </si>
  <si>
    <t>Wholesale Gallons Sold (x 1,000)</t>
  </si>
  <si>
    <t>Wholesale Rate per 1,000 Gallons</t>
  </si>
  <si>
    <t>Trans. &amp;</t>
  </si>
  <si>
    <t>General</t>
  </si>
  <si>
    <t>Distribution</t>
  </si>
  <si>
    <t>&amp; Admin.</t>
  </si>
  <si>
    <t>Table C</t>
  </si>
  <si>
    <t>SYSTEM INFORMATION</t>
  </si>
  <si>
    <t>Schedule of All Mains and Jointly Used Mains</t>
  </si>
  <si>
    <t>Joint Use</t>
  </si>
  <si>
    <t>Main</t>
  </si>
  <si>
    <t>Miles of</t>
  </si>
  <si>
    <t>Inch -</t>
  </si>
  <si>
    <t>Mains</t>
  </si>
  <si>
    <t>Miles</t>
  </si>
  <si>
    <t>Gallons</t>
  </si>
  <si>
    <t>x 1,000</t>
  </si>
  <si>
    <t xml:space="preserve">   Retail Sales</t>
  </si>
  <si>
    <t xml:space="preserve">   Wholesale Sales</t>
  </si>
  <si>
    <t>Total Water Sold</t>
  </si>
  <si>
    <t>Line Losses</t>
  </si>
  <si>
    <t>Table D</t>
  </si>
  <si>
    <t>WHOLESALE ALLOCATION FACTORS</t>
  </si>
  <si>
    <t>FACTOR</t>
  </si>
  <si>
    <t>Line Loss Percentage</t>
  </si>
  <si>
    <t>Joint Use Inch-miles</t>
  </si>
  <si>
    <t>Total Inch-Miles</t>
  </si>
  <si>
    <t>Water Sold - Wholesale</t>
  </si>
  <si>
    <t>Water Sold - Total</t>
  </si>
  <si>
    <t>Production Multiplier</t>
  </si>
  <si>
    <t>=</t>
  </si>
  <si>
    <t>-</t>
  </si>
  <si>
    <t>Joint Use Pipeline Ratio</t>
  </si>
  <si>
    <t>x</t>
  </si>
  <si>
    <t>Wholesale Production Multiplier</t>
  </si>
  <si>
    <t>-----------------</t>
  </si>
  <si>
    <t>Pipeline Transmission Factor</t>
  </si>
  <si>
    <t>Water Production</t>
  </si>
  <si>
    <t>Water Produced</t>
  </si>
  <si>
    <t>Water Used at WTP</t>
  </si>
  <si>
    <t>Line Loss + Plant Use</t>
  </si>
  <si>
    <t>Plant Use Percentage</t>
  </si>
  <si>
    <t>Joint Share Line Loss + Plant Use</t>
  </si>
  <si>
    <t>+</t>
  </si>
  <si>
    <t>Water</t>
  </si>
  <si>
    <t>Treatment</t>
  </si>
  <si>
    <t>Table E</t>
  </si>
  <si>
    <t>Table F</t>
  </si>
  <si>
    <t>Insurance</t>
  </si>
  <si>
    <t>Maintenance</t>
  </si>
  <si>
    <t>Postage</t>
  </si>
  <si>
    <t>Sewer</t>
  </si>
  <si>
    <t>2023</t>
  </si>
  <si>
    <t>Use of Funds</t>
  </si>
  <si>
    <t>Three Year</t>
  </si>
  <si>
    <t>Averages</t>
  </si>
  <si>
    <t>Debt Service</t>
  </si>
  <si>
    <t>Avg. Annual</t>
  </si>
  <si>
    <t>ALLOCATION OF DEBT SERVICE</t>
  </si>
  <si>
    <t>Fire Hydrants</t>
  </si>
  <si>
    <t>Water Treatment Plant</t>
  </si>
  <si>
    <t>Production</t>
  </si>
  <si>
    <t>Transmission</t>
  </si>
  <si>
    <t>&amp; Distribution</t>
  </si>
  <si>
    <t>Accounts</t>
  </si>
  <si>
    <t>&amp; General</t>
  </si>
  <si>
    <t>Storage</t>
  </si>
  <si>
    <t>Tanks</t>
  </si>
  <si>
    <t xml:space="preserve">                 -------------------</t>
  </si>
  <si>
    <t xml:space="preserve"> ----------------</t>
  </si>
  <si>
    <t>Storage Tanks</t>
  </si>
  <si>
    <t>Avg. Debt S.</t>
  </si>
  <si>
    <t>Water Production Factor</t>
  </si>
  <si>
    <t>WPF</t>
  </si>
  <si>
    <t>Table A</t>
  </si>
  <si>
    <t>SUMMARY OF OPERATING EXPENSES BY CATEGORY</t>
  </si>
  <si>
    <t>ALLOCATION OF DEPRECIATION EXPENSE</t>
  </si>
  <si>
    <t>Table G</t>
  </si>
  <si>
    <t>Admin.</t>
  </si>
  <si>
    <t>Allocation Factors</t>
  </si>
  <si>
    <t>Type</t>
  </si>
  <si>
    <t>Joint Share of Line Loss</t>
  </si>
  <si>
    <t>FINAL 2019</t>
  </si>
  <si>
    <t>Unadjusted 6/30/2019</t>
  </si>
  <si>
    <t>Adjusting JE  Debit</t>
  </si>
  <si>
    <t>Adjusting JE Credit</t>
  </si>
  <si>
    <t>Fiscal Year Operations</t>
  </si>
  <si>
    <t>PRO FORMA Adjustments</t>
  </si>
  <si>
    <t>PRO FORMA Operations</t>
  </si>
  <si>
    <t>Account</t>
  </si>
  <si>
    <t>Description</t>
  </si>
  <si>
    <t>Administration</t>
  </si>
  <si>
    <t>100-6010</t>
  </si>
  <si>
    <t>Salaries</t>
  </si>
  <si>
    <t>Inc of 2.5% COLA on existing wages</t>
  </si>
  <si>
    <t>100-6020</t>
  </si>
  <si>
    <t>Payroll Tax</t>
  </si>
  <si>
    <t>7.65% on new base wages</t>
  </si>
  <si>
    <t>100-6030</t>
  </si>
  <si>
    <t>Employee Benefits</t>
  </si>
  <si>
    <t>100-6040</t>
  </si>
  <si>
    <t>Uniforms</t>
  </si>
  <si>
    <t>100-6050</t>
  </si>
  <si>
    <t>Training Expense</t>
  </si>
  <si>
    <t>100-6060</t>
  </si>
  <si>
    <t>Retirement Funding</t>
  </si>
  <si>
    <t>12% on existing 24.06% = 26.95% X base</t>
  </si>
  <si>
    <t>100-6061</t>
  </si>
  <si>
    <t>Pension Expense</t>
  </si>
  <si>
    <t>100-6062</t>
  </si>
  <si>
    <t>OPEB Expense</t>
  </si>
  <si>
    <t>100-6070</t>
  </si>
  <si>
    <t>Utilities</t>
  </si>
  <si>
    <t>100-6080</t>
  </si>
  <si>
    <t>Gas and Oil</t>
  </si>
  <si>
    <t>100-6090</t>
  </si>
  <si>
    <t>Equipment Repair</t>
  </si>
  <si>
    <t>100-6100</t>
  </si>
  <si>
    <t>Supplies</t>
  </si>
  <si>
    <t>100-6110</t>
  </si>
  <si>
    <t>100-6121</t>
  </si>
  <si>
    <t>Professional Services</t>
  </si>
  <si>
    <t>100-6122</t>
  </si>
  <si>
    <t>Data Processing</t>
  </si>
  <si>
    <t>100-6130</t>
  </si>
  <si>
    <t>Miscellaneous Expense</t>
  </si>
  <si>
    <t>100-6135</t>
  </si>
  <si>
    <t>100-6140</t>
  </si>
  <si>
    <t>Rental and Lease</t>
  </si>
  <si>
    <t>100-6160</t>
  </si>
  <si>
    <t>Tools &amp; Small Equipment</t>
  </si>
  <si>
    <t>100-6180</t>
  </si>
  <si>
    <t>Building Repair &amp; Maintenance</t>
  </si>
  <si>
    <t>100-6665</t>
  </si>
  <si>
    <t>Freight Expense</t>
  </si>
  <si>
    <t>Administrative Expenses</t>
  </si>
  <si>
    <t>200-6010</t>
  </si>
  <si>
    <t>200-6020</t>
  </si>
  <si>
    <t>200-6030</t>
  </si>
  <si>
    <t>200-6040</t>
  </si>
  <si>
    <t>200-6050</t>
  </si>
  <si>
    <t>200-6060</t>
  </si>
  <si>
    <t>200-6061</t>
  </si>
  <si>
    <t>200-6062</t>
  </si>
  <si>
    <t>200-6070</t>
  </si>
  <si>
    <t>200-6080</t>
  </si>
  <si>
    <t>200-6090</t>
  </si>
  <si>
    <t>200-6100</t>
  </si>
  <si>
    <t>200-6105</t>
  </si>
  <si>
    <t>Chemicals</t>
  </si>
  <si>
    <t>Inv Adj in 2019.  See MOR projections</t>
  </si>
  <si>
    <t>200-6110</t>
  </si>
  <si>
    <t>200-6120</t>
  </si>
  <si>
    <t>Lab Fees</t>
  </si>
  <si>
    <t>200-6121</t>
  </si>
  <si>
    <t>200-6130</t>
  </si>
  <si>
    <t>200-6135</t>
  </si>
  <si>
    <t>200-6140</t>
  </si>
  <si>
    <t>200-6160</t>
  </si>
  <si>
    <t>200-6180</t>
  </si>
  <si>
    <t>200-6185</t>
  </si>
  <si>
    <t>Sludge Removal</t>
  </si>
  <si>
    <t>1/2 of Bi Annual lagoon cleaning</t>
  </si>
  <si>
    <t>200-6660</t>
  </si>
  <si>
    <t>Misc. Material Ex</t>
  </si>
  <si>
    <t>200-6665</t>
  </si>
  <si>
    <t>Water Treatment Expenses</t>
  </si>
  <si>
    <t xml:space="preserve">Maintenance </t>
  </si>
  <si>
    <t>400-6010</t>
  </si>
  <si>
    <t>Full staff of 7.  Base year not fully staffed</t>
  </si>
  <si>
    <t>400-6020</t>
  </si>
  <si>
    <t>400-6030</t>
  </si>
  <si>
    <t>400-6040</t>
  </si>
  <si>
    <t>400-6050</t>
  </si>
  <si>
    <t>400-6060</t>
  </si>
  <si>
    <t>400-6061</t>
  </si>
  <si>
    <t>400-6062</t>
  </si>
  <si>
    <t>400-6070</t>
  </si>
  <si>
    <t>400-6080</t>
  </si>
  <si>
    <t>400-6090</t>
  </si>
  <si>
    <t>400-6100</t>
  </si>
  <si>
    <t>400-6105</t>
  </si>
  <si>
    <t>400-6110</t>
  </si>
  <si>
    <t>400-6120</t>
  </si>
  <si>
    <t>400-6121</t>
  </si>
  <si>
    <t>400-6130</t>
  </si>
  <si>
    <t>400-6135</t>
  </si>
  <si>
    <t>400-6140</t>
  </si>
  <si>
    <t>400-6160</t>
  </si>
  <si>
    <t>400-6180</t>
  </si>
  <si>
    <t>400-6200</t>
  </si>
  <si>
    <t>Sewer Repair</t>
  </si>
  <si>
    <t>400-6650</t>
  </si>
  <si>
    <t>Inventory Expense</t>
  </si>
  <si>
    <t>400-6660</t>
  </si>
  <si>
    <t>400-6665</t>
  </si>
  <si>
    <t>400-6670</t>
  </si>
  <si>
    <t>Capital Cost/Labor</t>
  </si>
  <si>
    <t>Return to normal after RD capitalization</t>
  </si>
  <si>
    <t>Maintenance Expenses</t>
  </si>
  <si>
    <t>Unallocated Commission</t>
  </si>
  <si>
    <t>500-6010</t>
  </si>
  <si>
    <t>Salaries (Commissioners)</t>
  </si>
  <si>
    <t>500-6110</t>
  </si>
  <si>
    <t>500-6150</t>
  </si>
  <si>
    <t>Attorney Fees</t>
  </si>
  <si>
    <t>Normal monthly fee of $500 x 12</t>
  </si>
  <si>
    <t>Commission Expenses</t>
  </si>
  <si>
    <t>500-6676</t>
  </si>
  <si>
    <t>Interest Expense WWTP</t>
  </si>
  <si>
    <t>Average FY2021 - FY2023</t>
  </si>
  <si>
    <t>500-6678</t>
  </si>
  <si>
    <t>Int Exp WTP</t>
  </si>
  <si>
    <t>Average FY2021 - FY2023 with New RD Loan</t>
  </si>
  <si>
    <t>500-6680</t>
  </si>
  <si>
    <t xml:space="preserve">NARUC Depreciation </t>
  </si>
  <si>
    <t>500-6699</t>
  </si>
  <si>
    <t>KIA Servicing Fee</t>
  </si>
  <si>
    <t>Interest and Depreciation Expense</t>
  </si>
  <si>
    <t>TOTAL OPERATING EXPENSES</t>
  </si>
  <si>
    <t xml:space="preserve"> Delete retirement exp. liabilities</t>
  </si>
  <si>
    <t xml:space="preserve"> ret. liabilities</t>
  </si>
  <si>
    <t xml:space="preserve"> empl. ins. pmts</t>
  </si>
  <si>
    <t>Pro Forma</t>
  </si>
  <si>
    <t>Director of Finance</t>
  </si>
  <si>
    <t>Superintendent</t>
  </si>
  <si>
    <t>Salaries - Gen. &amp; Office</t>
  </si>
  <si>
    <t>Salaries - Finance &amp; Super.</t>
  </si>
  <si>
    <t>water</t>
  </si>
  <si>
    <t>sewer</t>
  </si>
  <si>
    <t>total</t>
  </si>
  <si>
    <t>water sampling</t>
  </si>
  <si>
    <t>ck. lift stas.</t>
  </si>
  <si>
    <t>road cuts</t>
  </si>
  <si>
    <t>swr. line repairs</t>
  </si>
  <si>
    <t>line locates</t>
  </si>
  <si>
    <t>flushing</t>
  </si>
  <si>
    <t>mtr. settings</t>
  </si>
  <si>
    <t>swr. taps</t>
  </si>
  <si>
    <t>equip. mnt.</t>
  </si>
  <si>
    <t>mtr. upgrades</t>
  </si>
  <si>
    <t xml:space="preserve">TP mnt. </t>
  </si>
  <si>
    <t>Jetting swrs.</t>
  </si>
  <si>
    <t>water disc.</t>
  </si>
  <si>
    <t>water conn.</t>
  </si>
  <si>
    <t>misc. water calls</t>
  </si>
  <si>
    <t>misc. swr. calls</t>
  </si>
  <si>
    <t>office work</t>
  </si>
  <si>
    <t>water leak repairs</t>
  </si>
  <si>
    <t xml:space="preserve"> capital costs</t>
  </si>
  <si>
    <t>Total sal. water admin</t>
  </si>
  <si>
    <t>Customer accts</t>
  </si>
  <si>
    <t>meter reading</t>
  </si>
  <si>
    <t>cust</t>
  </si>
  <si>
    <t>Tax</t>
  </si>
  <si>
    <t>Revised Current</t>
  </si>
  <si>
    <t>Department / Asset Group</t>
  </si>
  <si>
    <t>Cost</t>
  </si>
  <si>
    <t>Depreciation</t>
  </si>
  <si>
    <t>Misc Buildings &amp; Improvements</t>
  </si>
  <si>
    <t>Autos &amp; Trucks</t>
  </si>
  <si>
    <t xml:space="preserve"> Administration Depreciation</t>
  </si>
  <si>
    <t>Water Treatment &amp; Distribution</t>
  </si>
  <si>
    <t>Water Distribution &amp; Transmission Mains</t>
  </si>
  <si>
    <t>Water Treatment Plant &amp; Pumping Equipment</t>
  </si>
  <si>
    <t>Water Tower</t>
  </si>
  <si>
    <t>Lab Equipment, Tools, Shop &amp; Garage Equip</t>
  </si>
  <si>
    <t>New Assets placed in Service</t>
  </si>
  <si>
    <t>Water Depreciation</t>
  </si>
  <si>
    <t>Wastewater Treatment &amp; Disposal</t>
  </si>
  <si>
    <t>Wastewater Disposal &amp; Treatment</t>
  </si>
  <si>
    <t>Sewer Lines &amp; Laterals</t>
  </si>
  <si>
    <t>Tools &amp; Equipment</t>
  </si>
  <si>
    <t>PWWC Total Depreciation Comparison</t>
  </si>
  <si>
    <t>2019 Pro Forma Totals</t>
  </si>
  <si>
    <t>Water Dist. &amp; Trans. Mains</t>
  </si>
  <si>
    <t>Water Plant &amp; Pumping Equipment</t>
  </si>
  <si>
    <t>Water Tanks</t>
  </si>
  <si>
    <t>Lab, Tools, Shop &amp; Garage Equip.</t>
  </si>
  <si>
    <t>Maintenance Assets</t>
  </si>
  <si>
    <t>Administration Assets</t>
  </si>
  <si>
    <t>Line Extensions</t>
  </si>
  <si>
    <t>Skyline Tank Repairs</t>
  </si>
  <si>
    <t>KACo Lease</t>
  </si>
  <si>
    <t>2019 RD Bonds</t>
  </si>
  <si>
    <t>FY 2021 - 2023</t>
  </si>
  <si>
    <t>Water Plant Upgrade</t>
  </si>
  <si>
    <t>Lines, Tank Rehab, WTP</t>
  </si>
  <si>
    <t>Lines</t>
  </si>
  <si>
    <t>Tank</t>
  </si>
  <si>
    <t>WTP</t>
  </si>
  <si>
    <t>2019 Project</t>
  </si>
  <si>
    <t>Flushing &amp; Fire Protection</t>
  </si>
  <si>
    <t>Total System</t>
  </si>
  <si>
    <t>TOTAL OP. &amp; MAINT.</t>
  </si>
  <si>
    <t>Operation &amp; Maintenance</t>
  </si>
  <si>
    <t>Storage Use Factor</t>
  </si>
  <si>
    <t>SUF</t>
  </si>
  <si>
    <t>Required</t>
  </si>
  <si>
    <t>Wholesale Rate per 100 Cubic Feet</t>
  </si>
  <si>
    <t>&amp; Reserves</t>
  </si>
  <si>
    <t>Debt Service &amp; Reserves</t>
  </si>
  <si>
    <t>Figures from</t>
  </si>
  <si>
    <t>PSC_2-1</t>
  </si>
  <si>
    <t>Ex. health ins. w/2.5% inc less BLS avg. empl. share</t>
  </si>
  <si>
    <t>Ea. Division</t>
  </si>
  <si>
    <t>Customers</t>
  </si>
  <si>
    <t>Percentage</t>
  </si>
  <si>
    <t>No. of</t>
  </si>
  <si>
    <t>w/ COLA</t>
  </si>
  <si>
    <t>REVISIONS TO SPREADSHEET PSC 2-1 PRO FORMA EXPENSES</t>
  </si>
  <si>
    <t>TOTAL ADJUSTED OPERATION &amp; MAINTENANCE EXPENSES</t>
  </si>
  <si>
    <t xml:space="preserve">     (Revisions are shown in red text.)</t>
  </si>
  <si>
    <t>&lt;== allocation % for salary overhead</t>
  </si>
  <si>
    <t>trans/dist</t>
  </si>
  <si>
    <t xml:space="preserve">  (meter reading not included in Musgrove list)</t>
  </si>
  <si>
    <t xml:space="preserve">     Less Wastewater Treatment &amp; Disposal</t>
  </si>
  <si>
    <t>TOTAL PRO FORMA WATER DIVISION DEPR.</t>
  </si>
  <si>
    <t>Total Admin. &amp; Cust exp. - Water Div.</t>
  </si>
  <si>
    <t>Admin exp. - water div.</t>
  </si>
  <si>
    <t>Cust. exp. - water div.</t>
  </si>
  <si>
    <t>New Assets placed in Service:</t>
  </si>
  <si>
    <t>FROM SPREADSHEET PSC 2-13 NARUC Depreciation AHV:</t>
  </si>
  <si>
    <t>Reserves**</t>
  </si>
  <si>
    <t>* From PSC 1-6, p. 736</t>
  </si>
  <si>
    <t>** Req'd. Reserves:  PSC 1-6, p. 626</t>
  </si>
  <si>
    <t>Other Internal Use</t>
  </si>
  <si>
    <t>Expenses</t>
  </si>
  <si>
    <t>Mnt. Alloc. Estimate</t>
  </si>
  <si>
    <t>Original</t>
  </si>
  <si>
    <t>DEBT SERVICE SCHEDULE *</t>
  </si>
  <si>
    <t>2019 Salaries</t>
  </si>
  <si>
    <t>Health Ins.</t>
  </si>
  <si>
    <t>Deductions</t>
  </si>
  <si>
    <t>Retirement</t>
  </si>
  <si>
    <t>Liability</t>
  </si>
  <si>
    <t>Line Extension Soft Costs</t>
  </si>
  <si>
    <t>Skyline Tank Soft Costs</t>
  </si>
  <si>
    <t xml:space="preserve">                     -------------------</t>
  </si>
  <si>
    <t>= subtotal water only</t>
  </si>
  <si>
    <t xml:space="preserve">  capital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</si>
</sst>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"/>
    <numFmt numFmtId="167" formatCode="0.0%"/>
    <numFmt numFmtId="168" formatCode="_(* #,##0.0_);_(* \(#,##0.0\);_(* &quot;-&quot;??_);_(@_)"/>
    <numFmt numFmtId="169" formatCode="#,##0.0000"/>
    <numFmt numFmtId="170" formatCode="0.0000"/>
    <numFmt numFmtId="171" formatCode="_(* #,##0.0000_);_(* \(#,##0.0000\);_(* &quot;-&quot;??_);_(@_)"/>
  </numFmts>
  <fonts count="37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165" fontId="4" fillId="0" borderId="5" xfId="1" quotePrefix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5" fontId="4" fillId="0" borderId="5" xfId="1" quotePrefix="1" applyNumberFormat="1" applyFont="1" applyBorder="1" applyAlignment="1">
      <alignment horizontal="left"/>
    </xf>
    <xf numFmtId="165" fontId="4" fillId="0" borderId="9" xfId="1" quotePrefix="1" applyNumberFormat="1" applyFont="1" applyBorder="1" applyAlignment="1">
      <alignment horizontal="left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6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/>
    <xf numFmtId="3" fontId="4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3" fillId="0" borderId="0" xfId="0" applyNumberFormat="1" applyFont="1" applyBorder="1" applyAlignment="1"/>
    <xf numFmtId="4" fontId="4" fillId="0" borderId="0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4" fillId="0" borderId="9" xfId="0" applyNumberFormat="1" applyFont="1" applyBorder="1" applyAlignment="1"/>
    <xf numFmtId="3" fontId="4" fillId="0" borderId="0" xfId="0" applyNumberFormat="1" applyFont="1" applyAlignment="1"/>
    <xf numFmtId="0" fontId="4" fillId="0" borderId="0" xfId="0" applyNumberFormat="1" applyFont="1" applyAlignment="1"/>
    <xf numFmtId="3" fontId="3" fillId="0" borderId="0" xfId="0" applyNumberFormat="1" applyFont="1" applyBorder="1"/>
    <xf numFmtId="0" fontId="4" fillId="0" borderId="10" xfId="0" applyFont="1" applyBorder="1"/>
    <xf numFmtId="3" fontId="4" fillId="0" borderId="3" xfId="0" applyNumberFormat="1" applyFont="1" applyBorder="1" applyAlignment="1"/>
    <xf numFmtId="3" fontId="4" fillId="0" borderId="11" xfId="0" applyNumberFormat="1" applyFont="1" applyBorder="1" applyAlignment="1"/>
    <xf numFmtId="167" fontId="4" fillId="0" borderId="0" xfId="0" applyNumberFormat="1" applyFont="1"/>
    <xf numFmtId="3" fontId="4" fillId="0" borderId="0" xfId="0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10" fontId="4" fillId="0" borderId="0" xfId="3" applyNumberFormat="1" applyFont="1" applyBorder="1"/>
    <xf numFmtId="165" fontId="4" fillId="0" borderId="0" xfId="1" applyNumberFormat="1" applyFont="1" applyBorder="1" applyAlignment="1"/>
    <xf numFmtId="164" fontId="4" fillId="0" borderId="0" xfId="2" applyNumberFormat="1" applyFont="1" applyBorder="1"/>
    <xf numFmtId="0" fontId="3" fillId="0" borderId="3" xfId="0" applyNumberFormat="1" applyFont="1" applyBorder="1" applyAlignment="1"/>
    <xf numFmtId="164" fontId="3" fillId="0" borderId="3" xfId="2" applyNumberFormat="1" applyFont="1" applyBorder="1"/>
    <xf numFmtId="165" fontId="4" fillId="0" borderId="0" xfId="1" applyNumberFormat="1" applyFont="1"/>
    <xf numFmtId="165" fontId="9" fillId="0" borderId="0" xfId="1" applyNumberFormat="1" applyFont="1" applyAlignment="1">
      <alignment horizontal="center"/>
    </xf>
    <xf numFmtId="167" fontId="4" fillId="0" borderId="0" xfId="3" applyNumberFormat="1" applyFont="1"/>
    <xf numFmtId="165" fontId="9" fillId="0" borderId="0" xfId="1" applyNumberFormat="1" applyFont="1"/>
    <xf numFmtId="10" fontId="4" fillId="0" borderId="0" xfId="3" applyNumberFormat="1" applyFont="1"/>
    <xf numFmtId="165" fontId="4" fillId="0" borderId="0" xfId="1" quotePrefix="1" applyNumberFormat="1" applyFont="1"/>
    <xf numFmtId="165" fontId="4" fillId="0" borderId="6" xfId="1" applyNumberFormat="1" applyFont="1" applyBorder="1"/>
    <xf numFmtId="165" fontId="4" fillId="0" borderId="7" xfId="1" applyNumberFormat="1" applyFont="1" applyBorder="1"/>
    <xf numFmtId="165" fontId="4" fillId="0" borderId="8" xfId="1" applyNumberFormat="1" applyFont="1" applyBorder="1"/>
    <xf numFmtId="165" fontId="3" fillId="0" borderId="0" xfId="1" applyNumberFormat="1" applyFont="1" applyBorder="1" applyAlignment="1">
      <alignment horizontal="centerContinuous"/>
    </xf>
    <xf numFmtId="165" fontId="4" fillId="0" borderId="9" xfId="1" applyNumberFormat="1" applyFont="1" applyBorder="1"/>
    <xf numFmtId="165" fontId="11" fillId="0" borderId="0" xfId="1" applyNumberFormat="1" applyFont="1" applyBorder="1" applyAlignment="1">
      <alignment horizontal="centerContinuous"/>
    </xf>
    <xf numFmtId="165" fontId="4" fillId="0" borderId="0" xfId="1" applyNumberFormat="1" applyFont="1" applyBorder="1"/>
    <xf numFmtId="165" fontId="4" fillId="0" borderId="0" xfId="1" applyNumberFormat="1" applyFont="1" applyBorder="1" applyAlignment="1">
      <alignment horizontal="centerContinuous"/>
    </xf>
    <xf numFmtId="165" fontId="4" fillId="0" borderId="5" xfId="1" applyNumberFormat="1" applyFont="1" applyBorder="1" applyAlignment="1">
      <alignment horizontal="centerContinuous"/>
    </xf>
    <xf numFmtId="165" fontId="4" fillId="0" borderId="12" xfId="1" applyNumberFormat="1" applyFont="1" applyBorder="1" applyAlignment="1">
      <alignment horizontal="left"/>
    </xf>
    <xf numFmtId="165" fontId="4" fillId="0" borderId="6" xfId="1" applyNumberFormat="1" applyFont="1" applyBorder="1" applyAlignment="1">
      <alignment horizontal="left"/>
    </xf>
    <xf numFmtId="165" fontId="4" fillId="0" borderId="7" xfId="1" applyNumberFormat="1" applyFont="1" applyBorder="1" applyAlignment="1">
      <alignment horizontal="left"/>
    </xf>
    <xf numFmtId="165" fontId="4" fillId="0" borderId="8" xfId="1" applyNumberFormat="1" applyFont="1" applyBorder="1" applyAlignment="1">
      <alignment horizontal="left"/>
    </xf>
    <xf numFmtId="165" fontId="4" fillId="0" borderId="14" xfId="1" applyNumberFormat="1" applyFont="1" applyBorder="1"/>
    <xf numFmtId="165" fontId="11" fillId="0" borderId="5" xfId="1" quotePrefix="1" applyNumberFormat="1" applyFont="1" applyBorder="1" applyAlignment="1">
      <alignment horizontal="centerContinuous"/>
    </xf>
    <xf numFmtId="165" fontId="11" fillId="0" borderId="9" xfId="1" applyNumberFormat="1" applyFont="1" applyBorder="1" applyAlignment="1">
      <alignment horizontal="centerContinuous"/>
    </xf>
    <xf numFmtId="165" fontId="11" fillId="0" borderId="0" xfId="1" quotePrefix="1" applyNumberFormat="1" applyFont="1" applyBorder="1" applyAlignment="1">
      <alignment horizontal="centerContinuous"/>
    </xf>
    <xf numFmtId="165" fontId="5" fillId="0" borderId="5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65" fontId="4" fillId="0" borderId="0" xfId="1" quotePrefix="1" applyNumberFormat="1" applyFont="1" applyBorder="1" applyAlignment="1">
      <alignment horizontal="left"/>
    </xf>
    <xf numFmtId="165" fontId="3" fillId="0" borderId="5" xfId="1" applyNumberFormat="1" applyFont="1" applyBorder="1" applyAlignment="1">
      <alignment horizontal="center"/>
    </xf>
    <xf numFmtId="165" fontId="3" fillId="0" borderId="5" xfId="1" quotePrefix="1" applyNumberFormat="1" applyFont="1" applyBorder="1" applyAlignment="1">
      <alignment horizontal="left"/>
    </xf>
    <xf numFmtId="165" fontId="3" fillId="0" borderId="0" xfId="1" quotePrefix="1" applyNumberFormat="1" applyFont="1" applyBorder="1" applyAlignment="1">
      <alignment horizontal="left"/>
    </xf>
    <xf numFmtId="165" fontId="3" fillId="0" borderId="9" xfId="1" quotePrefix="1" applyNumberFormat="1" applyFont="1" applyBorder="1" applyAlignment="1">
      <alignment horizontal="left"/>
    </xf>
    <xf numFmtId="165" fontId="3" fillId="0" borderId="13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Continuous"/>
    </xf>
    <xf numFmtId="165" fontId="4" fillId="0" borderId="9" xfId="1" applyNumberFormat="1" applyFont="1" applyBorder="1" applyAlignment="1">
      <alignment horizontal="centerContinuous"/>
    </xf>
    <xf numFmtId="165" fontId="11" fillId="0" borderId="9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left"/>
    </xf>
    <xf numFmtId="165" fontId="3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quotePrefix="1" applyFont="1"/>
    <xf numFmtId="0" fontId="14" fillId="0" borderId="0" xfId="0" applyNumberFormat="1" applyFont="1" applyBorder="1" applyAlignment="1">
      <alignment horizontal="centerContinuous"/>
    </xf>
    <xf numFmtId="164" fontId="4" fillId="0" borderId="0" xfId="0" applyNumberFormat="1" applyFont="1"/>
    <xf numFmtId="3" fontId="10" fillId="0" borderId="0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165" fontId="4" fillId="0" borderId="5" xfId="1" applyNumberFormat="1" applyFont="1" applyBorder="1"/>
    <xf numFmtId="10" fontId="12" fillId="0" borderId="0" xfId="3" applyNumberFormat="1" applyFont="1" applyBorder="1"/>
    <xf numFmtId="10" fontId="12" fillId="0" borderId="9" xfId="3" applyNumberFormat="1" applyFont="1" applyBorder="1"/>
    <xf numFmtId="0" fontId="4" fillId="0" borderId="0" xfId="1" applyNumberFormat="1" applyFont="1" applyBorder="1" applyAlignment="1">
      <alignment horizontal="center"/>
    </xf>
    <xf numFmtId="165" fontId="9" fillId="0" borderId="0" xfId="1" applyNumberFormat="1" applyFont="1" applyBorder="1"/>
    <xf numFmtId="165" fontId="3" fillId="0" borderId="0" xfId="1" applyNumberFormat="1" applyFont="1" applyBorder="1"/>
    <xf numFmtId="165" fontId="4" fillId="0" borderId="10" xfId="1" applyNumberFormat="1" applyFont="1" applyBorder="1"/>
    <xf numFmtId="165" fontId="4" fillId="0" borderId="3" xfId="1" applyNumberFormat="1" applyFont="1" applyBorder="1"/>
    <xf numFmtId="43" fontId="4" fillId="0" borderId="3" xfId="1" applyFont="1" applyBorder="1"/>
    <xf numFmtId="43" fontId="4" fillId="0" borderId="11" xfId="1" applyFont="1" applyBorder="1"/>
    <xf numFmtId="171" fontId="4" fillId="0" borderId="0" xfId="1" applyNumberFormat="1" applyFont="1" applyBorder="1"/>
    <xf numFmtId="171" fontId="4" fillId="0" borderId="0" xfId="1" applyNumberFormat="1" applyFont="1" applyBorder="1" applyAlignment="1"/>
    <xf numFmtId="0" fontId="4" fillId="0" borderId="9" xfId="0" applyNumberFormat="1" applyFont="1" applyBorder="1" applyAlignment="1">
      <alignment horizontal="centerContinuous"/>
    </xf>
    <xf numFmtId="3" fontId="1" fillId="0" borderId="0" xfId="0" applyNumberFormat="1" applyFont="1" applyBorder="1" applyAlignment="1">
      <alignment horizontal="centerContinuous" vertical="center"/>
    </xf>
    <xf numFmtId="0" fontId="8" fillId="0" borderId="9" xfId="0" applyNumberFormat="1" applyFont="1" applyBorder="1" applyAlignment="1">
      <alignment horizontal="center"/>
    </xf>
    <xf numFmtId="165" fontId="4" fillId="0" borderId="9" xfId="1" applyNumberFormat="1" applyFont="1" applyBorder="1" applyAlignment="1"/>
    <xf numFmtId="4" fontId="4" fillId="0" borderId="9" xfId="0" applyNumberFormat="1" applyFont="1" applyBorder="1"/>
    <xf numFmtId="0" fontId="4" fillId="0" borderId="3" xfId="0" applyNumberFormat="1" applyFont="1" applyBorder="1"/>
    <xf numFmtId="0" fontId="10" fillId="0" borderId="0" xfId="0" applyNumberFormat="1" applyFont="1" applyBorder="1" applyAlignment="1"/>
    <xf numFmtId="3" fontId="13" fillId="0" borderId="0" xfId="0" applyNumberFormat="1" applyFont="1" applyBorder="1" applyAlignment="1"/>
    <xf numFmtId="165" fontId="7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43" fontId="4" fillId="0" borderId="0" xfId="0" applyNumberFormat="1" applyFont="1"/>
    <xf numFmtId="44" fontId="15" fillId="0" borderId="0" xfId="2" applyNumberFormat="1" applyFont="1" applyBorder="1" applyAlignment="1"/>
    <xf numFmtId="43" fontId="4" fillId="0" borderId="0" xfId="1" applyFont="1" applyBorder="1"/>
    <xf numFmtId="0" fontId="4" fillId="0" borderId="0" xfId="0" applyNumberFormat="1" applyFont="1" applyBorder="1" applyAlignment="1">
      <alignment horizontal="center"/>
    </xf>
    <xf numFmtId="0" fontId="0" fillId="0" borderId="0" xfId="0" applyFont="1"/>
    <xf numFmtId="0" fontId="16" fillId="0" borderId="0" xfId="0" applyNumberFormat="1" applyFont="1" applyFill="1" applyBorder="1" applyAlignment="1" applyProtection="1">
      <alignment horizontal="center"/>
    </xf>
    <xf numFmtId="49" fontId="16" fillId="0" borderId="15" xfId="0" applyNumberFormat="1" applyFont="1" applyFill="1" applyBorder="1" applyAlignment="1" applyProtection="1">
      <alignment horizontal="center" wrapText="1"/>
    </xf>
    <xf numFmtId="49" fontId="16" fillId="0" borderId="15" xfId="0" applyNumberFormat="1" applyFont="1" applyFill="1" applyBorder="1" applyAlignment="1" applyProtection="1">
      <alignment wrapText="1"/>
    </xf>
    <xf numFmtId="165" fontId="17" fillId="0" borderId="0" xfId="1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left"/>
    </xf>
    <xf numFmtId="165" fontId="18" fillId="0" borderId="0" xfId="1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right"/>
    </xf>
    <xf numFmtId="165" fontId="16" fillId="0" borderId="0" xfId="1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165" fontId="19" fillId="0" borderId="0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165" fontId="4" fillId="0" borderId="3" xfId="1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65" fontId="4" fillId="0" borderId="0" xfId="0" applyNumberFormat="1" applyFont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3" fillId="0" borderId="0" xfId="0" applyFont="1"/>
    <xf numFmtId="44" fontId="23" fillId="0" borderId="0" xfId="2" applyFont="1"/>
    <xf numFmtId="44" fontId="4" fillId="0" borderId="0" xfId="0" applyNumberFormat="1" applyFont="1"/>
    <xf numFmtId="43" fontId="23" fillId="0" borderId="0" xfId="1" applyFont="1"/>
    <xf numFmtId="43" fontId="9" fillId="0" borderId="0" xfId="1" applyFont="1"/>
    <xf numFmtId="0" fontId="8" fillId="0" borderId="0" xfId="0" applyNumberFormat="1" applyFont="1" applyBorder="1" applyAlignment="1">
      <alignment horizontal="center"/>
    </xf>
    <xf numFmtId="165" fontId="18" fillId="0" borderId="0" xfId="1" applyNumberFormat="1" applyFont="1"/>
    <xf numFmtId="168" fontId="4" fillId="0" borderId="0" xfId="1" applyNumberFormat="1" applyFont="1"/>
    <xf numFmtId="0" fontId="25" fillId="0" borderId="0" xfId="0" applyFont="1"/>
    <xf numFmtId="164" fontId="25" fillId="0" borderId="0" xfId="2" applyNumberFormat="1" applyFont="1"/>
    <xf numFmtId="164" fontId="25" fillId="2" borderId="0" xfId="2" applyNumberFormat="1" applyFont="1" applyFill="1"/>
    <xf numFmtId="0" fontId="24" fillId="0" borderId="0" xfId="0" applyFont="1" applyAlignment="1">
      <alignment horizontal="left"/>
    </xf>
    <xf numFmtId="0" fontId="24" fillId="0" borderId="0" xfId="0" applyFont="1"/>
    <xf numFmtId="164" fontId="24" fillId="0" borderId="0" xfId="2" applyNumberFormat="1" applyFont="1"/>
    <xf numFmtId="164" fontId="24" fillId="2" borderId="0" xfId="2" applyNumberFormat="1" applyFont="1" applyFill="1"/>
    <xf numFmtId="0" fontId="11" fillId="0" borderId="0" xfId="0" applyNumberFormat="1" applyFont="1" applyBorder="1" applyAlignment="1">
      <alignment horizontal="centerContinuous"/>
    </xf>
    <xf numFmtId="164" fontId="25" fillId="2" borderId="0" xfId="2" applyNumberFormat="1" applyFont="1" applyFill="1" applyAlignment="1">
      <alignment horizontal="center"/>
    </xf>
    <xf numFmtId="3" fontId="3" fillId="0" borderId="0" xfId="0" applyNumberFormat="1" applyFont="1" applyAlignment="1">
      <alignment horizontal="centerContinuous" vertical="center"/>
    </xf>
    <xf numFmtId="0" fontId="25" fillId="0" borderId="0" xfId="0" applyFont="1" applyAlignment="1">
      <alignment horizontal="left"/>
    </xf>
    <xf numFmtId="164" fontId="25" fillId="0" borderId="0" xfId="2" quotePrefix="1" applyNumberFormat="1" applyFont="1" applyAlignment="1">
      <alignment horizontal="center"/>
    </xf>
    <xf numFmtId="0" fontId="25" fillId="0" borderId="3" xfId="0" applyFont="1" applyBorder="1" applyAlignment="1">
      <alignment horizontal="left"/>
    </xf>
    <xf numFmtId="0" fontId="25" fillId="0" borderId="3" xfId="0" quotePrefix="1" applyFont="1" applyBorder="1" applyAlignment="1">
      <alignment horizontal="center"/>
    </xf>
    <xf numFmtId="164" fontId="25" fillId="0" borderId="3" xfId="2" quotePrefix="1" applyNumberFormat="1" applyFont="1" applyBorder="1" applyAlignment="1">
      <alignment horizontal="center"/>
    </xf>
    <xf numFmtId="164" fontId="25" fillId="2" borderId="3" xfId="2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3" xfId="0" applyFont="1" applyBorder="1"/>
    <xf numFmtId="164" fontId="24" fillId="0" borderId="3" xfId="2" applyNumberFormat="1" applyFont="1" applyBorder="1"/>
    <xf numFmtId="164" fontId="24" fillId="2" borderId="3" xfId="2" applyNumberFormat="1" applyFont="1" applyFill="1" applyBorder="1"/>
    <xf numFmtId="0" fontId="2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24" fillId="0" borderId="0" xfId="1" applyNumberFormat="1" applyFont="1" applyFill="1"/>
    <xf numFmtId="43" fontId="4" fillId="0" borderId="0" xfId="1" applyFont="1" applyBorder="1" applyAlignment="1"/>
    <xf numFmtId="168" fontId="4" fillId="0" borderId="0" xfId="1" applyNumberFormat="1" applyFont="1" applyBorder="1" applyAlignment="1"/>
    <xf numFmtId="165" fontId="5" fillId="0" borderId="5" xfId="1" applyNumberFormat="1" applyFont="1" applyBorder="1" applyAlignment="1">
      <alignment horizontal="center"/>
    </xf>
    <xf numFmtId="165" fontId="5" fillId="0" borderId="9" xfId="1" applyNumberFormat="1" applyFont="1" applyBorder="1" applyAlignment="1">
      <alignment horizontal="center"/>
    </xf>
    <xf numFmtId="165" fontId="4" fillId="0" borderId="0" xfId="1" quotePrefix="1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Continuous"/>
    </xf>
    <xf numFmtId="0" fontId="4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43" fontId="4" fillId="0" borderId="0" xfId="1" applyNumberFormat="1" applyFont="1" applyBorder="1" applyAlignment="1"/>
    <xf numFmtId="43" fontId="4" fillId="0" borderId="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8" fontId="4" fillId="0" borderId="2" xfId="1" applyNumberFormat="1" applyFont="1" applyBorder="1"/>
    <xf numFmtId="0" fontId="4" fillId="0" borderId="9" xfId="0" applyNumberFormat="1" applyFont="1" applyBorder="1" applyAlignment="1"/>
    <xf numFmtId="0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4" fillId="0" borderId="3" xfId="0" applyNumberFormat="1" applyFont="1" applyBorder="1" applyAlignment="1"/>
    <xf numFmtId="166" fontId="4" fillId="0" borderId="3" xfId="0" applyNumberFormat="1" applyFont="1" applyBorder="1" applyAlignment="1"/>
    <xf numFmtId="0" fontId="4" fillId="0" borderId="9" xfId="0" applyFont="1" applyBorder="1"/>
    <xf numFmtId="0" fontId="4" fillId="0" borderId="11" xfId="0" applyFont="1" applyBorder="1"/>
    <xf numFmtId="166" fontId="4" fillId="0" borderId="0" xfId="0" applyNumberFormat="1" applyFont="1"/>
    <xf numFmtId="0" fontId="8" fillId="0" borderId="0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quotePrefix="1" applyFont="1" applyBorder="1"/>
    <xf numFmtId="165" fontId="4" fillId="0" borderId="0" xfId="0" applyNumberFormat="1" applyFont="1" applyBorder="1"/>
    <xf numFmtId="0" fontId="26" fillId="0" borderId="0" xfId="0" applyNumberFormat="1" applyFont="1" applyFill="1" applyBorder="1" applyAlignment="1" applyProtection="1"/>
    <xf numFmtId="167" fontId="4" fillId="0" borderId="0" xfId="3" applyNumberFormat="1" applyFont="1" applyBorder="1" applyAlignment="1"/>
    <xf numFmtId="0" fontId="11" fillId="0" borderId="0" xfId="0" applyFont="1" applyAlignment="1">
      <alignment horizontal="center"/>
    </xf>
    <xf numFmtId="0" fontId="4" fillId="3" borderId="0" xfId="0" applyFont="1" applyFill="1"/>
    <xf numFmtId="165" fontId="4" fillId="3" borderId="0" xfId="1" applyNumberFormat="1" applyFont="1" applyFill="1"/>
    <xf numFmtId="165" fontId="9" fillId="3" borderId="0" xfId="1" applyNumberFormat="1" applyFont="1" applyFill="1"/>
    <xf numFmtId="164" fontId="4" fillId="3" borderId="3" xfId="2" applyNumberFormat="1" applyFont="1" applyFill="1" applyBorder="1"/>
    <xf numFmtId="165" fontId="3" fillId="0" borderId="0" xfId="1" applyNumberFormat="1" applyFont="1" applyBorder="1" applyAlignment="1"/>
    <xf numFmtId="171" fontId="3" fillId="0" borderId="0" xfId="1" applyNumberFormat="1" applyFont="1" applyBorder="1" applyAlignment="1"/>
    <xf numFmtId="0" fontId="4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71" fontId="4" fillId="0" borderId="0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170" fontId="4" fillId="0" borderId="0" xfId="0" applyNumberFormat="1" applyFont="1" applyBorder="1" applyAlignment="1">
      <alignment horizontal="left" vertical="center"/>
    </xf>
    <xf numFmtId="17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169" fontId="4" fillId="0" borderId="0" xfId="0" applyNumberFormat="1" applyFont="1" applyBorder="1" applyAlignment="1">
      <alignment horizontal="center" vertical="center"/>
    </xf>
    <xf numFmtId="169" fontId="4" fillId="0" borderId="0" xfId="0" applyNumberFormat="1" applyFont="1" applyBorder="1" applyAlignment="1">
      <alignment vertical="center"/>
    </xf>
    <xf numFmtId="169" fontId="4" fillId="0" borderId="0" xfId="0" applyNumberFormat="1" applyFont="1" applyBorder="1" applyAlignment="1">
      <alignment horizontal="left" vertical="center"/>
    </xf>
    <xf numFmtId="171" fontId="27" fillId="0" borderId="0" xfId="1" applyNumberFormat="1" applyFont="1" applyBorder="1" applyAlignment="1">
      <alignment vertical="center"/>
    </xf>
    <xf numFmtId="170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171" fontId="3" fillId="0" borderId="0" xfId="1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/>
    </xf>
    <xf numFmtId="0" fontId="4" fillId="0" borderId="11" xfId="0" applyNumberFormat="1" applyFont="1" applyBorder="1" applyAlignment="1"/>
    <xf numFmtId="0" fontId="4" fillId="0" borderId="0" xfId="0" applyNumberFormat="1" applyFont="1" applyAlignment="1">
      <alignment horizontal="center"/>
    </xf>
    <xf numFmtId="3" fontId="18" fillId="0" borderId="8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9" fontId="4" fillId="0" borderId="0" xfId="3" applyFont="1"/>
    <xf numFmtId="167" fontId="9" fillId="0" borderId="0" xfId="3" applyNumberFormat="1" applyFont="1"/>
    <xf numFmtId="165" fontId="9" fillId="0" borderId="9" xfId="1" applyNumberFormat="1" applyFont="1" applyBorder="1"/>
    <xf numFmtId="165" fontId="4" fillId="0" borderId="11" xfId="1" applyNumberFormat="1" applyFont="1" applyBorder="1"/>
    <xf numFmtId="164" fontId="3" fillId="0" borderId="0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9" xfId="2" applyNumberFormat="1" applyFont="1" applyBorder="1"/>
    <xf numFmtId="0" fontId="3" fillId="0" borderId="0" xfId="0" applyFont="1"/>
    <xf numFmtId="164" fontId="25" fillId="0" borderId="0" xfId="2" applyNumberFormat="1" applyFont="1" applyFill="1"/>
    <xf numFmtId="0" fontId="31" fillId="3" borderId="0" xfId="0" applyFont="1" applyFill="1"/>
    <xf numFmtId="164" fontId="24" fillId="0" borderId="0" xfId="2" applyNumberFormat="1" applyFont="1" applyFill="1"/>
    <xf numFmtId="0" fontId="32" fillId="0" borderId="0" xfId="0" applyFont="1"/>
    <xf numFmtId="165" fontId="3" fillId="0" borderId="0" xfId="1" applyNumberFormat="1" applyFont="1" applyAlignment="1">
      <alignment horizontal="right"/>
    </xf>
    <xf numFmtId="167" fontId="3" fillId="4" borderId="0" xfId="3" applyNumberFormat="1" applyFont="1" applyFill="1"/>
    <xf numFmtId="164" fontId="4" fillId="0" borderId="0" xfId="2" applyNumberFormat="1" applyFont="1"/>
    <xf numFmtId="165" fontId="33" fillId="0" borderId="0" xfId="1" applyNumberFormat="1" applyFont="1" applyFill="1" applyBorder="1" applyAlignment="1" applyProtection="1"/>
    <xf numFmtId="0" fontId="18" fillId="0" borderId="0" xfId="0" applyFont="1"/>
    <xf numFmtId="165" fontId="34" fillId="0" borderId="0" xfId="1" applyNumberFormat="1" applyFont="1" applyFill="1" applyBorder="1" applyAlignment="1" applyProtection="1"/>
    <xf numFmtId="168" fontId="26" fillId="0" borderId="0" xfId="1" applyNumberFormat="1" applyFont="1" applyFill="1" applyBorder="1" applyAlignment="1" applyProtection="1"/>
    <xf numFmtId="3" fontId="7" fillId="0" borderId="0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5" fontId="16" fillId="0" borderId="0" xfId="1" applyNumberFormat="1" applyFont="1" applyFill="1" applyBorder="1" applyAlignment="1" applyProtection="1">
      <alignment horizontal="center" vertical="center" wrapText="1"/>
    </xf>
    <xf numFmtId="165" fontId="16" fillId="0" borderId="15" xfId="1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wrapText="1"/>
    </xf>
    <xf numFmtId="49" fontId="16" fillId="0" borderId="15" xfId="0" applyNumberFormat="1" applyFont="1" applyFill="1" applyBorder="1" applyAlignment="1" applyProtection="1">
      <alignment horizontal="center" wrapText="1"/>
    </xf>
    <xf numFmtId="165" fontId="7" fillId="0" borderId="5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7" fillId="0" borderId="9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9" xfId="1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CCFFFF"/>
      <color rgb="FFFFFFCC"/>
      <color rgb="FFCC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abSelected="1" workbookViewId="0">
      <selection activeCell="A3" sqref="A3"/>
    </sheetView>
  </sheetViews>
  <sheetFormatPr defaultRowHeight="14.25" x14ac:dyDescent="0.45"/>
  <cols>
    <col min="1" max="1" width="7" style="14" customWidth="1"/>
    <col min="2" max="2" width="25.44140625" style="14" customWidth="1"/>
    <col min="3" max="3" width="11.44140625" style="14" customWidth="1"/>
    <col min="4" max="4" width="9.5546875" style="14" customWidth="1"/>
    <col min="5" max="5" width="8.21875" style="14" customWidth="1"/>
    <col min="6" max="7" width="11.44140625" style="14" customWidth="1"/>
    <col min="8" max="8" width="10.21875" style="14" customWidth="1"/>
    <col min="9" max="9" width="14.109375" style="14" customWidth="1"/>
    <col min="10" max="10" width="14.21875" style="14" customWidth="1"/>
    <col min="11" max="11" width="13" style="14" customWidth="1"/>
    <col min="12" max="12" width="9.5546875" style="14" bestFit="1" customWidth="1"/>
    <col min="13" max="13" width="3.109375" style="14" customWidth="1"/>
    <col min="14" max="14" width="9.5546875" style="14" customWidth="1"/>
    <col min="15" max="16" width="9.77734375" style="14" customWidth="1"/>
    <col min="17" max="17" width="13.109375" style="14" customWidth="1"/>
    <col min="18" max="18" width="9" style="14" customWidth="1"/>
    <col min="19" max="19" width="10.109375" style="14" customWidth="1"/>
    <col min="20" max="20" width="9.77734375" style="14" bestFit="1" customWidth="1"/>
    <col min="21" max="21" width="9" style="14" bestFit="1" customWidth="1"/>
    <col min="22" max="16384" width="8.88671875" style="14"/>
  </cols>
  <sheetData>
    <row r="1" spans="1:18" ht="21" x14ac:dyDescent="0.65">
      <c r="A1" s="234" t="s">
        <v>332</v>
      </c>
    </row>
    <row r="2" spans="1:18" ht="15.75" x14ac:dyDescent="0.5">
      <c r="A2" s="235" t="s">
        <v>334</v>
      </c>
      <c r="L2" s="203" t="s">
        <v>351</v>
      </c>
      <c r="M2" s="203"/>
      <c r="N2" s="203"/>
    </row>
    <row r="3" spans="1:18" x14ac:dyDescent="0.45">
      <c r="A3" s="132"/>
      <c r="B3" s="133"/>
      <c r="C3" s="133"/>
      <c r="D3" s="133"/>
      <c r="E3" s="133"/>
      <c r="F3" s="121" t="s">
        <v>104</v>
      </c>
      <c r="G3" s="121"/>
      <c r="H3" s="134"/>
      <c r="I3" s="133"/>
      <c r="L3" s="203" t="s">
        <v>324</v>
      </c>
      <c r="M3" s="203"/>
      <c r="N3" s="233" t="s">
        <v>356</v>
      </c>
    </row>
    <row r="4" spans="1:18" x14ac:dyDescent="0.45">
      <c r="A4" s="132"/>
      <c r="B4" s="133"/>
      <c r="C4" s="262" t="s">
        <v>105</v>
      </c>
      <c r="D4" s="264" t="s">
        <v>106</v>
      </c>
      <c r="E4" s="264" t="s">
        <v>107</v>
      </c>
      <c r="F4" s="264" t="s">
        <v>108</v>
      </c>
      <c r="G4" s="260" t="s">
        <v>109</v>
      </c>
      <c r="H4" s="260" t="s">
        <v>110</v>
      </c>
      <c r="I4" s="133"/>
      <c r="L4" s="203" t="s">
        <v>325</v>
      </c>
      <c r="M4" s="203"/>
      <c r="N4" s="233" t="s">
        <v>357</v>
      </c>
      <c r="O4" s="233" t="s">
        <v>354</v>
      </c>
    </row>
    <row r="5" spans="1:18" ht="14.65" thickBot="1" x14ac:dyDescent="0.5">
      <c r="A5" s="122" t="s">
        <v>111</v>
      </c>
      <c r="B5" s="123" t="s">
        <v>112</v>
      </c>
      <c r="C5" s="263"/>
      <c r="D5" s="265"/>
      <c r="E5" s="265"/>
      <c r="F5" s="265"/>
      <c r="G5" s="261"/>
      <c r="H5" s="261"/>
      <c r="I5" s="133"/>
      <c r="L5" s="203" t="s">
        <v>245</v>
      </c>
      <c r="M5" s="203"/>
      <c r="N5" s="233" t="s">
        <v>355</v>
      </c>
      <c r="O5" s="233" t="s">
        <v>355</v>
      </c>
    </row>
    <row r="6" spans="1:18" x14ac:dyDescent="0.45">
      <c r="A6" s="127"/>
      <c r="B6" s="125"/>
      <c r="C6" s="129"/>
      <c r="D6" s="129"/>
      <c r="E6" s="129"/>
      <c r="F6" s="129"/>
      <c r="G6" s="129"/>
      <c r="H6" s="129"/>
      <c r="I6" s="130"/>
    </row>
    <row r="7" spans="1:18" x14ac:dyDescent="0.45">
      <c r="A7" s="125" t="s">
        <v>113</v>
      </c>
      <c r="B7" s="136"/>
      <c r="C7" s="134"/>
      <c r="D7" s="134"/>
      <c r="E7" s="134"/>
      <c r="F7" s="134"/>
      <c r="G7" s="134"/>
      <c r="H7" s="134"/>
      <c r="I7" s="133"/>
    </row>
    <row r="8" spans="1:18" x14ac:dyDescent="0.45">
      <c r="A8" s="135" t="s">
        <v>114</v>
      </c>
      <c r="B8" s="136" t="s">
        <v>115</v>
      </c>
      <c r="C8" s="134">
        <v>220629</v>
      </c>
      <c r="D8" s="134">
        <v>0</v>
      </c>
      <c r="E8" s="134">
        <v>0</v>
      </c>
      <c r="F8" s="134">
        <f>C8+D8-E8</f>
        <v>220629</v>
      </c>
      <c r="G8" s="134">
        <f>H8-F8</f>
        <v>6704.867499999993</v>
      </c>
      <c r="H8" s="134">
        <v>227333.86749999999</v>
      </c>
      <c r="I8" s="133" t="s">
        <v>116</v>
      </c>
      <c r="L8" s="134">
        <v>227333.86749999999</v>
      </c>
      <c r="M8" s="134"/>
      <c r="N8" s="134"/>
    </row>
    <row r="9" spans="1:18" x14ac:dyDescent="0.45">
      <c r="A9" s="135" t="s">
        <v>117</v>
      </c>
      <c r="B9" s="136" t="s">
        <v>118</v>
      </c>
      <c r="C9" s="134">
        <v>16331</v>
      </c>
      <c r="D9" s="134">
        <v>0</v>
      </c>
      <c r="E9" s="134">
        <v>0</v>
      </c>
      <c r="F9" s="134">
        <f t="shared" ref="F9:F28" si="0">C9+D9-E9</f>
        <v>16331</v>
      </c>
      <c r="G9" s="134">
        <f t="shared" ref="G9:G28" si="1">H9-F9</f>
        <v>198</v>
      </c>
      <c r="H9" s="134">
        <v>16529</v>
      </c>
      <c r="I9" s="133" t="s">
        <v>119</v>
      </c>
      <c r="L9" s="134">
        <v>16529</v>
      </c>
      <c r="M9" s="134"/>
      <c r="N9" s="134"/>
    </row>
    <row r="10" spans="1:18" x14ac:dyDescent="0.45">
      <c r="A10" s="135" t="s">
        <v>120</v>
      </c>
      <c r="B10" s="136" t="s">
        <v>121</v>
      </c>
      <c r="C10" s="134">
        <v>56618</v>
      </c>
      <c r="D10" s="134">
        <v>0</v>
      </c>
      <c r="E10" s="134">
        <v>0</v>
      </c>
      <c r="F10" s="134">
        <f t="shared" si="0"/>
        <v>56618</v>
      </c>
      <c r="G10" s="126">
        <f>-1679.95-(L10*0.319)</f>
        <v>-19205.187950000003</v>
      </c>
      <c r="H10" s="126">
        <f>F10+G10</f>
        <v>37412.812049999993</v>
      </c>
      <c r="I10" s="141" t="s">
        <v>326</v>
      </c>
      <c r="L10" s="134">
        <v>54938.05</v>
      </c>
      <c r="M10" s="134"/>
      <c r="N10" s="134"/>
      <c r="O10" s="139">
        <f>L10-H10</f>
        <v>17525.23795000001</v>
      </c>
    </row>
    <row r="11" spans="1:18" x14ac:dyDescent="0.45">
      <c r="A11" s="135" t="s">
        <v>122</v>
      </c>
      <c r="B11" s="136" t="s">
        <v>123</v>
      </c>
      <c r="C11" s="134">
        <v>940</v>
      </c>
      <c r="D11" s="134">
        <v>0</v>
      </c>
      <c r="E11" s="134">
        <v>0</v>
      </c>
      <c r="F11" s="134">
        <f t="shared" si="0"/>
        <v>940</v>
      </c>
      <c r="G11" s="134">
        <f t="shared" si="1"/>
        <v>0</v>
      </c>
      <c r="H11" s="134">
        <f>F11</f>
        <v>940</v>
      </c>
      <c r="I11" s="133"/>
      <c r="L11" s="134">
        <v>940</v>
      </c>
      <c r="M11" s="134"/>
      <c r="N11" s="134"/>
    </row>
    <row r="12" spans="1:18" x14ac:dyDescent="0.45">
      <c r="A12" s="135" t="s">
        <v>124</v>
      </c>
      <c r="B12" s="136" t="s">
        <v>125</v>
      </c>
      <c r="C12" s="134">
        <v>7323</v>
      </c>
      <c r="D12" s="134">
        <v>0</v>
      </c>
      <c r="E12" s="134">
        <v>0</v>
      </c>
      <c r="F12" s="134">
        <f t="shared" si="0"/>
        <v>7323</v>
      </c>
      <c r="G12" s="134">
        <f t="shared" si="1"/>
        <v>0</v>
      </c>
      <c r="H12" s="134">
        <f>F12</f>
        <v>7323</v>
      </c>
      <c r="I12" s="133"/>
      <c r="L12" s="134">
        <v>7323</v>
      </c>
      <c r="M12" s="134"/>
      <c r="N12" s="134"/>
    </row>
    <row r="13" spans="1:18" x14ac:dyDescent="0.45">
      <c r="A13" s="135" t="s">
        <v>126</v>
      </c>
      <c r="B13" s="136" t="s">
        <v>127</v>
      </c>
      <c r="C13" s="134">
        <v>42599</v>
      </c>
      <c r="D13" s="134">
        <v>0</v>
      </c>
      <c r="E13" s="134">
        <v>0</v>
      </c>
      <c r="F13" s="134">
        <f t="shared" si="0"/>
        <v>42599</v>
      </c>
      <c r="G13" s="134">
        <f t="shared" si="1"/>
        <v>12593</v>
      </c>
      <c r="H13" s="134">
        <v>55192</v>
      </c>
      <c r="I13" s="133" t="s">
        <v>128</v>
      </c>
      <c r="L13" s="134">
        <v>55192</v>
      </c>
      <c r="M13" s="134"/>
      <c r="N13" s="134"/>
    </row>
    <row r="14" spans="1:18" x14ac:dyDescent="0.45">
      <c r="A14" s="135" t="s">
        <v>129</v>
      </c>
      <c r="B14" s="136" t="s">
        <v>130</v>
      </c>
      <c r="C14" s="134">
        <v>0</v>
      </c>
      <c r="D14" s="134">
        <v>33492</v>
      </c>
      <c r="E14" s="134">
        <v>0</v>
      </c>
      <c r="F14" s="126">
        <f t="shared" si="0"/>
        <v>33492</v>
      </c>
      <c r="G14" s="126">
        <f>-F14</f>
        <v>-33492</v>
      </c>
      <c r="H14" s="126">
        <f>F14+G14</f>
        <v>0</v>
      </c>
      <c r="I14" s="140" t="s">
        <v>242</v>
      </c>
      <c r="L14" s="134">
        <v>33492</v>
      </c>
      <c r="M14" s="134"/>
      <c r="N14" s="134"/>
    </row>
    <row r="15" spans="1:18" x14ac:dyDescent="0.45">
      <c r="A15" s="135" t="s">
        <v>131</v>
      </c>
      <c r="B15" s="136" t="s">
        <v>132</v>
      </c>
      <c r="C15" s="134">
        <v>0</v>
      </c>
      <c r="D15" s="134">
        <v>0</v>
      </c>
      <c r="E15" s="134">
        <v>2676</v>
      </c>
      <c r="F15" s="126">
        <f t="shared" si="0"/>
        <v>-2676</v>
      </c>
      <c r="G15" s="126">
        <f>-F15</f>
        <v>2676</v>
      </c>
      <c r="H15" s="126">
        <f>F15+G15</f>
        <v>0</v>
      </c>
      <c r="I15" s="140" t="s">
        <v>242</v>
      </c>
      <c r="L15" s="134">
        <v>-2676</v>
      </c>
      <c r="M15" s="134"/>
      <c r="N15" s="134">
        <f>-SUM(G14:G15)</f>
        <v>30816</v>
      </c>
      <c r="Q15" s="139"/>
      <c r="R15" s="47"/>
    </row>
    <row r="16" spans="1:18" x14ac:dyDescent="0.45">
      <c r="A16" s="135" t="s">
        <v>133</v>
      </c>
      <c r="B16" s="136" t="s">
        <v>134</v>
      </c>
      <c r="C16" s="134">
        <v>8063</v>
      </c>
      <c r="D16" s="134">
        <v>0</v>
      </c>
      <c r="E16" s="134">
        <v>0</v>
      </c>
      <c r="F16" s="134">
        <f t="shared" si="0"/>
        <v>8063</v>
      </c>
      <c r="G16" s="134">
        <f t="shared" si="1"/>
        <v>0</v>
      </c>
      <c r="H16" s="134">
        <f t="shared" ref="H16:H28" si="2">F16</f>
        <v>8063</v>
      </c>
      <c r="I16" s="133"/>
      <c r="L16" s="134">
        <v>8063</v>
      </c>
      <c r="M16" s="134"/>
      <c r="N16" s="134"/>
    </row>
    <row r="17" spans="1:21" x14ac:dyDescent="0.45">
      <c r="A17" s="135" t="s">
        <v>135</v>
      </c>
      <c r="B17" s="136" t="s">
        <v>136</v>
      </c>
      <c r="C17" s="134">
        <v>169</v>
      </c>
      <c r="D17" s="134">
        <v>0</v>
      </c>
      <c r="E17" s="134">
        <v>0</v>
      </c>
      <c r="F17" s="134">
        <f t="shared" si="0"/>
        <v>169</v>
      </c>
      <c r="G17" s="134">
        <f t="shared" si="1"/>
        <v>0</v>
      </c>
      <c r="H17" s="134">
        <f t="shared" si="2"/>
        <v>169</v>
      </c>
      <c r="I17" s="133"/>
      <c r="L17" s="134">
        <v>169</v>
      </c>
      <c r="M17" s="134"/>
      <c r="N17" s="134"/>
    </row>
    <row r="18" spans="1:21" x14ac:dyDescent="0.45">
      <c r="A18" s="135" t="s">
        <v>137</v>
      </c>
      <c r="B18" s="136" t="s">
        <v>138</v>
      </c>
      <c r="C18" s="134">
        <v>2376</v>
      </c>
      <c r="D18" s="134">
        <v>0</v>
      </c>
      <c r="E18" s="134">
        <v>0</v>
      </c>
      <c r="F18" s="134">
        <f t="shared" si="0"/>
        <v>2376</v>
      </c>
      <c r="G18" s="134">
        <f t="shared" si="1"/>
        <v>0</v>
      </c>
      <c r="H18" s="134">
        <f t="shared" si="2"/>
        <v>2376</v>
      </c>
      <c r="I18" s="133"/>
      <c r="L18" s="134">
        <v>2376</v>
      </c>
      <c r="M18" s="134"/>
      <c r="N18" s="134"/>
    </row>
    <row r="19" spans="1:21" x14ac:dyDescent="0.45">
      <c r="A19" s="135" t="s">
        <v>139</v>
      </c>
      <c r="B19" s="136" t="s">
        <v>140</v>
      </c>
      <c r="C19" s="134">
        <v>6882</v>
      </c>
      <c r="D19" s="134">
        <v>0</v>
      </c>
      <c r="E19" s="134">
        <v>0</v>
      </c>
      <c r="F19" s="134">
        <f t="shared" si="0"/>
        <v>6882</v>
      </c>
      <c r="G19" s="134">
        <f t="shared" si="1"/>
        <v>0</v>
      </c>
      <c r="H19" s="134">
        <f t="shared" si="2"/>
        <v>6882</v>
      </c>
      <c r="I19" s="133"/>
      <c r="L19" s="134">
        <v>6882</v>
      </c>
      <c r="M19" s="134"/>
      <c r="N19" s="134"/>
      <c r="R19" s="259"/>
      <c r="S19" s="259"/>
      <c r="T19" s="259"/>
    </row>
    <row r="20" spans="1:21" x14ac:dyDescent="0.45">
      <c r="A20" s="135" t="s">
        <v>141</v>
      </c>
      <c r="B20" s="136" t="s">
        <v>70</v>
      </c>
      <c r="C20" s="134">
        <v>4278</v>
      </c>
      <c r="D20" s="134">
        <v>0</v>
      </c>
      <c r="E20" s="134">
        <v>0</v>
      </c>
      <c r="F20" s="134">
        <f t="shared" si="0"/>
        <v>4278</v>
      </c>
      <c r="G20" s="134">
        <f t="shared" si="1"/>
        <v>0</v>
      </c>
      <c r="H20" s="134">
        <f t="shared" si="2"/>
        <v>4278</v>
      </c>
      <c r="I20" s="133"/>
      <c r="L20" s="134">
        <v>4278</v>
      </c>
      <c r="M20" s="134"/>
      <c r="N20" s="134"/>
      <c r="R20" s="259"/>
      <c r="S20" s="259"/>
      <c r="T20" s="259"/>
      <c r="U20" s="251"/>
    </row>
    <row r="21" spans="1:21" x14ac:dyDescent="0.45">
      <c r="A21" s="135" t="s">
        <v>142</v>
      </c>
      <c r="B21" s="136" t="s">
        <v>143</v>
      </c>
      <c r="C21" s="134">
        <v>3085</v>
      </c>
      <c r="D21" s="134">
        <v>0</v>
      </c>
      <c r="E21" s="134">
        <v>0</v>
      </c>
      <c r="F21" s="134">
        <f t="shared" si="0"/>
        <v>3085</v>
      </c>
      <c r="G21" s="134">
        <f t="shared" si="1"/>
        <v>0</v>
      </c>
      <c r="H21" s="134">
        <f t="shared" si="2"/>
        <v>3085</v>
      </c>
      <c r="I21" s="133"/>
      <c r="L21" s="134">
        <v>3085</v>
      </c>
      <c r="M21" s="134"/>
      <c r="N21" s="134"/>
      <c r="U21" s="251"/>
    </row>
    <row r="22" spans="1:21" x14ac:dyDescent="0.45">
      <c r="A22" s="135" t="s">
        <v>144</v>
      </c>
      <c r="B22" s="136" t="s">
        <v>145</v>
      </c>
      <c r="C22" s="134">
        <v>10270</v>
      </c>
      <c r="D22" s="134">
        <v>0</v>
      </c>
      <c r="E22" s="134">
        <v>0</v>
      </c>
      <c r="F22" s="134">
        <f t="shared" si="0"/>
        <v>10270</v>
      </c>
      <c r="G22" s="134">
        <f t="shared" si="1"/>
        <v>0</v>
      </c>
      <c r="H22" s="134">
        <f t="shared" si="2"/>
        <v>10270</v>
      </c>
      <c r="I22" s="133"/>
      <c r="L22" s="134">
        <v>10270</v>
      </c>
      <c r="M22" s="134"/>
      <c r="N22" s="134"/>
      <c r="U22" s="251"/>
    </row>
    <row r="23" spans="1:21" x14ac:dyDescent="0.45">
      <c r="A23" s="135" t="s">
        <v>146</v>
      </c>
      <c r="B23" s="136" t="s">
        <v>147</v>
      </c>
      <c r="C23" s="134">
        <v>3822</v>
      </c>
      <c r="D23" s="134">
        <v>0</v>
      </c>
      <c r="E23" s="134">
        <v>0</v>
      </c>
      <c r="F23" s="134">
        <f t="shared" si="0"/>
        <v>3822</v>
      </c>
      <c r="G23" s="134">
        <f t="shared" si="1"/>
        <v>0</v>
      </c>
      <c r="H23" s="134">
        <f t="shared" si="2"/>
        <v>3822</v>
      </c>
      <c r="I23" s="133"/>
      <c r="L23" s="134">
        <v>3822</v>
      </c>
      <c r="M23" s="134"/>
      <c r="N23" s="134"/>
    </row>
    <row r="24" spans="1:21" x14ac:dyDescent="0.45">
      <c r="A24" s="135" t="s">
        <v>148</v>
      </c>
      <c r="B24" s="136" t="s">
        <v>72</v>
      </c>
      <c r="C24" s="134">
        <v>11268</v>
      </c>
      <c r="D24" s="134">
        <v>0</v>
      </c>
      <c r="E24" s="134">
        <v>0</v>
      </c>
      <c r="F24" s="134">
        <f t="shared" si="0"/>
        <v>11268</v>
      </c>
      <c r="G24" s="134">
        <f t="shared" si="1"/>
        <v>0</v>
      </c>
      <c r="H24" s="134">
        <f t="shared" si="2"/>
        <v>11268</v>
      </c>
      <c r="I24" s="133"/>
      <c r="L24" s="134">
        <v>11268</v>
      </c>
      <c r="M24" s="134"/>
      <c r="N24" s="134"/>
    </row>
    <row r="25" spans="1:21" x14ac:dyDescent="0.45">
      <c r="A25" s="135" t="s">
        <v>149</v>
      </c>
      <c r="B25" s="136" t="s">
        <v>150</v>
      </c>
      <c r="C25" s="134">
        <v>0</v>
      </c>
      <c r="D25" s="134">
        <v>0</v>
      </c>
      <c r="E25" s="134">
        <v>0</v>
      </c>
      <c r="F25" s="134">
        <f t="shared" si="0"/>
        <v>0</v>
      </c>
      <c r="G25" s="134">
        <f t="shared" si="1"/>
        <v>0</v>
      </c>
      <c r="H25" s="134">
        <f t="shared" si="2"/>
        <v>0</v>
      </c>
      <c r="I25" s="133"/>
      <c r="L25" s="134">
        <v>0</v>
      </c>
      <c r="M25" s="134"/>
      <c r="N25" s="134"/>
    </row>
    <row r="26" spans="1:21" x14ac:dyDescent="0.45">
      <c r="A26" s="135" t="s">
        <v>151</v>
      </c>
      <c r="B26" s="136" t="s">
        <v>152</v>
      </c>
      <c r="C26" s="134">
        <v>4562</v>
      </c>
      <c r="D26" s="134">
        <v>0</v>
      </c>
      <c r="E26" s="134">
        <v>0</v>
      </c>
      <c r="F26" s="134">
        <f t="shared" si="0"/>
        <v>4562</v>
      </c>
      <c r="G26" s="134">
        <f t="shared" si="1"/>
        <v>0</v>
      </c>
      <c r="H26" s="134">
        <f t="shared" si="2"/>
        <v>4562</v>
      </c>
      <c r="I26" s="133"/>
      <c r="L26" s="134">
        <v>4562</v>
      </c>
      <c r="M26" s="134"/>
      <c r="N26" s="134"/>
    </row>
    <row r="27" spans="1:21" x14ac:dyDescent="0.45">
      <c r="A27" s="135" t="s">
        <v>153</v>
      </c>
      <c r="B27" s="136" t="s">
        <v>154</v>
      </c>
      <c r="C27" s="134">
        <v>3518</v>
      </c>
      <c r="D27" s="134">
        <v>0</v>
      </c>
      <c r="E27" s="134">
        <v>0</v>
      </c>
      <c r="F27" s="134">
        <f t="shared" si="0"/>
        <v>3518</v>
      </c>
      <c r="G27" s="134">
        <f t="shared" si="1"/>
        <v>0</v>
      </c>
      <c r="H27" s="134">
        <f t="shared" si="2"/>
        <v>3518</v>
      </c>
      <c r="I27" s="133"/>
      <c r="L27" s="134">
        <v>3518</v>
      </c>
      <c r="M27" s="134"/>
      <c r="N27" s="134"/>
    </row>
    <row r="28" spans="1:21" ht="16.5" x14ac:dyDescent="0.75">
      <c r="A28" s="135" t="s">
        <v>155</v>
      </c>
      <c r="B28" s="136" t="s">
        <v>156</v>
      </c>
      <c r="C28" s="124">
        <v>0</v>
      </c>
      <c r="D28" s="124">
        <v>0</v>
      </c>
      <c r="E28" s="124">
        <v>0</v>
      </c>
      <c r="F28" s="124">
        <f t="shared" si="0"/>
        <v>0</v>
      </c>
      <c r="G28" s="137">
        <f t="shared" si="1"/>
        <v>0</v>
      </c>
      <c r="H28" s="137">
        <f t="shared" si="2"/>
        <v>0</v>
      </c>
      <c r="I28" s="133"/>
      <c r="L28" s="137">
        <v>0</v>
      </c>
      <c r="M28" s="134"/>
      <c r="N28" s="134"/>
    </row>
    <row r="29" spans="1:21" x14ac:dyDescent="0.45">
      <c r="A29" s="127"/>
      <c r="B29" s="128" t="s">
        <v>157</v>
      </c>
      <c r="C29" s="129">
        <f t="shared" ref="C29:H29" si="3">SUM(C8:C28)</f>
        <v>402733</v>
      </c>
      <c r="D29" s="129">
        <f t="shared" si="3"/>
        <v>33492</v>
      </c>
      <c r="E29" s="129">
        <f t="shared" si="3"/>
        <v>2676</v>
      </c>
      <c r="F29" s="129">
        <f t="shared" si="3"/>
        <v>433549</v>
      </c>
      <c r="G29" s="129">
        <f t="shared" si="3"/>
        <v>-30525.320450000014</v>
      </c>
      <c r="H29" s="129">
        <f t="shared" si="3"/>
        <v>403023.67955</v>
      </c>
      <c r="I29" s="130"/>
      <c r="L29" s="129">
        <v>451364.91749999998</v>
      </c>
      <c r="M29" s="129"/>
      <c r="N29" s="129"/>
      <c r="P29" s="139"/>
    </row>
    <row r="30" spans="1:21" x14ac:dyDescent="0.45">
      <c r="A30" s="127"/>
      <c r="B30" s="125"/>
      <c r="C30" s="129"/>
      <c r="D30" s="129"/>
      <c r="E30" s="129"/>
      <c r="F30" s="129"/>
      <c r="G30" s="129"/>
      <c r="H30" s="129"/>
      <c r="I30" s="130"/>
    </row>
    <row r="31" spans="1:21" x14ac:dyDescent="0.45">
      <c r="A31" s="125" t="s">
        <v>82</v>
      </c>
      <c r="B31" s="136"/>
      <c r="C31" s="134"/>
      <c r="D31" s="134"/>
      <c r="E31" s="134"/>
      <c r="F31" s="134"/>
      <c r="G31" s="134"/>
      <c r="H31" s="134"/>
      <c r="I31" s="133"/>
    </row>
    <row r="32" spans="1:21" x14ac:dyDescent="0.45">
      <c r="A32" s="135" t="s">
        <v>158</v>
      </c>
      <c r="B32" s="136" t="s">
        <v>115</v>
      </c>
      <c r="C32" s="134">
        <v>178041</v>
      </c>
      <c r="D32" s="134">
        <v>0</v>
      </c>
      <c r="E32" s="134">
        <v>0</v>
      </c>
      <c r="F32" s="134">
        <f t="shared" ref="F32:F55" si="4">C32+D32-E32</f>
        <v>178041</v>
      </c>
      <c r="G32" s="134">
        <f>H32-F32</f>
        <v>-5709.8978571429907</v>
      </c>
      <c r="H32" s="134">
        <v>172331.10214285701</v>
      </c>
      <c r="I32" s="133" t="s">
        <v>116</v>
      </c>
      <c r="L32" s="134">
        <v>172331.10214285715</v>
      </c>
      <c r="M32" s="134"/>
      <c r="N32" s="134"/>
    </row>
    <row r="33" spans="1:15" x14ac:dyDescent="0.45">
      <c r="A33" s="135" t="s">
        <v>159</v>
      </c>
      <c r="B33" s="136" t="s">
        <v>118</v>
      </c>
      <c r="C33" s="134">
        <v>13362</v>
      </c>
      <c r="D33" s="134">
        <v>0</v>
      </c>
      <c r="E33" s="134">
        <v>0</v>
      </c>
      <c r="F33" s="134">
        <f t="shared" si="4"/>
        <v>13362</v>
      </c>
      <c r="G33" s="134">
        <f t="shared" ref="G33:G55" si="5">H33-F33</f>
        <v>-178.67068607140027</v>
      </c>
      <c r="H33" s="134">
        <v>13183.3293139286</v>
      </c>
      <c r="I33" s="133" t="s">
        <v>119</v>
      </c>
      <c r="L33" s="134">
        <v>13183.329313928571</v>
      </c>
      <c r="M33" s="134"/>
      <c r="N33" s="134"/>
    </row>
    <row r="34" spans="1:15" x14ac:dyDescent="0.45">
      <c r="A34" s="135" t="s">
        <v>160</v>
      </c>
      <c r="B34" s="136" t="s">
        <v>121</v>
      </c>
      <c r="C34" s="134">
        <v>67562</v>
      </c>
      <c r="D34" s="134">
        <v>0</v>
      </c>
      <c r="E34" s="134">
        <v>0</v>
      </c>
      <c r="F34" s="134">
        <f t="shared" si="4"/>
        <v>67562</v>
      </c>
      <c r="G34" s="126">
        <f>4747.75-(L34*0.319)</f>
        <v>-18319.060249999999</v>
      </c>
      <c r="H34" s="126">
        <f>F34+G34</f>
        <v>49242.939750000005</v>
      </c>
      <c r="I34" s="141" t="s">
        <v>326</v>
      </c>
      <c r="L34" s="134">
        <v>72309.75</v>
      </c>
      <c r="M34" s="134"/>
      <c r="N34" s="134"/>
      <c r="O34" s="139">
        <f>L34-H34</f>
        <v>23066.810249999995</v>
      </c>
    </row>
    <row r="35" spans="1:15" x14ac:dyDescent="0.45">
      <c r="A35" s="135" t="s">
        <v>161</v>
      </c>
      <c r="B35" s="136" t="s">
        <v>123</v>
      </c>
      <c r="C35" s="134">
        <v>529</v>
      </c>
      <c r="D35" s="134">
        <v>0</v>
      </c>
      <c r="E35" s="134">
        <v>0</v>
      </c>
      <c r="F35" s="134">
        <f t="shared" si="4"/>
        <v>529</v>
      </c>
      <c r="G35" s="134">
        <f t="shared" si="5"/>
        <v>0</v>
      </c>
      <c r="H35" s="134">
        <f>F35</f>
        <v>529</v>
      </c>
      <c r="I35" s="133"/>
      <c r="L35" s="134">
        <v>529</v>
      </c>
      <c r="M35" s="134"/>
      <c r="N35" s="134"/>
    </row>
    <row r="36" spans="1:15" x14ac:dyDescent="0.45">
      <c r="A36" s="135" t="s">
        <v>162</v>
      </c>
      <c r="B36" s="136" t="s">
        <v>125</v>
      </c>
      <c r="C36" s="134">
        <v>359</v>
      </c>
      <c r="D36" s="134">
        <v>0</v>
      </c>
      <c r="E36" s="134">
        <v>0</v>
      </c>
      <c r="F36" s="134">
        <f t="shared" si="4"/>
        <v>359</v>
      </c>
      <c r="G36" s="134">
        <f t="shared" si="5"/>
        <v>0</v>
      </c>
      <c r="H36" s="134">
        <f>F36</f>
        <v>359</v>
      </c>
      <c r="I36" s="133"/>
      <c r="L36" s="134">
        <v>359</v>
      </c>
      <c r="M36" s="134"/>
      <c r="N36" s="134"/>
    </row>
    <row r="37" spans="1:15" x14ac:dyDescent="0.45">
      <c r="A37" s="135" t="s">
        <v>163</v>
      </c>
      <c r="B37" s="136" t="s">
        <v>127</v>
      </c>
      <c r="C37" s="134">
        <v>37659</v>
      </c>
      <c r="D37" s="134">
        <v>0</v>
      </c>
      <c r="E37" s="134">
        <v>0</v>
      </c>
      <c r="F37" s="134">
        <f t="shared" si="4"/>
        <v>37659</v>
      </c>
      <c r="G37" s="134">
        <f t="shared" si="5"/>
        <v>8784</v>
      </c>
      <c r="H37" s="134">
        <v>46443</v>
      </c>
      <c r="I37" s="133" t="s">
        <v>128</v>
      </c>
      <c r="L37" s="134">
        <v>46443</v>
      </c>
      <c r="M37" s="134"/>
      <c r="N37" s="134"/>
    </row>
    <row r="38" spans="1:15" x14ac:dyDescent="0.45">
      <c r="A38" s="135" t="s">
        <v>164</v>
      </c>
      <c r="B38" s="136" t="s">
        <v>130</v>
      </c>
      <c r="C38" s="134">
        <v>0</v>
      </c>
      <c r="D38" s="134">
        <v>30619</v>
      </c>
      <c r="E38" s="134">
        <v>0</v>
      </c>
      <c r="F38" s="126">
        <f t="shared" si="4"/>
        <v>30619</v>
      </c>
      <c r="G38" s="126">
        <f>-F38</f>
        <v>-30619</v>
      </c>
      <c r="H38" s="126">
        <f>F38+G38</f>
        <v>0</v>
      </c>
      <c r="I38" s="140" t="s">
        <v>242</v>
      </c>
      <c r="L38" s="134">
        <v>30619</v>
      </c>
      <c r="M38" s="134"/>
      <c r="N38" s="134"/>
    </row>
    <row r="39" spans="1:15" x14ac:dyDescent="0.45">
      <c r="A39" s="135" t="s">
        <v>165</v>
      </c>
      <c r="B39" s="136" t="s">
        <v>132</v>
      </c>
      <c r="C39" s="134">
        <v>0</v>
      </c>
      <c r="D39" s="134">
        <v>0</v>
      </c>
      <c r="E39" s="134">
        <v>3491</v>
      </c>
      <c r="F39" s="126">
        <f t="shared" si="4"/>
        <v>-3491</v>
      </c>
      <c r="G39" s="126">
        <f>-F39</f>
        <v>3491</v>
      </c>
      <c r="H39" s="126">
        <f>F39+G39</f>
        <v>0</v>
      </c>
      <c r="I39" s="140" t="s">
        <v>242</v>
      </c>
      <c r="L39" s="134">
        <v>-3491</v>
      </c>
      <c r="M39" s="134"/>
      <c r="N39" s="134">
        <f>-SUM(G38:G39)</f>
        <v>27128</v>
      </c>
    </row>
    <row r="40" spans="1:15" x14ac:dyDescent="0.45">
      <c r="A40" s="135" t="s">
        <v>166</v>
      </c>
      <c r="B40" s="136" t="s">
        <v>134</v>
      </c>
      <c r="C40" s="134">
        <v>179933</v>
      </c>
      <c r="D40" s="134">
        <v>0</v>
      </c>
      <c r="E40" s="134">
        <v>0</v>
      </c>
      <c r="F40" s="134">
        <f t="shared" si="4"/>
        <v>179933</v>
      </c>
      <c r="G40" s="134">
        <f t="shared" si="5"/>
        <v>0</v>
      </c>
      <c r="H40" s="134">
        <f t="shared" ref="H40:H55" si="6">F40</f>
        <v>179933</v>
      </c>
      <c r="I40" s="133"/>
      <c r="L40" s="134">
        <v>179933</v>
      </c>
      <c r="M40" s="134"/>
      <c r="N40" s="134"/>
    </row>
    <row r="41" spans="1:15" x14ac:dyDescent="0.45">
      <c r="A41" s="135" t="s">
        <v>167</v>
      </c>
      <c r="B41" s="136" t="s">
        <v>136</v>
      </c>
      <c r="C41" s="134">
        <v>786</v>
      </c>
      <c r="D41" s="134">
        <v>0</v>
      </c>
      <c r="E41" s="134">
        <v>0</v>
      </c>
      <c r="F41" s="134">
        <f t="shared" si="4"/>
        <v>786</v>
      </c>
      <c r="G41" s="134">
        <f t="shared" si="5"/>
        <v>0</v>
      </c>
      <c r="H41" s="134">
        <f t="shared" si="6"/>
        <v>786</v>
      </c>
      <c r="I41" s="133"/>
      <c r="L41" s="134">
        <v>786</v>
      </c>
      <c r="M41" s="134"/>
      <c r="N41" s="134"/>
    </row>
    <row r="42" spans="1:15" x14ac:dyDescent="0.45">
      <c r="A42" s="135" t="s">
        <v>168</v>
      </c>
      <c r="B42" s="136" t="s">
        <v>138</v>
      </c>
      <c r="C42" s="134">
        <v>20008</v>
      </c>
      <c r="D42" s="134">
        <v>0</v>
      </c>
      <c r="E42" s="134">
        <v>0</v>
      </c>
      <c r="F42" s="134">
        <f t="shared" si="4"/>
        <v>20008</v>
      </c>
      <c r="G42" s="134">
        <f t="shared" si="5"/>
        <v>0</v>
      </c>
      <c r="H42" s="134">
        <f t="shared" si="6"/>
        <v>20008</v>
      </c>
      <c r="I42" s="133"/>
      <c r="L42" s="134">
        <v>20008</v>
      </c>
      <c r="M42" s="134"/>
      <c r="N42" s="134"/>
    </row>
    <row r="43" spans="1:15" x14ac:dyDescent="0.45">
      <c r="A43" s="135" t="s">
        <v>169</v>
      </c>
      <c r="B43" s="136" t="s">
        <v>140</v>
      </c>
      <c r="C43" s="134">
        <v>2123</v>
      </c>
      <c r="D43" s="134">
        <v>0</v>
      </c>
      <c r="E43" s="134">
        <v>0</v>
      </c>
      <c r="F43" s="134">
        <f t="shared" si="4"/>
        <v>2123</v>
      </c>
      <c r="G43" s="134">
        <f t="shared" si="5"/>
        <v>0</v>
      </c>
      <c r="H43" s="134">
        <f t="shared" si="6"/>
        <v>2123</v>
      </c>
      <c r="I43" s="133"/>
      <c r="L43" s="134">
        <v>2123</v>
      </c>
      <c r="M43" s="134"/>
      <c r="N43" s="134"/>
    </row>
    <row r="44" spans="1:15" x14ac:dyDescent="0.45">
      <c r="A44" s="135" t="s">
        <v>170</v>
      </c>
      <c r="B44" s="136" t="s">
        <v>171</v>
      </c>
      <c r="C44" s="134">
        <v>81088</v>
      </c>
      <c r="D44" s="134">
        <v>0</v>
      </c>
      <c r="E44" s="134">
        <v>0</v>
      </c>
      <c r="F44" s="134">
        <f t="shared" si="4"/>
        <v>81088</v>
      </c>
      <c r="G44" s="134">
        <v>24618</v>
      </c>
      <c r="H44" s="134">
        <f>F44+G44</f>
        <v>105706</v>
      </c>
      <c r="I44" s="133" t="s">
        <v>172</v>
      </c>
      <c r="L44" s="134">
        <v>105706</v>
      </c>
      <c r="M44" s="134"/>
      <c r="N44" s="134"/>
    </row>
    <row r="45" spans="1:15" x14ac:dyDescent="0.45">
      <c r="A45" s="135" t="s">
        <v>173</v>
      </c>
      <c r="B45" s="136" t="s">
        <v>70</v>
      </c>
      <c r="C45" s="134">
        <v>41523</v>
      </c>
      <c r="D45" s="134">
        <v>0</v>
      </c>
      <c r="E45" s="134">
        <v>0</v>
      </c>
      <c r="F45" s="134">
        <f t="shared" si="4"/>
        <v>41523</v>
      </c>
      <c r="G45" s="134">
        <f t="shared" si="5"/>
        <v>0</v>
      </c>
      <c r="H45" s="134">
        <f t="shared" si="6"/>
        <v>41523</v>
      </c>
      <c r="I45" s="133"/>
      <c r="L45" s="134">
        <v>41523</v>
      </c>
      <c r="M45" s="134"/>
      <c r="N45" s="134"/>
    </row>
    <row r="46" spans="1:15" x14ac:dyDescent="0.45">
      <c r="A46" s="135" t="s">
        <v>174</v>
      </c>
      <c r="B46" s="136" t="s">
        <v>175</v>
      </c>
      <c r="C46" s="134">
        <v>14677</v>
      </c>
      <c r="D46" s="134">
        <v>0</v>
      </c>
      <c r="E46" s="134">
        <v>0</v>
      </c>
      <c r="F46" s="134">
        <f t="shared" si="4"/>
        <v>14677</v>
      </c>
      <c r="G46" s="134">
        <f t="shared" si="5"/>
        <v>0</v>
      </c>
      <c r="H46" s="134">
        <f t="shared" si="6"/>
        <v>14677</v>
      </c>
      <c r="I46" s="133"/>
      <c r="L46" s="134">
        <v>14677</v>
      </c>
      <c r="M46" s="134"/>
      <c r="N46" s="134"/>
    </row>
    <row r="47" spans="1:15" x14ac:dyDescent="0.45">
      <c r="A47" s="135" t="s">
        <v>176</v>
      </c>
      <c r="B47" s="136" t="s">
        <v>143</v>
      </c>
      <c r="C47" s="134">
        <v>20470</v>
      </c>
      <c r="D47" s="134">
        <v>0</v>
      </c>
      <c r="E47" s="134">
        <v>0</v>
      </c>
      <c r="F47" s="134">
        <f t="shared" si="4"/>
        <v>20470</v>
      </c>
      <c r="G47" s="134">
        <f t="shared" si="5"/>
        <v>0</v>
      </c>
      <c r="H47" s="134">
        <f t="shared" si="6"/>
        <v>20470</v>
      </c>
      <c r="I47" s="133"/>
      <c r="L47" s="134">
        <v>20470</v>
      </c>
      <c r="M47" s="134"/>
      <c r="N47" s="134"/>
    </row>
    <row r="48" spans="1:15" x14ac:dyDescent="0.45">
      <c r="A48" s="135" t="s">
        <v>177</v>
      </c>
      <c r="B48" s="136" t="s">
        <v>147</v>
      </c>
      <c r="C48" s="134">
        <v>1503</v>
      </c>
      <c r="D48" s="134">
        <v>0</v>
      </c>
      <c r="E48" s="134">
        <v>0</v>
      </c>
      <c r="F48" s="134">
        <f t="shared" si="4"/>
        <v>1503</v>
      </c>
      <c r="G48" s="134">
        <f t="shared" si="5"/>
        <v>0</v>
      </c>
      <c r="H48" s="134">
        <f t="shared" si="6"/>
        <v>1503</v>
      </c>
      <c r="I48" s="133"/>
      <c r="L48" s="134">
        <v>1503</v>
      </c>
      <c r="M48" s="134"/>
      <c r="N48" s="134"/>
    </row>
    <row r="49" spans="1:16" x14ac:dyDescent="0.45">
      <c r="A49" s="135" t="s">
        <v>178</v>
      </c>
      <c r="B49" s="136" t="s">
        <v>72</v>
      </c>
      <c r="C49" s="134">
        <v>869</v>
      </c>
      <c r="D49" s="134">
        <v>0</v>
      </c>
      <c r="E49" s="134">
        <v>0</v>
      </c>
      <c r="F49" s="134">
        <f t="shared" si="4"/>
        <v>869</v>
      </c>
      <c r="G49" s="134">
        <f t="shared" si="5"/>
        <v>0</v>
      </c>
      <c r="H49" s="134">
        <f t="shared" si="6"/>
        <v>869</v>
      </c>
      <c r="I49" s="133"/>
      <c r="L49" s="134">
        <v>869</v>
      </c>
      <c r="M49" s="134"/>
      <c r="N49" s="134"/>
    </row>
    <row r="50" spans="1:16" x14ac:dyDescent="0.45">
      <c r="A50" s="135" t="s">
        <v>179</v>
      </c>
      <c r="B50" s="136" t="s">
        <v>150</v>
      </c>
      <c r="C50" s="134">
        <v>0</v>
      </c>
      <c r="D50" s="134">
        <v>0</v>
      </c>
      <c r="E50" s="134">
        <v>0</v>
      </c>
      <c r="F50" s="134">
        <f t="shared" si="4"/>
        <v>0</v>
      </c>
      <c r="G50" s="134">
        <f t="shared" si="5"/>
        <v>0</v>
      </c>
      <c r="H50" s="134">
        <f t="shared" si="6"/>
        <v>0</v>
      </c>
      <c r="I50" s="133"/>
      <c r="L50" s="134">
        <v>0</v>
      </c>
      <c r="M50" s="134"/>
      <c r="N50" s="134"/>
    </row>
    <row r="51" spans="1:16" x14ac:dyDescent="0.45">
      <c r="A51" s="135" t="s">
        <v>180</v>
      </c>
      <c r="B51" s="136" t="s">
        <v>152</v>
      </c>
      <c r="C51" s="134">
        <v>529</v>
      </c>
      <c r="D51" s="134">
        <v>0</v>
      </c>
      <c r="E51" s="134">
        <v>0</v>
      </c>
      <c r="F51" s="134">
        <f t="shared" si="4"/>
        <v>529</v>
      </c>
      <c r="G51" s="134">
        <f t="shared" si="5"/>
        <v>0</v>
      </c>
      <c r="H51" s="134">
        <f t="shared" si="6"/>
        <v>529</v>
      </c>
      <c r="I51" s="133"/>
      <c r="L51" s="134">
        <v>529</v>
      </c>
      <c r="M51" s="134"/>
      <c r="N51" s="134"/>
    </row>
    <row r="52" spans="1:16" x14ac:dyDescent="0.45">
      <c r="A52" s="135" t="s">
        <v>181</v>
      </c>
      <c r="B52" s="136" t="s">
        <v>154</v>
      </c>
      <c r="C52" s="134">
        <v>5279</v>
      </c>
      <c r="D52" s="134">
        <v>0</v>
      </c>
      <c r="E52" s="134">
        <v>0</v>
      </c>
      <c r="F52" s="134">
        <f t="shared" si="4"/>
        <v>5279</v>
      </c>
      <c r="G52" s="134">
        <f t="shared" si="5"/>
        <v>0</v>
      </c>
      <c r="H52" s="134">
        <f t="shared" si="6"/>
        <v>5279</v>
      </c>
      <c r="I52" s="133"/>
      <c r="L52" s="134">
        <v>5279</v>
      </c>
      <c r="M52" s="134"/>
      <c r="N52" s="134"/>
    </row>
    <row r="53" spans="1:16" x14ac:dyDescent="0.45">
      <c r="A53" s="135" t="s">
        <v>182</v>
      </c>
      <c r="B53" s="136" t="s">
        <v>183</v>
      </c>
      <c r="C53" s="134">
        <v>0</v>
      </c>
      <c r="D53" s="134">
        <v>0</v>
      </c>
      <c r="E53" s="134">
        <v>0</v>
      </c>
      <c r="F53" s="134">
        <f t="shared" si="4"/>
        <v>0</v>
      </c>
      <c r="G53" s="134">
        <f t="shared" si="5"/>
        <v>28133</v>
      </c>
      <c r="H53" s="134">
        <f>56266/2</f>
        <v>28133</v>
      </c>
      <c r="I53" s="133" t="s">
        <v>184</v>
      </c>
      <c r="L53" s="134">
        <v>28133</v>
      </c>
      <c r="M53" s="134"/>
      <c r="N53" s="134"/>
    </row>
    <row r="54" spans="1:16" x14ac:dyDescent="0.45">
      <c r="A54" s="135" t="s">
        <v>185</v>
      </c>
      <c r="B54" s="136" t="s">
        <v>186</v>
      </c>
      <c r="C54" s="134">
        <v>368</v>
      </c>
      <c r="D54" s="134">
        <v>0</v>
      </c>
      <c r="E54" s="134">
        <v>0</v>
      </c>
      <c r="F54" s="134">
        <f t="shared" si="4"/>
        <v>368</v>
      </c>
      <c r="G54" s="134">
        <f t="shared" si="5"/>
        <v>0</v>
      </c>
      <c r="H54" s="134">
        <f t="shared" si="6"/>
        <v>368</v>
      </c>
      <c r="I54" s="133"/>
      <c r="L54" s="134">
        <v>368</v>
      </c>
      <c r="M54" s="134"/>
      <c r="N54" s="134"/>
    </row>
    <row r="55" spans="1:16" ht="16.5" x14ac:dyDescent="0.75">
      <c r="A55" s="135" t="s">
        <v>187</v>
      </c>
      <c r="B55" s="136" t="s">
        <v>156</v>
      </c>
      <c r="C55" s="124">
        <v>18</v>
      </c>
      <c r="D55" s="124">
        <v>0</v>
      </c>
      <c r="E55" s="124">
        <v>0</v>
      </c>
      <c r="F55" s="124">
        <f t="shared" si="4"/>
        <v>18</v>
      </c>
      <c r="G55" s="137">
        <f t="shared" si="5"/>
        <v>0</v>
      </c>
      <c r="H55" s="124">
        <f t="shared" si="6"/>
        <v>18</v>
      </c>
      <c r="I55" s="133"/>
      <c r="L55" s="124">
        <v>18</v>
      </c>
      <c r="M55" s="124"/>
      <c r="N55" s="124"/>
    </row>
    <row r="56" spans="1:16" x14ac:dyDescent="0.45">
      <c r="A56" s="135"/>
      <c r="B56" s="128" t="s">
        <v>188</v>
      </c>
      <c r="C56" s="129">
        <f>SUM(C32:C55)</f>
        <v>666686</v>
      </c>
      <c r="D56" s="129">
        <f t="shared" ref="D56:F56" si="7">SUM(D32:D55)</f>
        <v>30619</v>
      </c>
      <c r="E56" s="129">
        <f t="shared" si="7"/>
        <v>3491</v>
      </c>
      <c r="F56" s="129">
        <f t="shared" si="7"/>
        <v>693814</v>
      </c>
      <c r="G56" s="129">
        <f>SUM(G32:G55)</f>
        <v>10199.37120678561</v>
      </c>
      <c r="H56" s="129">
        <f>SUM(H32:H55)</f>
        <v>704013.37120678555</v>
      </c>
      <c r="I56" s="133"/>
      <c r="L56" s="129">
        <v>754208.18145678577</v>
      </c>
      <c r="M56" s="129"/>
      <c r="N56" s="129"/>
      <c r="P56" s="139"/>
    </row>
    <row r="57" spans="1:16" x14ac:dyDescent="0.45">
      <c r="A57" s="135"/>
      <c r="B57" s="125"/>
      <c r="C57" s="129"/>
      <c r="D57" s="129"/>
      <c r="E57" s="129"/>
      <c r="F57" s="129"/>
      <c r="G57" s="129"/>
      <c r="H57" s="134"/>
      <c r="I57" s="133"/>
    </row>
    <row r="58" spans="1:16" x14ac:dyDescent="0.45">
      <c r="A58" s="125" t="s">
        <v>189</v>
      </c>
      <c r="B58" s="136"/>
      <c r="C58" s="134"/>
      <c r="D58" s="134"/>
      <c r="E58" s="134"/>
      <c r="F58" s="134"/>
      <c r="G58" s="134"/>
      <c r="H58" s="134"/>
      <c r="I58" s="133"/>
    </row>
    <row r="59" spans="1:16" x14ac:dyDescent="0.45">
      <c r="A59" s="135" t="s">
        <v>190</v>
      </c>
      <c r="B59" s="136" t="s">
        <v>115</v>
      </c>
      <c r="C59" s="134">
        <v>251546</v>
      </c>
      <c r="D59" s="134">
        <v>0</v>
      </c>
      <c r="E59" s="134">
        <v>0</v>
      </c>
      <c r="F59" s="134">
        <f t="shared" ref="F59:F84" si="8">C59+D59-E59</f>
        <v>251546</v>
      </c>
      <c r="G59" s="134">
        <v>87714.354482142997</v>
      </c>
      <c r="H59" s="134">
        <f>F59+G59</f>
        <v>339260.35448214301</v>
      </c>
      <c r="I59" s="201" t="s">
        <v>191</v>
      </c>
      <c r="L59" s="134">
        <v>339260.35448214289</v>
      </c>
      <c r="M59" s="134"/>
      <c r="N59" s="134"/>
    </row>
    <row r="60" spans="1:16" x14ac:dyDescent="0.45">
      <c r="A60" s="135" t="s">
        <v>192</v>
      </c>
      <c r="B60" s="136" t="s">
        <v>118</v>
      </c>
      <c r="C60" s="134">
        <v>18720</v>
      </c>
      <c r="D60" s="134">
        <v>0</v>
      </c>
      <c r="E60" s="134">
        <v>0</v>
      </c>
      <c r="F60" s="134">
        <f t="shared" si="8"/>
        <v>18720</v>
      </c>
      <c r="G60" s="134">
        <v>7233.4171178838997</v>
      </c>
      <c r="H60" s="134">
        <f>F60+G60</f>
        <v>25953.417117883899</v>
      </c>
      <c r="I60" s="201" t="s">
        <v>119</v>
      </c>
      <c r="L60" s="134">
        <v>25953.417117883924</v>
      </c>
      <c r="M60" s="134"/>
      <c r="N60" s="134"/>
    </row>
    <row r="61" spans="1:16" x14ac:dyDescent="0.45">
      <c r="A61" s="135" t="s">
        <v>193</v>
      </c>
      <c r="B61" s="136" t="s">
        <v>121</v>
      </c>
      <c r="C61" s="134">
        <v>99312</v>
      </c>
      <c r="D61" s="134">
        <v>0</v>
      </c>
      <c r="E61" s="134">
        <v>0</v>
      </c>
      <c r="F61" s="134">
        <f t="shared" si="8"/>
        <v>99312</v>
      </c>
      <c r="G61" s="126">
        <f>25330.5-(L61*0.319)</f>
        <v>-14430.45749999999</v>
      </c>
      <c r="H61" s="134">
        <f>F61-G61</f>
        <v>113742.45749999999</v>
      </c>
      <c r="I61" s="141" t="s">
        <v>326</v>
      </c>
      <c r="L61" s="134">
        <v>124642.49999999997</v>
      </c>
      <c r="M61" s="134"/>
      <c r="N61" s="134"/>
      <c r="O61" s="139">
        <f>L61-H61</f>
        <v>10900.042499999981</v>
      </c>
    </row>
    <row r="62" spans="1:16" x14ac:dyDescent="0.45">
      <c r="A62" s="135" t="s">
        <v>194</v>
      </c>
      <c r="B62" s="136" t="s">
        <v>123</v>
      </c>
      <c r="C62" s="134">
        <v>2711</v>
      </c>
      <c r="D62" s="134">
        <v>0</v>
      </c>
      <c r="E62" s="134">
        <v>0</v>
      </c>
      <c r="F62" s="134">
        <f t="shared" si="8"/>
        <v>2711</v>
      </c>
      <c r="G62" s="134">
        <f t="shared" ref="G62:G84" si="9">H62-F62</f>
        <v>0</v>
      </c>
      <c r="H62" s="134">
        <f>F62</f>
        <v>2711</v>
      </c>
      <c r="I62" s="133"/>
      <c r="L62" s="134">
        <v>2711</v>
      </c>
      <c r="M62" s="134"/>
      <c r="N62" s="134"/>
    </row>
    <row r="63" spans="1:16" x14ac:dyDescent="0.45">
      <c r="A63" s="135" t="s">
        <v>195</v>
      </c>
      <c r="B63" s="136" t="s">
        <v>125</v>
      </c>
      <c r="C63" s="134">
        <v>990</v>
      </c>
      <c r="D63" s="134">
        <v>0</v>
      </c>
      <c r="E63" s="134">
        <v>0</v>
      </c>
      <c r="F63" s="134">
        <f t="shared" si="8"/>
        <v>990</v>
      </c>
      <c r="G63" s="134">
        <f t="shared" si="9"/>
        <v>0</v>
      </c>
      <c r="H63" s="134">
        <f>F63</f>
        <v>990</v>
      </c>
      <c r="I63" s="133"/>
      <c r="L63" s="134">
        <v>990</v>
      </c>
      <c r="M63" s="134"/>
      <c r="N63" s="134"/>
    </row>
    <row r="64" spans="1:16" x14ac:dyDescent="0.45">
      <c r="A64" s="135" t="s">
        <v>196</v>
      </c>
      <c r="B64" s="136" t="s">
        <v>127</v>
      </c>
      <c r="C64" s="134">
        <v>52984</v>
      </c>
      <c r="D64" s="134">
        <v>0</v>
      </c>
      <c r="E64" s="134">
        <v>0</v>
      </c>
      <c r="F64" s="134">
        <f t="shared" si="8"/>
        <v>52984</v>
      </c>
      <c r="G64" s="134">
        <f t="shared" si="9"/>
        <v>38447</v>
      </c>
      <c r="H64" s="134">
        <v>91431</v>
      </c>
      <c r="I64" s="133" t="s">
        <v>128</v>
      </c>
      <c r="L64" s="134">
        <v>91431</v>
      </c>
      <c r="M64" s="134"/>
      <c r="N64" s="134"/>
    </row>
    <row r="65" spans="1:14" x14ac:dyDescent="0.45">
      <c r="A65" s="135" t="s">
        <v>197</v>
      </c>
      <c r="B65" s="136" t="s">
        <v>130</v>
      </c>
      <c r="C65" s="134">
        <v>0</v>
      </c>
      <c r="D65" s="134">
        <v>39532</v>
      </c>
      <c r="E65" s="134">
        <v>0</v>
      </c>
      <c r="F65" s="126">
        <f t="shared" si="8"/>
        <v>39532</v>
      </c>
      <c r="G65" s="126">
        <f>-F65</f>
        <v>-39532</v>
      </c>
      <c r="H65" s="134">
        <f>F65+G65</f>
        <v>0</v>
      </c>
      <c r="I65" s="140" t="s">
        <v>242</v>
      </c>
      <c r="L65" s="134">
        <v>39532</v>
      </c>
      <c r="M65" s="134"/>
      <c r="N65" s="134"/>
    </row>
    <row r="66" spans="1:14" x14ac:dyDescent="0.45">
      <c r="A66" s="135" t="s">
        <v>198</v>
      </c>
      <c r="B66" s="136" t="s">
        <v>132</v>
      </c>
      <c r="C66" s="134">
        <v>0</v>
      </c>
      <c r="D66" s="134">
        <v>0</v>
      </c>
      <c r="E66" s="134">
        <v>6366</v>
      </c>
      <c r="F66" s="126">
        <f t="shared" si="8"/>
        <v>-6366</v>
      </c>
      <c r="G66" s="126">
        <f>-F66</f>
        <v>6366</v>
      </c>
      <c r="H66" s="134">
        <f>F66+G66</f>
        <v>0</v>
      </c>
      <c r="I66" s="140" t="s">
        <v>242</v>
      </c>
      <c r="L66" s="134">
        <v>-6366</v>
      </c>
      <c r="M66" s="134"/>
      <c r="N66" s="134">
        <f>-SUM(G65:G66)</f>
        <v>33166</v>
      </c>
    </row>
    <row r="67" spans="1:14" x14ac:dyDescent="0.45">
      <c r="A67" s="135" t="s">
        <v>199</v>
      </c>
      <c r="B67" s="136" t="s">
        <v>134</v>
      </c>
      <c r="C67" s="134">
        <v>13940</v>
      </c>
      <c r="D67" s="134">
        <v>0</v>
      </c>
      <c r="E67" s="134">
        <v>0</v>
      </c>
      <c r="F67" s="134">
        <f t="shared" si="8"/>
        <v>13940</v>
      </c>
      <c r="G67" s="134">
        <f t="shared" si="9"/>
        <v>0</v>
      </c>
      <c r="H67" s="134">
        <f t="shared" ref="H67:H83" si="10">F67</f>
        <v>13940</v>
      </c>
      <c r="I67" s="133"/>
      <c r="L67" s="134">
        <v>13940</v>
      </c>
      <c r="M67" s="134"/>
      <c r="N67" s="134"/>
    </row>
    <row r="68" spans="1:14" x14ac:dyDescent="0.45">
      <c r="A68" s="135" t="s">
        <v>200</v>
      </c>
      <c r="B68" s="136" t="s">
        <v>136</v>
      </c>
      <c r="C68" s="134">
        <v>14745</v>
      </c>
      <c r="D68" s="134">
        <v>0</v>
      </c>
      <c r="E68" s="134">
        <v>0</v>
      </c>
      <c r="F68" s="134">
        <f t="shared" si="8"/>
        <v>14745</v>
      </c>
      <c r="G68" s="134">
        <f t="shared" si="9"/>
        <v>0</v>
      </c>
      <c r="H68" s="134">
        <f t="shared" si="10"/>
        <v>14745</v>
      </c>
      <c r="I68" s="133"/>
      <c r="L68" s="134">
        <v>14745</v>
      </c>
      <c r="M68" s="134"/>
      <c r="N68" s="134"/>
    </row>
    <row r="69" spans="1:14" x14ac:dyDescent="0.45">
      <c r="A69" s="135" t="s">
        <v>201</v>
      </c>
      <c r="B69" s="136" t="s">
        <v>138</v>
      </c>
      <c r="C69" s="134">
        <v>8895</v>
      </c>
      <c r="D69" s="134">
        <v>0</v>
      </c>
      <c r="E69" s="134">
        <v>0</v>
      </c>
      <c r="F69" s="134">
        <f t="shared" si="8"/>
        <v>8895</v>
      </c>
      <c r="G69" s="134">
        <f t="shared" si="9"/>
        <v>0</v>
      </c>
      <c r="H69" s="134">
        <f t="shared" si="10"/>
        <v>8895</v>
      </c>
      <c r="I69" s="133"/>
      <c r="L69" s="134">
        <v>8895</v>
      </c>
      <c r="M69" s="134"/>
      <c r="N69" s="134"/>
    </row>
    <row r="70" spans="1:14" x14ac:dyDescent="0.45">
      <c r="A70" s="135" t="s">
        <v>202</v>
      </c>
      <c r="B70" s="136" t="s">
        <v>140</v>
      </c>
      <c r="C70" s="134">
        <v>5104</v>
      </c>
      <c r="D70" s="134">
        <v>0</v>
      </c>
      <c r="E70" s="134">
        <v>0</v>
      </c>
      <c r="F70" s="134">
        <f t="shared" si="8"/>
        <v>5104</v>
      </c>
      <c r="G70" s="134">
        <f t="shared" si="9"/>
        <v>0</v>
      </c>
      <c r="H70" s="134">
        <f t="shared" si="10"/>
        <v>5104</v>
      </c>
      <c r="I70" s="133"/>
      <c r="L70" s="134">
        <v>5104</v>
      </c>
      <c r="M70" s="134"/>
      <c r="N70" s="134"/>
    </row>
    <row r="71" spans="1:14" x14ac:dyDescent="0.45">
      <c r="A71" s="135" t="s">
        <v>203</v>
      </c>
      <c r="B71" s="136" t="s">
        <v>171</v>
      </c>
      <c r="C71" s="134">
        <v>40481</v>
      </c>
      <c r="D71" s="134">
        <v>0</v>
      </c>
      <c r="E71" s="134">
        <v>0</v>
      </c>
      <c r="F71" s="134">
        <f t="shared" si="8"/>
        <v>40481</v>
      </c>
      <c r="G71" s="134">
        <f t="shared" si="9"/>
        <v>0</v>
      </c>
      <c r="H71" s="134">
        <f t="shared" si="10"/>
        <v>40481</v>
      </c>
      <c r="I71" s="133"/>
      <c r="L71" s="134">
        <v>40481</v>
      </c>
      <c r="M71" s="134"/>
      <c r="N71" s="134"/>
    </row>
    <row r="72" spans="1:14" x14ac:dyDescent="0.45">
      <c r="A72" s="135" t="s">
        <v>204</v>
      </c>
      <c r="B72" s="136" t="s">
        <v>70</v>
      </c>
      <c r="C72" s="134">
        <v>19348</v>
      </c>
      <c r="D72" s="134">
        <v>0</v>
      </c>
      <c r="E72" s="134">
        <v>0</v>
      </c>
      <c r="F72" s="134">
        <f t="shared" si="8"/>
        <v>19348</v>
      </c>
      <c r="G72" s="134">
        <f t="shared" si="9"/>
        <v>0</v>
      </c>
      <c r="H72" s="134">
        <f t="shared" si="10"/>
        <v>19348</v>
      </c>
      <c r="I72" s="133"/>
      <c r="L72" s="134">
        <v>19348</v>
      </c>
      <c r="M72" s="134"/>
      <c r="N72" s="134"/>
    </row>
    <row r="73" spans="1:14" x14ac:dyDescent="0.45">
      <c r="A73" s="135" t="s">
        <v>205</v>
      </c>
      <c r="B73" s="136" t="s">
        <v>175</v>
      </c>
      <c r="C73" s="134">
        <v>0</v>
      </c>
      <c r="D73" s="134">
        <v>0</v>
      </c>
      <c r="E73" s="134">
        <v>0</v>
      </c>
      <c r="F73" s="134">
        <f t="shared" si="8"/>
        <v>0</v>
      </c>
      <c r="G73" s="134">
        <f t="shared" si="9"/>
        <v>0</v>
      </c>
      <c r="H73" s="134">
        <f t="shared" si="10"/>
        <v>0</v>
      </c>
      <c r="I73" s="133"/>
      <c r="L73" s="134">
        <v>0</v>
      </c>
      <c r="M73" s="134"/>
      <c r="N73" s="134"/>
    </row>
    <row r="74" spans="1:14" x14ac:dyDescent="0.45">
      <c r="A74" s="135" t="s">
        <v>206</v>
      </c>
      <c r="B74" s="136" t="s">
        <v>143</v>
      </c>
      <c r="C74" s="134">
        <v>1493</v>
      </c>
      <c r="D74" s="134">
        <v>0</v>
      </c>
      <c r="E74" s="134">
        <v>0</v>
      </c>
      <c r="F74" s="134">
        <f t="shared" si="8"/>
        <v>1493</v>
      </c>
      <c r="G74" s="134">
        <f t="shared" si="9"/>
        <v>0</v>
      </c>
      <c r="H74" s="134">
        <f t="shared" si="10"/>
        <v>1493</v>
      </c>
      <c r="I74" s="133"/>
      <c r="L74" s="134">
        <v>1493</v>
      </c>
      <c r="M74" s="134"/>
      <c r="N74" s="134"/>
    </row>
    <row r="75" spans="1:14" x14ac:dyDescent="0.45">
      <c r="A75" s="135" t="s">
        <v>207</v>
      </c>
      <c r="B75" s="136" t="s">
        <v>147</v>
      </c>
      <c r="C75" s="134">
        <v>2183</v>
      </c>
      <c r="D75" s="134">
        <v>0</v>
      </c>
      <c r="E75" s="134">
        <v>0</v>
      </c>
      <c r="F75" s="134">
        <f t="shared" si="8"/>
        <v>2183</v>
      </c>
      <c r="G75" s="134">
        <f t="shared" si="9"/>
        <v>0</v>
      </c>
      <c r="H75" s="134">
        <f t="shared" si="10"/>
        <v>2183</v>
      </c>
      <c r="I75" s="133"/>
      <c r="L75" s="134">
        <v>2183</v>
      </c>
      <c r="M75" s="134"/>
      <c r="N75" s="134"/>
    </row>
    <row r="76" spans="1:14" x14ac:dyDescent="0.45">
      <c r="A76" s="135" t="s">
        <v>208</v>
      </c>
      <c r="B76" s="136" t="s">
        <v>72</v>
      </c>
      <c r="C76" s="134">
        <v>154</v>
      </c>
      <c r="D76" s="134">
        <v>0</v>
      </c>
      <c r="E76" s="134">
        <v>0</v>
      </c>
      <c r="F76" s="134">
        <f t="shared" si="8"/>
        <v>154</v>
      </c>
      <c r="G76" s="134">
        <f t="shared" si="9"/>
        <v>0</v>
      </c>
      <c r="H76" s="134">
        <f t="shared" si="10"/>
        <v>154</v>
      </c>
      <c r="I76" s="133"/>
      <c r="L76" s="134">
        <v>154</v>
      </c>
      <c r="M76" s="134"/>
      <c r="N76" s="134"/>
    </row>
    <row r="77" spans="1:14" x14ac:dyDescent="0.45">
      <c r="A77" s="135" t="s">
        <v>209</v>
      </c>
      <c r="B77" s="136" t="s">
        <v>150</v>
      </c>
      <c r="C77" s="134">
        <v>667</v>
      </c>
      <c r="D77" s="134">
        <v>0</v>
      </c>
      <c r="E77" s="134">
        <v>0</v>
      </c>
      <c r="F77" s="134">
        <f t="shared" si="8"/>
        <v>667</v>
      </c>
      <c r="G77" s="134">
        <f t="shared" si="9"/>
        <v>0</v>
      </c>
      <c r="H77" s="134">
        <f t="shared" si="10"/>
        <v>667</v>
      </c>
      <c r="I77" s="133"/>
      <c r="L77" s="134">
        <v>667</v>
      </c>
      <c r="M77" s="134"/>
      <c r="N77" s="134"/>
    </row>
    <row r="78" spans="1:14" x14ac:dyDescent="0.45">
      <c r="A78" s="135" t="s">
        <v>210</v>
      </c>
      <c r="B78" s="136" t="s">
        <v>152</v>
      </c>
      <c r="C78" s="134">
        <v>10544</v>
      </c>
      <c r="D78" s="134">
        <v>0</v>
      </c>
      <c r="E78" s="134">
        <v>0</v>
      </c>
      <c r="F78" s="134">
        <f t="shared" si="8"/>
        <v>10544</v>
      </c>
      <c r="G78" s="134">
        <f t="shared" si="9"/>
        <v>0</v>
      </c>
      <c r="H78" s="134">
        <f t="shared" si="10"/>
        <v>10544</v>
      </c>
      <c r="I78" s="133"/>
      <c r="L78" s="134">
        <v>10544</v>
      </c>
      <c r="M78" s="134"/>
      <c r="N78" s="134"/>
    </row>
    <row r="79" spans="1:14" x14ac:dyDescent="0.45">
      <c r="A79" s="135" t="s">
        <v>211</v>
      </c>
      <c r="B79" s="136" t="s">
        <v>154</v>
      </c>
      <c r="C79" s="134">
        <v>1219</v>
      </c>
      <c r="D79" s="134">
        <v>0</v>
      </c>
      <c r="E79" s="134">
        <v>0</v>
      </c>
      <c r="F79" s="134">
        <f t="shared" si="8"/>
        <v>1219</v>
      </c>
      <c r="G79" s="134">
        <f t="shared" si="9"/>
        <v>0</v>
      </c>
      <c r="H79" s="134">
        <f t="shared" si="10"/>
        <v>1219</v>
      </c>
      <c r="I79" s="133"/>
      <c r="L79" s="134">
        <v>1219</v>
      </c>
      <c r="M79" s="134"/>
      <c r="N79" s="134"/>
    </row>
    <row r="80" spans="1:14" x14ac:dyDescent="0.45">
      <c r="A80" s="135" t="s">
        <v>212</v>
      </c>
      <c r="B80" s="136" t="s">
        <v>213</v>
      </c>
      <c r="C80" s="134">
        <v>0</v>
      </c>
      <c r="D80" s="134">
        <v>0</v>
      </c>
      <c r="E80" s="134">
        <v>0</v>
      </c>
      <c r="F80" s="134">
        <f t="shared" si="8"/>
        <v>0</v>
      </c>
      <c r="G80" s="134">
        <f t="shared" si="9"/>
        <v>0</v>
      </c>
      <c r="H80" s="134">
        <f t="shared" si="10"/>
        <v>0</v>
      </c>
      <c r="I80" s="133"/>
      <c r="L80" s="134">
        <v>0</v>
      </c>
      <c r="M80" s="134"/>
      <c r="N80" s="134"/>
    </row>
    <row r="81" spans="1:16" x14ac:dyDescent="0.45">
      <c r="A81" s="135" t="s">
        <v>214</v>
      </c>
      <c r="B81" s="136" t="s">
        <v>215</v>
      </c>
      <c r="C81" s="134">
        <v>21119</v>
      </c>
      <c r="D81" s="134">
        <v>0</v>
      </c>
      <c r="E81" s="134">
        <v>0</v>
      </c>
      <c r="F81" s="134">
        <f t="shared" si="8"/>
        <v>21119</v>
      </c>
      <c r="G81" s="134">
        <f t="shared" si="9"/>
        <v>0</v>
      </c>
      <c r="H81" s="134">
        <f t="shared" si="10"/>
        <v>21119</v>
      </c>
      <c r="I81" s="133"/>
      <c r="L81" s="134">
        <v>21119</v>
      </c>
      <c r="M81" s="134"/>
      <c r="N81" s="134"/>
    </row>
    <row r="82" spans="1:16" x14ac:dyDescent="0.45">
      <c r="A82" s="135" t="s">
        <v>216</v>
      </c>
      <c r="B82" s="136" t="s">
        <v>186</v>
      </c>
      <c r="C82" s="134">
        <v>29460</v>
      </c>
      <c r="D82" s="134">
        <v>0</v>
      </c>
      <c r="E82" s="134">
        <v>0</v>
      </c>
      <c r="F82" s="134">
        <f t="shared" si="8"/>
        <v>29460</v>
      </c>
      <c r="G82" s="134">
        <f t="shared" si="9"/>
        <v>0</v>
      </c>
      <c r="H82" s="134">
        <f t="shared" si="10"/>
        <v>29460</v>
      </c>
      <c r="I82" s="133"/>
      <c r="L82" s="134">
        <v>29460</v>
      </c>
      <c r="M82" s="134"/>
      <c r="N82" s="134"/>
    </row>
    <row r="83" spans="1:16" x14ac:dyDescent="0.45">
      <c r="A83" s="135" t="s">
        <v>217</v>
      </c>
      <c r="B83" s="136" t="s">
        <v>156</v>
      </c>
      <c r="C83" s="134">
        <v>74</v>
      </c>
      <c r="D83" s="134">
        <v>0</v>
      </c>
      <c r="E83" s="134">
        <v>0</v>
      </c>
      <c r="F83" s="134">
        <f t="shared" si="8"/>
        <v>74</v>
      </c>
      <c r="G83" s="134">
        <f t="shared" si="9"/>
        <v>0</v>
      </c>
      <c r="H83" s="134">
        <f t="shared" si="10"/>
        <v>74</v>
      </c>
      <c r="I83" s="133"/>
      <c r="L83" s="134">
        <v>74</v>
      </c>
      <c r="M83" s="134"/>
      <c r="N83" s="134"/>
    </row>
    <row r="84" spans="1:16" ht="16.5" x14ac:dyDescent="0.75">
      <c r="A84" s="135" t="s">
        <v>218</v>
      </c>
      <c r="B84" s="136" t="s">
        <v>219</v>
      </c>
      <c r="C84" s="124">
        <v>-55166</v>
      </c>
      <c r="D84" s="124">
        <v>16091</v>
      </c>
      <c r="E84" s="124">
        <v>0</v>
      </c>
      <c r="F84" s="124">
        <f t="shared" si="8"/>
        <v>-39075</v>
      </c>
      <c r="G84" s="124">
        <f t="shared" si="9"/>
        <v>34075</v>
      </c>
      <c r="H84" s="124">
        <v>-5000</v>
      </c>
      <c r="I84" s="201" t="s">
        <v>220</v>
      </c>
      <c r="L84" s="124">
        <v>-5000</v>
      </c>
      <c r="M84" s="124"/>
      <c r="N84" s="124"/>
    </row>
    <row r="85" spans="1:16" x14ac:dyDescent="0.45">
      <c r="A85" s="127"/>
      <c r="B85" s="125" t="s">
        <v>221</v>
      </c>
      <c r="C85" s="129">
        <f>SUM(C59:C84)</f>
        <v>540523</v>
      </c>
      <c r="D85" s="129">
        <f t="shared" ref="D85:F85" si="11">SUM(D59:D84)</f>
        <v>55623</v>
      </c>
      <c r="E85" s="129">
        <f t="shared" si="11"/>
        <v>6366</v>
      </c>
      <c r="F85" s="129">
        <f t="shared" si="11"/>
        <v>589780</v>
      </c>
      <c r="G85" s="129">
        <f>SUM(G59:G84)</f>
        <v>119873.31410002691</v>
      </c>
      <c r="H85" s="129">
        <f>SUM(H59:H84)</f>
        <v>738514.22910002689</v>
      </c>
      <c r="I85" s="130"/>
      <c r="L85" s="129">
        <v>782580.27160002675</v>
      </c>
      <c r="M85" s="129"/>
      <c r="N85" s="129"/>
      <c r="P85" s="139"/>
    </row>
    <row r="86" spans="1:16" x14ac:dyDescent="0.45">
      <c r="A86" s="127"/>
      <c r="B86" s="125"/>
      <c r="C86" s="129"/>
      <c r="D86" s="129"/>
      <c r="E86" s="129"/>
      <c r="F86" s="129"/>
      <c r="G86" s="129"/>
      <c r="H86" s="129"/>
      <c r="I86" s="130"/>
    </row>
    <row r="87" spans="1:16" x14ac:dyDescent="0.45">
      <c r="A87" s="125" t="s">
        <v>222</v>
      </c>
      <c r="B87" s="136"/>
      <c r="C87" s="134"/>
      <c r="D87" s="134"/>
      <c r="E87" s="134"/>
      <c r="F87" s="134"/>
      <c r="G87" s="134"/>
      <c r="H87" s="134"/>
      <c r="I87" s="133"/>
    </row>
    <row r="88" spans="1:16" x14ac:dyDescent="0.45">
      <c r="A88" s="135" t="s">
        <v>223</v>
      </c>
      <c r="B88" s="136" t="s">
        <v>224</v>
      </c>
      <c r="C88" s="134">
        <v>9000</v>
      </c>
      <c r="D88" s="134">
        <v>0</v>
      </c>
      <c r="E88" s="134">
        <v>0</v>
      </c>
      <c r="F88" s="134">
        <f>C88+D88-E88</f>
        <v>9000</v>
      </c>
      <c r="G88" s="134">
        <f t="shared" ref="G88:G90" si="12">H88-F88</f>
        <v>0</v>
      </c>
      <c r="H88" s="134">
        <f>F88</f>
        <v>9000</v>
      </c>
      <c r="I88" s="133"/>
      <c r="L88" s="134">
        <v>9000</v>
      </c>
      <c r="M88" s="134"/>
      <c r="N88" s="134"/>
    </row>
    <row r="89" spans="1:16" x14ac:dyDescent="0.45">
      <c r="A89" s="135" t="s">
        <v>225</v>
      </c>
      <c r="B89" s="136" t="s">
        <v>70</v>
      </c>
      <c r="C89" s="134">
        <v>4971</v>
      </c>
      <c r="D89" s="134">
        <v>0</v>
      </c>
      <c r="E89" s="134">
        <v>0</v>
      </c>
      <c r="F89" s="134">
        <f>C89+D89-E89</f>
        <v>4971</v>
      </c>
      <c r="G89" s="134">
        <f t="shared" si="12"/>
        <v>0</v>
      </c>
      <c r="H89" s="134">
        <f>F89</f>
        <v>4971</v>
      </c>
      <c r="I89" s="133"/>
      <c r="L89" s="134">
        <v>4971</v>
      </c>
      <c r="M89" s="134"/>
      <c r="N89" s="134"/>
    </row>
    <row r="90" spans="1:16" ht="16.5" x14ac:dyDescent="0.75">
      <c r="A90" s="135" t="s">
        <v>226</v>
      </c>
      <c r="B90" s="136" t="s">
        <v>227</v>
      </c>
      <c r="C90" s="124">
        <v>10058</v>
      </c>
      <c r="D90" s="124">
        <v>0</v>
      </c>
      <c r="E90" s="124">
        <v>0</v>
      </c>
      <c r="F90" s="124">
        <f>C90+D90-E90</f>
        <v>10058</v>
      </c>
      <c r="G90" s="124">
        <f t="shared" si="12"/>
        <v>-4058</v>
      </c>
      <c r="H90" s="137">
        <f>6000</f>
        <v>6000</v>
      </c>
      <c r="I90" s="133" t="s">
        <v>228</v>
      </c>
      <c r="L90" s="137">
        <v>6000</v>
      </c>
      <c r="M90" s="134"/>
      <c r="N90" s="134"/>
    </row>
    <row r="91" spans="1:16" x14ac:dyDescent="0.45">
      <c r="A91" s="127"/>
      <c r="B91" s="125" t="s">
        <v>229</v>
      </c>
      <c r="C91" s="129">
        <f>SUM(C88:C90)</f>
        <v>24029</v>
      </c>
      <c r="D91" s="129">
        <f t="shared" ref="D91:F91" si="13">SUM(D88:D90)</f>
        <v>0</v>
      </c>
      <c r="E91" s="129">
        <f t="shared" si="13"/>
        <v>0</v>
      </c>
      <c r="F91" s="129">
        <f t="shared" si="13"/>
        <v>24029</v>
      </c>
      <c r="G91" s="129">
        <f>SUM(G88:G90)</f>
        <v>-4058</v>
      </c>
      <c r="H91" s="129">
        <f>SUM(H88:H90)</f>
        <v>19971</v>
      </c>
      <c r="I91" s="130"/>
      <c r="L91" s="129">
        <v>19971</v>
      </c>
      <c r="M91" s="129"/>
      <c r="N91" s="129"/>
    </row>
    <row r="92" spans="1:16" x14ac:dyDescent="0.45">
      <c r="A92" s="127"/>
      <c r="B92" s="125"/>
      <c r="C92" s="129"/>
      <c r="D92" s="129"/>
      <c r="E92" s="129"/>
      <c r="F92" s="129"/>
      <c r="G92" s="129"/>
      <c r="H92" s="129"/>
      <c r="I92" s="130"/>
      <c r="L92" s="129"/>
      <c r="M92" s="129"/>
      <c r="N92" s="129"/>
    </row>
    <row r="93" spans="1:16" x14ac:dyDescent="0.45">
      <c r="A93" s="135" t="s">
        <v>230</v>
      </c>
      <c r="B93" s="136" t="s">
        <v>231</v>
      </c>
      <c r="C93" s="134">
        <v>8975</v>
      </c>
      <c r="D93" s="134">
        <v>0</v>
      </c>
      <c r="E93" s="134">
        <v>0</v>
      </c>
      <c r="F93" s="134">
        <f>C93+D93-E93</f>
        <v>8975</v>
      </c>
      <c r="G93" s="134">
        <f t="shared" ref="G93:G96" si="14">H93-F93</f>
        <v>-912</v>
      </c>
      <c r="H93" s="131">
        <v>8063</v>
      </c>
      <c r="I93" s="133" t="s">
        <v>232</v>
      </c>
      <c r="L93" s="131">
        <v>8063</v>
      </c>
      <c r="M93" s="131"/>
      <c r="N93" s="131"/>
    </row>
    <row r="94" spans="1:16" x14ac:dyDescent="0.45">
      <c r="A94" s="135" t="s">
        <v>233</v>
      </c>
      <c r="B94" s="136" t="s">
        <v>234</v>
      </c>
      <c r="C94" s="134">
        <v>53472</v>
      </c>
      <c r="D94" s="134">
        <v>0</v>
      </c>
      <c r="E94" s="134">
        <v>0</v>
      </c>
      <c r="F94" s="134">
        <f>C94+D94-E94</f>
        <v>53472</v>
      </c>
      <c r="G94" s="134">
        <f t="shared" si="14"/>
        <v>40260</v>
      </c>
      <c r="H94" s="131">
        <v>93732</v>
      </c>
      <c r="I94" s="133" t="s">
        <v>235</v>
      </c>
      <c r="L94" s="131">
        <v>93732</v>
      </c>
      <c r="M94" s="131"/>
      <c r="N94" s="131"/>
    </row>
    <row r="95" spans="1:16" x14ac:dyDescent="0.45">
      <c r="A95" s="135" t="s">
        <v>236</v>
      </c>
      <c r="B95" s="136" t="s">
        <v>2</v>
      </c>
      <c r="C95" s="134">
        <v>805291</v>
      </c>
      <c r="D95" s="134">
        <v>0</v>
      </c>
      <c r="E95" s="134">
        <v>2259</v>
      </c>
      <c r="F95" s="134">
        <f>C95+D95-E95</f>
        <v>803032</v>
      </c>
      <c r="G95" s="134">
        <f t="shared" si="14"/>
        <v>-7906.0696283689467</v>
      </c>
      <c r="H95" s="131">
        <v>795125.93037163105</v>
      </c>
      <c r="I95" s="133" t="s">
        <v>237</v>
      </c>
      <c r="L95" s="131">
        <v>795125.93037163059</v>
      </c>
      <c r="M95" s="131"/>
      <c r="N95" s="131"/>
    </row>
    <row r="96" spans="1:16" ht="16.5" x14ac:dyDescent="0.75">
      <c r="A96" s="135" t="s">
        <v>238</v>
      </c>
      <c r="B96" s="136" t="s">
        <v>239</v>
      </c>
      <c r="C96" s="124">
        <v>2537</v>
      </c>
      <c r="D96" s="124">
        <v>0</v>
      </c>
      <c r="E96" s="124">
        <v>0</v>
      </c>
      <c r="F96" s="124">
        <f>C96+D96-E96</f>
        <v>2537</v>
      </c>
      <c r="G96" s="124">
        <f t="shared" si="14"/>
        <v>0</v>
      </c>
      <c r="H96" s="124">
        <f>F96</f>
        <v>2537</v>
      </c>
      <c r="I96" s="133"/>
      <c r="L96" s="124">
        <v>2537</v>
      </c>
      <c r="M96" s="124"/>
      <c r="N96" s="124"/>
    </row>
    <row r="97" spans="1:17" x14ac:dyDescent="0.45">
      <c r="A97" s="127"/>
      <c r="B97" s="125" t="s">
        <v>240</v>
      </c>
      <c r="C97" s="129">
        <f>SUM(C93:C96)</f>
        <v>870275</v>
      </c>
      <c r="D97" s="129">
        <f t="shared" ref="D97:F97" si="15">SUM(D93:D96)</f>
        <v>0</v>
      </c>
      <c r="E97" s="129">
        <f t="shared" si="15"/>
        <v>2259</v>
      </c>
      <c r="F97" s="129">
        <f t="shared" si="15"/>
        <v>868016</v>
      </c>
      <c r="G97" s="129">
        <f>SUM(G93:G96)</f>
        <v>31441.930371631053</v>
      </c>
      <c r="H97" s="131">
        <f>SUM(H93:H96)</f>
        <v>899457.93037163105</v>
      </c>
      <c r="I97" s="133"/>
      <c r="L97" s="131">
        <v>899457.93037163059</v>
      </c>
      <c r="M97" s="131"/>
      <c r="N97" s="131"/>
    </row>
    <row r="98" spans="1:17" x14ac:dyDescent="0.45">
      <c r="A98" s="127"/>
      <c r="B98" s="125"/>
      <c r="C98" s="129"/>
      <c r="D98" s="129"/>
      <c r="E98" s="129"/>
      <c r="F98" s="129"/>
      <c r="G98" s="129"/>
      <c r="H98" s="131"/>
      <c r="I98" s="133"/>
      <c r="L98" s="131"/>
      <c r="M98" s="131"/>
      <c r="N98" s="131"/>
    </row>
    <row r="99" spans="1:17" x14ac:dyDescent="0.45">
      <c r="A99" s="127"/>
      <c r="B99" s="125" t="s">
        <v>241</v>
      </c>
      <c r="C99" s="129"/>
      <c r="D99" s="129"/>
      <c r="E99" s="129"/>
      <c r="F99" s="129"/>
      <c r="G99" s="129"/>
      <c r="H99" s="129">
        <f>H97+H91+H85+H56+H29</f>
        <v>2764980.2102284436</v>
      </c>
      <c r="I99" s="138"/>
      <c r="L99" s="129">
        <f>L97+L91+L85+L56+L29</f>
        <v>2907582.3009284432</v>
      </c>
      <c r="M99" s="129"/>
      <c r="N99" s="129"/>
      <c r="O99" s="139"/>
      <c r="P99" s="139"/>
      <c r="Q99" s="139"/>
    </row>
    <row r="100" spans="1:17" x14ac:dyDescent="0.45">
      <c r="A100" s="127"/>
      <c r="B100" s="125"/>
      <c r="C100" s="129"/>
      <c r="D100" s="129"/>
      <c r="E100" s="129"/>
      <c r="F100" s="129"/>
      <c r="G100" s="129"/>
      <c r="H100" s="129"/>
      <c r="I100" s="138"/>
      <c r="L100" s="43">
        <f>-(N15+N39+N66)</f>
        <v>-91110</v>
      </c>
      <c r="M100" s="43"/>
      <c r="N100" s="236" t="s">
        <v>243</v>
      </c>
    </row>
    <row r="101" spans="1:17" ht="16.5" x14ac:dyDescent="0.75">
      <c r="A101" s="127"/>
      <c r="B101" s="125"/>
      <c r="C101" s="252" t="s">
        <v>333</v>
      </c>
      <c r="D101" s="252"/>
      <c r="E101" s="253"/>
      <c r="F101" s="252"/>
      <c r="G101" s="252"/>
      <c r="H101" s="254">
        <f>H99-H97</f>
        <v>1865522.2798568127</v>
      </c>
      <c r="I101" s="138"/>
      <c r="L101" s="139">
        <f>+L100+L99</f>
        <v>2816472.3009284432</v>
      </c>
      <c r="M101" s="139"/>
      <c r="N101" s="236"/>
    </row>
    <row r="102" spans="1:17" x14ac:dyDescent="0.45">
      <c r="A102" s="127"/>
      <c r="B102" s="125"/>
      <c r="C102" s="129"/>
      <c r="D102" s="129"/>
      <c r="E102" s="129"/>
      <c r="F102" s="129"/>
      <c r="G102" s="129"/>
      <c r="H102" s="129"/>
      <c r="I102" s="138"/>
      <c r="L102" s="139">
        <f>-O10-O34-O61</f>
        <v>-51492.090699999986</v>
      </c>
      <c r="M102" s="139"/>
      <c r="N102" s="236" t="s">
        <v>244</v>
      </c>
    </row>
    <row r="103" spans="1:17" x14ac:dyDescent="0.45">
      <c r="A103" s="127"/>
      <c r="B103" s="125"/>
      <c r="C103" s="129"/>
      <c r="D103" s="129"/>
      <c r="E103" s="129"/>
      <c r="F103" s="129"/>
      <c r="G103" s="129"/>
      <c r="H103" s="129"/>
      <c r="I103" s="138"/>
      <c r="L103" s="139">
        <f>L101+L102</f>
        <v>2764980.2102284431</v>
      </c>
      <c r="M103" s="139"/>
      <c r="N103" s="236"/>
    </row>
    <row r="104" spans="1:17" x14ac:dyDescent="0.45">
      <c r="A104" s="127"/>
      <c r="B104" s="125"/>
      <c r="C104" s="129"/>
      <c r="D104" s="129"/>
      <c r="E104" s="129"/>
      <c r="F104" s="129"/>
      <c r="G104" s="129"/>
      <c r="H104" s="129"/>
      <c r="I104" s="138"/>
      <c r="L104" s="139">
        <f>-H97</f>
        <v>-899457.93037163105</v>
      </c>
      <c r="M104" s="139"/>
      <c r="N104" s="236" t="s">
        <v>271</v>
      </c>
    </row>
    <row r="105" spans="1:17" x14ac:dyDescent="0.45">
      <c r="A105" s="127"/>
      <c r="B105" s="125"/>
      <c r="C105" s="129"/>
      <c r="D105" s="129"/>
      <c r="E105" s="129"/>
      <c r="F105" s="129"/>
      <c r="G105" s="129"/>
      <c r="H105" s="129"/>
      <c r="I105" s="138"/>
      <c r="L105" s="139">
        <f>+L103+L104</f>
        <v>1865522.2798568122</v>
      </c>
      <c r="M105" s="139"/>
      <c r="N105" s="139"/>
    </row>
    <row r="106" spans="1:17" x14ac:dyDescent="0.45">
      <c r="A106" s="127"/>
      <c r="B106" s="125"/>
      <c r="C106" s="129"/>
      <c r="D106" s="129"/>
      <c r="E106" s="129"/>
      <c r="F106" s="129"/>
      <c r="G106" s="129"/>
      <c r="H106" s="129"/>
      <c r="I106" s="138"/>
      <c r="P106" s="139"/>
    </row>
    <row r="107" spans="1:17" x14ac:dyDescent="0.45">
      <c r="A107" s="127"/>
      <c r="B107" s="125"/>
      <c r="C107" s="129"/>
      <c r="D107" s="129"/>
      <c r="E107" s="129"/>
      <c r="F107" s="129"/>
      <c r="G107" s="129"/>
      <c r="H107" s="131"/>
      <c r="I107" s="138"/>
    </row>
    <row r="108" spans="1:17" x14ac:dyDescent="0.45">
      <c r="A108" s="133"/>
      <c r="B108" s="133"/>
      <c r="C108" s="134"/>
      <c r="D108" s="134"/>
      <c r="E108" s="134"/>
      <c r="F108" s="134"/>
      <c r="G108" s="134"/>
      <c r="H108" s="134"/>
      <c r="I108" s="133"/>
    </row>
  </sheetData>
  <mergeCells count="7">
    <mergeCell ref="R19:T20"/>
    <mergeCell ref="G4:G5"/>
    <mergeCell ref="H4:H5"/>
    <mergeCell ref="C4:C5"/>
    <mergeCell ref="D4:D5"/>
    <mergeCell ref="E4:E5"/>
    <mergeCell ref="F4:F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96"/>
  <sheetViews>
    <sheetView workbookViewId="0"/>
  </sheetViews>
  <sheetFormatPr defaultColWidth="8.88671875" defaultRowHeight="14.25" x14ac:dyDescent="0.45"/>
  <cols>
    <col min="1" max="1" width="1.77734375" style="43" customWidth="1"/>
    <col min="2" max="2" width="24.33203125" style="43" customWidth="1"/>
    <col min="3" max="3" width="9.6640625" style="43" customWidth="1"/>
    <col min="4" max="4" width="9.5546875" style="43" customWidth="1"/>
    <col min="5" max="5" width="8.6640625" style="43" customWidth="1"/>
    <col min="6" max="6" width="8.109375" style="43" hidden="1" customWidth="1"/>
    <col min="7" max="7" width="10.77734375" style="43" customWidth="1"/>
    <col min="8" max="8" width="11.21875" style="43" customWidth="1"/>
    <col min="9" max="9" width="9.44140625" style="43" customWidth="1"/>
    <col min="10" max="10" width="9.6640625" style="43" customWidth="1"/>
    <col min="11" max="11" width="1.109375" style="43" customWidth="1"/>
    <col min="12" max="12" width="12.6640625" style="43" customWidth="1"/>
    <col min="13" max="13" width="8.88671875" style="43"/>
    <col min="14" max="14" width="13.109375" style="43" customWidth="1"/>
    <col min="15" max="15" width="13.88671875" style="43" customWidth="1"/>
    <col min="16" max="16" width="10" style="43" customWidth="1"/>
    <col min="17" max="16384" width="8.88671875" style="43"/>
  </cols>
  <sheetData>
    <row r="2" spans="1:16" x14ac:dyDescent="0.45">
      <c r="A2" s="49"/>
      <c r="B2" s="50"/>
      <c r="C2" s="50"/>
      <c r="D2" s="50"/>
      <c r="E2" s="50"/>
      <c r="F2" s="50"/>
      <c r="G2" s="50"/>
      <c r="H2" s="50"/>
      <c r="I2" s="50"/>
      <c r="J2" s="51"/>
      <c r="K2" s="55"/>
    </row>
    <row r="3" spans="1:16" ht="18" x14ac:dyDescent="0.55000000000000004">
      <c r="A3" s="266" t="s">
        <v>96</v>
      </c>
      <c r="B3" s="267"/>
      <c r="C3" s="267"/>
      <c r="D3" s="267"/>
      <c r="E3" s="267"/>
      <c r="F3" s="267"/>
      <c r="G3" s="267"/>
      <c r="H3" s="267"/>
      <c r="I3" s="267"/>
      <c r="J3" s="268"/>
      <c r="K3" s="113"/>
      <c r="L3" s="85"/>
    </row>
    <row r="4" spans="1:16" ht="18" x14ac:dyDescent="0.55000000000000004">
      <c r="A4" s="269" t="s">
        <v>97</v>
      </c>
      <c r="B4" s="270"/>
      <c r="C4" s="270"/>
      <c r="D4" s="270"/>
      <c r="E4" s="270"/>
      <c r="F4" s="270"/>
      <c r="G4" s="270"/>
      <c r="H4" s="270"/>
      <c r="I4" s="270"/>
      <c r="J4" s="271"/>
      <c r="K4" s="114"/>
      <c r="L4" s="86"/>
      <c r="P4" s="43" t="s">
        <v>329</v>
      </c>
    </row>
    <row r="5" spans="1:16" ht="15.75" x14ac:dyDescent="0.45">
      <c r="A5" s="272"/>
      <c r="B5" s="273"/>
      <c r="C5" s="273"/>
      <c r="D5" s="273"/>
      <c r="E5" s="273"/>
      <c r="F5" s="273"/>
      <c r="G5" s="273"/>
      <c r="H5" s="273"/>
      <c r="I5" s="273"/>
      <c r="J5" s="274"/>
      <c r="K5" s="115"/>
      <c r="L5" s="91"/>
      <c r="O5" s="232" t="s">
        <v>330</v>
      </c>
      <c r="P5" s="43" t="s">
        <v>328</v>
      </c>
    </row>
    <row r="6" spans="1:16" ht="16.5" x14ac:dyDescent="0.75">
      <c r="A6" s="92"/>
      <c r="B6" s="55"/>
      <c r="C6" s="55"/>
      <c r="D6" s="55"/>
      <c r="E6" s="55"/>
      <c r="F6" s="55"/>
      <c r="G6" s="55"/>
      <c r="H6" s="55"/>
      <c r="I6" s="55"/>
      <c r="J6" s="53"/>
      <c r="K6" s="55"/>
      <c r="O6" s="44" t="s">
        <v>328</v>
      </c>
      <c r="P6" s="46" t="s">
        <v>327</v>
      </c>
    </row>
    <row r="7" spans="1:16" x14ac:dyDescent="0.45">
      <c r="A7" s="93"/>
      <c r="B7" s="55"/>
      <c r="C7" s="78" t="s">
        <v>245</v>
      </c>
      <c r="D7" s="78"/>
      <c r="E7" s="78"/>
      <c r="F7" s="78"/>
      <c r="G7" s="78" t="s">
        <v>66</v>
      </c>
      <c r="H7" s="78" t="s">
        <v>84</v>
      </c>
      <c r="I7" s="78" t="s">
        <v>20</v>
      </c>
      <c r="J7" s="82" t="s">
        <v>100</v>
      </c>
      <c r="K7" s="78"/>
      <c r="N7" s="43" t="s">
        <v>250</v>
      </c>
      <c r="O7" s="43">
        <v>3386</v>
      </c>
      <c r="P7" s="47">
        <f>O7/O9</f>
        <v>0.54054916985951473</v>
      </c>
    </row>
    <row r="8" spans="1:16" ht="16.5" x14ac:dyDescent="0.75">
      <c r="A8" s="93"/>
      <c r="B8" s="55"/>
      <c r="C8" s="78" t="s">
        <v>349</v>
      </c>
      <c r="D8" s="78" t="s">
        <v>66</v>
      </c>
      <c r="E8" s="78" t="s">
        <v>73</v>
      </c>
      <c r="F8" s="78"/>
      <c r="G8" s="78" t="s">
        <v>83</v>
      </c>
      <c r="H8" s="78" t="s">
        <v>85</v>
      </c>
      <c r="I8" s="78" t="s">
        <v>86</v>
      </c>
      <c r="J8" s="82" t="s">
        <v>87</v>
      </c>
      <c r="K8" s="78"/>
      <c r="N8" s="43" t="s">
        <v>251</v>
      </c>
      <c r="O8" s="46">
        <v>2878</v>
      </c>
      <c r="P8" s="47">
        <f>O8/O9</f>
        <v>0.45945083014048532</v>
      </c>
    </row>
    <row r="9" spans="1:16" x14ac:dyDescent="0.45">
      <c r="A9" s="93"/>
      <c r="B9" s="55"/>
      <c r="C9" s="55"/>
      <c r="D9" s="55"/>
      <c r="E9" s="55"/>
      <c r="F9" s="55"/>
      <c r="G9" s="55"/>
      <c r="H9" s="55"/>
      <c r="I9" s="55"/>
      <c r="J9" s="53"/>
      <c r="K9" s="55"/>
      <c r="N9" s="43" t="s">
        <v>252</v>
      </c>
      <c r="O9" s="43">
        <f>O8+O7</f>
        <v>6264</v>
      </c>
    </row>
    <row r="10" spans="1:16" x14ac:dyDescent="0.45">
      <c r="A10" s="125" t="s">
        <v>113</v>
      </c>
      <c r="B10" s="55"/>
      <c r="C10" s="55"/>
      <c r="D10" s="55"/>
      <c r="E10" s="55"/>
      <c r="F10" s="55"/>
      <c r="G10" s="55"/>
      <c r="H10" s="55"/>
      <c r="I10" s="55"/>
      <c r="J10" s="53"/>
      <c r="K10" s="55"/>
    </row>
    <row r="11" spans="1:16" x14ac:dyDescent="0.45">
      <c r="A11" s="93"/>
      <c r="B11" s="136" t="s">
        <v>248</v>
      </c>
      <c r="C11" s="55">
        <f>Proforma!H8-C12</f>
        <v>106714.45050000001</v>
      </c>
      <c r="D11" s="55">
        <f>C11*$P$7</f>
        <v>57684.407629789283</v>
      </c>
      <c r="E11" s="55">
        <f>C11-D11</f>
        <v>49030.042870210724</v>
      </c>
      <c r="F11" s="55"/>
      <c r="G11" s="55"/>
      <c r="H11" s="55"/>
      <c r="I11" s="55">
        <f>D11*0.85</f>
        <v>49031.746485320888</v>
      </c>
      <c r="J11" s="53">
        <f>D11-I11</f>
        <v>8652.6611444683949</v>
      </c>
      <c r="K11" s="55"/>
    </row>
    <row r="12" spans="1:16" x14ac:dyDescent="0.45">
      <c r="A12" s="93"/>
      <c r="B12" s="136" t="s">
        <v>249</v>
      </c>
      <c r="C12" s="55">
        <f>mtrx!P15</f>
        <v>120619.41699999999</v>
      </c>
      <c r="D12" s="55">
        <f>C12*0.5</f>
        <v>60309.708499999993</v>
      </c>
      <c r="E12" s="55">
        <f>C12-D12</f>
        <v>60309.708499999993</v>
      </c>
      <c r="F12" s="55"/>
      <c r="G12" s="55"/>
      <c r="H12" s="55"/>
      <c r="I12" s="55"/>
      <c r="J12" s="53">
        <f>D12</f>
        <v>60309.708499999993</v>
      </c>
      <c r="K12" s="55"/>
      <c r="N12" s="14"/>
      <c r="O12" s="233" t="s">
        <v>353</v>
      </c>
      <c r="P12" s="233" t="s">
        <v>331</v>
      </c>
    </row>
    <row r="13" spans="1:16" x14ac:dyDescent="0.45">
      <c r="A13" s="93"/>
      <c r="B13" s="136" t="s">
        <v>118</v>
      </c>
      <c r="C13" s="55">
        <f>Proforma!H9</f>
        <v>16529</v>
      </c>
      <c r="D13" s="55">
        <f>C13*$P$23</f>
        <v>8579.1209508600241</v>
      </c>
      <c r="E13" s="55">
        <f>C13-D13</f>
        <v>7949.8790491399759</v>
      </c>
      <c r="F13" s="55"/>
      <c r="G13" s="55"/>
      <c r="H13" s="55"/>
      <c r="I13" s="55">
        <f>D13*$P$26</f>
        <v>3565.0021994891235</v>
      </c>
      <c r="J13" s="53">
        <f>D13-I13</f>
        <v>5014.118751370901</v>
      </c>
      <c r="K13" s="55"/>
      <c r="N13" s="142" t="s">
        <v>246</v>
      </c>
      <c r="O13" s="143">
        <v>46500</v>
      </c>
      <c r="P13" s="144">
        <f>O13*1.025</f>
        <v>47662.499999999993</v>
      </c>
    </row>
    <row r="14" spans="1:16" ht="16.5" x14ac:dyDescent="0.75">
      <c r="A14" s="93"/>
      <c r="B14" s="136" t="s">
        <v>121</v>
      </c>
      <c r="C14" s="55">
        <f>Proforma!H10</f>
        <v>37412.812049999993</v>
      </c>
      <c r="D14" s="55">
        <f t="shared" ref="D14:D17" si="0">C14*$P$23</f>
        <v>19418.539517741141</v>
      </c>
      <c r="E14" s="55">
        <f t="shared" ref="E14:E19" si="1">C14-D14</f>
        <v>17994.272532258852</v>
      </c>
      <c r="F14" s="55"/>
      <c r="G14" s="55"/>
      <c r="H14" s="55"/>
      <c r="I14" s="55">
        <f t="shared" ref="I14:I17" si="2">D14*$P$26</f>
        <v>8069.2575018042935</v>
      </c>
      <c r="J14" s="53">
        <f t="shared" ref="J14:J17" si="3">D14-I14</f>
        <v>11349.282015936848</v>
      </c>
      <c r="K14" s="55"/>
      <c r="N14" s="142" t="s">
        <v>247</v>
      </c>
      <c r="O14" s="145">
        <v>71177.48</v>
      </c>
      <c r="P14" s="146">
        <f>O14*1.025</f>
        <v>72956.916999999987</v>
      </c>
    </row>
    <row r="15" spans="1:16" x14ac:dyDescent="0.45">
      <c r="A15" s="93"/>
      <c r="B15" s="136" t="s">
        <v>123</v>
      </c>
      <c r="C15" s="55">
        <f>Proforma!H11</f>
        <v>940</v>
      </c>
      <c r="D15" s="55">
        <f t="shared" si="0"/>
        <v>487.89241295955128</v>
      </c>
      <c r="E15" s="55">
        <f t="shared" si="1"/>
        <v>452.10758704044872</v>
      </c>
      <c r="F15" s="55"/>
      <c r="G15" s="55"/>
      <c r="H15" s="55"/>
      <c r="I15" s="55">
        <f t="shared" si="2"/>
        <v>202.74076275151407</v>
      </c>
      <c r="J15" s="53">
        <f t="shared" si="3"/>
        <v>285.15165020803721</v>
      </c>
      <c r="K15" s="55"/>
      <c r="N15" s="14"/>
      <c r="O15" s="116"/>
      <c r="P15" s="144">
        <f>SUM(P13:P14)</f>
        <v>120619.41699999999</v>
      </c>
    </row>
    <row r="16" spans="1:16" x14ac:dyDescent="0.45">
      <c r="A16" s="93"/>
      <c r="B16" s="136" t="s">
        <v>125</v>
      </c>
      <c r="C16" s="55">
        <f>Proforma!H12</f>
        <v>7323</v>
      </c>
      <c r="D16" s="55">
        <f t="shared" si="0"/>
        <v>3800.8895107476533</v>
      </c>
      <c r="E16" s="55">
        <f t="shared" si="1"/>
        <v>3522.1104892523467</v>
      </c>
      <c r="F16" s="55"/>
      <c r="G16" s="55"/>
      <c r="H16" s="55"/>
      <c r="I16" s="55">
        <f t="shared" si="2"/>
        <v>1579.4368144992955</v>
      </c>
      <c r="J16" s="53">
        <f t="shared" si="3"/>
        <v>2221.4526962483578</v>
      </c>
      <c r="K16" s="55"/>
      <c r="N16" s="88"/>
      <c r="O16" s="14"/>
      <c r="P16" s="45"/>
    </row>
    <row r="17" spans="1:18" x14ac:dyDescent="0.45">
      <c r="A17" s="93"/>
      <c r="B17" s="136" t="s">
        <v>127</v>
      </c>
      <c r="C17" s="55">
        <f>Proforma!H13</f>
        <v>55192</v>
      </c>
      <c r="D17" s="55">
        <f t="shared" si="0"/>
        <v>28646.551123471865</v>
      </c>
      <c r="E17" s="55">
        <f t="shared" si="1"/>
        <v>26545.448876528135</v>
      </c>
      <c r="F17" s="55"/>
      <c r="G17" s="55"/>
      <c r="H17" s="55"/>
      <c r="I17" s="55">
        <f t="shared" si="2"/>
        <v>11903.902316788899</v>
      </c>
      <c r="J17" s="53">
        <f t="shared" si="3"/>
        <v>16742.648806682966</v>
      </c>
      <c r="K17" s="55"/>
      <c r="N17" s="88"/>
      <c r="O17" s="14"/>
      <c r="P17" s="45"/>
    </row>
    <row r="18" spans="1:18" x14ac:dyDescent="0.45">
      <c r="A18" s="93"/>
      <c r="B18" s="136" t="s">
        <v>130</v>
      </c>
      <c r="C18" s="55">
        <f>Proforma!H14</f>
        <v>0</v>
      </c>
      <c r="D18" s="55">
        <f t="shared" ref="D18:D19" si="4">C18*$P$7</f>
        <v>0</v>
      </c>
      <c r="E18" s="55">
        <f t="shared" si="1"/>
        <v>0</v>
      </c>
      <c r="F18" s="55"/>
      <c r="G18" s="55"/>
      <c r="H18" s="55"/>
      <c r="I18" s="55">
        <v>0</v>
      </c>
      <c r="J18" s="53">
        <v>0</v>
      </c>
      <c r="K18" s="55"/>
    </row>
    <row r="19" spans="1:18" x14ac:dyDescent="0.45">
      <c r="A19" s="93"/>
      <c r="B19" s="136" t="s">
        <v>132</v>
      </c>
      <c r="C19" s="55">
        <f>Proforma!H15</f>
        <v>0</v>
      </c>
      <c r="D19" s="55">
        <f t="shared" si="4"/>
        <v>0</v>
      </c>
      <c r="E19" s="55">
        <f t="shared" si="1"/>
        <v>0</v>
      </c>
      <c r="F19" s="55"/>
      <c r="G19" s="55"/>
      <c r="H19" s="55"/>
      <c r="I19" s="55">
        <v>0</v>
      </c>
      <c r="J19" s="53">
        <v>0</v>
      </c>
      <c r="K19" s="55"/>
      <c r="P19" s="78" t="s">
        <v>66</v>
      </c>
      <c r="Q19" s="78" t="s">
        <v>73</v>
      </c>
    </row>
    <row r="20" spans="1:18" x14ac:dyDescent="0.45">
      <c r="A20" s="93"/>
      <c r="B20" s="136" t="s">
        <v>134</v>
      </c>
      <c r="C20" s="55">
        <f>Proforma!H16</f>
        <v>8063</v>
      </c>
      <c r="D20" s="55">
        <f>C20*$P$7</f>
        <v>4358.4479565772672</v>
      </c>
      <c r="E20" s="55">
        <f>C20-D20</f>
        <v>3704.5520434227328</v>
      </c>
      <c r="F20" s="55"/>
      <c r="G20" s="55"/>
      <c r="H20" s="55"/>
      <c r="I20" s="55">
        <f t="shared" ref="I20:I32" si="5">D20*0.85</f>
        <v>3704.6807630906769</v>
      </c>
      <c r="J20" s="53">
        <f t="shared" ref="J20:J32" si="6">D20-I20</f>
        <v>653.76719348659026</v>
      </c>
      <c r="K20" s="55"/>
      <c r="N20" s="136" t="s">
        <v>248</v>
      </c>
      <c r="O20" s="55"/>
      <c r="P20" s="55">
        <f>D11</f>
        <v>57684.407629789283</v>
      </c>
      <c r="Q20" s="55">
        <f>E11</f>
        <v>49030.042870210724</v>
      </c>
    </row>
    <row r="21" spans="1:18" ht="16.5" x14ac:dyDescent="0.75">
      <c r="A21" s="93"/>
      <c r="B21" s="136" t="s">
        <v>136</v>
      </c>
      <c r="C21" s="55">
        <f>Proforma!H17</f>
        <v>169</v>
      </c>
      <c r="D21" s="55">
        <f t="shared" ref="D21:D32" si="7">C21*$P$7</f>
        <v>91.352809706257986</v>
      </c>
      <c r="E21" s="55">
        <f t="shared" ref="E21:E22" si="8">C21-D21</f>
        <v>77.647190293742014</v>
      </c>
      <c r="F21" s="55"/>
      <c r="G21" s="55"/>
      <c r="H21" s="55"/>
      <c r="I21" s="55">
        <f t="shared" si="5"/>
        <v>77.649888250319293</v>
      </c>
      <c r="J21" s="53">
        <f t="shared" si="6"/>
        <v>13.702921455938693</v>
      </c>
      <c r="K21" s="55"/>
      <c r="N21" s="136" t="s">
        <v>249</v>
      </c>
      <c r="O21" s="55"/>
      <c r="P21" s="97">
        <f>D12</f>
        <v>60309.708499999993</v>
      </c>
      <c r="Q21" s="97">
        <f>E12</f>
        <v>60309.708499999993</v>
      </c>
    </row>
    <row r="22" spans="1:18" x14ac:dyDescent="0.45">
      <c r="A22" s="93"/>
      <c r="B22" s="136" t="s">
        <v>138</v>
      </c>
      <c r="C22" s="55">
        <f>Proforma!H18</f>
        <v>2376</v>
      </c>
      <c r="D22" s="55">
        <f t="shared" si="7"/>
        <v>1284.344827586207</v>
      </c>
      <c r="E22" s="55">
        <f t="shared" si="8"/>
        <v>1091.655172413793</v>
      </c>
      <c r="F22" s="55"/>
      <c r="G22" s="55"/>
      <c r="H22" s="55"/>
      <c r="I22" s="55">
        <f t="shared" si="5"/>
        <v>1091.6931034482759</v>
      </c>
      <c r="J22" s="53">
        <f t="shared" si="6"/>
        <v>192.65172413793107</v>
      </c>
      <c r="K22" s="55"/>
      <c r="P22" s="43">
        <f>P20+P21</f>
        <v>117994.11612978927</v>
      </c>
      <c r="Q22" s="43">
        <f>Q20+Q21</f>
        <v>109339.75137021072</v>
      </c>
      <c r="R22" s="43">
        <f>Q22+P22</f>
        <v>227333.86749999999</v>
      </c>
    </row>
    <row r="23" spans="1:18" x14ac:dyDescent="0.45">
      <c r="A23" s="93"/>
      <c r="B23" s="136" t="s">
        <v>140</v>
      </c>
      <c r="C23" s="55">
        <f>Proforma!H19</f>
        <v>6882</v>
      </c>
      <c r="D23" s="55">
        <f t="shared" si="7"/>
        <v>3720.0593869731806</v>
      </c>
      <c r="E23" s="55">
        <f t="shared" ref="E23" si="9">C23-D23</f>
        <v>3161.9406130268194</v>
      </c>
      <c r="F23" s="55"/>
      <c r="G23" s="55"/>
      <c r="H23" s="55"/>
      <c r="I23" s="55">
        <f t="shared" si="5"/>
        <v>3162.0504789272036</v>
      </c>
      <c r="J23" s="53">
        <f t="shared" si="6"/>
        <v>558.00890804597702</v>
      </c>
      <c r="K23" s="55"/>
      <c r="P23" s="47">
        <f>P22/R22</f>
        <v>0.51903448187186307</v>
      </c>
      <c r="Q23" s="47">
        <f>Q22/R22</f>
        <v>0.48096551812813693</v>
      </c>
    </row>
    <row r="24" spans="1:18" x14ac:dyDescent="0.45">
      <c r="A24" s="93"/>
      <c r="B24" s="136" t="s">
        <v>70</v>
      </c>
      <c r="C24" s="55">
        <f>Proforma!H20</f>
        <v>4278</v>
      </c>
      <c r="D24" s="55">
        <f t="shared" si="7"/>
        <v>2312.469348659004</v>
      </c>
      <c r="E24" s="55">
        <f t="shared" ref="E24:E28" si="10">C24-D24</f>
        <v>1965.530651340996</v>
      </c>
      <c r="F24" s="55"/>
      <c r="G24" s="55"/>
      <c r="H24" s="55"/>
      <c r="I24" s="55">
        <f t="shared" si="5"/>
        <v>1965.5989463601534</v>
      </c>
      <c r="J24" s="53">
        <f t="shared" si="6"/>
        <v>346.87040229885065</v>
      </c>
      <c r="K24" s="55"/>
    </row>
    <row r="25" spans="1:18" x14ac:dyDescent="0.45">
      <c r="A25" s="93"/>
      <c r="B25" s="136" t="s">
        <v>143</v>
      </c>
      <c r="C25" s="55">
        <f>Proforma!H21</f>
        <v>3085</v>
      </c>
      <c r="D25" s="55">
        <f t="shared" si="7"/>
        <v>1667.594189016603</v>
      </c>
      <c r="E25" s="55">
        <f t="shared" si="10"/>
        <v>1417.405810983397</v>
      </c>
      <c r="F25" s="55"/>
      <c r="G25" s="55"/>
      <c r="H25" s="55"/>
      <c r="I25" s="55">
        <f t="shared" si="5"/>
        <v>1417.4550606641126</v>
      </c>
      <c r="J25" s="53">
        <f t="shared" si="6"/>
        <v>250.13912835249039</v>
      </c>
      <c r="K25" s="55"/>
      <c r="N25" s="43" t="s">
        <v>272</v>
      </c>
      <c r="P25" s="43">
        <f>SUM(I11:J12)</f>
        <v>117994.11612978927</v>
      </c>
    </row>
    <row r="26" spans="1:18" x14ac:dyDescent="0.45">
      <c r="A26" s="93"/>
      <c r="B26" s="136" t="s">
        <v>145</v>
      </c>
      <c r="C26" s="55">
        <f>Proforma!H22</f>
        <v>10270</v>
      </c>
      <c r="D26" s="55">
        <f t="shared" si="7"/>
        <v>5551.4399744572165</v>
      </c>
      <c r="E26" s="55">
        <f t="shared" si="10"/>
        <v>4718.5600255427835</v>
      </c>
      <c r="F26" s="55"/>
      <c r="G26" s="55"/>
      <c r="H26" s="55"/>
      <c r="I26" s="55">
        <f t="shared" si="5"/>
        <v>4718.7239782886336</v>
      </c>
      <c r="J26" s="53">
        <f t="shared" si="6"/>
        <v>832.71599616858293</v>
      </c>
      <c r="K26" s="55"/>
      <c r="N26" s="43" t="s">
        <v>273</v>
      </c>
      <c r="P26" s="45">
        <f>I11/P25</f>
        <v>0.41554399569710526</v>
      </c>
      <c r="Q26" s="43" t="s">
        <v>335</v>
      </c>
    </row>
    <row r="27" spans="1:18" x14ac:dyDescent="0.45">
      <c r="A27" s="93"/>
      <c r="B27" s="136" t="s">
        <v>147</v>
      </c>
      <c r="C27" s="55">
        <f>Proforma!H23</f>
        <v>3822</v>
      </c>
      <c r="D27" s="55">
        <f t="shared" si="7"/>
        <v>2065.9789272030653</v>
      </c>
      <c r="E27" s="55">
        <f t="shared" si="10"/>
        <v>1756.0210727969347</v>
      </c>
      <c r="F27" s="55"/>
      <c r="G27" s="55"/>
      <c r="H27" s="55"/>
      <c r="I27" s="55">
        <f t="shared" si="5"/>
        <v>1756.0820881226055</v>
      </c>
      <c r="J27" s="53">
        <f t="shared" si="6"/>
        <v>309.89683908045981</v>
      </c>
      <c r="K27" s="55"/>
    </row>
    <row r="28" spans="1:18" x14ac:dyDescent="0.45">
      <c r="A28" s="93"/>
      <c r="B28" s="136" t="s">
        <v>72</v>
      </c>
      <c r="C28" s="55">
        <f>Proforma!H24</f>
        <v>11268</v>
      </c>
      <c r="D28" s="55">
        <f t="shared" si="7"/>
        <v>6090.9080459770121</v>
      </c>
      <c r="E28" s="55">
        <f t="shared" si="10"/>
        <v>5177.0919540229879</v>
      </c>
      <c r="F28" s="55"/>
      <c r="G28" s="55"/>
      <c r="H28" s="55"/>
      <c r="I28" s="55">
        <f t="shared" si="5"/>
        <v>5177.2718390804603</v>
      </c>
      <c r="J28" s="53">
        <f t="shared" si="6"/>
        <v>913.63620689655181</v>
      </c>
      <c r="K28" s="55"/>
    </row>
    <row r="29" spans="1:18" x14ac:dyDescent="0.45">
      <c r="A29" s="93"/>
      <c r="B29" s="136" t="s">
        <v>150</v>
      </c>
      <c r="C29" s="55">
        <f>Proforma!H25</f>
        <v>0</v>
      </c>
      <c r="D29" s="55">
        <f t="shared" si="7"/>
        <v>0</v>
      </c>
      <c r="E29" s="55">
        <f t="shared" ref="E29" si="11">C29-D29</f>
        <v>0</v>
      </c>
      <c r="F29" s="55"/>
      <c r="G29" s="55"/>
      <c r="H29" s="55"/>
      <c r="I29" s="55">
        <f t="shared" si="5"/>
        <v>0</v>
      </c>
      <c r="J29" s="53">
        <f t="shared" si="6"/>
        <v>0</v>
      </c>
      <c r="K29" s="55"/>
    </row>
    <row r="30" spans="1:18" x14ac:dyDescent="0.45">
      <c r="A30" s="93"/>
      <c r="B30" s="136" t="s">
        <v>152</v>
      </c>
      <c r="C30" s="55">
        <f>Proforma!H26</f>
        <v>4562</v>
      </c>
      <c r="D30" s="55">
        <f t="shared" si="7"/>
        <v>2465.9853128991062</v>
      </c>
      <c r="E30" s="55">
        <f t="shared" ref="E30" si="12">C30-D30</f>
        <v>2096.0146871008938</v>
      </c>
      <c r="F30" s="55"/>
      <c r="G30" s="55"/>
      <c r="H30" s="55"/>
      <c r="I30" s="55">
        <f t="shared" si="5"/>
        <v>2096.0875159642401</v>
      </c>
      <c r="J30" s="53">
        <f t="shared" si="6"/>
        <v>369.89779693486616</v>
      </c>
      <c r="K30" s="55"/>
    </row>
    <row r="31" spans="1:18" x14ac:dyDescent="0.45">
      <c r="A31" s="93"/>
      <c r="B31" s="136" t="s">
        <v>154</v>
      </c>
      <c r="C31" s="55">
        <f>Proforma!H27</f>
        <v>3518</v>
      </c>
      <c r="D31" s="55">
        <f>C31*$P$7</f>
        <v>1901.6519795657728</v>
      </c>
      <c r="E31" s="55">
        <f>C31-D31</f>
        <v>1616.3480204342272</v>
      </c>
      <c r="F31" s="55"/>
      <c r="G31" s="55"/>
      <c r="H31" s="55"/>
      <c r="I31" s="55">
        <f t="shared" si="5"/>
        <v>1616.4041826309069</v>
      </c>
      <c r="J31" s="53">
        <f t="shared" si="6"/>
        <v>285.24779693486585</v>
      </c>
      <c r="K31" s="55"/>
    </row>
    <row r="32" spans="1:18" x14ac:dyDescent="0.45">
      <c r="A32" s="93"/>
      <c r="B32" s="136" t="s">
        <v>156</v>
      </c>
      <c r="C32" s="55">
        <f>Proforma!H28</f>
        <v>0</v>
      </c>
      <c r="D32" s="55">
        <f t="shared" si="7"/>
        <v>0</v>
      </c>
      <c r="E32" s="55">
        <f t="shared" ref="E32" si="13">C32-D32</f>
        <v>0</v>
      </c>
      <c r="F32" s="55"/>
      <c r="G32" s="55"/>
      <c r="H32" s="55"/>
      <c r="I32" s="55">
        <f t="shared" si="5"/>
        <v>0</v>
      </c>
      <c r="J32" s="53">
        <f t="shared" si="6"/>
        <v>0</v>
      </c>
      <c r="K32" s="55"/>
    </row>
    <row r="33" spans="1:11" x14ac:dyDescent="0.45">
      <c r="B33" s="55">
        <f>SUM(C11:C32)</f>
        <v>403023.67955</v>
      </c>
      <c r="C33" s="55"/>
      <c r="D33" s="55"/>
      <c r="E33" s="55"/>
      <c r="F33" s="55"/>
      <c r="G33" s="55"/>
      <c r="H33" s="55"/>
      <c r="I33" s="55"/>
      <c r="J33" s="53"/>
      <c r="K33" s="55"/>
    </row>
    <row r="34" spans="1:11" x14ac:dyDescent="0.45">
      <c r="A34" s="125" t="s">
        <v>82</v>
      </c>
      <c r="B34" s="55"/>
      <c r="C34" s="55"/>
      <c r="D34" s="55"/>
      <c r="E34" s="55"/>
      <c r="F34" s="55"/>
      <c r="G34" s="55"/>
      <c r="H34" s="55"/>
      <c r="I34" s="55"/>
      <c r="J34" s="53"/>
      <c r="K34" s="55"/>
    </row>
    <row r="35" spans="1:11" x14ac:dyDescent="0.45">
      <c r="A35" s="93"/>
      <c r="B35" s="136" t="s">
        <v>115</v>
      </c>
      <c r="C35" s="55">
        <f>Proforma!H32</f>
        <v>172331.10214285701</v>
      </c>
      <c r="D35" s="55"/>
      <c r="E35" s="55"/>
      <c r="F35" s="55"/>
      <c r="G35" s="55">
        <f>C35</f>
        <v>172331.10214285701</v>
      </c>
      <c r="H35" s="55"/>
      <c r="I35" s="55"/>
      <c r="J35" s="53"/>
      <c r="K35" s="55"/>
    </row>
    <row r="36" spans="1:11" x14ac:dyDescent="0.45">
      <c r="A36" s="93"/>
      <c r="B36" s="136" t="s">
        <v>118</v>
      </c>
      <c r="C36" s="55">
        <f>Proforma!H33</f>
        <v>13183.3293139286</v>
      </c>
      <c r="D36" s="55"/>
      <c r="E36" s="55"/>
      <c r="F36" s="55"/>
      <c r="G36" s="55">
        <f t="shared" ref="G36:G58" si="14">C36</f>
        <v>13183.3293139286</v>
      </c>
      <c r="H36" s="55"/>
      <c r="I36" s="55"/>
      <c r="J36" s="53"/>
      <c r="K36" s="55"/>
    </row>
    <row r="37" spans="1:11" x14ac:dyDescent="0.45">
      <c r="A37" s="93"/>
      <c r="B37" s="136" t="s">
        <v>121</v>
      </c>
      <c r="C37" s="55">
        <f>Proforma!H34</f>
        <v>49242.939750000005</v>
      </c>
      <c r="D37" s="55"/>
      <c r="E37" s="55"/>
      <c r="F37" s="55"/>
      <c r="G37" s="55">
        <f t="shared" si="14"/>
        <v>49242.939750000005</v>
      </c>
      <c r="H37" s="94"/>
      <c r="I37" s="94"/>
      <c r="J37" s="95"/>
      <c r="K37" s="94"/>
    </row>
    <row r="38" spans="1:11" x14ac:dyDescent="0.45">
      <c r="A38" s="93"/>
      <c r="B38" s="136" t="s">
        <v>123</v>
      </c>
      <c r="C38" s="55">
        <f>Proforma!H35</f>
        <v>529</v>
      </c>
      <c r="D38" s="55"/>
      <c r="E38" s="55"/>
      <c r="F38" s="55"/>
      <c r="G38" s="55">
        <f t="shared" si="14"/>
        <v>529</v>
      </c>
      <c r="H38" s="55"/>
      <c r="I38" s="55"/>
      <c r="J38" s="53"/>
      <c r="K38" s="55"/>
    </row>
    <row r="39" spans="1:11" x14ac:dyDescent="0.45">
      <c r="A39" s="93"/>
      <c r="B39" s="136" t="s">
        <v>125</v>
      </c>
      <c r="C39" s="55">
        <f>Proforma!H36</f>
        <v>359</v>
      </c>
      <c r="D39" s="55"/>
      <c r="E39" s="55"/>
      <c r="F39" s="55"/>
      <c r="G39" s="55">
        <f t="shared" si="14"/>
        <v>359</v>
      </c>
      <c r="H39" s="55"/>
      <c r="I39" s="55"/>
      <c r="J39" s="53"/>
      <c r="K39" s="55"/>
    </row>
    <row r="40" spans="1:11" x14ac:dyDescent="0.45">
      <c r="A40" s="93"/>
      <c r="B40" s="136" t="s">
        <v>127</v>
      </c>
      <c r="C40" s="55">
        <f>Proforma!H37</f>
        <v>46443</v>
      </c>
      <c r="D40" s="55"/>
      <c r="E40" s="55"/>
      <c r="F40" s="55"/>
      <c r="G40" s="55">
        <f t="shared" si="14"/>
        <v>46443</v>
      </c>
      <c r="H40" s="55"/>
      <c r="I40" s="55"/>
      <c r="J40" s="53"/>
      <c r="K40" s="55"/>
    </row>
    <row r="41" spans="1:11" x14ac:dyDescent="0.45">
      <c r="A41" s="93"/>
      <c r="B41" s="136" t="s">
        <v>130</v>
      </c>
      <c r="C41" s="55">
        <f>Proforma!H38</f>
        <v>0</v>
      </c>
      <c r="D41" s="55"/>
      <c r="E41" s="55"/>
      <c r="F41" s="55"/>
      <c r="G41" s="55">
        <f t="shared" si="14"/>
        <v>0</v>
      </c>
      <c r="H41" s="55"/>
      <c r="I41" s="55"/>
      <c r="J41" s="53"/>
      <c r="K41" s="55"/>
    </row>
    <row r="42" spans="1:11" x14ac:dyDescent="0.45">
      <c r="A42" s="93"/>
      <c r="B42" s="136" t="s">
        <v>132</v>
      </c>
      <c r="C42" s="55">
        <f>Proforma!H39</f>
        <v>0</v>
      </c>
      <c r="D42" s="55"/>
      <c r="E42" s="55"/>
      <c r="F42" s="55"/>
      <c r="G42" s="55">
        <f t="shared" si="14"/>
        <v>0</v>
      </c>
      <c r="H42" s="55"/>
      <c r="I42" s="55"/>
      <c r="J42" s="53"/>
      <c r="K42" s="55"/>
    </row>
    <row r="43" spans="1:11" x14ac:dyDescent="0.45">
      <c r="A43" s="93"/>
      <c r="B43" s="136" t="s">
        <v>134</v>
      </c>
      <c r="C43" s="55">
        <f>Proforma!H40</f>
        <v>179933</v>
      </c>
      <c r="D43" s="55"/>
      <c r="E43" s="55"/>
      <c r="F43" s="55"/>
      <c r="G43" s="55">
        <f t="shared" si="14"/>
        <v>179933</v>
      </c>
      <c r="H43" s="55"/>
      <c r="I43" s="55"/>
      <c r="J43" s="53"/>
      <c r="K43" s="55"/>
    </row>
    <row r="44" spans="1:11" x14ac:dyDescent="0.45">
      <c r="A44" s="93"/>
      <c r="B44" s="136" t="s">
        <v>136</v>
      </c>
      <c r="C44" s="55">
        <f>Proforma!H41</f>
        <v>786</v>
      </c>
      <c r="D44" s="55"/>
      <c r="E44" s="55"/>
      <c r="F44" s="55"/>
      <c r="G44" s="55">
        <f t="shared" si="14"/>
        <v>786</v>
      </c>
      <c r="H44" s="55"/>
      <c r="I44" s="55"/>
      <c r="J44" s="53"/>
      <c r="K44" s="55"/>
    </row>
    <row r="45" spans="1:11" x14ac:dyDescent="0.45">
      <c r="A45" s="93"/>
      <c r="B45" s="136" t="s">
        <v>138</v>
      </c>
      <c r="C45" s="55">
        <f>Proforma!H42</f>
        <v>20008</v>
      </c>
      <c r="D45" s="55"/>
      <c r="E45" s="55"/>
      <c r="F45" s="55"/>
      <c r="G45" s="55">
        <f t="shared" si="14"/>
        <v>20008</v>
      </c>
      <c r="H45" s="94"/>
      <c r="I45" s="94"/>
      <c r="J45" s="95"/>
      <c r="K45" s="94"/>
    </row>
    <row r="46" spans="1:11" x14ac:dyDescent="0.45">
      <c r="A46" s="93"/>
      <c r="B46" s="136" t="s">
        <v>140</v>
      </c>
      <c r="C46" s="55">
        <f>Proforma!H43</f>
        <v>2123</v>
      </c>
      <c r="D46" s="55"/>
      <c r="E46" s="55"/>
      <c r="F46" s="55"/>
      <c r="G46" s="55">
        <f t="shared" si="14"/>
        <v>2123</v>
      </c>
      <c r="H46" s="55"/>
      <c r="I46" s="55"/>
      <c r="J46" s="53"/>
      <c r="K46" s="55"/>
    </row>
    <row r="47" spans="1:11" x14ac:dyDescent="0.45">
      <c r="A47" s="93"/>
      <c r="B47" s="136" t="s">
        <v>171</v>
      </c>
      <c r="C47" s="55">
        <f>Proforma!H44</f>
        <v>105706</v>
      </c>
      <c r="D47" s="55"/>
      <c r="E47" s="55"/>
      <c r="F47" s="55"/>
      <c r="G47" s="55">
        <f t="shared" si="14"/>
        <v>105706</v>
      </c>
      <c r="H47" s="94"/>
      <c r="I47" s="94"/>
      <c r="J47" s="95"/>
      <c r="K47" s="94"/>
    </row>
    <row r="48" spans="1:11" x14ac:dyDescent="0.45">
      <c r="A48" s="93"/>
      <c r="B48" s="136" t="s">
        <v>70</v>
      </c>
      <c r="C48" s="55">
        <f>Proforma!H45</f>
        <v>41523</v>
      </c>
      <c r="D48" s="55"/>
      <c r="E48" s="55"/>
      <c r="F48" s="55"/>
      <c r="G48" s="55">
        <f t="shared" si="14"/>
        <v>41523</v>
      </c>
      <c r="H48" s="55"/>
      <c r="I48" s="55"/>
      <c r="J48" s="53"/>
      <c r="K48" s="55"/>
    </row>
    <row r="49" spans="1:11" x14ac:dyDescent="0.45">
      <c r="A49" s="93"/>
      <c r="B49" s="136" t="s">
        <v>175</v>
      </c>
      <c r="C49" s="55">
        <f>Proforma!H46</f>
        <v>14677</v>
      </c>
      <c r="D49" s="55"/>
      <c r="E49" s="55"/>
      <c r="F49" s="55"/>
      <c r="G49" s="55">
        <f t="shared" si="14"/>
        <v>14677</v>
      </c>
      <c r="H49" s="94"/>
      <c r="I49" s="94"/>
      <c r="J49" s="95"/>
      <c r="K49" s="94"/>
    </row>
    <row r="50" spans="1:11" x14ac:dyDescent="0.45">
      <c r="A50" s="93"/>
      <c r="B50" s="136" t="s">
        <v>143</v>
      </c>
      <c r="C50" s="55">
        <f>Proforma!H47</f>
        <v>20470</v>
      </c>
      <c r="D50" s="55"/>
      <c r="E50" s="55"/>
      <c r="F50" s="55"/>
      <c r="G50" s="55">
        <f t="shared" si="14"/>
        <v>20470</v>
      </c>
      <c r="H50" s="55"/>
      <c r="I50" s="55"/>
      <c r="J50" s="53"/>
      <c r="K50" s="55"/>
    </row>
    <row r="51" spans="1:11" x14ac:dyDescent="0.45">
      <c r="A51" s="93"/>
      <c r="B51" s="136" t="s">
        <v>147</v>
      </c>
      <c r="C51" s="55">
        <f>Proforma!H48</f>
        <v>1503</v>
      </c>
      <c r="D51" s="55"/>
      <c r="E51" s="55"/>
      <c r="F51" s="55"/>
      <c r="G51" s="55">
        <f t="shared" si="14"/>
        <v>1503</v>
      </c>
      <c r="H51" s="94"/>
      <c r="I51" s="94"/>
      <c r="J51" s="95"/>
      <c r="K51" s="94"/>
    </row>
    <row r="52" spans="1:11" x14ac:dyDescent="0.45">
      <c r="A52" s="93"/>
      <c r="B52" s="136" t="s">
        <v>72</v>
      </c>
      <c r="C52" s="55">
        <f>Proforma!H49</f>
        <v>869</v>
      </c>
      <c r="D52" s="55"/>
      <c r="E52" s="55"/>
      <c r="F52" s="55"/>
      <c r="G52" s="55">
        <f t="shared" si="14"/>
        <v>869</v>
      </c>
      <c r="H52" s="55"/>
      <c r="I52" s="55"/>
      <c r="J52" s="53"/>
      <c r="K52" s="55"/>
    </row>
    <row r="53" spans="1:11" x14ac:dyDescent="0.45">
      <c r="A53" s="93"/>
      <c r="B53" s="136" t="s">
        <v>150</v>
      </c>
      <c r="C53" s="55">
        <f>Proforma!H50</f>
        <v>0</v>
      </c>
      <c r="D53" s="55"/>
      <c r="E53" s="55"/>
      <c r="F53" s="55"/>
      <c r="G53" s="55">
        <f t="shared" si="14"/>
        <v>0</v>
      </c>
      <c r="H53" s="94"/>
      <c r="I53" s="94"/>
      <c r="J53" s="95"/>
      <c r="K53" s="94"/>
    </row>
    <row r="54" spans="1:11" x14ac:dyDescent="0.45">
      <c r="A54" s="93"/>
      <c r="B54" s="136" t="s">
        <v>152</v>
      </c>
      <c r="C54" s="55">
        <f>Proforma!H51</f>
        <v>529</v>
      </c>
      <c r="D54" s="55"/>
      <c r="E54" s="55"/>
      <c r="F54" s="55"/>
      <c r="G54" s="55">
        <f t="shared" si="14"/>
        <v>529</v>
      </c>
      <c r="H54" s="55"/>
      <c r="I54" s="55"/>
      <c r="J54" s="53"/>
      <c r="K54" s="55"/>
    </row>
    <row r="55" spans="1:11" x14ac:dyDescent="0.45">
      <c r="A55" s="93"/>
      <c r="B55" s="136" t="s">
        <v>154</v>
      </c>
      <c r="C55" s="55">
        <f>Proforma!H52</f>
        <v>5279</v>
      </c>
      <c r="D55" s="55"/>
      <c r="E55" s="55"/>
      <c r="F55" s="55"/>
      <c r="G55" s="55">
        <f t="shared" si="14"/>
        <v>5279</v>
      </c>
      <c r="H55" s="94"/>
      <c r="I55" s="94"/>
      <c r="J55" s="95"/>
      <c r="K55" s="94"/>
    </row>
    <row r="56" spans="1:11" x14ac:dyDescent="0.45">
      <c r="A56" s="93"/>
      <c r="B56" s="136" t="s">
        <v>183</v>
      </c>
      <c r="C56" s="55">
        <f>Proforma!H53</f>
        <v>28133</v>
      </c>
      <c r="D56" s="55"/>
      <c r="E56" s="55"/>
      <c r="F56" s="55"/>
      <c r="G56" s="55">
        <f t="shared" si="14"/>
        <v>28133</v>
      </c>
      <c r="H56" s="55"/>
      <c r="I56" s="55"/>
      <c r="J56" s="53"/>
      <c r="K56" s="55"/>
    </row>
    <row r="57" spans="1:11" x14ac:dyDescent="0.45">
      <c r="A57" s="93"/>
      <c r="B57" s="136" t="s">
        <v>186</v>
      </c>
      <c r="C57" s="55">
        <f>Proforma!H54</f>
        <v>368</v>
      </c>
      <c r="D57" s="55"/>
      <c r="E57" s="55"/>
      <c r="F57" s="55"/>
      <c r="G57" s="55">
        <f t="shared" si="14"/>
        <v>368</v>
      </c>
      <c r="H57" s="55"/>
      <c r="I57" s="94"/>
      <c r="J57" s="95"/>
      <c r="K57" s="94"/>
    </row>
    <row r="58" spans="1:11" x14ac:dyDescent="0.45">
      <c r="A58" s="93"/>
      <c r="B58" s="136" t="s">
        <v>156</v>
      </c>
      <c r="C58" s="55">
        <f>Proforma!H55</f>
        <v>18</v>
      </c>
      <c r="D58" s="55"/>
      <c r="E58" s="55"/>
      <c r="F58" s="55"/>
      <c r="G58" s="55">
        <f t="shared" si="14"/>
        <v>18</v>
      </c>
      <c r="H58" s="55"/>
      <c r="I58" s="55"/>
      <c r="J58" s="53"/>
      <c r="K58" s="55"/>
    </row>
    <row r="59" spans="1:11" x14ac:dyDescent="0.45">
      <c r="A59" s="93"/>
      <c r="B59" s="55">
        <f>SUM(C35:C58)</f>
        <v>704013.37120678555</v>
      </c>
      <c r="C59" s="55"/>
      <c r="D59" s="55">
        <f>B59</f>
        <v>704013.37120678555</v>
      </c>
      <c r="E59" s="55"/>
      <c r="F59" s="69"/>
      <c r="G59" s="55"/>
      <c r="H59" s="94"/>
      <c r="I59" s="55"/>
      <c r="J59" s="53"/>
      <c r="K59" s="55"/>
    </row>
    <row r="60" spans="1:11" x14ac:dyDescent="0.45">
      <c r="A60" s="125" t="s">
        <v>189</v>
      </c>
      <c r="B60" s="55"/>
      <c r="C60" s="55"/>
      <c r="D60" s="55"/>
      <c r="E60" s="55"/>
      <c r="F60" s="69"/>
      <c r="G60" s="94"/>
      <c r="H60" s="94"/>
      <c r="I60" s="55"/>
      <c r="J60" s="53"/>
      <c r="K60" s="55"/>
    </row>
    <row r="61" spans="1:11" x14ac:dyDescent="0.45">
      <c r="A61" s="125"/>
      <c r="B61" s="136" t="s">
        <v>115</v>
      </c>
      <c r="C61" s="55">
        <f>Proforma!H59</f>
        <v>339260.35448214301</v>
      </c>
      <c r="D61" s="55">
        <f t="shared" ref="D61:D72" si="15">C61*$P$7</f>
        <v>183386.90298156711</v>
      </c>
      <c r="E61" s="55">
        <f t="shared" ref="E61:E86" si="16">C61-D61</f>
        <v>155873.4515005759</v>
      </c>
      <c r="F61" s="69"/>
      <c r="G61" s="94"/>
      <c r="H61" s="55">
        <f>D61*0.65</f>
        <v>119201.48693801863</v>
      </c>
      <c r="I61" s="55">
        <f>D61-H61</f>
        <v>64185.416043548481</v>
      </c>
      <c r="J61" s="53"/>
      <c r="K61" s="55"/>
    </row>
    <row r="62" spans="1:11" x14ac:dyDescent="0.45">
      <c r="A62" s="125"/>
      <c r="B62" s="136" t="s">
        <v>118</v>
      </c>
      <c r="C62" s="55">
        <f>Proforma!H60</f>
        <v>25953.417117883899</v>
      </c>
      <c r="D62" s="55">
        <f t="shared" si="15"/>
        <v>14029.098078089861</v>
      </c>
      <c r="E62" s="55">
        <f t="shared" si="16"/>
        <v>11924.319039794038</v>
      </c>
      <c r="F62" s="69"/>
      <c r="G62" s="94"/>
      <c r="H62" s="55">
        <f t="shared" ref="H62:H86" si="17">D62*0.65</f>
        <v>9118.9137507584092</v>
      </c>
      <c r="I62" s="55">
        <f t="shared" ref="I62:I86" si="18">D62-H62</f>
        <v>4910.1843273314516</v>
      </c>
      <c r="J62" s="53"/>
      <c r="K62" s="55"/>
    </row>
    <row r="63" spans="1:11" x14ac:dyDescent="0.45">
      <c r="A63" s="125"/>
      <c r="B63" s="136" t="s">
        <v>121</v>
      </c>
      <c r="C63" s="55">
        <f>Proforma!H61</f>
        <v>113742.45749999999</v>
      </c>
      <c r="D63" s="55">
        <f t="shared" si="15"/>
        <v>61483.390979406133</v>
      </c>
      <c r="E63" s="55">
        <f t="shared" si="16"/>
        <v>52259.066520593857</v>
      </c>
      <c r="F63" s="69"/>
      <c r="G63" s="94"/>
      <c r="H63" s="55">
        <f t="shared" si="17"/>
        <v>39964.204136613989</v>
      </c>
      <c r="I63" s="55">
        <f t="shared" si="18"/>
        <v>21519.186842792144</v>
      </c>
      <c r="J63" s="53"/>
      <c r="K63" s="55"/>
    </row>
    <row r="64" spans="1:11" x14ac:dyDescent="0.45">
      <c r="A64" s="125"/>
      <c r="B64" s="136" t="s">
        <v>123</v>
      </c>
      <c r="C64" s="55">
        <f>Proforma!H62</f>
        <v>2711</v>
      </c>
      <c r="D64" s="55">
        <f t="shared" si="15"/>
        <v>1465.4287994891445</v>
      </c>
      <c r="E64" s="55">
        <f t="shared" si="16"/>
        <v>1245.5712005108555</v>
      </c>
      <c r="F64" s="69"/>
      <c r="G64" s="94"/>
      <c r="H64" s="55">
        <f t="shared" si="17"/>
        <v>952.52871966794396</v>
      </c>
      <c r="I64" s="55">
        <f t="shared" si="18"/>
        <v>512.90007982120051</v>
      </c>
      <c r="J64" s="53"/>
      <c r="K64" s="55"/>
    </row>
    <row r="65" spans="1:17" x14ac:dyDescent="0.45">
      <c r="A65" s="125"/>
      <c r="B65" s="136" t="s">
        <v>125</v>
      </c>
      <c r="C65" s="55">
        <f>Proforma!H63</f>
        <v>990</v>
      </c>
      <c r="D65" s="55">
        <f t="shared" si="15"/>
        <v>535.14367816091954</v>
      </c>
      <c r="E65" s="55">
        <f t="shared" si="16"/>
        <v>454.85632183908046</v>
      </c>
      <c r="F65" s="69"/>
      <c r="G65" s="94"/>
      <c r="H65" s="55">
        <f t="shared" si="17"/>
        <v>347.84339080459773</v>
      </c>
      <c r="I65" s="55">
        <f t="shared" si="18"/>
        <v>187.3002873563218</v>
      </c>
      <c r="J65" s="53"/>
      <c r="K65" s="55"/>
    </row>
    <row r="66" spans="1:17" x14ac:dyDescent="0.45">
      <c r="A66" s="125"/>
      <c r="B66" s="136" t="s">
        <v>127</v>
      </c>
      <c r="C66" s="55">
        <f>Proforma!H64</f>
        <v>91431</v>
      </c>
      <c r="D66" s="55">
        <f t="shared" si="15"/>
        <v>49422.951149425295</v>
      </c>
      <c r="E66" s="55">
        <f t="shared" si="16"/>
        <v>42008.048850574705</v>
      </c>
      <c r="F66" s="69"/>
      <c r="G66" s="94"/>
      <c r="H66" s="55">
        <f t="shared" si="17"/>
        <v>32124.918247126443</v>
      </c>
      <c r="I66" s="55">
        <f t="shared" si="18"/>
        <v>17298.032902298852</v>
      </c>
      <c r="J66" s="53"/>
      <c r="K66" s="55"/>
    </row>
    <row r="67" spans="1:17" x14ac:dyDescent="0.45">
      <c r="A67" s="125"/>
      <c r="B67" s="136" t="s">
        <v>130</v>
      </c>
      <c r="C67" s="55">
        <f>Proforma!H65</f>
        <v>0</v>
      </c>
      <c r="D67" s="55">
        <f t="shared" si="15"/>
        <v>0</v>
      </c>
      <c r="E67" s="55">
        <f t="shared" si="16"/>
        <v>0</v>
      </c>
      <c r="F67" s="69"/>
      <c r="G67" s="94"/>
      <c r="H67" s="55">
        <f t="shared" si="17"/>
        <v>0</v>
      </c>
      <c r="I67" s="55">
        <f t="shared" si="18"/>
        <v>0</v>
      </c>
      <c r="J67" s="53"/>
      <c r="K67" s="55"/>
    </row>
    <row r="68" spans="1:17" x14ac:dyDescent="0.45">
      <c r="A68" s="125"/>
      <c r="B68" s="136" t="s">
        <v>132</v>
      </c>
      <c r="C68" s="55">
        <f>Proforma!H66</f>
        <v>0</v>
      </c>
      <c r="D68" s="55">
        <f t="shared" si="15"/>
        <v>0</v>
      </c>
      <c r="E68" s="55">
        <f t="shared" si="16"/>
        <v>0</v>
      </c>
      <c r="F68" s="69"/>
      <c r="G68" s="94"/>
      <c r="H68" s="55">
        <f t="shared" si="17"/>
        <v>0</v>
      </c>
      <c r="I68" s="55">
        <f t="shared" si="18"/>
        <v>0</v>
      </c>
      <c r="J68" s="53"/>
      <c r="K68" s="55"/>
    </row>
    <row r="69" spans="1:17" ht="16.5" x14ac:dyDescent="0.75">
      <c r="A69" s="125"/>
      <c r="B69" s="136" t="s">
        <v>134</v>
      </c>
      <c r="C69" s="55">
        <f>Proforma!H67</f>
        <v>13940</v>
      </c>
      <c r="D69" s="55">
        <f t="shared" si="15"/>
        <v>7535.2554278416355</v>
      </c>
      <c r="E69" s="55">
        <f t="shared" si="16"/>
        <v>6404.7445721583645</v>
      </c>
      <c r="F69" s="69"/>
      <c r="G69" s="94"/>
      <c r="H69" s="55">
        <f t="shared" si="17"/>
        <v>4897.9160280970636</v>
      </c>
      <c r="I69" s="55">
        <f t="shared" si="18"/>
        <v>2637.3393997445719</v>
      </c>
      <c r="J69" s="53"/>
      <c r="K69" s="55"/>
      <c r="P69" s="44" t="s">
        <v>336</v>
      </c>
      <c r="Q69" s="44" t="s">
        <v>275</v>
      </c>
    </row>
    <row r="70" spans="1:17" x14ac:dyDescent="0.45">
      <c r="A70" s="125"/>
      <c r="B70" s="136" t="s">
        <v>136</v>
      </c>
      <c r="C70" s="55">
        <f>Proforma!H68</f>
        <v>14745</v>
      </c>
      <c r="D70" s="55">
        <f t="shared" si="15"/>
        <v>7970.3975095785445</v>
      </c>
      <c r="E70" s="55">
        <f t="shared" si="16"/>
        <v>6774.6024904214555</v>
      </c>
      <c r="F70" s="69"/>
      <c r="G70" s="94"/>
      <c r="H70" s="55">
        <f t="shared" si="17"/>
        <v>5180.7583812260536</v>
      </c>
      <c r="I70" s="55">
        <f t="shared" si="18"/>
        <v>2789.6391283524908</v>
      </c>
      <c r="J70" s="53"/>
      <c r="K70" s="55"/>
      <c r="O70" s="43" t="s">
        <v>253</v>
      </c>
      <c r="P70" s="45">
        <v>7.4999999999999997E-2</v>
      </c>
      <c r="Q70" s="45"/>
    </row>
    <row r="71" spans="1:17" x14ac:dyDescent="0.45">
      <c r="A71" s="125"/>
      <c r="B71" s="136" t="s">
        <v>138</v>
      </c>
      <c r="C71" s="55">
        <f>Proforma!H69</f>
        <v>8895</v>
      </c>
      <c r="D71" s="55">
        <f t="shared" si="15"/>
        <v>4808.1848659003836</v>
      </c>
      <c r="E71" s="55">
        <f t="shared" si="16"/>
        <v>4086.8151340996164</v>
      </c>
      <c r="F71" s="69"/>
      <c r="G71" s="94"/>
      <c r="H71" s="55">
        <f t="shared" si="17"/>
        <v>3125.3201628352494</v>
      </c>
      <c r="I71" s="55">
        <f t="shared" si="18"/>
        <v>1682.8647030651341</v>
      </c>
      <c r="J71" s="53"/>
      <c r="K71" s="55"/>
      <c r="O71" s="43" t="s">
        <v>254</v>
      </c>
      <c r="P71" s="45"/>
      <c r="Q71" s="45"/>
    </row>
    <row r="72" spans="1:17" x14ac:dyDescent="0.45">
      <c r="A72" s="125"/>
      <c r="B72" s="136" t="s">
        <v>140</v>
      </c>
      <c r="C72" s="55">
        <f>Proforma!H70</f>
        <v>5104</v>
      </c>
      <c r="D72" s="55">
        <f t="shared" si="15"/>
        <v>2758.962962962963</v>
      </c>
      <c r="E72" s="55">
        <f t="shared" si="16"/>
        <v>2345.037037037037</v>
      </c>
      <c r="F72" s="69"/>
      <c r="G72" s="94"/>
      <c r="H72" s="55">
        <f t="shared" si="17"/>
        <v>1793.325925925926</v>
      </c>
      <c r="I72" s="55">
        <f t="shared" si="18"/>
        <v>965.63703703703709</v>
      </c>
      <c r="J72" s="53"/>
      <c r="K72" s="55"/>
      <c r="O72" s="43" t="s">
        <v>255</v>
      </c>
      <c r="P72" s="45">
        <v>0.05</v>
      </c>
      <c r="Q72" s="45"/>
    </row>
    <row r="73" spans="1:17" x14ac:dyDescent="0.45">
      <c r="A73" s="125"/>
      <c r="B73" s="136" t="s">
        <v>171</v>
      </c>
      <c r="C73" s="55">
        <f>Proforma!H71</f>
        <v>40481</v>
      </c>
      <c r="D73" s="55">
        <f>C73*0.05</f>
        <v>2024.0500000000002</v>
      </c>
      <c r="E73" s="55">
        <f t="shared" si="16"/>
        <v>38456.949999999997</v>
      </c>
      <c r="F73" s="69"/>
      <c r="G73" s="94"/>
      <c r="H73" s="55">
        <f t="shared" si="17"/>
        <v>1315.6325000000002</v>
      </c>
      <c r="I73" s="55">
        <f t="shared" si="18"/>
        <v>708.41750000000002</v>
      </c>
      <c r="J73" s="53"/>
      <c r="K73" s="55"/>
      <c r="O73" s="43" t="s">
        <v>269</v>
      </c>
      <c r="P73" s="45">
        <v>0.05</v>
      </c>
      <c r="Q73" s="45">
        <v>0.2</v>
      </c>
    </row>
    <row r="74" spans="1:17" x14ac:dyDescent="0.45">
      <c r="A74" s="125"/>
      <c r="B74" s="136" t="s">
        <v>70</v>
      </c>
      <c r="C74" s="55">
        <f>Proforma!H72</f>
        <v>19348</v>
      </c>
      <c r="D74" s="55">
        <f t="shared" ref="D74:D86" si="19">C74*$P$7</f>
        <v>10458.545338441891</v>
      </c>
      <c r="E74" s="55">
        <f t="shared" si="16"/>
        <v>8889.4546615581094</v>
      </c>
      <c r="F74" s="69"/>
      <c r="G74" s="94"/>
      <c r="H74" s="55">
        <f t="shared" si="17"/>
        <v>6798.0544699872289</v>
      </c>
      <c r="I74" s="55">
        <f t="shared" si="18"/>
        <v>3660.4908684546617</v>
      </c>
      <c r="J74" s="53"/>
      <c r="K74" s="55"/>
      <c r="O74" s="43" t="s">
        <v>270</v>
      </c>
      <c r="P74" s="45">
        <v>0.15</v>
      </c>
      <c r="Q74" s="45">
        <v>0.05</v>
      </c>
    </row>
    <row r="75" spans="1:17" x14ac:dyDescent="0.45">
      <c r="A75" s="125"/>
      <c r="B75" s="136" t="s">
        <v>175</v>
      </c>
      <c r="C75" s="55">
        <f>Proforma!H73</f>
        <v>0</v>
      </c>
      <c r="D75" s="55">
        <f t="shared" si="19"/>
        <v>0</v>
      </c>
      <c r="E75" s="55">
        <f t="shared" si="16"/>
        <v>0</v>
      </c>
      <c r="F75" s="69"/>
      <c r="G75" s="94"/>
      <c r="H75" s="55">
        <f t="shared" si="17"/>
        <v>0</v>
      </c>
      <c r="I75" s="55">
        <f t="shared" si="18"/>
        <v>0</v>
      </c>
      <c r="J75" s="53"/>
      <c r="K75" s="55"/>
      <c r="O75" s="43" t="s">
        <v>256</v>
      </c>
      <c r="P75" s="45"/>
      <c r="Q75" s="45"/>
    </row>
    <row r="76" spans="1:17" x14ac:dyDescent="0.45">
      <c r="A76" s="125"/>
      <c r="B76" s="136" t="s">
        <v>143</v>
      </c>
      <c r="C76" s="55">
        <f>Proforma!H74</f>
        <v>1493</v>
      </c>
      <c r="D76" s="55">
        <f t="shared" si="19"/>
        <v>807.03991060025555</v>
      </c>
      <c r="E76" s="55">
        <f t="shared" si="16"/>
        <v>685.96008939974445</v>
      </c>
      <c r="F76" s="69"/>
      <c r="G76" s="94"/>
      <c r="H76" s="55">
        <f t="shared" si="17"/>
        <v>524.57594189016618</v>
      </c>
      <c r="I76" s="55">
        <f t="shared" si="18"/>
        <v>282.46396871008938</v>
      </c>
      <c r="J76" s="53"/>
      <c r="K76" s="55"/>
      <c r="O76" s="43" t="s">
        <v>257</v>
      </c>
      <c r="P76" s="45">
        <v>7.4999999999999997E-2</v>
      </c>
      <c r="Q76" s="45"/>
    </row>
    <row r="77" spans="1:17" x14ac:dyDescent="0.45">
      <c r="A77" s="125"/>
      <c r="B77" s="136" t="s">
        <v>147</v>
      </c>
      <c r="C77" s="55">
        <f>Proforma!H75</f>
        <v>2183</v>
      </c>
      <c r="D77" s="55">
        <f t="shared" si="19"/>
        <v>1180.0188378033206</v>
      </c>
      <c r="E77" s="55">
        <f t="shared" si="16"/>
        <v>1002.9811621966794</v>
      </c>
      <c r="F77" s="69"/>
      <c r="G77" s="94"/>
      <c r="H77" s="55">
        <f t="shared" si="17"/>
        <v>767.01224457215847</v>
      </c>
      <c r="I77" s="55">
        <f t="shared" si="18"/>
        <v>413.00659323116213</v>
      </c>
      <c r="J77" s="53"/>
      <c r="K77" s="55"/>
      <c r="O77" s="43" t="s">
        <v>258</v>
      </c>
      <c r="P77" s="45">
        <v>0.1</v>
      </c>
      <c r="Q77" s="45"/>
    </row>
    <row r="78" spans="1:17" x14ac:dyDescent="0.45">
      <c r="A78" s="125"/>
      <c r="B78" s="136" t="s">
        <v>72</v>
      </c>
      <c r="C78" s="55">
        <f>Proforma!H76</f>
        <v>154</v>
      </c>
      <c r="D78" s="55">
        <f t="shared" si="19"/>
        <v>83.244572158365273</v>
      </c>
      <c r="E78" s="55">
        <f t="shared" si="16"/>
        <v>70.755427841634727</v>
      </c>
      <c r="F78" s="69"/>
      <c r="G78" s="94"/>
      <c r="H78" s="55">
        <f t="shared" si="17"/>
        <v>54.108971902937427</v>
      </c>
      <c r="I78" s="55">
        <f t="shared" si="18"/>
        <v>29.135600255427846</v>
      </c>
      <c r="J78" s="53"/>
      <c r="K78" s="55"/>
      <c r="O78" s="43" t="s">
        <v>259</v>
      </c>
      <c r="P78" s="45"/>
      <c r="Q78" s="45"/>
    </row>
    <row r="79" spans="1:17" x14ac:dyDescent="0.45">
      <c r="A79" s="125"/>
      <c r="B79" s="136" t="s">
        <v>150</v>
      </c>
      <c r="C79" s="55">
        <f>Proforma!H77</f>
        <v>667</v>
      </c>
      <c r="D79" s="55">
        <f t="shared" si="19"/>
        <v>360.5462962962963</v>
      </c>
      <c r="E79" s="55">
        <f t="shared" si="16"/>
        <v>306.4537037037037</v>
      </c>
      <c r="F79" s="69"/>
      <c r="G79" s="94"/>
      <c r="H79" s="55">
        <f t="shared" si="17"/>
        <v>234.3550925925926</v>
      </c>
      <c r="I79" s="55">
        <f t="shared" si="18"/>
        <v>126.19120370370371</v>
      </c>
      <c r="J79" s="53"/>
      <c r="K79" s="55"/>
      <c r="O79" s="43" t="s">
        <v>260</v>
      </c>
      <c r="P79" s="45"/>
      <c r="Q79" s="45"/>
    </row>
    <row r="80" spans="1:17" x14ac:dyDescent="0.45">
      <c r="A80" s="125"/>
      <c r="B80" s="136" t="s">
        <v>152</v>
      </c>
      <c r="C80" s="55">
        <f>Proforma!H78</f>
        <v>10544</v>
      </c>
      <c r="D80" s="55">
        <f t="shared" si="19"/>
        <v>5699.5504469987236</v>
      </c>
      <c r="E80" s="55">
        <f t="shared" si="16"/>
        <v>4844.4495530012764</v>
      </c>
      <c r="F80" s="69"/>
      <c r="G80" s="94"/>
      <c r="H80" s="55">
        <f t="shared" si="17"/>
        <v>3704.7077905491706</v>
      </c>
      <c r="I80" s="55">
        <f t="shared" si="18"/>
        <v>1994.842656449553</v>
      </c>
      <c r="J80" s="53"/>
      <c r="K80" s="55"/>
      <c r="O80" s="43" t="s">
        <v>261</v>
      </c>
      <c r="P80" s="45">
        <v>0.1</v>
      </c>
      <c r="Q80" s="45"/>
    </row>
    <row r="81" spans="1:21" x14ac:dyDescent="0.45">
      <c r="A81" s="125"/>
      <c r="B81" s="136" t="s">
        <v>154</v>
      </c>
      <c r="C81" s="55">
        <f>Proforma!H79</f>
        <v>1219</v>
      </c>
      <c r="D81" s="55">
        <f t="shared" si="19"/>
        <v>658.92943805874847</v>
      </c>
      <c r="E81" s="55">
        <f t="shared" si="16"/>
        <v>560.07056194125153</v>
      </c>
      <c r="F81" s="69"/>
      <c r="G81" s="94"/>
      <c r="H81" s="55">
        <f t="shared" si="17"/>
        <v>428.30413473818652</v>
      </c>
      <c r="I81" s="55">
        <f t="shared" si="18"/>
        <v>230.62530332056195</v>
      </c>
      <c r="J81" s="53"/>
      <c r="K81" s="55"/>
      <c r="O81" s="43" t="s">
        <v>262</v>
      </c>
      <c r="P81" s="45"/>
      <c r="Q81" s="45"/>
      <c r="R81" s="148" t="s">
        <v>362</v>
      </c>
    </row>
    <row r="82" spans="1:21" x14ac:dyDescent="0.45">
      <c r="A82" s="125"/>
      <c r="B82" s="136" t="s">
        <v>213</v>
      </c>
      <c r="C82" s="55">
        <f>Proforma!H80</f>
        <v>0</v>
      </c>
      <c r="D82" s="55">
        <f t="shared" si="19"/>
        <v>0</v>
      </c>
      <c r="E82" s="55">
        <f t="shared" si="16"/>
        <v>0</v>
      </c>
      <c r="F82" s="69"/>
      <c r="G82" s="94"/>
      <c r="H82" s="55">
        <f t="shared" si="17"/>
        <v>0</v>
      </c>
      <c r="I82" s="55">
        <f t="shared" si="18"/>
        <v>0</v>
      </c>
      <c r="J82" s="53"/>
      <c r="K82" s="55"/>
      <c r="O82" s="43" t="s">
        <v>263</v>
      </c>
      <c r="P82" s="45">
        <v>0.05</v>
      </c>
      <c r="Q82" s="45"/>
      <c r="R82" s="148"/>
    </row>
    <row r="83" spans="1:21" x14ac:dyDescent="0.45">
      <c r="A83" s="125"/>
      <c r="B83" s="136" t="s">
        <v>215</v>
      </c>
      <c r="C83" s="55">
        <f>Proforma!H81</f>
        <v>21119</v>
      </c>
      <c r="D83" s="55">
        <f t="shared" si="19"/>
        <v>11415.857918263091</v>
      </c>
      <c r="E83" s="55">
        <f t="shared" si="16"/>
        <v>9703.1420817369089</v>
      </c>
      <c r="F83" s="69"/>
      <c r="G83" s="94"/>
      <c r="H83" s="55">
        <f t="shared" si="17"/>
        <v>7420.3076468710096</v>
      </c>
      <c r="I83" s="55">
        <f t="shared" si="18"/>
        <v>3995.5502713920814</v>
      </c>
      <c r="J83" s="53"/>
      <c r="K83" s="55"/>
      <c r="O83" s="43" t="s">
        <v>264</v>
      </c>
      <c r="P83" s="45"/>
      <c r="Q83" s="45"/>
    </row>
    <row r="84" spans="1:21" ht="16.5" x14ac:dyDescent="0.75">
      <c r="A84" s="125"/>
      <c r="B84" s="136" t="s">
        <v>186</v>
      </c>
      <c r="C84" s="55">
        <f>Proforma!H82</f>
        <v>29460</v>
      </c>
      <c r="D84" s="55">
        <f t="shared" si="19"/>
        <v>15924.578544061304</v>
      </c>
      <c r="E84" s="55">
        <f t="shared" si="16"/>
        <v>13535.421455938696</v>
      </c>
      <c r="F84" s="69"/>
      <c r="G84" s="94"/>
      <c r="H84" s="55">
        <f t="shared" si="17"/>
        <v>10350.976053639848</v>
      </c>
      <c r="I84" s="55">
        <f t="shared" si="18"/>
        <v>5573.6024904214555</v>
      </c>
      <c r="J84" s="53"/>
      <c r="K84" s="55"/>
      <c r="O84" s="148" t="s">
        <v>274</v>
      </c>
      <c r="P84" s="238">
        <v>0</v>
      </c>
      <c r="Q84" s="238">
        <v>0.1</v>
      </c>
      <c r="R84" s="148" t="s">
        <v>337</v>
      </c>
      <c r="U84" s="45"/>
    </row>
    <row r="85" spans="1:21" x14ac:dyDescent="0.45">
      <c r="A85" s="125"/>
      <c r="B85" s="136" t="s">
        <v>156</v>
      </c>
      <c r="C85" s="55">
        <f>Proforma!H83</f>
        <v>74</v>
      </c>
      <c r="D85" s="55">
        <f t="shared" si="19"/>
        <v>40.000638569604092</v>
      </c>
      <c r="E85" s="55">
        <f t="shared" si="16"/>
        <v>33.999361430395908</v>
      </c>
      <c r="F85" s="69"/>
      <c r="G85" s="94"/>
      <c r="H85" s="55">
        <f t="shared" si="17"/>
        <v>26.00041507024266</v>
      </c>
      <c r="I85" s="55">
        <f t="shared" si="18"/>
        <v>14.000223499361432</v>
      </c>
      <c r="J85" s="53"/>
      <c r="K85" s="55"/>
      <c r="O85" s="249" t="s">
        <v>350</v>
      </c>
      <c r="P85" s="250">
        <f>SUM(P70:P84)</f>
        <v>0.65</v>
      </c>
      <c r="Q85" s="250">
        <f>SUM(Q70:Q84)</f>
        <v>0.35</v>
      </c>
    </row>
    <row r="86" spans="1:21" x14ac:dyDescent="0.45">
      <c r="A86" s="125"/>
      <c r="B86" s="136" t="s">
        <v>219</v>
      </c>
      <c r="C86" s="55">
        <f>Proforma!H84</f>
        <v>-5000</v>
      </c>
      <c r="D86" s="55">
        <f t="shared" si="19"/>
        <v>-2702.7458492975738</v>
      </c>
      <c r="E86" s="55">
        <f t="shared" si="16"/>
        <v>-2297.2541507024262</v>
      </c>
      <c r="F86" s="69"/>
      <c r="G86" s="94"/>
      <c r="H86" s="55">
        <f t="shared" si="17"/>
        <v>-1756.784802043423</v>
      </c>
      <c r="I86" s="55">
        <f t="shared" si="18"/>
        <v>-945.9610472541508</v>
      </c>
      <c r="J86" s="53"/>
      <c r="K86" s="55"/>
      <c r="P86" s="149"/>
      <c r="Q86" s="149"/>
    </row>
    <row r="87" spans="1:21" x14ac:dyDescent="0.45">
      <c r="A87" s="93"/>
      <c r="B87" s="55">
        <f>SUM(C61:C86)</f>
        <v>738514.22910002689</v>
      </c>
      <c r="C87" s="55"/>
      <c r="D87" s="55"/>
      <c r="E87" s="55"/>
      <c r="F87" s="69"/>
      <c r="G87" s="94"/>
      <c r="H87" s="94"/>
      <c r="I87" s="55"/>
      <c r="J87" s="53"/>
      <c r="K87" s="55"/>
    </row>
    <row r="88" spans="1:21" x14ac:dyDescent="0.45">
      <c r="A88" s="125" t="s">
        <v>222</v>
      </c>
      <c r="B88" s="55"/>
      <c r="C88" s="55"/>
      <c r="D88" s="55"/>
      <c r="E88" s="55"/>
      <c r="F88" s="69"/>
      <c r="G88" s="55"/>
      <c r="H88" s="55"/>
      <c r="I88" s="55"/>
      <c r="J88" s="53"/>
      <c r="K88" s="55"/>
      <c r="N88" s="49" t="s">
        <v>265</v>
      </c>
      <c r="O88" s="51">
        <v>461</v>
      </c>
      <c r="Q88" s="237">
        <f>O88/$R$90</f>
        <v>0.33333333333333331</v>
      </c>
    </row>
    <row r="89" spans="1:21" x14ac:dyDescent="0.45">
      <c r="A89" s="93"/>
      <c r="B89" s="136" t="s">
        <v>224</v>
      </c>
      <c r="C89" s="55">
        <f>Proforma!H88</f>
        <v>9000</v>
      </c>
      <c r="D89" s="55">
        <f>C89*0.5</f>
        <v>4500</v>
      </c>
      <c r="E89" s="55">
        <f t="shared" ref="E89" si="20">C89-D89</f>
        <v>4500</v>
      </c>
      <c r="F89" s="96"/>
      <c r="G89" s="94"/>
      <c r="H89" s="94"/>
      <c r="I89" s="55"/>
      <c r="J89" s="53">
        <f>D89</f>
        <v>4500</v>
      </c>
      <c r="K89" s="55"/>
      <c r="N89" s="93" t="s">
        <v>266</v>
      </c>
      <c r="O89" s="53">
        <v>437</v>
      </c>
      <c r="Q89" s="237">
        <f t="shared" ref="Q89" si="21">O89/$R$90</f>
        <v>0.31597975415762836</v>
      </c>
      <c r="T89" s="45"/>
    </row>
    <row r="90" spans="1:21" x14ac:dyDescent="0.45">
      <c r="A90" s="93"/>
      <c r="B90" s="136" t="s">
        <v>70</v>
      </c>
      <c r="C90" s="55">
        <f>Proforma!H89</f>
        <v>4971</v>
      </c>
      <c r="D90" s="55">
        <f t="shared" ref="D90:D91" si="22">C90*0.5</f>
        <v>2485.5</v>
      </c>
      <c r="E90" s="55">
        <f t="shared" ref="E90:E91" si="23">C90-D90</f>
        <v>2485.5</v>
      </c>
      <c r="F90" s="69"/>
      <c r="G90" s="55"/>
      <c r="H90" s="55"/>
      <c r="I90" s="55"/>
      <c r="J90" s="53">
        <f t="shared" ref="J90:J91" si="24">D90</f>
        <v>2485.5</v>
      </c>
      <c r="K90" s="55"/>
      <c r="N90" s="93" t="s">
        <v>267</v>
      </c>
      <c r="O90" s="53">
        <f>537-O91</f>
        <v>485</v>
      </c>
      <c r="P90" s="237">
        <f>Q90</f>
        <v>0.17534345625451916</v>
      </c>
      <c r="Q90" s="237">
        <f>(O90/$R$90)/2</f>
        <v>0.17534345625451916</v>
      </c>
      <c r="R90" s="43">
        <f>SUM(O88:O90)</f>
        <v>1383</v>
      </c>
      <c r="S90" s="48" t="s">
        <v>361</v>
      </c>
      <c r="T90" s="45"/>
    </row>
    <row r="91" spans="1:21" ht="16.5" x14ac:dyDescent="0.75">
      <c r="A91" s="93"/>
      <c r="B91" s="136" t="s">
        <v>227</v>
      </c>
      <c r="C91" s="55">
        <f>Proforma!H90</f>
        <v>6000</v>
      </c>
      <c r="D91" s="55">
        <f t="shared" si="22"/>
        <v>3000</v>
      </c>
      <c r="E91" s="55">
        <f t="shared" si="23"/>
        <v>3000</v>
      </c>
      <c r="F91" s="69"/>
      <c r="G91" s="94"/>
      <c r="H91" s="94"/>
      <c r="I91" s="55"/>
      <c r="J91" s="53">
        <f t="shared" si="24"/>
        <v>3000</v>
      </c>
      <c r="K91" s="55"/>
      <c r="N91" s="93" t="s">
        <v>268</v>
      </c>
      <c r="O91" s="239">
        <v>52</v>
      </c>
      <c r="P91" s="46">
        <v>0</v>
      </c>
      <c r="Q91" s="46">
        <v>0</v>
      </c>
      <c r="R91" s="237"/>
      <c r="T91" s="45"/>
    </row>
    <row r="92" spans="1:21" x14ac:dyDescent="0.45">
      <c r="A92" s="93"/>
      <c r="B92" s="55">
        <f>SUM(C89:C91)</f>
        <v>19971</v>
      </c>
      <c r="C92" s="55"/>
      <c r="D92" s="55"/>
      <c r="E92" s="55"/>
      <c r="F92" s="69"/>
      <c r="G92" s="55"/>
      <c r="H92" s="55"/>
      <c r="I92" s="55"/>
      <c r="J92" s="53"/>
      <c r="K92" s="55"/>
      <c r="N92" s="99"/>
      <c r="O92" s="240">
        <f>SUM(O88:O91)</f>
        <v>1435</v>
      </c>
      <c r="P92" s="237">
        <f>SUM(P88:P91)</f>
        <v>0.17534345625451916</v>
      </c>
      <c r="Q92" s="237">
        <f>SUM(Q88:Q91)</f>
        <v>0.82465654374548081</v>
      </c>
    </row>
    <row r="93" spans="1:21" x14ac:dyDescent="0.45">
      <c r="A93" s="93"/>
      <c r="B93" s="98" t="s">
        <v>316</v>
      </c>
      <c r="C93" s="40">
        <f>SUM(C11:C92)</f>
        <v>1865522.2798568124</v>
      </c>
      <c r="D93" s="241">
        <f>SUM(D11:D92)</f>
        <v>1303781.546135352</v>
      </c>
      <c r="E93" s="40">
        <f>SUM(E11:E92)</f>
        <v>561740.7337214608</v>
      </c>
      <c r="F93" s="242"/>
      <c r="G93" s="40">
        <f t="shared" ref="G93:J93" si="25">SUM(G11:G92)</f>
        <v>704013.37120678555</v>
      </c>
      <c r="H93" s="40">
        <f t="shared" si="25"/>
        <v>246574.46614084442</v>
      </c>
      <c r="I93" s="40">
        <f t="shared" si="25"/>
        <v>233906.6503090132</v>
      </c>
      <c r="J93" s="243">
        <f t="shared" si="25"/>
        <v>119287.05847870861</v>
      </c>
      <c r="K93" s="55"/>
      <c r="L93" s="84">
        <f>SUM(G93:K93)</f>
        <v>1303781.5461353518</v>
      </c>
      <c r="T93" s="45"/>
    </row>
    <row r="94" spans="1:21" x14ac:dyDescent="0.45">
      <c r="A94" s="99"/>
      <c r="B94" s="100"/>
      <c r="C94" s="100"/>
      <c r="D94" s="100"/>
      <c r="E94" s="100"/>
      <c r="F94" s="100"/>
      <c r="G94" s="100"/>
      <c r="H94" s="100"/>
      <c r="I94" s="101"/>
      <c r="J94" s="102"/>
      <c r="K94" s="55"/>
    </row>
    <row r="95" spans="1:21" x14ac:dyDescent="0.45">
      <c r="K95" s="55"/>
    </row>
    <row r="96" spans="1:21" x14ac:dyDescent="0.45">
      <c r="K96" s="48"/>
    </row>
  </sheetData>
  <mergeCells count="3">
    <mergeCell ref="A3:J3"/>
    <mergeCell ref="A4:J4"/>
    <mergeCell ref="A5:J5"/>
  </mergeCells>
  <pageMargins left="0.45" right="0.35" top="0.75" bottom="0.75" header="0.3" footer="0.3"/>
  <pageSetup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49"/>
  <sheetViews>
    <sheetView workbookViewId="0"/>
  </sheetViews>
  <sheetFormatPr defaultRowHeight="14.25" x14ac:dyDescent="0.45"/>
  <cols>
    <col min="1" max="1" width="3.109375" style="14" customWidth="1"/>
    <col min="2" max="2" width="1.33203125" style="14" customWidth="1"/>
    <col min="3" max="3" width="25.44140625" style="14" customWidth="1"/>
    <col min="4" max="7" width="9.77734375" style="14" customWidth="1"/>
    <col min="8" max="9" width="8.77734375" style="14" customWidth="1"/>
    <col min="10" max="10" width="1.33203125" style="14" customWidth="1"/>
    <col min="11" max="11" width="9.6640625" style="14" customWidth="1"/>
    <col min="12" max="15" width="8.88671875" style="14"/>
    <col min="16" max="16" width="2.44140625" style="14" customWidth="1"/>
    <col min="17" max="17" width="34.44140625" style="14" customWidth="1"/>
    <col min="18" max="18" width="11" style="14" customWidth="1"/>
    <col min="19" max="19" width="10.77734375" style="14" bestFit="1" customWidth="1"/>
    <col min="20" max="16384" width="8.88671875" style="14"/>
  </cols>
  <sheetData>
    <row r="2" spans="2:19" ht="15.75" x14ac:dyDescent="0.5">
      <c r="B2" s="25"/>
      <c r="C2" s="26"/>
      <c r="D2" s="26"/>
      <c r="E2" s="26"/>
      <c r="F2" s="26"/>
      <c r="G2" s="26"/>
      <c r="H2" s="26"/>
      <c r="I2" s="26"/>
      <c r="J2" s="27"/>
      <c r="P2" s="248" t="s">
        <v>344</v>
      </c>
    </row>
    <row r="3" spans="2:19" ht="18" x14ac:dyDescent="0.55000000000000004">
      <c r="B3" s="15"/>
      <c r="C3" s="275" t="s">
        <v>0</v>
      </c>
      <c r="D3" s="275"/>
      <c r="E3" s="275"/>
      <c r="F3" s="275"/>
      <c r="G3" s="275"/>
      <c r="H3" s="275"/>
      <c r="I3" s="275"/>
      <c r="J3" s="28"/>
      <c r="K3" s="29"/>
      <c r="P3" s="153"/>
      <c r="Q3" s="154"/>
      <c r="R3" s="155"/>
      <c r="S3" s="247"/>
    </row>
    <row r="4" spans="2:19" ht="18" x14ac:dyDescent="0.55000000000000004">
      <c r="B4" s="15"/>
      <c r="C4" s="17" t="s">
        <v>98</v>
      </c>
      <c r="D4" s="89"/>
      <c r="E4" s="89"/>
      <c r="F4" s="89"/>
      <c r="G4" s="89"/>
      <c r="H4" s="89"/>
      <c r="I4" s="89"/>
      <c r="J4" s="28"/>
      <c r="K4" s="29"/>
      <c r="P4" s="153"/>
      <c r="Q4" s="154"/>
      <c r="R4" s="155"/>
      <c r="S4" s="158" t="s">
        <v>245</v>
      </c>
    </row>
    <row r="5" spans="2:19" x14ac:dyDescent="0.45">
      <c r="B5" s="15"/>
      <c r="C5" s="159"/>
      <c r="D5" s="18"/>
      <c r="E5" s="18"/>
      <c r="F5" s="18"/>
      <c r="G5" s="18"/>
      <c r="H5" s="18"/>
      <c r="I5" s="18"/>
      <c r="J5" s="28"/>
      <c r="K5" s="29"/>
      <c r="P5" s="160"/>
      <c r="Q5" s="150"/>
      <c r="R5" s="161" t="s">
        <v>276</v>
      </c>
      <c r="S5" s="158" t="s">
        <v>277</v>
      </c>
    </row>
    <row r="6" spans="2:19" x14ac:dyDescent="0.45">
      <c r="B6" s="15"/>
      <c r="C6" s="20"/>
      <c r="D6" s="20"/>
      <c r="E6" s="20"/>
      <c r="F6" s="20"/>
      <c r="G6" s="20"/>
      <c r="H6" s="20"/>
      <c r="I6" s="20"/>
      <c r="J6" s="28"/>
      <c r="K6" s="29"/>
      <c r="P6" s="162" t="s">
        <v>278</v>
      </c>
      <c r="Q6" s="163"/>
      <c r="R6" s="164" t="s">
        <v>279</v>
      </c>
      <c r="S6" s="165" t="s">
        <v>280</v>
      </c>
    </row>
    <row r="7" spans="2:19" x14ac:dyDescent="0.45">
      <c r="B7" s="15"/>
      <c r="C7" s="20"/>
      <c r="D7" s="37" t="s">
        <v>245</v>
      </c>
      <c r="E7" s="147" t="s">
        <v>66</v>
      </c>
      <c r="F7" s="147" t="s">
        <v>24</v>
      </c>
      <c r="G7" s="147" t="s">
        <v>88</v>
      </c>
      <c r="H7" s="147" t="s">
        <v>25</v>
      </c>
      <c r="I7" s="147"/>
      <c r="J7" s="28"/>
      <c r="K7" s="29"/>
      <c r="P7" s="153"/>
      <c r="Q7" s="154"/>
      <c r="R7" s="155"/>
      <c r="S7" s="156"/>
    </row>
    <row r="8" spans="2:19" x14ac:dyDescent="0.45">
      <c r="B8" s="15"/>
      <c r="C8" s="20"/>
      <c r="D8" s="147" t="s">
        <v>5</v>
      </c>
      <c r="E8" s="147" t="s">
        <v>67</v>
      </c>
      <c r="F8" s="147" t="s">
        <v>26</v>
      </c>
      <c r="G8" s="147" t="s">
        <v>89</v>
      </c>
      <c r="H8" s="147" t="s">
        <v>27</v>
      </c>
      <c r="I8" s="147" t="s">
        <v>20</v>
      </c>
      <c r="J8" s="28"/>
      <c r="K8" s="29"/>
      <c r="P8" s="166" t="s">
        <v>113</v>
      </c>
      <c r="Q8" s="167"/>
      <c r="R8" s="155"/>
      <c r="S8" s="156"/>
    </row>
    <row r="9" spans="2:19" x14ac:dyDescent="0.45">
      <c r="B9" s="15"/>
      <c r="C9" s="20"/>
      <c r="D9" s="147"/>
      <c r="E9" s="147"/>
      <c r="F9" s="147"/>
      <c r="G9" s="147"/>
      <c r="H9" s="147"/>
      <c r="I9" s="147"/>
      <c r="J9" s="28"/>
      <c r="K9" s="29"/>
      <c r="P9" s="153"/>
      <c r="Q9" s="154" t="s">
        <v>8</v>
      </c>
      <c r="R9" s="155">
        <v>119783</v>
      </c>
      <c r="S9" s="156">
        <v>473.91111111111115</v>
      </c>
    </row>
    <row r="10" spans="2:19" x14ac:dyDescent="0.45">
      <c r="B10" s="15"/>
      <c r="C10" s="154" t="s">
        <v>297</v>
      </c>
      <c r="D10" s="39">
        <f>S15+S45+S46</f>
        <v>132016.51577696973</v>
      </c>
      <c r="E10" s="20"/>
      <c r="F10" s="20">
        <f>D10</f>
        <v>132016.51577696973</v>
      </c>
      <c r="G10" s="20"/>
      <c r="H10" s="20"/>
      <c r="I10" s="20"/>
      <c r="J10" s="28"/>
      <c r="K10" s="29"/>
      <c r="P10" s="153"/>
      <c r="Q10" s="154" t="s">
        <v>281</v>
      </c>
      <c r="R10" s="155">
        <v>152081</v>
      </c>
      <c r="S10" s="156">
        <v>4753.0400000000009</v>
      </c>
    </row>
    <row r="11" spans="2:19" x14ac:dyDescent="0.45">
      <c r="B11" s="15"/>
      <c r="C11" s="154" t="s">
        <v>298</v>
      </c>
      <c r="D11" s="39">
        <f>S16</f>
        <v>147553.28339393935</v>
      </c>
      <c r="E11" s="39">
        <f>D11</f>
        <v>147553.28339393935</v>
      </c>
      <c r="F11" s="39"/>
      <c r="G11" s="39"/>
      <c r="H11" s="39"/>
      <c r="I11" s="39"/>
      <c r="J11" s="28"/>
      <c r="K11" s="30"/>
      <c r="P11" s="153"/>
      <c r="Q11" s="154" t="s">
        <v>282</v>
      </c>
      <c r="R11" s="168">
        <v>38942.199999999997</v>
      </c>
      <c r="S11" s="169">
        <v>5563.1714285714279</v>
      </c>
    </row>
    <row r="12" spans="2:19" x14ac:dyDescent="0.45">
      <c r="B12" s="15"/>
      <c r="C12" s="154" t="s">
        <v>81</v>
      </c>
      <c r="D12" s="39">
        <f>S17</f>
        <v>1181.2</v>
      </c>
      <c r="E12" s="39"/>
      <c r="F12" s="39"/>
      <c r="G12" s="39"/>
      <c r="H12" s="39"/>
      <c r="I12" s="39">
        <f>D12</f>
        <v>1181.2</v>
      </c>
      <c r="J12" s="28"/>
      <c r="K12" s="29"/>
      <c r="P12" s="153"/>
      <c r="Q12" s="170" t="s">
        <v>283</v>
      </c>
      <c r="R12" s="151">
        <v>310806.2</v>
      </c>
      <c r="S12" s="152">
        <v>10790.122539682539</v>
      </c>
    </row>
    <row r="13" spans="2:19" x14ac:dyDescent="0.45">
      <c r="B13" s="15"/>
      <c r="C13" s="154" t="s">
        <v>299</v>
      </c>
      <c r="D13" s="39">
        <f>S18+S47+S48</f>
        <v>67507.402555555556</v>
      </c>
      <c r="E13" s="39"/>
      <c r="F13" s="39"/>
      <c r="G13" s="39">
        <f>D13</f>
        <v>67507.402555555556</v>
      </c>
      <c r="H13" s="39"/>
      <c r="I13" s="39"/>
      <c r="J13" s="28"/>
      <c r="K13" s="29"/>
      <c r="P13" s="153"/>
      <c r="Q13" s="154"/>
      <c r="R13" s="155"/>
      <c r="S13" s="156"/>
    </row>
    <row r="14" spans="2:19" x14ac:dyDescent="0.45">
      <c r="B14" s="15"/>
      <c r="C14" s="154" t="s">
        <v>300</v>
      </c>
      <c r="D14" s="39">
        <f>S19</f>
        <v>2732.0670793650793</v>
      </c>
      <c r="E14" s="39">
        <f t="shared" ref="E14:E16" si="0">D14</f>
        <v>2732.0670793650793</v>
      </c>
      <c r="F14" s="39"/>
      <c r="G14" s="39"/>
      <c r="H14" s="39"/>
      <c r="I14" s="39"/>
      <c r="J14" s="28"/>
      <c r="K14" s="29"/>
      <c r="P14" s="166" t="s">
        <v>284</v>
      </c>
      <c r="Q14" s="167"/>
      <c r="R14" s="155"/>
      <c r="S14" s="156"/>
    </row>
    <row r="15" spans="2:19" x14ac:dyDescent="0.45">
      <c r="B15" s="15"/>
      <c r="C15" s="154" t="s">
        <v>282</v>
      </c>
      <c r="D15" s="39">
        <f>S20</f>
        <v>1171.4285714285713</v>
      </c>
      <c r="E15" s="39">
        <f t="shared" si="0"/>
        <v>1171.4285714285713</v>
      </c>
      <c r="F15" s="39"/>
      <c r="G15" s="39"/>
      <c r="H15" s="39"/>
      <c r="I15" s="39"/>
      <c r="J15" s="28"/>
      <c r="K15" s="29"/>
      <c r="P15" s="153"/>
      <c r="Q15" s="154" t="s">
        <v>285</v>
      </c>
      <c r="R15" s="155">
        <v>4265308</v>
      </c>
      <c r="S15" s="156">
        <v>97118.94569696972</v>
      </c>
    </row>
    <row r="16" spans="2:19" x14ac:dyDescent="0.45">
      <c r="B16" s="15"/>
      <c r="C16" s="154" t="s">
        <v>8</v>
      </c>
      <c r="D16" s="39">
        <f>S21</f>
        <v>154.97777777777776</v>
      </c>
      <c r="E16" s="39">
        <f t="shared" si="0"/>
        <v>154.97777777777776</v>
      </c>
      <c r="F16" s="39"/>
      <c r="G16" s="39"/>
      <c r="H16" s="39"/>
      <c r="I16" s="39"/>
      <c r="J16" s="28"/>
      <c r="K16" s="29"/>
      <c r="P16" s="153"/>
      <c r="Q16" s="154" t="s">
        <v>286</v>
      </c>
      <c r="R16" s="155">
        <v>5237931.4800000004</v>
      </c>
      <c r="S16" s="156">
        <v>147553.28339393935</v>
      </c>
    </row>
    <row r="17" spans="2:19" x14ac:dyDescent="0.45">
      <c r="B17" s="15"/>
      <c r="C17" s="36" t="s">
        <v>301</v>
      </c>
      <c r="D17" s="39">
        <f>S37</f>
        <v>36794.562457142856</v>
      </c>
      <c r="E17" s="39"/>
      <c r="F17" s="39">
        <f>D17*0.65</f>
        <v>23916.465597142858</v>
      </c>
      <c r="G17" s="39"/>
      <c r="H17" s="39"/>
      <c r="I17" s="39">
        <f>D17-F17</f>
        <v>12878.096859999998</v>
      </c>
      <c r="J17" s="28"/>
      <c r="K17" s="29"/>
      <c r="P17" s="153"/>
      <c r="Q17" s="154" t="s">
        <v>81</v>
      </c>
      <c r="R17" s="155">
        <v>59060</v>
      </c>
      <c r="S17" s="156">
        <v>1181.2</v>
      </c>
    </row>
    <row r="18" spans="2:19" x14ac:dyDescent="0.45">
      <c r="B18" s="15"/>
      <c r="C18" s="20" t="s">
        <v>302</v>
      </c>
      <c r="D18" s="39">
        <f>S12</f>
        <v>10790.122539682539</v>
      </c>
      <c r="E18" s="39"/>
      <c r="F18" s="39"/>
      <c r="G18" s="39"/>
      <c r="H18" s="39">
        <f>S12*AlocDep!F27</f>
        <v>5604.4103023231264</v>
      </c>
      <c r="I18" s="39">
        <f>D18-H18</f>
        <v>5185.7122373594129</v>
      </c>
      <c r="J18" s="28"/>
      <c r="K18" s="29"/>
      <c r="P18" s="153"/>
      <c r="Q18" s="154" t="s">
        <v>287</v>
      </c>
      <c r="R18" s="155">
        <v>2491375</v>
      </c>
      <c r="S18" s="156">
        <v>54105.748888888891</v>
      </c>
    </row>
    <row r="19" spans="2:19" x14ac:dyDescent="0.45">
      <c r="B19" s="15"/>
      <c r="C19" s="20"/>
      <c r="D19" s="20"/>
      <c r="E19" s="20"/>
      <c r="F19" s="20"/>
      <c r="G19" s="20"/>
      <c r="H19" s="20"/>
      <c r="I19" s="20"/>
      <c r="J19" s="28"/>
      <c r="K19" s="29"/>
      <c r="P19" s="153"/>
      <c r="Q19" s="154" t="s">
        <v>288</v>
      </c>
      <c r="R19" s="155">
        <v>69597.540000000008</v>
      </c>
      <c r="S19" s="156">
        <v>2732.0670793650793</v>
      </c>
    </row>
    <row r="20" spans="2:19" x14ac:dyDescent="0.45">
      <c r="B20" s="15"/>
      <c r="C20" s="23" t="s">
        <v>296</v>
      </c>
      <c r="D20" s="98">
        <f t="shared" ref="D20:I20" si="1">SUM(D10:D18)</f>
        <v>399901.56015186151</v>
      </c>
      <c r="E20" s="98">
        <f t="shared" si="1"/>
        <v>151611.75682251077</v>
      </c>
      <c r="F20" s="98">
        <f t="shared" si="1"/>
        <v>155932.9813741126</v>
      </c>
      <c r="G20" s="98">
        <f t="shared" si="1"/>
        <v>67507.402555555556</v>
      </c>
      <c r="H20" s="98">
        <f t="shared" si="1"/>
        <v>5604.4103023231264</v>
      </c>
      <c r="I20" s="98">
        <f t="shared" si="1"/>
        <v>19245.009097359412</v>
      </c>
      <c r="J20" s="28"/>
      <c r="K20" s="29"/>
      <c r="L20" s="29">
        <f>SUM(E20:I20)</f>
        <v>399901.56015186151</v>
      </c>
      <c r="P20" s="153"/>
      <c r="Q20" s="154" t="s">
        <v>282</v>
      </c>
      <c r="R20" s="155">
        <v>8200</v>
      </c>
      <c r="S20" s="156">
        <v>1171.4285714285713</v>
      </c>
    </row>
    <row r="21" spans="2:19" x14ac:dyDescent="0.45">
      <c r="B21" s="32"/>
      <c r="C21" s="33"/>
      <c r="D21" s="33"/>
      <c r="E21" s="33"/>
      <c r="F21" s="33"/>
      <c r="G21" s="33"/>
      <c r="H21" s="33"/>
      <c r="I21" s="33"/>
      <c r="J21" s="34"/>
      <c r="K21" s="29"/>
      <c r="P21" s="153"/>
      <c r="Q21" s="154" t="s">
        <v>8</v>
      </c>
      <c r="R21" s="155">
        <v>19358</v>
      </c>
      <c r="S21" s="156">
        <v>154.97777777777776</v>
      </c>
    </row>
    <row r="22" spans="2:19" x14ac:dyDescent="0.45">
      <c r="B22" s="16"/>
      <c r="C22" s="29"/>
      <c r="D22" s="20"/>
      <c r="E22" s="35"/>
      <c r="F22" s="31"/>
      <c r="G22" s="31"/>
      <c r="H22" s="35"/>
      <c r="I22" s="35"/>
      <c r="J22" s="29"/>
      <c r="K22" s="29"/>
      <c r="P22" s="153"/>
      <c r="Q22" s="154" t="s">
        <v>289</v>
      </c>
      <c r="R22" s="168">
        <v>2583147.7399999998</v>
      </c>
      <c r="S22" s="207">
        <v>48299.223746666663</v>
      </c>
    </row>
    <row r="23" spans="2:19" x14ac:dyDescent="0.45">
      <c r="C23" s="29"/>
      <c r="E23" s="29"/>
      <c r="F23" s="29"/>
      <c r="G23" s="29"/>
      <c r="H23" s="29"/>
      <c r="I23" s="29"/>
      <c r="J23" s="29"/>
      <c r="K23" s="29"/>
      <c r="P23" s="153"/>
      <c r="Q23" s="170" t="s">
        <v>290</v>
      </c>
      <c r="R23" s="151">
        <v>14733977.76</v>
      </c>
      <c r="S23" s="152">
        <v>352316.87515503605</v>
      </c>
    </row>
    <row r="24" spans="2:19" x14ac:dyDescent="0.45">
      <c r="P24" s="153"/>
      <c r="Q24" s="154"/>
      <c r="R24" s="155"/>
      <c r="S24" s="156"/>
    </row>
    <row r="25" spans="2:19" x14ac:dyDescent="0.45">
      <c r="K25" s="29"/>
      <c r="P25" s="166" t="s">
        <v>291</v>
      </c>
      <c r="Q25" s="167"/>
      <c r="R25" s="155"/>
      <c r="S25" s="156"/>
    </row>
    <row r="26" spans="2:19" x14ac:dyDescent="0.45">
      <c r="C26" s="43" t="s">
        <v>340</v>
      </c>
      <c r="D26" s="43"/>
      <c r="E26" s="43">
        <f>SUM(mtrx!I11:J32)</f>
        <v>210437.34240419019</v>
      </c>
      <c r="F26" s="43"/>
      <c r="K26" s="35"/>
      <c r="P26" s="153"/>
      <c r="Q26" s="154" t="s">
        <v>292</v>
      </c>
      <c r="R26" s="155">
        <v>10971980.459999999</v>
      </c>
      <c r="S26" s="156">
        <v>254190.01910173157</v>
      </c>
    </row>
    <row r="27" spans="2:19" x14ac:dyDescent="0.45">
      <c r="C27" s="43" t="s">
        <v>341</v>
      </c>
      <c r="D27" s="43"/>
      <c r="E27" s="43">
        <f>SUM(mtrx!J11:J32)</f>
        <v>109301.55847870861</v>
      </c>
      <c r="F27" s="47">
        <f>E27/$E$26</f>
        <v>0.51940191427038385</v>
      </c>
      <c r="K27" s="29"/>
      <c r="P27" s="153"/>
      <c r="Q27" s="154" t="s">
        <v>293</v>
      </c>
      <c r="R27" s="155">
        <v>7182862</v>
      </c>
      <c r="S27" s="156">
        <v>113043.45600000001</v>
      </c>
    </row>
    <row r="28" spans="2:19" x14ac:dyDescent="0.45">
      <c r="C28" s="43" t="s">
        <v>342</v>
      </c>
      <c r="D28" s="43"/>
      <c r="E28" s="43">
        <f>SUM(mtrx!I11:I32)</f>
        <v>101135.78392548164</v>
      </c>
      <c r="F28" s="47">
        <f>E28/$E$26</f>
        <v>0.48059808572961638</v>
      </c>
      <c r="P28" s="153"/>
      <c r="Q28" s="154" t="s">
        <v>8</v>
      </c>
      <c r="R28" s="155">
        <v>1595</v>
      </c>
      <c r="S28" s="156">
        <v>0</v>
      </c>
    </row>
    <row r="29" spans="2:19" x14ac:dyDescent="0.45">
      <c r="C29" s="171"/>
      <c r="D29" s="20"/>
      <c r="P29" s="153"/>
      <c r="Q29" s="154" t="s">
        <v>282</v>
      </c>
      <c r="R29" s="168">
        <v>34995</v>
      </c>
      <c r="S29" s="169">
        <v>3570.7142857142858</v>
      </c>
    </row>
    <row r="30" spans="2:19" x14ac:dyDescent="0.45">
      <c r="C30" s="171"/>
      <c r="D30" s="20"/>
      <c r="P30" s="153"/>
      <c r="Q30" s="154"/>
      <c r="R30" s="151">
        <v>18191432.460000001</v>
      </c>
      <c r="S30" s="152">
        <v>370804.18938744586</v>
      </c>
    </row>
    <row r="31" spans="2:19" x14ac:dyDescent="0.45">
      <c r="C31" s="171"/>
      <c r="D31" s="20"/>
      <c r="P31" s="153"/>
      <c r="Q31" s="154"/>
      <c r="R31" s="155"/>
      <c r="S31" s="156"/>
    </row>
    <row r="32" spans="2:19" x14ac:dyDescent="0.45">
      <c r="P32" s="153" t="s">
        <v>71</v>
      </c>
      <c r="Q32" s="154"/>
      <c r="R32" s="155"/>
      <c r="S32" s="156"/>
    </row>
    <row r="33" spans="16:19" x14ac:dyDescent="0.45">
      <c r="P33" s="153"/>
      <c r="Q33" s="154" t="s">
        <v>281</v>
      </c>
      <c r="R33" s="155">
        <v>155060.39000000001</v>
      </c>
      <c r="S33" s="156">
        <v>4177.6103999999996</v>
      </c>
    </row>
    <row r="34" spans="16:19" x14ac:dyDescent="0.45">
      <c r="P34" s="153"/>
      <c r="Q34" s="154" t="s">
        <v>8</v>
      </c>
      <c r="R34" s="155">
        <v>12236</v>
      </c>
      <c r="S34" s="156">
        <v>175.88571428571427</v>
      </c>
    </row>
    <row r="35" spans="16:19" x14ac:dyDescent="0.45">
      <c r="P35" s="153"/>
      <c r="Q35" s="154" t="s">
        <v>294</v>
      </c>
      <c r="R35" s="155">
        <v>305804.24</v>
      </c>
      <c r="S35" s="156">
        <v>18646.923485714287</v>
      </c>
    </row>
    <row r="36" spans="16:19" x14ac:dyDescent="0.45">
      <c r="P36" s="153"/>
      <c r="Q36" s="154" t="s">
        <v>282</v>
      </c>
      <c r="R36" s="168">
        <v>147385</v>
      </c>
      <c r="S36" s="169">
        <v>13794.142857142857</v>
      </c>
    </row>
    <row r="37" spans="16:19" x14ac:dyDescent="0.45">
      <c r="P37" s="153"/>
      <c r="Q37" s="154"/>
      <c r="R37" s="151">
        <v>620485.63</v>
      </c>
      <c r="S37" s="152">
        <v>36794.562457142856</v>
      </c>
    </row>
    <row r="38" spans="16:19" x14ac:dyDescent="0.45">
      <c r="P38" s="153"/>
      <c r="Q38" s="154"/>
      <c r="R38" s="155"/>
      <c r="S38" s="156"/>
    </row>
    <row r="39" spans="16:19" x14ac:dyDescent="0.45">
      <c r="P39" s="172"/>
      <c r="Q39" s="150" t="s">
        <v>295</v>
      </c>
      <c r="R39" s="151">
        <v>33856702.050000004</v>
      </c>
      <c r="S39" s="152">
        <v>770705.74953930732</v>
      </c>
    </row>
    <row r="40" spans="16:19" x14ac:dyDescent="0.45">
      <c r="P40" s="153"/>
      <c r="Q40" s="154" t="s">
        <v>338</v>
      </c>
      <c r="R40" s="155"/>
      <c r="S40" s="173">
        <f>-S30</f>
        <v>-370804.18938744586</v>
      </c>
    </row>
    <row r="41" spans="16:19" x14ac:dyDescent="0.45">
      <c r="Q41" s="244" t="s">
        <v>339</v>
      </c>
      <c r="S41" s="152">
        <f>S39+S40</f>
        <v>399901.56015186146</v>
      </c>
    </row>
    <row r="42" spans="16:19" x14ac:dyDescent="0.45">
      <c r="Q42" s="244"/>
      <c r="S42" s="245"/>
    </row>
    <row r="43" spans="16:19" x14ac:dyDescent="0.45">
      <c r="Q43" s="244"/>
      <c r="S43" s="245"/>
    </row>
    <row r="44" spans="16:19" x14ac:dyDescent="0.45">
      <c r="Q44" s="246" t="s">
        <v>343</v>
      </c>
      <c r="R44" s="204"/>
      <c r="S44" s="204"/>
    </row>
    <row r="45" spans="16:19" x14ac:dyDescent="0.45">
      <c r="Q45" s="204" t="s">
        <v>303</v>
      </c>
      <c r="R45" s="205">
        <v>1880520.73</v>
      </c>
      <c r="S45" s="205">
        <v>30088.331679999999</v>
      </c>
    </row>
    <row r="46" spans="16:19" x14ac:dyDescent="0.45">
      <c r="Q46" s="204" t="s">
        <v>358</v>
      </c>
      <c r="R46" s="205">
        <v>300577.40000000002</v>
      </c>
      <c r="S46" s="205">
        <v>4809.2384000000002</v>
      </c>
    </row>
    <row r="47" spans="16:19" x14ac:dyDescent="0.45">
      <c r="Q47" s="204" t="s">
        <v>304</v>
      </c>
      <c r="R47" s="205">
        <v>334058.5</v>
      </c>
      <c r="S47" s="205">
        <v>11135.283333333333</v>
      </c>
    </row>
    <row r="48" spans="16:19" ht="16.5" x14ac:dyDescent="0.75">
      <c r="Q48" s="204" t="s">
        <v>359</v>
      </c>
      <c r="R48" s="206">
        <v>67991.11</v>
      </c>
      <c r="S48" s="206">
        <v>2266.3703333333333</v>
      </c>
    </row>
    <row r="49" spans="17:19" x14ac:dyDescent="0.45">
      <c r="Q49" s="204"/>
      <c r="R49" s="205">
        <v>2583147.7399999998</v>
      </c>
      <c r="S49" s="205">
        <v>48299.223746666663</v>
      </c>
    </row>
  </sheetData>
  <mergeCells count="1">
    <mergeCell ref="C3:I3"/>
  </mergeCells>
  <printOptions horizontalCentered="1"/>
  <pageMargins left="0.7" right="0.7" top="1.2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workbookViewId="0"/>
  </sheetViews>
  <sheetFormatPr defaultRowHeight="14.25" x14ac:dyDescent="0.45"/>
  <cols>
    <col min="1" max="1" width="1.6640625" style="14" customWidth="1"/>
    <col min="2" max="2" width="15.6640625" style="14" customWidth="1"/>
    <col min="3" max="3" width="7.77734375" style="14" customWidth="1"/>
    <col min="4" max="4" width="8" style="14" customWidth="1"/>
    <col min="5" max="8" width="7.77734375" style="14" customWidth="1"/>
    <col min="9" max="9" width="11" style="14" customWidth="1"/>
    <col min="10" max="10" width="9.44140625" style="14" customWidth="1"/>
    <col min="11" max="11" width="11.77734375" style="14" customWidth="1"/>
    <col min="12" max="12" width="1.33203125" style="14" customWidth="1"/>
    <col min="13" max="13" width="5.77734375" style="14" customWidth="1"/>
    <col min="14" max="16384" width="8.88671875" style="14"/>
  </cols>
  <sheetData>
    <row r="1" spans="1:13" x14ac:dyDescent="0.4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5"/>
    </row>
    <row r="2" spans="1:13" x14ac:dyDescent="0.45">
      <c r="A2" s="43"/>
      <c r="B2" s="49"/>
      <c r="C2" s="50"/>
      <c r="D2" s="50"/>
      <c r="E2" s="50"/>
      <c r="F2" s="50"/>
      <c r="G2" s="50"/>
      <c r="H2" s="50"/>
      <c r="I2" s="50"/>
      <c r="J2" s="50"/>
      <c r="K2" s="50"/>
      <c r="L2" s="51"/>
      <c r="M2" s="55"/>
    </row>
    <row r="3" spans="1:13" ht="18" x14ac:dyDescent="0.55000000000000004">
      <c r="A3" s="43"/>
      <c r="B3" s="266" t="s">
        <v>28</v>
      </c>
      <c r="C3" s="267"/>
      <c r="D3" s="267"/>
      <c r="E3" s="267"/>
      <c r="F3" s="267"/>
      <c r="G3" s="267"/>
      <c r="H3" s="267"/>
      <c r="I3" s="267"/>
      <c r="J3" s="267"/>
      <c r="K3" s="267"/>
      <c r="L3" s="80"/>
      <c r="M3" s="52"/>
    </row>
    <row r="4" spans="1:13" ht="18" x14ac:dyDescent="0.55000000000000004">
      <c r="A4" s="43"/>
      <c r="B4" s="269" t="s">
        <v>352</v>
      </c>
      <c r="C4" s="270"/>
      <c r="D4" s="270"/>
      <c r="E4" s="270"/>
      <c r="F4" s="270"/>
      <c r="G4" s="270"/>
      <c r="H4" s="270"/>
      <c r="I4" s="270"/>
      <c r="J4" s="270"/>
      <c r="K4" s="270"/>
      <c r="L4" s="64"/>
      <c r="M4" s="54"/>
    </row>
    <row r="5" spans="1:13" x14ac:dyDescent="0.45">
      <c r="A5" s="43"/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80"/>
      <c r="M5" s="52"/>
    </row>
    <row r="6" spans="1:13" x14ac:dyDescent="0.45">
      <c r="A6" s="43"/>
      <c r="B6" s="278" t="s">
        <v>307</v>
      </c>
      <c r="C6" s="279"/>
      <c r="D6" s="279"/>
      <c r="E6" s="279"/>
      <c r="F6" s="279"/>
      <c r="G6" s="279"/>
      <c r="H6" s="279"/>
      <c r="I6" s="279"/>
      <c r="J6" s="279"/>
      <c r="K6" s="279"/>
      <c r="L6" s="81"/>
      <c r="M6" s="56"/>
    </row>
    <row r="7" spans="1:13" x14ac:dyDescent="0.45">
      <c r="A7" s="43"/>
      <c r="B7" s="57"/>
      <c r="C7" s="56"/>
      <c r="D7" s="56"/>
      <c r="E7" s="56"/>
      <c r="F7" s="56"/>
      <c r="G7" s="56"/>
      <c r="H7" s="56"/>
      <c r="I7" s="56"/>
      <c r="J7" s="56"/>
      <c r="K7" s="56"/>
      <c r="L7" s="81"/>
      <c r="M7" s="56"/>
    </row>
    <row r="8" spans="1:13" x14ac:dyDescent="0.45">
      <c r="A8" s="43"/>
      <c r="B8" s="58"/>
      <c r="C8" s="59"/>
      <c r="D8" s="60"/>
      <c r="E8" s="59"/>
      <c r="F8" s="61"/>
      <c r="G8" s="59"/>
      <c r="H8" s="61"/>
      <c r="I8" s="59"/>
      <c r="J8" s="61"/>
      <c r="K8" s="60"/>
      <c r="L8" s="61"/>
      <c r="M8" s="83"/>
    </row>
    <row r="9" spans="1:13" ht="16.5" x14ac:dyDescent="0.75">
      <c r="A9" s="43"/>
      <c r="B9" s="62"/>
      <c r="C9" s="65" t="s">
        <v>9</v>
      </c>
      <c r="D9" s="54"/>
      <c r="E9" s="63" t="s">
        <v>10</v>
      </c>
      <c r="F9" s="64"/>
      <c r="G9" s="63" t="s">
        <v>74</v>
      </c>
      <c r="H9" s="64"/>
      <c r="I9" s="176" t="s">
        <v>76</v>
      </c>
      <c r="J9" s="177" t="s">
        <v>320</v>
      </c>
      <c r="K9" s="79" t="s">
        <v>79</v>
      </c>
      <c r="L9" s="82"/>
      <c r="M9" s="78"/>
    </row>
    <row r="10" spans="1:13" ht="16.5" x14ac:dyDescent="0.75">
      <c r="A10" s="43"/>
      <c r="B10" s="62"/>
      <c r="C10" s="66" t="s">
        <v>3</v>
      </c>
      <c r="D10" s="67" t="s">
        <v>4</v>
      </c>
      <c r="E10" s="66" t="s">
        <v>3</v>
      </c>
      <c r="F10" s="68" t="s">
        <v>4</v>
      </c>
      <c r="G10" s="66" t="s">
        <v>3</v>
      </c>
      <c r="H10" s="68" t="s">
        <v>4</v>
      </c>
      <c r="I10" s="176" t="s">
        <v>77</v>
      </c>
      <c r="J10" s="177" t="s">
        <v>345</v>
      </c>
      <c r="K10" s="79" t="s">
        <v>78</v>
      </c>
      <c r="L10" s="68"/>
      <c r="M10" s="67"/>
    </row>
    <row r="11" spans="1:13" x14ac:dyDescent="0.45">
      <c r="A11" s="43"/>
      <c r="B11" s="8" t="s">
        <v>305</v>
      </c>
      <c r="C11" s="8">
        <v>35000</v>
      </c>
      <c r="D11" s="69">
        <f>19141.25+18266.25</f>
        <v>37407.5</v>
      </c>
      <c r="E11" s="8">
        <v>40000</v>
      </c>
      <c r="F11" s="9">
        <f>18266.25+17266.25</f>
        <v>35532.5</v>
      </c>
      <c r="G11" s="8">
        <v>40000</v>
      </c>
      <c r="H11" s="9">
        <f>17266.25+16266.25</f>
        <v>33532.5</v>
      </c>
      <c r="I11" s="8">
        <f>SUM(C11:H11)/3</f>
        <v>73824.166666666672</v>
      </c>
      <c r="J11" s="9">
        <v>8100</v>
      </c>
      <c r="K11" s="69">
        <f>J11+I11</f>
        <v>81924.166666666672</v>
      </c>
      <c r="L11" s="9"/>
      <c r="M11" s="69"/>
    </row>
    <row r="12" spans="1:13" x14ac:dyDescent="0.45">
      <c r="A12" s="43"/>
      <c r="B12" s="7" t="s">
        <v>306</v>
      </c>
      <c r="C12" s="8">
        <v>43000</v>
      </c>
      <c r="D12" s="69">
        <f>29101.88+28645</f>
        <v>57746.880000000005</v>
      </c>
      <c r="E12" s="8">
        <v>44000</v>
      </c>
      <c r="F12" s="9">
        <f>28645+28177</f>
        <v>56822</v>
      </c>
      <c r="G12" s="8">
        <v>45000</v>
      </c>
      <c r="H12" s="9">
        <f>28177.5+27699.38</f>
        <v>55876.880000000005</v>
      </c>
      <c r="I12" s="8">
        <f>SUM(C12:H12)/3</f>
        <v>100815.25333333334</v>
      </c>
      <c r="J12" s="9">
        <v>11520</v>
      </c>
      <c r="K12" s="69">
        <f t="shared" ref="K12" si="0">J12+I12</f>
        <v>112335.25333333334</v>
      </c>
      <c r="L12" s="9"/>
      <c r="M12" s="69"/>
    </row>
    <row r="13" spans="1:13" x14ac:dyDescent="0.45">
      <c r="A13" s="43"/>
      <c r="B13" s="7"/>
      <c r="C13" s="12"/>
      <c r="D13" s="70"/>
      <c r="E13" s="12"/>
      <c r="F13" s="13"/>
      <c r="G13" s="12"/>
      <c r="H13" s="13"/>
      <c r="I13" s="12"/>
      <c r="J13" s="13"/>
      <c r="K13" s="70"/>
      <c r="L13" s="13"/>
      <c r="M13" s="70"/>
    </row>
    <row r="14" spans="1:13" x14ac:dyDescent="0.45">
      <c r="A14" s="43"/>
      <c r="B14" s="71" t="s">
        <v>1</v>
      </c>
      <c r="C14" s="72">
        <f t="shared" ref="C14:K14" si="1">SUM(C11:C13)</f>
        <v>78000</v>
      </c>
      <c r="D14" s="73">
        <f t="shared" si="1"/>
        <v>95154.38</v>
      </c>
      <c r="E14" s="72">
        <f t="shared" si="1"/>
        <v>84000</v>
      </c>
      <c r="F14" s="74">
        <f t="shared" si="1"/>
        <v>92354.5</v>
      </c>
      <c r="G14" s="72">
        <f t="shared" si="1"/>
        <v>85000</v>
      </c>
      <c r="H14" s="74">
        <f t="shared" si="1"/>
        <v>89409.38</v>
      </c>
      <c r="I14" s="72">
        <f t="shared" si="1"/>
        <v>174639.42</v>
      </c>
      <c r="J14" s="74">
        <f t="shared" si="1"/>
        <v>19620</v>
      </c>
      <c r="K14" s="73">
        <f t="shared" si="1"/>
        <v>194259.42</v>
      </c>
      <c r="L14" s="74"/>
      <c r="M14" s="73"/>
    </row>
    <row r="15" spans="1:13" x14ac:dyDescent="0.45">
      <c r="A15" s="43"/>
      <c r="B15" s="75"/>
      <c r="C15" s="10"/>
      <c r="D15" s="76"/>
      <c r="E15" s="10"/>
      <c r="F15" s="11"/>
      <c r="G15" s="10"/>
      <c r="H15" s="11"/>
      <c r="I15" s="10"/>
      <c r="J15" s="11"/>
      <c r="K15" s="76"/>
      <c r="L15" s="11"/>
      <c r="M15" s="77"/>
    </row>
    <row r="16" spans="1:13" x14ac:dyDescent="0.45">
      <c r="D16" s="139"/>
      <c r="F16" s="139"/>
      <c r="H16" s="139"/>
      <c r="M16" s="16"/>
    </row>
    <row r="17" spans="3:8" x14ac:dyDescent="0.45">
      <c r="C17" s="14" t="s">
        <v>346</v>
      </c>
    </row>
    <row r="18" spans="3:8" x14ac:dyDescent="0.45">
      <c r="C18" s="14" t="s">
        <v>347</v>
      </c>
    </row>
    <row r="22" spans="3:8" x14ac:dyDescent="0.45">
      <c r="D22" s="139"/>
      <c r="F22" s="139"/>
      <c r="H22" s="139"/>
    </row>
  </sheetData>
  <mergeCells count="4">
    <mergeCell ref="B3:K3"/>
    <mergeCell ref="B4:K4"/>
    <mergeCell ref="B5:K5"/>
    <mergeCell ref="B6:K6"/>
  </mergeCells>
  <pageMargins left="0.95" right="0.95" top="2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3"/>
  <sheetViews>
    <sheetView workbookViewId="0"/>
  </sheetViews>
  <sheetFormatPr defaultColWidth="8.88671875" defaultRowHeight="14.25" x14ac:dyDescent="0.45"/>
  <cols>
    <col min="1" max="1" width="4.21875" style="14" customWidth="1"/>
    <col min="2" max="2" width="1.109375" style="14" customWidth="1"/>
    <col min="3" max="3" width="12.33203125" style="14" customWidth="1"/>
    <col min="4" max="4" width="19.21875" style="14" customWidth="1"/>
    <col min="5" max="8" width="9.77734375" style="14" customWidth="1"/>
    <col min="9" max="9" width="1.33203125" style="14" customWidth="1"/>
    <col min="10" max="10" width="9.6640625" style="14" customWidth="1"/>
    <col min="11" max="16384" width="8.88671875" style="14"/>
  </cols>
  <sheetData>
    <row r="2" spans="2:14" x14ac:dyDescent="0.45">
      <c r="B2" s="25"/>
      <c r="C2" s="26"/>
      <c r="D2" s="26"/>
      <c r="E2" s="26"/>
      <c r="F2" s="26"/>
      <c r="G2" s="26"/>
      <c r="H2" s="26"/>
      <c r="I2" s="27"/>
    </row>
    <row r="3" spans="2:14" ht="18" x14ac:dyDescent="0.55000000000000004">
      <c r="B3" s="15"/>
      <c r="C3" s="275" t="s">
        <v>43</v>
      </c>
      <c r="D3" s="275"/>
      <c r="E3" s="275"/>
      <c r="F3" s="275"/>
      <c r="G3" s="275"/>
      <c r="H3" s="275"/>
      <c r="I3" s="28"/>
      <c r="J3" s="29"/>
    </row>
    <row r="4" spans="2:14" ht="18" x14ac:dyDescent="0.55000000000000004">
      <c r="B4" s="15"/>
      <c r="C4" s="17" t="s">
        <v>80</v>
      </c>
      <c r="D4" s="17"/>
      <c r="E4" s="89"/>
      <c r="F4" s="89"/>
      <c r="G4" s="89"/>
      <c r="H4" s="89"/>
      <c r="I4" s="28"/>
      <c r="J4" s="29"/>
    </row>
    <row r="5" spans="2:14" ht="15.75" x14ac:dyDescent="0.45">
      <c r="B5" s="15"/>
      <c r="C5" s="273"/>
      <c r="D5" s="273"/>
      <c r="E5" s="273"/>
      <c r="F5" s="273"/>
      <c r="G5" s="273"/>
      <c r="H5" s="273"/>
      <c r="I5" s="28"/>
      <c r="J5" s="87"/>
      <c r="K5" s="87"/>
      <c r="L5" s="87"/>
      <c r="M5" s="87"/>
      <c r="N5" s="87"/>
    </row>
    <row r="6" spans="2:14" ht="16.5" x14ac:dyDescent="0.75">
      <c r="B6" s="15"/>
      <c r="C6" s="20"/>
      <c r="D6" s="20"/>
      <c r="E6" s="44" t="s">
        <v>93</v>
      </c>
      <c r="F6" s="21" t="s">
        <v>66</v>
      </c>
      <c r="G6" s="21" t="s">
        <v>24</v>
      </c>
      <c r="H6" s="21" t="s">
        <v>88</v>
      </c>
      <c r="I6" s="28"/>
      <c r="J6" s="29"/>
    </row>
    <row r="7" spans="2:14" ht="16.5" x14ac:dyDescent="0.75">
      <c r="B7" s="15"/>
      <c r="C7" s="20"/>
      <c r="D7" s="79" t="s">
        <v>75</v>
      </c>
      <c r="E7" s="44" t="s">
        <v>322</v>
      </c>
      <c r="F7" s="21" t="s">
        <v>67</v>
      </c>
      <c r="G7" s="21" t="s">
        <v>26</v>
      </c>
      <c r="H7" s="21" t="s">
        <v>89</v>
      </c>
      <c r="I7" s="28"/>
      <c r="J7" s="29"/>
    </row>
    <row r="8" spans="2:14" x14ac:dyDescent="0.45">
      <c r="B8" s="15"/>
      <c r="C8" s="69" t="s">
        <v>305</v>
      </c>
      <c r="D8" s="83" t="s">
        <v>308</v>
      </c>
      <c r="E8" s="39">
        <f>Debt!K11</f>
        <v>81924.166666666672</v>
      </c>
      <c r="F8" s="39">
        <f>E8</f>
        <v>81924.166666666672</v>
      </c>
      <c r="H8" s="39"/>
      <c r="I8" s="28"/>
      <c r="J8" s="29"/>
    </row>
    <row r="9" spans="2:14" x14ac:dyDescent="0.45">
      <c r="B9" s="15"/>
      <c r="C9" s="178" t="s">
        <v>306</v>
      </c>
      <c r="D9" s="83" t="s">
        <v>309</v>
      </c>
      <c r="E9" s="39">
        <f>Debt!K12</f>
        <v>112335.25333333334</v>
      </c>
      <c r="F9" s="39">
        <f>$E9*G22</f>
        <v>6392.0055164923551</v>
      </c>
      <c r="G9" s="39">
        <f>$E9*G20</f>
        <v>89453.892288575968</v>
      </c>
      <c r="H9" s="39">
        <f>$E9*G21</f>
        <v>16489.355528265012</v>
      </c>
      <c r="I9" s="28"/>
      <c r="J9" s="29"/>
      <c r="K9" s="139">
        <f>SUM(F9:H9)</f>
        <v>112335.25333333333</v>
      </c>
    </row>
    <row r="10" spans="2:14" x14ac:dyDescent="0.45">
      <c r="B10" s="15"/>
      <c r="C10" s="20"/>
      <c r="D10" s="20"/>
      <c r="E10" s="39"/>
      <c r="F10" s="39"/>
      <c r="G10" s="39"/>
      <c r="H10" s="39"/>
      <c r="I10" s="28"/>
      <c r="J10" s="29"/>
    </row>
    <row r="11" spans="2:14" x14ac:dyDescent="0.45">
      <c r="B11" s="15"/>
      <c r="C11" s="22" t="s">
        <v>5</v>
      </c>
      <c r="D11" s="22"/>
      <c r="E11" s="40">
        <f>SUM(E8:E9)</f>
        <v>194259.42</v>
      </c>
      <c r="F11" s="40">
        <f>SUM(F8:F9)</f>
        <v>88316.172183159026</v>
      </c>
      <c r="G11" s="40">
        <f>SUM(G8:G9)</f>
        <v>89453.892288575968</v>
      </c>
      <c r="H11" s="40">
        <f>SUM(H8:H9)</f>
        <v>16489.355528265012</v>
      </c>
      <c r="I11" s="28"/>
      <c r="K11" s="90">
        <f>SUM(F11:J11)</f>
        <v>194259.41999999998</v>
      </c>
    </row>
    <row r="12" spans="2:14" x14ac:dyDescent="0.45">
      <c r="B12" s="32"/>
      <c r="C12" s="41"/>
      <c r="D12" s="41"/>
      <c r="E12" s="42"/>
      <c r="F12" s="42"/>
      <c r="G12" s="42"/>
      <c r="H12" s="42"/>
      <c r="I12" s="34"/>
      <c r="J12" s="29"/>
    </row>
    <row r="13" spans="2:14" x14ac:dyDescent="0.45">
      <c r="B13" s="16"/>
      <c r="C13" s="23"/>
      <c r="D13" s="23"/>
      <c r="E13" s="241"/>
      <c r="F13" s="241"/>
      <c r="G13" s="241"/>
      <c r="H13" s="241"/>
      <c r="I13" s="20"/>
      <c r="J13" s="29"/>
    </row>
    <row r="14" spans="2:14" x14ac:dyDescent="0.45">
      <c r="B14" s="16"/>
      <c r="C14" s="23"/>
      <c r="D14" s="23"/>
      <c r="E14" s="241"/>
      <c r="F14" s="241"/>
      <c r="G14" s="241"/>
      <c r="H14" s="241"/>
      <c r="I14" s="20"/>
      <c r="J14" s="29"/>
    </row>
    <row r="15" spans="2:14" x14ac:dyDescent="0.45">
      <c r="B15" s="16"/>
      <c r="C15" s="23"/>
      <c r="D15" s="23"/>
      <c r="E15" s="241"/>
      <c r="F15" s="241"/>
      <c r="G15" s="241"/>
      <c r="H15" s="241"/>
      <c r="I15" s="20"/>
      <c r="J15" s="29"/>
    </row>
    <row r="16" spans="2:14" x14ac:dyDescent="0.45">
      <c r="B16" s="16"/>
      <c r="C16" s="20"/>
      <c r="D16" s="20"/>
      <c r="E16" s="20"/>
      <c r="F16" s="20"/>
      <c r="G16" s="20"/>
      <c r="H16" s="20"/>
      <c r="I16" s="20"/>
      <c r="J16" s="29"/>
    </row>
    <row r="17" spans="5:9" x14ac:dyDescent="0.45">
      <c r="I17" s="29"/>
    </row>
    <row r="19" spans="5:9" x14ac:dyDescent="0.45">
      <c r="E19" s="198"/>
      <c r="F19" s="199" t="s">
        <v>313</v>
      </c>
      <c r="G19" s="198"/>
    </row>
    <row r="20" spans="5:9" x14ac:dyDescent="0.45">
      <c r="E20" s="14" t="s">
        <v>310</v>
      </c>
      <c r="F20" s="43">
        <f>AlocDep!R45+AlocDep!R46</f>
        <v>2181098.13</v>
      </c>
      <c r="G20" s="47">
        <f>F20/$F$23</f>
        <v>0.79631184008762312</v>
      </c>
    </row>
    <row r="21" spans="5:9" x14ac:dyDescent="0.45">
      <c r="E21" s="14" t="s">
        <v>311</v>
      </c>
      <c r="F21" s="43">
        <f>AlocDep!R47+AlocDep!R48</f>
        <v>402049.61</v>
      </c>
      <c r="G21" s="47">
        <f t="shared" ref="G21:G22" si="0">F21/$F$23</f>
        <v>0.14678700620664475</v>
      </c>
    </row>
    <row r="22" spans="5:9" ht="16.5" x14ac:dyDescent="0.75">
      <c r="E22" s="14" t="s">
        <v>312</v>
      </c>
      <c r="F22" s="46">
        <f>2739000-(F20+F21)</f>
        <v>155852.26000000024</v>
      </c>
      <c r="G22" s="47">
        <f t="shared" si="0"/>
        <v>5.6901153705732108E-2</v>
      </c>
    </row>
    <row r="23" spans="5:9" x14ac:dyDescent="0.45">
      <c r="F23" s="139">
        <f>SUM(F20:F22)</f>
        <v>2739000</v>
      </c>
    </row>
  </sheetData>
  <mergeCells count="2">
    <mergeCell ref="C3:H3"/>
    <mergeCell ref="C5:H5"/>
  </mergeCells>
  <pageMargins left="0.7" right="0.7" top="1.2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42"/>
  <sheetViews>
    <sheetView workbookViewId="0"/>
  </sheetViews>
  <sheetFormatPr defaultRowHeight="14.25" x14ac:dyDescent="0.45"/>
  <cols>
    <col min="1" max="1" width="3.44140625" style="14" customWidth="1"/>
    <col min="2" max="2" width="2.6640625" style="14" customWidth="1"/>
    <col min="3" max="7" width="9.6640625" style="14" customWidth="1"/>
    <col min="8" max="8" width="2.77734375" style="14" customWidth="1"/>
    <col min="9" max="9" width="8.88671875" style="14"/>
    <col min="10" max="10" width="11.77734375" style="14" bestFit="1" customWidth="1"/>
    <col min="11" max="11" width="10.21875" style="14" bestFit="1" customWidth="1"/>
    <col min="12" max="16384" width="8.88671875" style="14"/>
  </cols>
  <sheetData>
    <row r="2" spans="2:14" x14ac:dyDescent="0.45">
      <c r="B2" s="25"/>
      <c r="C2" s="26"/>
      <c r="D2" s="26"/>
      <c r="E2" s="26"/>
      <c r="F2" s="26"/>
      <c r="G2" s="26"/>
      <c r="H2" s="27"/>
    </row>
    <row r="3" spans="2:14" ht="18" x14ac:dyDescent="0.55000000000000004">
      <c r="B3" s="15"/>
      <c r="C3" s="275" t="s">
        <v>68</v>
      </c>
      <c r="D3" s="275"/>
      <c r="E3" s="275"/>
      <c r="F3" s="275"/>
      <c r="G3" s="275"/>
      <c r="H3" s="194"/>
    </row>
    <row r="4" spans="2:14" ht="18" x14ac:dyDescent="0.55000000000000004">
      <c r="B4" s="15"/>
      <c r="C4" s="17" t="s">
        <v>29</v>
      </c>
      <c r="D4" s="89"/>
      <c r="E4" s="89"/>
      <c r="F4" s="89"/>
      <c r="G4" s="89"/>
      <c r="H4" s="194"/>
    </row>
    <row r="5" spans="2:14" x14ac:dyDescent="0.45">
      <c r="B5" s="15"/>
      <c r="C5" s="159"/>
      <c r="D5" s="18"/>
      <c r="E5" s="18"/>
      <c r="F5" s="18"/>
      <c r="G5" s="18"/>
      <c r="H5" s="194"/>
    </row>
    <row r="6" spans="2:14" x14ac:dyDescent="0.45">
      <c r="B6" s="15"/>
      <c r="C6" s="22"/>
      <c r="D6" s="22"/>
      <c r="E6" s="22"/>
      <c r="F6" s="22"/>
      <c r="G6" s="22"/>
      <c r="H6" s="194"/>
    </row>
    <row r="7" spans="2:14" x14ac:dyDescent="0.45">
      <c r="B7" s="15"/>
      <c r="C7" s="22"/>
      <c r="D7" s="22"/>
      <c r="E7" s="22"/>
      <c r="F7" s="22"/>
      <c r="G7" s="22"/>
      <c r="H7" s="194"/>
    </row>
    <row r="8" spans="2:14" x14ac:dyDescent="0.45">
      <c r="B8" s="15"/>
      <c r="C8" s="179" t="s">
        <v>30</v>
      </c>
      <c r="D8" s="157"/>
      <c r="E8" s="157"/>
      <c r="F8" s="157"/>
      <c r="G8" s="157"/>
      <c r="H8" s="194"/>
    </row>
    <row r="9" spans="2:14" ht="6.95" customHeight="1" x14ac:dyDescent="0.45">
      <c r="B9" s="15"/>
      <c r="C9" s="180"/>
      <c r="D9" s="180"/>
      <c r="E9" s="180"/>
      <c r="F9" s="180"/>
      <c r="G9" s="180"/>
      <c r="H9" s="194"/>
    </row>
    <row r="10" spans="2:14" x14ac:dyDescent="0.45">
      <c r="B10" s="15"/>
      <c r="C10" s="20"/>
      <c r="D10" s="18" t="s">
        <v>315</v>
      </c>
      <c r="E10" s="18"/>
      <c r="F10" s="280" t="s">
        <v>31</v>
      </c>
      <c r="G10" s="281"/>
      <c r="H10" s="194"/>
    </row>
    <row r="11" spans="2:14" x14ac:dyDescent="0.45">
      <c r="B11" s="15"/>
      <c r="C11" s="147" t="s">
        <v>32</v>
      </c>
      <c r="D11" s="181" t="s">
        <v>33</v>
      </c>
      <c r="E11" s="181" t="s">
        <v>34</v>
      </c>
      <c r="F11" s="182" t="s">
        <v>33</v>
      </c>
      <c r="G11" s="181" t="s">
        <v>34</v>
      </c>
      <c r="H11" s="194"/>
    </row>
    <row r="12" spans="2:14" x14ac:dyDescent="0.45">
      <c r="B12" s="15"/>
      <c r="C12" s="147" t="s">
        <v>6</v>
      </c>
      <c r="D12" s="147" t="s">
        <v>35</v>
      </c>
      <c r="E12" s="147" t="s">
        <v>36</v>
      </c>
      <c r="F12" s="183" t="s">
        <v>35</v>
      </c>
      <c r="G12" s="147" t="s">
        <v>36</v>
      </c>
      <c r="H12" s="194"/>
    </row>
    <row r="13" spans="2:14" x14ac:dyDescent="0.45">
      <c r="B13" s="15"/>
      <c r="C13" s="119">
        <v>18</v>
      </c>
      <c r="D13" s="184">
        <v>0.7</v>
      </c>
      <c r="E13" s="118">
        <f t="shared" ref="E13:E21" si="0">D13*C13</f>
        <v>12.6</v>
      </c>
      <c r="F13" s="185">
        <v>0.7</v>
      </c>
      <c r="G13" s="118">
        <f>F13*C13</f>
        <v>12.6</v>
      </c>
      <c r="H13" s="194"/>
    </row>
    <row r="14" spans="2:14" x14ac:dyDescent="0.45">
      <c r="B14" s="15"/>
      <c r="C14" s="186">
        <v>16</v>
      </c>
      <c r="D14" s="184">
        <v>15.3</v>
      </c>
      <c r="E14" s="118">
        <f t="shared" si="0"/>
        <v>244.8</v>
      </c>
      <c r="F14" s="185">
        <v>15.3</v>
      </c>
      <c r="G14" s="118">
        <f>F14*C14</f>
        <v>244.8</v>
      </c>
      <c r="H14" s="194"/>
    </row>
    <row r="15" spans="2:14" ht="15.4" x14ac:dyDescent="0.45">
      <c r="B15" s="15"/>
      <c r="C15" s="186">
        <v>12</v>
      </c>
      <c r="D15" s="184">
        <v>1.2</v>
      </c>
      <c r="E15" s="118">
        <f t="shared" si="0"/>
        <v>14.399999999999999</v>
      </c>
      <c r="F15" s="185">
        <v>1.2</v>
      </c>
      <c r="G15" s="118">
        <f>F15*C15</f>
        <v>14.399999999999999</v>
      </c>
      <c r="H15" s="194"/>
      <c r="J15"/>
      <c r="K15"/>
      <c r="L15"/>
      <c r="M15"/>
      <c r="N15"/>
    </row>
    <row r="16" spans="2:14" ht="15.4" x14ac:dyDescent="0.45">
      <c r="B16" s="15"/>
      <c r="C16" s="186">
        <v>10</v>
      </c>
      <c r="D16" s="184">
        <v>5.7</v>
      </c>
      <c r="E16" s="118">
        <f t="shared" si="0"/>
        <v>57</v>
      </c>
      <c r="F16" s="185">
        <v>5.07</v>
      </c>
      <c r="G16" s="118">
        <f>F16*C16</f>
        <v>50.7</v>
      </c>
      <c r="H16" s="194"/>
      <c r="J16"/>
      <c r="K16"/>
      <c r="L16"/>
      <c r="M16"/>
      <c r="N16"/>
    </row>
    <row r="17" spans="2:14" ht="15.4" x14ac:dyDescent="0.45">
      <c r="B17" s="15"/>
      <c r="C17" s="186">
        <v>8</v>
      </c>
      <c r="D17" s="184">
        <v>21.2</v>
      </c>
      <c r="E17" s="118">
        <f t="shared" si="0"/>
        <v>169.6</v>
      </c>
      <c r="F17" s="185">
        <v>4.47</v>
      </c>
      <c r="G17" s="118">
        <f>F17*C17</f>
        <v>35.76</v>
      </c>
      <c r="H17" s="194"/>
      <c r="J17"/>
      <c r="K17"/>
      <c r="L17"/>
      <c r="M17"/>
      <c r="N17"/>
    </row>
    <row r="18" spans="2:14" ht="15.4" x14ac:dyDescent="0.45">
      <c r="B18" s="15"/>
      <c r="C18" s="186">
        <v>6</v>
      </c>
      <c r="D18" s="184">
        <v>23.1</v>
      </c>
      <c r="E18" s="118">
        <f t="shared" si="0"/>
        <v>138.60000000000002</v>
      </c>
      <c r="F18" s="185">
        <v>0.45</v>
      </c>
      <c r="G18" s="118">
        <f t="shared" ref="G18:G19" si="1">F18*C18</f>
        <v>2.7</v>
      </c>
      <c r="H18" s="194"/>
      <c r="J18"/>
      <c r="K18"/>
      <c r="L18"/>
      <c r="M18"/>
      <c r="N18"/>
    </row>
    <row r="19" spans="2:14" ht="15.4" x14ac:dyDescent="0.45">
      <c r="B19" s="15"/>
      <c r="C19" s="186">
        <v>4</v>
      </c>
      <c r="D19" s="184">
        <v>12.4</v>
      </c>
      <c r="E19" s="118">
        <f t="shared" si="0"/>
        <v>49.6</v>
      </c>
      <c r="F19" s="185">
        <v>0.4</v>
      </c>
      <c r="G19" s="118">
        <f t="shared" si="1"/>
        <v>1.6</v>
      </c>
      <c r="H19" s="194"/>
      <c r="J19"/>
      <c r="K19"/>
      <c r="L19"/>
      <c r="M19"/>
      <c r="N19"/>
    </row>
    <row r="20" spans="2:14" ht="15.4" x14ac:dyDescent="0.45">
      <c r="B20" s="15"/>
      <c r="C20" s="186">
        <v>3</v>
      </c>
      <c r="D20" s="184">
        <v>6.3</v>
      </c>
      <c r="E20" s="118">
        <f t="shared" si="0"/>
        <v>18.899999999999999</v>
      </c>
      <c r="F20" s="185"/>
      <c r="G20" s="118"/>
      <c r="H20" s="194"/>
      <c r="J20"/>
      <c r="K20"/>
      <c r="L20"/>
      <c r="M20"/>
      <c r="N20"/>
    </row>
    <row r="21" spans="2:14" ht="15.4" x14ac:dyDescent="0.45">
      <c r="B21" s="15"/>
      <c r="C21" s="186">
        <v>2</v>
      </c>
      <c r="D21" s="184">
        <v>4.5999999999999996</v>
      </c>
      <c r="E21" s="118">
        <f t="shared" si="0"/>
        <v>9.1999999999999993</v>
      </c>
      <c r="F21" s="187"/>
      <c r="G21" s="118"/>
      <c r="H21" s="194"/>
      <c r="J21"/>
      <c r="K21"/>
      <c r="L21"/>
      <c r="M21"/>
      <c r="N21"/>
    </row>
    <row r="22" spans="2:14" ht="15.4" x14ac:dyDescent="0.45">
      <c r="B22" s="15"/>
      <c r="C22" s="186"/>
      <c r="D22" s="175"/>
      <c r="E22" s="174"/>
      <c r="F22" s="187"/>
      <c r="G22" s="118"/>
      <c r="H22" s="194"/>
      <c r="J22"/>
      <c r="K22"/>
      <c r="L22"/>
      <c r="M22"/>
      <c r="N22"/>
    </row>
    <row r="23" spans="2:14" ht="15.4" x14ac:dyDescent="0.45">
      <c r="B23" s="15"/>
      <c r="C23" s="186" t="s">
        <v>5</v>
      </c>
      <c r="D23" s="184">
        <f t="shared" ref="D23:E23" si="2">SUM(D13:D22)</f>
        <v>90.499999999999986</v>
      </c>
      <c r="E23" s="184">
        <f t="shared" si="2"/>
        <v>714.7</v>
      </c>
      <c r="F23" s="185">
        <f t="shared" ref="F23" si="3">SUM(F13:F22)</f>
        <v>27.589999999999996</v>
      </c>
      <c r="G23" s="118">
        <f t="shared" ref="G23" si="4">SUM(G13:G22)</f>
        <v>362.56</v>
      </c>
      <c r="H23" s="194"/>
      <c r="J23"/>
      <c r="K23"/>
      <c r="L23"/>
      <c r="M23"/>
      <c r="N23"/>
    </row>
    <row r="24" spans="2:14" ht="15.4" x14ac:dyDescent="0.45">
      <c r="B24" s="15"/>
      <c r="C24" s="22"/>
      <c r="D24" s="22"/>
      <c r="E24" s="188"/>
      <c r="F24" s="22"/>
      <c r="G24" s="22"/>
      <c r="H24" s="194"/>
      <c r="J24"/>
      <c r="K24"/>
      <c r="L24"/>
      <c r="M24"/>
      <c r="N24"/>
    </row>
    <row r="25" spans="2:14" ht="15.4" x14ac:dyDescent="0.45">
      <c r="B25" s="15"/>
      <c r="C25" s="22"/>
      <c r="D25" s="22"/>
      <c r="E25" s="22"/>
      <c r="F25" s="22"/>
      <c r="G25" s="22"/>
      <c r="H25" s="194"/>
      <c r="J25"/>
      <c r="K25"/>
      <c r="L25"/>
      <c r="M25"/>
      <c r="N25"/>
    </row>
    <row r="26" spans="2:14" ht="15.4" x14ac:dyDescent="0.45">
      <c r="B26" s="15"/>
      <c r="C26" s="22"/>
      <c r="D26" s="22"/>
      <c r="E26" s="22"/>
      <c r="F26" s="22"/>
      <c r="G26" s="22"/>
      <c r="H26" s="194"/>
      <c r="J26"/>
      <c r="K26"/>
      <c r="L26"/>
      <c r="M26"/>
      <c r="N26"/>
    </row>
    <row r="27" spans="2:14" x14ac:dyDescent="0.45">
      <c r="B27" s="15"/>
      <c r="C27" s="16"/>
      <c r="D27" s="179"/>
      <c r="E27" s="179"/>
      <c r="F27" s="179"/>
      <c r="G27" s="22"/>
      <c r="H27" s="194"/>
    </row>
    <row r="28" spans="2:14" ht="6.95" customHeight="1" x14ac:dyDescent="0.45">
      <c r="B28" s="15"/>
      <c r="C28" s="16"/>
      <c r="D28" s="180"/>
      <c r="E28" s="180"/>
      <c r="F28" s="180"/>
      <c r="G28" s="22"/>
      <c r="H28" s="194"/>
    </row>
    <row r="29" spans="2:14" x14ac:dyDescent="0.45">
      <c r="B29" s="15"/>
      <c r="C29" s="16"/>
      <c r="D29" s="22"/>
      <c r="E29" s="147" t="s">
        <v>37</v>
      </c>
      <c r="F29" s="147"/>
      <c r="G29" s="22"/>
      <c r="H29" s="194"/>
    </row>
    <row r="30" spans="2:14" x14ac:dyDescent="0.45">
      <c r="B30" s="15"/>
      <c r="C30" s="16"/>
      <c r="D30" s="22"/>
      <c r="E30" s="147" t="s">
        <v>38</v>
      </c>
      <c r="F30" s="147" t="s">
        <v>7</v>
      </c>
      <c r="G30" s="22"/>
      <c r="H30" s="194"/>
    </row>
    <row r="31" spans="2:14" x14ac:dyDescent="0.45">
      <c r="B31" s="15"/>
      <c r="C31" s="189" t="s">
        <v>60</v>
      </c>
      <c r="E31" s="190">
        <f>SUM(E34:E39)</f>
        <v>502417</v>
      </c>
      <c r="F31" s="189"/>
      <c r="G31" s="22"/>
      <c r="H31" s="194"/>
    </row>
    <row r="32" spans="2:14" x14ac:dyDescent="0.45">
      <c r="B32" s="15"/>
      <c r="C32" s="189" t="s">
        <v>39</v>
      </c>
      <c r="E32" s="190">
        <v>195867.9</v>
      </c>
      <c r="F32" s="191">
        <f>E32/E34</f>
        <v>0.54300988223709057</v>
      </c>
      <c r="G32" s="22"/>
      <c r="H32" s="194"/>
    </row>
    <row r="33" spans="2:10" x14ac:dyDescent="0.45">
      <c r="B33" s="15"/>
      <c r="C33" s="189" t="s">
        <v>40</v>
      </c>
      <c r="E33" s="190">
        <f>65311.9+99528</f>
        <v>164839.9</v>
      </c>
      <c r="F33" s="191">
        <f>E33/E34</f>
        <v>0.45699011776290949</v>
      </c>
      <c r="G33" s="22"/>
      <c r="H33" s="194"/>
    </row>
    <row r="34" spans="2:10" x14ac:dyDescent="0.45">
      <c r="B34" s="15"/>
      <c r="C34" s="189" t="s">
        <v>41</v>
      </c>
      <c r="E34" s="190">
        <f>SUM(E32:E33)</f>
        <v>360707.8</v>
      </c>
      <c r="F34" s="189"/>
      <c r="G34" s="22"/>
      <c r="H34" s="194"/>
    </row>
    <row r="35" spans="2:10" x14ac:dyDescent="0.45">
      <c r="B35" s="15"/>
      <c r="C35" s="189"/>
      <c r="E35" s="190"/>
      <c r="F35" s="191"/>
      <c r="G35" s="22"/>
      <c r="H35" s="194"/>
    </row>
    <row r="36" spans="2:10" x14ac:dyDescent="0.45">
      <c r="B36" s="15"/>
      <c r="C36" s="189" t="s">
        <v>61</v>
      </c>
      <c r="E36" s="190">
        <v>12815.9</v>
      </c>
      <c r="F36" s="191">
        <f>E36/$E$31</f>
        <v>2.5508491949914114E-2</v>
      </c>
      <c r="G36" s="22"/>
      <c r="H36" s="194"/>
    </row>
    <row r="37" spans="2:10" x14ac:dyDescent="0.45">
      <c r="B37" s="15"/>
      <c r="C37" s="189" t="s">
        <v>314</v>
      </c>
      <c r="E37" s="190">
        <v>33527.300000000003</v>
      </c>
      <c r="F37" s="191">
        <f>E37/$E$31</f>
        <v>6.6732017427754239E-2</v>
      </c>
      <c r="G37" s="22"/>
      <c r="H37" s="194"/>
    </row>
    <row r="38" spans="2:10" x14ac:dyDescent="0.45">
      <c r="B38" s="15"/>
      <c r="C38" s="201" t="s">
        <v>348</v>
      </c>
      <c r="E38" s="255">
        <v>5769.1</v>
      </c>
      <c r="F38" s="191"/>
      <c r="G38" s="22"/>
      <c r="H38" s="194"/>
    </row>
    <row r="39" spans="2:10" x14ac:dyDescent="0.45">
      <c r="B39" s="15"/>
      <c r="C39" s="189" t="s">
        <v>42</v>
      </c>
      <c r="E39" s="190">
        <v>89596.9</v>
      </c>
      <c r="F39" s="191">
        <f>E39/$E$31</f>
        <v>0.17833174434782262</v>
      </c>
      <c r="G39" s="22"/>
      <c r="H39" s="194"/>
      <c r="J39" s="196"/>
    </row>
    <row r="40" spans="2:10" x14ac:dyDescent="0.45">
      <c r="B40" s="32"/>
      <c r="C40" s="192"/>
      <c r="D40" s="193"/>
      <c r="E40" s="192"/>
      <c r="F40" s="192"/>
      <c r="G40" s="192"/>
      <c r="H40" s="195"/>
    </row>
    <row r="42" spans="2:10" x14ac:dyDescent="0.45">
      <c r="E42" s="196"/>
    </row>
  </sheetData>
  <mergeCells count="2">
    <mergeCell ref="C3:G3"/>
    <mergeCell ref="F10:G10"/>
  </mergeCells>
  <printOptions horizontalCentered="1"/>
  <pageMargins left="0.7" right="0.7" top="1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48"/>
  <sheetViews>
    <sheetView workbookViewId="0"/>
  </sheetViews>
  <sheetFormatPr defaultRowHeight="14.25" x14ac:dyDescent="0.45"/>
  <cols>
    <col min="1" max="1" width="3.77734375" style="14" customWidth="1"/>
    <col min="2" max="2" width="2.77734375" style="14" customWidth="1"/>
    <col min="3" max="3" width="26.6640625" style="14" customWidth="1"/>
    <col min="4" max="4" width="1.21875" style="14" customWidth="1"/>
    <col min="5" max="5" width="9.6640625" style="14" customWidth="1"/>
    <col min="6" max="6" width="2.5546875" style="14" customWidth="1"/>
    <col min="7" max="7" width="9.6640625" style="14" customWidth="1"/>
    <col min="8" max="8" width="3.6640625" style="14" customWidth="1"/>
    <col min="9" max="9" width="10.88671875" style="14" customWidth="1"/>
    <col min="10" max="10" width="2.77734375" style="14" customWidth="1"/>
    <col min="11" max="11" width="9.6640625" style="14" customWidth="1"/>
    <col min="12" max="16384" width="8.88671875" style="14"/>
  </cols>
  <sheetData>
    <row r="2" spans="2:11" x14ac:dyDescent="0.45">
      <c r="B2" s="25"/>
      <c r="C2" s="282"/>
      <c r="D2" s="282"/>
      <c r="E2" s="282"/>
      <c r="F2" s="282"/>
      <c r="G2" s="282"/>
      <c r="H2" s="282"/>
      <c r="I2" s="282"/>
      <c r="J2" s="230"/>
      <c r="K2" s="231"/>
    </row>
    <row r="3" spans="2:11" ht="18" x14ac:dyDescent="0.55000000000000004">
      <c r="B3" s="15"/>
      <c r="C3" s="275" t="s">
        <v>69</v>
      </c>
      <c r="D3" s="275"/>
      <c r="E3" s="275"/>
      <c r="F3" s="275"/>
      <c r="G3" s="275"/>
      <c r="H3" s="275"/>
      <c r="I3" s="275"/>
      <c r="J3" s="188"/>
      <c r="K3" s="30"/>
    </row>
    <row r="4" spans="2:11" ht="18" x14ac:dyDescent="0.55000000000000004">
      <c r="B4" s="15"/>
      <c r="C4" s="17" t="s">
        <v>44</v>
      </c>
      <c r="D4" s="17"/>
      <c r="E4" s="17"/>
      <c r="F4" s="17"/>
      <c r="G4" s="17"/>
      <c r="H4" s="17"/>
      <c r="I4" s="17"/>
      <c r="J4" s="188"/>
      <c r="K4" s="30"/>
    </row>
    <row r="5" spans="2:11" x14ac:dyDescent="0.45">
      <c r="B5" s="15"/>
      <c r="C5" s="159"/>
      <c r="D5" s="179"/>
      <c r="E5" s="179"/>
      <c r="F5" s="179"/>
      <c r="G5" s="179"/>
      <c r="H5" s="179"/>
      <c r="I5" s="179"/>
      <c r="J5" s="188"/>
      <c r="K5" s="30"/>
    </row>
    <row r="6" spans="2:11" x14ac:dyDescent="0.45">
      <c r="B6" s="15"/>
      <c r="C6" s="22"/>
      <c r="D6" s="22"/>
      <c r="E6" s="22"/>
      <c r="F6" s="22"/>
      <c r="G6" s="22"/>
      <c r="H6" s="22"/>
      <c r="I6" s="22"/>
      <c r="J6" s="188"/>
      <c r="K6" s="30"/>
    </row>
    <row r="7" spans="2:11" x14ac:dyDescent="0.45">
      <c r="B7" s="15"/>
      <c r="C7" s="189"/>
      <c r="D7" s="210"/>
      <c r="E7" s="189"/>
      <c r="F7" s="210"/>
      <c r="G7" s="189"/>
      <c r="H7" s="189"/>
      <c r="I7" s="211" t="s">
        <v>45</v>
      </c>
      <c r="J7" s="188"/>
      <c r="K7" s="30"/>
    </row>
    <row r="8" spans="2:11" ht="6.95" customHeight="1" x14ac:dyDescent="0.45">
      <c r="B8" s="15"/>
      <c r="C8" s="189"/>
      <c r="D8" s="210"/>
      <c r="E8" s="189"/>
      <c r="F8" s="210"/>
      <c r="G8" s="189"/>
      <c r="H8" s="189"/>
      <c r="I8" s="211"/>
      <c r="J8" s="188"/>
      <c r="K8" s="30"/>
    </row>
    <row r="9" spans="2:11" x14ac:dyDescent="0.45">
      <c r="B9" s="15"/>
      <c r="C9" s="189" t="s">
        <v>46</v>
      </c>
      <c r="D9" s="210"/>
      <c r="E9" s="189"/>
      <c r="F9" s="210"/>
      <c r="G9" s="189"/>
      <c r="H9" s="189"/>
      <c r="I9" s="212">
        <f>Sys!F39</f>
        <v>0.17833174434782262</v>
      </c>
      <c r="J9" s="188"/>
      <c r="K9" s="30"/>
    </row>
    <row r="10" spans="2:11" x14ac:dyDescent="0.45">
      <c r="B10" s="15"/>
      <c r="C10" s="189" t="s">
        <v>63</v>
      </c>
      <c r="D10" s="210"/>
      <c r="E10" s="189"/>
      <c r="F10" s="210"/>
      <c r="G10" s="189"/>
      <c r="H10" s="189"/>
      <c r="I10" s="212">
        <f>Sys!F36</f>
        <v>2.5508491949914114E-2</v>
      </c>
      <c r="J10" s="188"/>
      <c r="K10" s="30"/>
    </row>
    <row r="11" spans="2:11" x14ac:dyDescent="0.45">
      <c r="B11" s="15"/>
      <c r="C11" s="189" t="s">
        <v>62</v>
      </c>
      <c r="D11" s="210"/>
      <c r="E11" s="189"/>
      <c r="F11" s="210"/>
      <c r="G11" s="189"/>
      <c r="H11" s="189"/>
      <c r="I11" s="212">
        <f>I10+I9</f>
        <v>0.20384023629773673</v>
      </c>
      <c r="J11" s="188"/>
      <c r="K11" s="30"/>
    </row>
    <row r="12" spans="2:11" x14ac:dyDescent="0.45">
      <c r="B12" s="15"/>
      <c r="C12" s="189" t="s">
        <v>47</v>
      </c>
      <c r="D12" s="210"/>
      <c r="E12" s="189"/>
      <c r="F12" s="210"/>
      <c r="G12" s="189"/>
      <c r="H12" s="189"/>
      <c r="I12" s="213">
        <f>Sys!G23</f>
        <v>362.56</v>
      </c>
      <c r="J12" s="188"/>
    </row>
    <row r="13" spans="2:11" x14ac:dyDescent="0.45">
      <c r="B13" s="15"/>
      <c r="C13" s="189" t="s">
        <v>48</v>
      </c>
      <c r="D13" s="210"/>
      <c r="E13" s="189"/>
      <c r="F13" s="210"/>
      <c r="G13" s="189"/>
      <c r="H13" s="189"/>
      <c r="I13" s="213">
        <f>Sys!E23</f>
        <v>714.7</v>
      </c>
      <c r="J13" s="188"/>
    </row>
    <row r="14" spans="2:11" x14ac:dyDescent="0.45">
      <c r="B14" s="15"/>
      <c r="C14" s="189" t="s">
        <v>49</v>
      </c>
      <c r="D14" s="210"/>
      <c r="E14" s="189"/>
      <c r="F14" s="210"/>
      <c r="G14" s="189"/>
      <c r="H14" s="189"/>
      <c r="I14" s="213">
        <f>Sys!E33</f>
        <v>164839.9</v>
      </c>
      <c r="J14" s="188"/>
    </row>
    <row r="15" spans="2:11" x14ac:dyDescent="0.45">
      <c r="B15" s="15"/>
      <c r="C15" s="189" t="s">
        <v>50</v>
      </c>
      <c r="D15" s="210"/>
      <c r="E15" s="189"/>
      <c r="F15" s="210"/>
      <c r="G15" s="189"/>
      <c r="H15" s="189"/>
      <c r="I15" s="213">
        <f>Sys!E34</f>
        <v>360707.8</v>
      </c>
      <c r="J15" s="188"/>
    </row>
    <row r="16" spans="2:11" x14ac:dyDescent="0.45">
      <c r="B16" s="15"/>
      <c r="C16" s="189"/>
      <c r="D16" s="210"/>
      <c r="E16" s="189"/>
      <c r="F16" s="210"/>
      <c r="G16" s="189"/>
      <c r="H16" s="189"/>
      <c r="I16" s="212"/>
      <c r="J16" s="188"/>
    </row>
    <row r="17" spans="2:10" x14ac:dyDescent="0.45">
      <c r="B17" s="15"/>
      <c r="C17" s="189"/>
      <c r="D17" s="210"/>
      <c r="E17" s="189"/>
      <c r="F17" s="210"/>
      <c r="G17" s="214">
        <v>1</v>
      </c>
      <c r="H17" s="189"/>
      <c r="I17" s="212"/>
      <c r="J17" s="188"/>
    </row>
    <row r="18" spans="2:10" x14ac:dyDescent="0.45">
      <c r="B18" s="15"/>
      <c r="C18" s="189" t="s">
        <v>51</v>
      </c>
      <c r="D18" s="210"/>
      <c r="E18" s="22" t="s">
        <v>90</v>
      </c>
      <c r="F18" s="22"/>
      <c r="G18" s="22"/>
      <c r="H18" s="210" t="s">
        <v>52</v>
      </c>
      <c r="I18" s="212">
        <f>1/(1-I11)</f>
        <v>1.2560293116922272</v>
      </c>
      <c r="J18" s="188"/>
    </row>
    <row r="19" spans="2:10" x14ac:dyDescent="0.45">
      <c r="B19" s="15"/>
      <c r="C19" s="189"/>
      <c r="D19" s="210"/>
      <c r="E19" s="189">
        <v>1</v>
      </c>
      <c r="F19" s="210" t="s">
        <v>53</v>
      </c>
      <c r="G19" s="215">
        <f>I11</f>
        <v>0.20384023629773673</v>
      </c>
      <c r="H19" s="210"/>
      <c r="I19" s="212"/>
      <c r="J19" s="188"/>
    </row>
    <row r="20" spans="2:10" x14ac:dyDescent="0.45">
      <c r="B20" s="15"/>
      <c r="C20" s="189"/>
      <c r="D20" s="210"/>
      <c r="E20" s="189"/>
      <c r="F20" s="210"/>
      <c r="G20" s="216"/>
      <c r="H20" s="210"/>
      <c r="I20" s="212"/>
      <c r="J20" s="188"/>
    </row>
    <row r="21" spans="2:10" x14ac:dyDescent="0.45">
      <c r="B21" s="15"/>
      <c r="C21" s="189"/>
      <c r="D21" s="210"/>
      <c r="E21" s="189"/>
      <c r="F21" s="22"/>
      <c r="G21" s="217">
        <f>I12</f>
        <v>362.56</v>
      </c>
      <c r="H21" s="210"/>
      <c r="I21" s="212"/>
      <c r="J21" s="188"/>
    </row>
    <row r="22" spans="2:10" x14ac:dyDescent="0.45">
      <c r="B22" s="15"/>
      <c r="C22" s="189" t="s">
        <v>54</v>
      </c>
      <c r="D22" s="210"/>
      <c r="E22" s="22"/>
      <c r="F22" s="214" t="s">
        <v>91</v>
      </c>
      <c r="G22" s="214"/>
      <c r="H22" s="210" t="s">
        <v>52</v>
      </c>
      <c r="I22" s="212">
        <f>G21/G23</f>
        <v>0.5072897719322792</v>
      </c>
      <c r="J22" s="188"/>
    </row>
    <row r="23" spans="2:10" x14ac:dyDescent="0.45">
      <c r="B23" s="15"/>
      <c r="C23" s="189"/>
      <c r="D23" s="210"/>
      <c r="E23" s="218"/>
      <c r="F23" s="210"/>
      <c r="G23" s="217">
        <f>I13</f>
        <v>714.7</v>
      </c>
      <c r="H23" s="210"/>
      <c r="I23" s="212"/>
      <c r="J23" s="188"/>
    </row>
    <row r="24" spans="2:10" x14ac:dyDescent="0.45">
      <c r="B24" s="15"/>
      <c r="C24" s="189"/>
      <c r="D24" s="210"/>
      <c r="E24" s="218"/>
      <c r="F24" s="210"/>
      <c r="G24" s="189"/>
      <c r="H24" s="210"/>
      <c r="I24" s="212"/>
      <c r="J24" s="188"/>
    </row>
    <row r="25" spans="2:10" x14ac:dyDescent="0.45">
      <c r="B25" s="15"/>
      <c r="C25" s="189" t="s">
        <v>103</v>
      </c>
      <c r="D25" s="219"/>
      <c r="E25" s="220">
        <f>I9</f>
        <v>0.17833174434782262</v>
      </c>
      <c r="F25" s="210" t="s">
        <v>55</v>
      </c>
      <c r="G25" s="221">
        <f>I22</f>
        <v>0.5072897719322792</v>
      </c>
      <c r="H25" s="210" t="s">
        <v>52</v>
      </c>
      <c r="I25" s="212">
        <f>E25*G25</f>
        <v>9.0465869918492453E-2</v>
      </c>
      <c r="J25" s="188"/>
    </row>
    <row r="26" spans="2:10" x14ac:dyDescent="0.45">
      <c r="B26" s="15"/>
      <c r="C26" s="189"/>
      <c r="D26" s="219"/>
      <c r="E26" s="220"/>
      <c r="F26" s="210"/>
      <c r="G26" s="221"/>
      <c r="H26" s="210"/>
      <c r="I26" s="212"/>
      <c r="J26" s="188"/>
    </row>
    <row r="27" spans="2:10" x14ac:dyDescent="0.45">
      <c r="B27" s="15"/>
      <c r="C27" s="189"/>
      <c r="D27" s="219"/>
      <c r="E27" s="220"/>
      <c r="F27" s="210"/>
      <c r="G27" s="221"/>
      <c r="H27" s="210"/>
      <c r="I27" s="212"/>
      <c r="J27" s="188"/>
    </row>
    <row r="28" spans="2:10" x14ac:dyDescent="0.45">
      <c r="B28" s="15"/>
      <c r="C28" s="189" t="s">
        <v>64</v>
      </c>
      <c r="D28" s="219"/>
      <c r="E28" s="220">
        <f>I25</f>
        <v>9.0465869918492453E-2</v>
      </c>
      <c r="F28" s="210" t="s">
        <v>65</v>
      </c>
      <c r="G28" s="221">
        <f>I10</f>
        <v>2.5508491949914114E-2</v>
      </c>
      <c r="H28" s="210" t="s">
        <v>52</v>
      </c>
      <c r="I28" s="212">
        <f>E28+G28</f>
        <v>0.11597436186840657</v>
      </c>
      <c r="J28" s="188"/>
    </row>
    <row r="29" spans="2:10" x14ac:dyDescent="0.45">
      <c r="B29" s="15"/>
      <c r="C29" s="189"/>
      <c r="D29" s="219"/>
      <c r="E29" s="220"/>
      <c r="F29" s="210"/>
      <c r="G29" s="189"/>
      <c r="H29" s="210"/>
      <c r="I29" s="212"/>
      <c r="J29" s="188"/>
    </row>
    <row r="30" spans="2:10" x14ac:dyDescent="0.45">
      <c r="B30" s="15"/>
      <c r="C30" s="189"/>
      <c r="D30" s="210"/>
      <c r="E30" s="189"/>
      <c r="F30" s="210"/>
      <c r="G30" s="214">
        <v>1</v>
      </c>
      <c r="H30" s="210"/>
      <c r="I30" s="222"/>
      <c r="J30" s="188"/>
    </row>
    <row r="31" spans="2:10" x14ac:dyDescent="0.45">
      <c r="B31" s="15"/>
      <c r="C31" s="189" t="s">
        <v>56</v>
      </c>
      <c r="D31" s="210"/>
      <c r="E31" s="22" t="s">
        <v>360</v>
      </c>
      <c r="F31" s="22"/>
      <c r="G31" s="22"/>
      <c r="H31" s="210" t="s">
        <v>52</v>
      </c>
      <c r="I31" s="212">
        <f>1/(1-G32)</f>
        <v>1.1311889122509171</v>
      </c>
      <c r="J31" s="188"/>
    </row>
    <row r="32" spans="2:10" x14ac:dyDescent="0.45">
      <c r="B32" s="15"/>
      <c r="C32" s="189"/>
      <c r="D32" s="210"/>
      <c r="E32" s="189">
        <v>1</v>
      </c>
      <c r="F32" s="210" t="s">
        <v>53</v>
      </c>
      <c r="G32" s="215">
        <f>I28</f>
        <v>0.11597436186840657</v>
      </c>
      <c r="H32" s="210"/>
      <c r="I32" s="212"/>
      <c r="J32" s="188"/>
    </row>
    <row r="33" spans="2:10" x14ac:dyDescent="0.45">
      <c r="B33" s="15"/>
      <c r="C33" s="189"/>
      <c r="D33" s="210"/>
      <c r="E33" s="189"/>
      <c r="F33" s="210"/>
      <c r="G33" s="215"/>
      <c r="H33" s="210"/>
      <c r="I33" s="212"/>
      <c r="J33" s="188"/>
    </row>
    <row r="34" spans="2:10" x14ac:dyDescent="0.45">
      <c r="B34" s="15"/>
      <c r="C34" s="189"/>
      <c r="D34" s="210"/>
      <c r="E34" s="223">
        <f>I31</f>
        <v>1.1311889122509171</v>
      </c>
      <c r="F34" s="210"/>
      <c r="G34" s="224">
        <f>$I$14</f>
        <v>164839.9</v>
      </c>
      <c r="H34" s="210"/>
      <c r="I34" s="212"/>
      <c r="J34" s="188"/>
    </row>
    <row r="35" spans="2:10" x14ac:dyDescent="0.45">
      <c r="B35" s="15"/>
      <c r="C35" s="225" t="s">
        <v>94</v>
      </c>
      <c r="D35" s="210"/>
      <c r="E35" s="210" t="s">
        <v>57</v>
      </c>
      <c r="F35" s="210" t="s">
        <v>55</v>
      </c>
      <c r="G35" s="210" t="s">
        <v>57</v>
      </c>
      <c r="H35" s="210" t="s">
        <v>52</v>
      </c>
      <c r="I35" s="226">
        <f>(I31/I18)*(+G34/G36)</f>
        <v>0.4115685433528431</v>
      </c>
      <c r="J35" s="188"/>
    </row>
    <row r="36" spans="2:10" x14ac:dyDescent="0.45">
      <c r="B36" s="15"/>
      <c r="C36" s="189"/>
      <c r="D36" s="210"/>
      <c r="E36" s="223">
        <f>I18</f>
        <v>1.2560293116922272</v>
      </c>
      <c r="F36" s="210"/>
      <c r="G36" s="224">
        <f>$I$15</f>
        <v>360707.8</v>
      </c>
      <c r="H36" s="210"/>
      <c r="I36" s="226"/>
      <c r="J36" s="188"/>
    </row>
    <row r="37" spans="2:10" x14ac:dyDescent="0.45">
      <c r="B37" s="15"/>
      <c r="C37" s="189"/>
      <c r="D37" s="210"/>
      <c r="E37" s="223"/>
      <c r="F37" s="210"/>
      <c r="G37" s="224"/>
      <c r="H37" s="210"/>
      <c r="I37" s="226"/>
      <c r="J37" s="188"/>
    </row>
    <row r="38" spans="2:10" x14ac:dyDescent="0.45">
      <c r="B38" s="15"/>
      <c r="C38" s="189"/>
      <c r="D38" s="210"/>
      <c r="E38" s="224">
        <f>$I$14</f>
        <v>164839.9</v>
      </c>
      <c r="F38" s="210"/>
      <c r="G38" s="189"/>
      <c r="H38" s="210"/>
      <c r="I38" s="226"/>
      <c r="J38" s="188"/>
    </row>
    <row r="39" spans="2:10" x14ac:dyDescent="0.45">
      <c r="B39" s="15"/>
      <c r="C39" s="225" t="s">
        <v>58</v>
      </c>
      <c r="D39" s="210"/>
      <c r="E39" s="210" t="s">
        <v>57</v>
      </c>
      <c r="F39" s="210" t="s">
        <v>55</v>
      </c>
      <c r="G39" s="215">
        <f>I22</f>
        <v>0.5072897719322792</v>
      </c>
      <c r="H39" s="210" t="s">
        <v>52</v>
      </c>
      <c r="I39" s="226">
        <f>(+E38/E40)*I22</f>
        <v>0.23182641261525178</v>
      </c>
      <c r="J39" s="188"/>
    </row>
    <row r="40" spans="2:10" x14ac:dyDescent="0.45">
      <c r="B40" s="15"/>
      <c r="C40" s="189"/>
      <c r="D40" s="210"/>
      <c r="E40" s="224">
        <f>$I$15</f>
        <v>360707.8</v>
      </c>
      <c r="F40" s="210"/>
      <c r="G40" s="189"/>
      <c r="H40" s="210"/>
      <c r="I40" s="226"/>
      <c r="J40" s="188"/>
    </row>
    <row r="41" spans="2:10" x14ac:dyDescent="0.45">
      <c r="B41" s="15"/>
      <c r="C41" s="189"/>
      <c r="D41" s="210"/>
      <c r="E41" s="189"/>
      <c r="F41" s="210"/>
      <c r="G41" s="189"/>
      <c r="H41" s="210"/>
      <c r="I41" s="226"/>
      <c r="J41" s="188"/>
    </row>
    <row r="42" spans="2:10" x14ac:dyDescent="0.45">
      <c r="B42" s="15"/>
      <c r="C42" s="189"/>
      <c r="D42" s="210"/>
      <c r="E42" s="189"/>
      <c r="F42" s="210"/>
      <c r="G42" s="224">
        <f>$I$14</f>
        <v>164839.9</v>
      </c>
      <c r="H42" s="210"/>
      <c r="I42" s="226"/>
      <c r="J42" s="188"/>
    </row>
    <row r="43" spans="2:10" x14ac:dyDescent="0.45">
      <c r="B43" s="15"/>
      <c r="C43" s="225" t="s">
        <v>318</v>
      </c>
      <c r="D43" s="210"/>
      <c r="E43" s="189"/>
      <c r="F43" s="210"/>
      <c r="G43" s="210" t="s">
        <v>57</v>
      </c>
      <c r="H43" s="210" t="s">
        <v>52</v>
      </c>
      <c r="I43" s="226">
        <f>G42/G44</f>
        <v>0.45699011776290949</v>
      </c>
      <c r="J43" s="188"/>
    </row>
    <row r="44" spans="2:10" x14ac:dyDescent="0.45">
      <c r="B44" s="15"/>
      <c r="C44" s="22"/>
      <c r="D44" s="119"/>
      <c r="E44" s="22"/>
      <c r="F44" s="119"/>
      <c r="G44" s="224">
        <f>$I$15</f>
        <v>360707.8</v>
      </c>
      <c r="H44" s="22"/>
      <c r="I44" s="104"/>
      <c r="J44" s="188"/>
    </row>
    <row r="45" spans="2:10" x14ac:dyDescent="0.45">
      <c r="B45" s="32"/>
      <c r="C45" s="192"/>
      <c r="D45" s="227"/>
      <c r="E45" s="192"/>
      <c r="F45" s="227"/>
      <c r="G45" s="192"/>
      <c r="H45" s="192"/>
      <c r="I45" s="192"/>
      <c r="J45" s="228"/>
    </row>
    <row r="46" spans="2:10" x14ac:dyDescent="0.45">
      <c r="C46" s="30"/>
      <c r="D46" s="229"/>
      <c r="E46" s="30"/>
      <c r="F46" s="229"/>
      <c r="G46" s="30"/>
      <c r="H46" s="30"/>
      <c r="I46" s="30"/>
      <c r="J46" s="30"/>
    </row>
    <row r="47" spans="2:10" x14ac:dyDescent="0.45">
      <c r="C47" s="30"/>
      <c r="D47" s="30"/>
      <c r="E47" s="30"/>
      <c r="F47" s="30"/>
      <c r="G47" s="30"/>
      <c r="H47" s="30"/>
      <c r="I47" s="30"/>
      <c r="J47" s="30"/>
    </row>
    <row r="48" spans="2:10" x14ac:dyDescent="0.45">
      <c r="C48" s="30"/>
      <c r="D48" s="30"/>
      <c r="E48" s="30"/>
      <c r="F48" s="30"/>
      <c r="G48" s="30"/>
      <c r="H48" s="30"/>
      <c r="I48" s="30"/>
      <c r="J48" s="30"/>
    </row>
  </sheetData>
  <mergeCells count="2">
    <mergeCell ref="C2:I2"/>
    <mergeCell ref="C3:I3"/>
  </mergeCells>
  <printOptions horizontalCentered="1"/>
  <pageMargins left="0.75" right="0.75" top="1" bottom="0.75" header="0.3" footer="0.3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53"/>
  <sheetViews>
    <sheetView workbookViewId="0"/>
  </sheetViews>
  <sheetFormatPr defaultRowHeight="15.4" x14ac:dyDescent="0.45"/>
  <cols>
    <col min="1" max="1" width="2.6640625" customWidth="1"/>
    <col min="2" max="2" width="1.77734375" customWidth="1"/>
    <col min="3" max="3" width="4.6640625" customWidth="1"/>
    <col min="4" max="4" width="18.5546875" customWidth="1"/>
    <col min="5" max="5" width="11.6640625" customWidth="1"/>
    <col min="6" max="6" width="8.21875" customWidth="1"/>
    <col min="7" max="7" width="8.77734375" customWidth="1"/>
    <col min="8" max="8" width="12.6640625" customWidth="1"/>
    <col min="9" max="9" width="11.33203125" customWidth="1"/>
    <col min="10" max="10" width="1.33203125" customWidth="1"/>
    <col min="11" max="11" width="6.6640625" customWidth="1"/>
    <col min="12" max="12" width="10.6640625" style="14" customWidth="1"/>
    <col min="13" max="14" width="10.6640625" customWidth="1"/>
  </cols>
  <sheetData>
    <row r="2" spans="2:14" x14ac:dyDescent="0.45">
      <c r="B2" s="3"/>
      <c r="C2" s="4"/>
      <c r="D2" s="4"/>
      <c r="E2" s="4"/>
      <c r="F2" s="4"/>
      <c r="G2" s="4"/>
      <c r="H2" s="4"/>
      <c r="I2" s="4"/>
      <c r="J2" s="5"/>
      <c r="K2" s="1"/>
    </row>
    <row r="3" spans="2:14" ht="18" x14ac:dyDescent="0.55000000000000004">
      <c r="B3" s="2"/>
      <c r="C3" s="275" t="s">
        <v>99</v>
      </c>
      <c r="D3" s="275"/>
      <c r="E3" s="275"/>
      <c r="F3" s="275"/>
      <c r="G3" s="275"/>
      <c r="H3" s="275"/>
      <c r="I3" s="275"/>
      <c r="J3" s="257"/>
      <c r="K3" s="256"/>
      <c r="M3" s="14"/>
      <c r="N3" s="14"/>
    </row>
    <row r="4" spans="2:14" ht="18" x14ac:dyDescent="0.55000000000000004">
      <c r="B4" s="2"/>
      <c r="C4" s="284" t="s">
        <v>11</v>
      </c>
      <c r="D4" s="284"/>
      <c r="E4" s="284"/>
      <c r="F4" s="284"/>
      <c r="G4" s="284"/>
      <c r="H4" s="284"/>
      <c r="I4" s="284"/>
      <c r="J4" s="105"/>
      <c r="K4" s="18"/>
      <c r="L4" s="19"/>
      <c r="M4" s="20"/>
      <c r="N4" s="20"/>
    </row>
    <row r="5" spans="2:14" x14ac:dyDescent="0.45">
      <c r="B5" s="2"/>
      <c r="C5" s="106"/>
      <c r="D5" s="18"/>
      <c r="E5" s="18"/>
      <c r="F5" s="18"/>
      <c r="G5" s="18"/>
      <c r="H5" s="18"/>
      <c r="I5" s="18"/>
      <c r="J5" s="105"/>
      <c r="K5" s="18"/>
      <c r="L5" s="19"/>
      <c r="M5" s="20"/>
      <c r="N5" s="20"/>
    </row>
    <row r="6" spans="2:14" x14ac:dyDescent="0.45">
      <c r="B6" s="2"/>
      <c r="C6" s="19"/>
      <c r="D6" s="20"/>
      <c r="E6" s="20"/>
      <c r="F6" s="20"/>
      <c r="G6" s="20"/>
      <c r="H6" s="20"/>
      <c r="I6" s="20"/>
      <c r="J6" s="28"/>
      <c r="K6" s="20"/>
      <c r="L6" s="19"/>
      <c r="M6" s="20"/>
      <c r="N6" s="21"/>
    </row>
    <row r="7" spans="2:14" x14ac:dyDescent="0.45">
      <c r="B7" s="2"/>
      <c r="C7" s="19"/>
      <c r="D7" s="20"/>
      <c r="E7" s="21"/>
      <c r="F7" s="283" t="s">
        <v>101</v>
      </c>
      <c r="G7" s="283"/>
      <c r="H7" s="21" t="s">
        <v>13</v>
      </c>
      <c r="I7" s="21"/>
      <c r="J7" s="107"/>
      <c r="K7" s="258"/>
      <c r="L7" s="197"/>
      <c r="M7" s="21"/>
      <c r="N7" s="21"/>
    </row>
    <row r="8" spans="2:14" x14ac:dyDescent="0.45">
      <c r="B8" s="2"/>
      <c r="C8" s="19"/>
      <c r="D8" s="20"/>
      <c r="E8" s="21" t="s">
        <v>14</v>
      </c>
      <c r="F8" s="21" t="s">
        <v>102</v>
      </c>
      <c r="G8" s="21" t="s">
        <v>15</v>
      </c>
      <c r="H8" s="21" t="s">
        <v>12</v>
      </c>
      <c r="I8" s="21" t="s">
        <v>16</v>
      </c>
      <c r="J8" s="107"/>
      <c r="K8" s="258"/>
      <c r="L8" s="197"/>
      <c r="M8" s="21"/>
      <c r="N8" s="21"/>
    </row>
    <row r="9" spans="2:14" x14ac:dyDescent="0.45">
      <c r="B9" s="2"/>
      <c r="C9" s="22" t="s">
        <v>317</v>
      </c>
      <c r="D9" s="20"/>
      <c r="E9" s="20"/>
      <c r="F9" s="20"/>
      <c r="G9" s="20"/>
      <c r="H9" s="20"/>
      <c r="I9" s="20"/>
      <c r="J9" s="28"/>
      <c r="K9" s="20"/>
      <c r="L9" s="200"/>
      <c r="M9" s="20"/>
      <c r="N9" s="20"/>
    </row>
    <row r="10" spans="2:14" x14ac:dyDescent="0.45">
      <c r="B10" s="2"/>
      <c r="C10" s="22"/>
      <c r="D10" s="20" t="s">
        <v>59</v>
      </c>
      <c r="E10" s="39">
        <f>mtrx!G93</f>
        <v>704013.37120678555</v>
      </c>
      <c r="F10" s="119" t="s">
        <v>95</v>
      </c>
      <c r="G10" s="103">
        <f>Fac!$I$35</f>
        <v>0.4115685433528431</v>
      </c>
      <c r="H10" s="39">
        <f t="shared" ref="H10:H11" si="0">E10*G10</f>
        <v>289749.75768850115</v>
      </c>
      <c r="I10" s="39">
        <f t="shared" ref="I10:I11" si="1">E10-H10</f>
        <v>414263.6135182844</v>
      </c>
      <c r="J10" s="28"/>
      <c r="K10" s="20"/>
      <c r="L10" s="19"/>
      <c r="M10" s="20"/>
      <c r="N10" s="20"/>
    </row>
    <row r="11" spans="2:14" x14ac:dyDescent="0.45">
      <c r="B11" s="2"/>
      <c r="C11" s="22"/>
      <c r="D11" s="22" t="s">
        <v>19</v>
      </c>
      <c r="E11" s="39">
        <f>mtrx!H93</f>
        <v>246574.46614084442</v>
      </c>
      <c r="F11" s="119" t="s">
        <v>17</v>
      </c>
      <c r="G11" s="103">
        <f>Fac!$I$39</f>
        <v>0.23182641261525178</v>
      </c>
      <c r="H11" s="39">
        <f t="shared" si="0"/>
        <v>57162.473927952829</v>
      </c>
      <c r="I11" s="39">
        <f t="shared" si="1"/>
        <v>189411.99221289158</v>
      </c>
      <c r="J11" s="28"/>
      <c r="K11" s="20"/>
      <c r="L11" s="19"/>
      <c r="M11" s="20"/>
      <c r="N11" s="20"/>
    </row>
    <row r="12" spans="2:14" x14ac:dyDescent="0.45">
      <c r="B12" s="2"/>
      <c r="C12" s="19"/>
      <c r="D12" s="20" t="s">
        <v>18</v>
      </c>
      <c r="E12" s="39">
        <f>mtrx!J93</f>
        <v>119287.05847870861</v>
      </c>
      <c r="F12" s="119" t="s">
        <v>17</v>
      </c>
      <c r="G12" s="103">
        <f>Fac!$I$39</f>
        <v>0.23182641261525178</v>
      </c>
      <c r="H12" s="39">
        <f t="shared" ref="H12" si="2">E12*G12</f>
        <v>27653.890838544772</v>
      </c>
      <c r="I12" s="39">
        <f t="shared" ref="I12:I13" si="3">E12-H12</f>
        <v>91633.16764016384</v>
      </c>
      <c r="J12" s="108"/>
      <c r="K12" s="39"/>
      <c r="M12" s="20"/>
      <c r="N12" s="20"/>
    </row>
    <row r="13" spans="2:14" x14ac:dyDescent="0.45">
      <c r="B13" s="2"/>
      <c r="C13" s="19"/>
      <c r="D13" s="36" t="s">
        <v>20</v>
      </c>
      <c r="E13" s="39">
        <f>mtrx!I93</f>
        <v>233906.6503090132</v>
      </c>
      <c r="F13" s="120"/>
      <c r="G13" s="103"/>
      <c r="H13" s="39"/>
      <c r="I13" s="39">
        <f t="shared" si="3"/>
        <v>233906.6503090132</v>
      </c>
      <c r="J13" s="108"/>
      <c r="K13" s="39"/>
      <c r="L13" s="20">
        <f>SUM(E10:E13)</f>
        <v>1303781.5461353518</v>
      </c>
      <c r="M13" s="20"/>
      <c r="N13" s="20"/>
    </row>
    <row r="14" spans="2:14" ht="6.95" customHeight="1" x14ac:dyDescent="0.45">
      <c r="B14" s="2"/>
      <c r="C14" s="19"/>
      <c r="D14" s="20"/>
      <c r="E14" s="39"/>
      <c r="F14" s="119"/>
      <c r="G14" s="104"/>
      <c r="H14" s="39"/>
      <c r="I14" s="39"/>
      <c r="J14" s="108"/>
      <c r="K14" s="39"/>
      <c r="M14" s="20"/>
      <c r="N14" s="20"/>
    </row>
    <row r="15" spans="2:14" x14ac:dyDescent="0.45">
      <c r="B15" s="2"/>
      <c r="C15" s="19" t="s">
        <v>2</v>
      </c>
      <c r="D15" s="20"/>
      <c r="E15" s="39"/>
      <c r="F15" s="119"/>
      <c r="G15" s="104"/>
      <c r="H15" s="39"/>
      <c r="I15" s="39"/>
      <c r="J15" s="108"/>
      <c r="K15" s="39"/>
      <c r="M15" s="20"/>
      <c r="N15" s="20"/>
    </row>
    <row r="16" spans="2:14" x14ac:dyDescent="0.45">
      <c r="B16" s="2"/>
      <c r="C16" s="19"/>
      <c r="D16" s="20" t="s">
        <v>59</v>
      </c>
      <c r="E16" s="39">
        <f>AlocDep!E20</f>
        <v>151611.75682251077</v>
      </c>
      <c r="F16" s="119" t="s">
        <v>95</v>
      </c>
      <c r="G16" s="103">
        <f>Fac!$I$35</f>
        <v>0.4115685433528431</v>
      </c>
      <c r="H16" s="39">
        <f>E16*G16</f>
        <v>62398.629910606229</v>
      </c>
      <c r="I16" s="39">
        <f>E16-H16</f>
        <v>89213.126911904546</v>
      </c>
      <c r="J16" s="108"/>
      <c r="K16" s="39"/>
      <c r="M16" s="20"/>
      <c r="N16" s="20"/>
    </row>
    <row r="17" spans="2:14" x14ac:dyDescent="0.45">
      <c r="B17" s="2"/>
      <c r="C17" s="19"/>
      <c r="D17" s="22" t="s">
        <v>19</v>
      </c>
      <c r="E17" s="39">
        <f>AlocDep!F20</f>
        <v>155932.9813741126</v>
      </c>
      <c r="F17" s="119" t="s">
        <v>17</v>
      </c>
      <c r="G17" s="103">
        <f>Fac!$I$39</f>
        <v>0.23182641261525178</v>
      </c>
      <c r="H17" s="39">
        <f>E17*G17</f>
        <v>36149.383680361396</v>
      </c>
      <c r="I17" s="39">
        <f>E17-H17</f>
        <v>119783.5976937512</v>
      </c>
      <c r="J17" s="108"/>
      <c r="K17" s="39"/>
      <c r="M17" s="20"/>
      <c r="N17" s="20"/>
    </row>
    <row r="18" spans="2:14" x14ac:dyDescent="0.45">
      <c r="B18" s="2"/>
      <c r="C18" s="19"/>
      <c r="D18" s="22" t="s">
        <v>92</v>
      </c>
      <c r="E18" s="39">
        <f>AlocDep!G20</f>
        <v>67507.402555555556</v>
      </c>
      <c r="F18" s="119" t="s">
        <v>319</v>
      </c>
      <c r="G18" s="103">
        <f>Fac!$I$43</f>
        <v>0.45699011776290949</v>
      </c>
      <c r="H18" s="39">
        <f>E18*G18</f>
        <v>30850.215843731472</v>
      </c>
      <c r="I18" s="39">
        <f>E18-H18</f>
        <v>36657.186711824084</v>
      </c>
      <c r="J18" s="108"/>
      <c r="K18" s="39"/>
      <c r="M18" s="20"/>
      <c r="N18" s="20"/>
    </row>
    <row r="19" spans="2:14" x14ac:dyDescent="0.45">
      <c r="B19" s="2"/>
      <c r="C19" s="19"/>
      <c r="D19" s="20" t="s">
        <v>18</v>
      </c>
      <c r="E19" s="39">
        <f>AlocDep!H20</f>
        <v>5604.4103023231264</v>
      </c>
      <c r="F19" s="119" t="s">
        <v>17</v>
      </c>
      <c r="G19" s="103">
        <f>Fac!$I$39</f>
        <v>0.23182641261525178</v>
      </c>
      <c r="H19" s="39">
        <f>E19*G19</f>
        <v>1299.2503352115291</v>
      </c>
      <c r="I19" s="39">
        <f>E19-H19</f>
        <v>4305.1599671115973</v>
      </c>
      <c r="J19" s="108"/>
      <c r="K19" s="39"/>
      <c r="M19" s="20"/>
      <c r="N19" s="20"/>
    </row>
    <row r="20" spans="2:14" x14ac:dyDescent="0.45">
      <c r="B20" s="2"/>
      <c r="C20" s="19"/>
      <c r="D20" s="20" t="s">
        <v>20</v>
      </c>
      <c r="E20" s="39">
        <f>AlocDep!I20</f>
        <v>19245.009097359412</v>
      </c>
      <c r="F20" s="119"/>
      <c r="G20" s="104"/>
      <c r="H20" s="39"/>
      <c r="I20" s="39">
        <f>E20</f>
        <v>19245.009097359412</v>
      </c>
      <c r="J20" s="108"/>
      <c r="K20" s="39"/>
      <c r="L20" s="139">
        <f>SUM(E16:E20)</f>
        <v>399901.56015186151</v>
      </c>
      <c r="M20" s="20"/>
      <c r="N20" s="20"/>
    </row>
    <row r="21" spans="2:14" ht="6.95" customHeight="1" x14ac:dyDescent="0.45">
      <c r="B21" s="2"/>
      <c r="C21" s="19"/>
      <c r="D21" s="20"/>
      <c r="E21" s="39"/>
      <c r="F21" s="119"/>
      <c r="G21" s="104"/>
      <c r="H21" s="39"/>
      <c r="I21" s="39"/>
      <c r="J21" s="108"/>
      <c r="K21" s="39"/>
      <c r="M21" s="20"/>
      <c r="N21" s="20"/>
    </row>
    <row r="22" spans="2:14" x14ac:dyDescent="0.45">
      <c r="B22" s="2"/>
      <c r="C22" s="19" t="s">
        <v>323</v>
      </c>
      <c r="D22" s="20"/>
      <c r="E22" s="39"/>
      <c r="F22" s="119"/>
      <c r="G22" s="104"/>
      <c r="H22" s="39"/>
      <c r="I22" s="39"/>
      <c r="J22" s="108"/>
      <c r="K22" s="39"/>
      <c r="M22" s="20"/>
      <c r="N22" s="20"/>
    </row>
    <row r="23" spans="2:14" x14ac:dyDescent="0.45">
      <c r="B23" s="2"/>
      <c r="C23" s="19"/>
      <c r="D23" s="20" t="s">
        <v>59</v>
      </c>
      <c r="E23" s="39">
        <f>DSalloc!F11</f>
        <v>88316.172183159026</v>
      </c>
      <c r="F23" s="119" t="s">
        <v>95</v>
      </c>
      <c r="G23" s="103">
        <f>Fac!$I$35</f>
        <v>0.4115685433528431</v>
      </c>
      <c r="H23" s="39">
        <f>E23*G23</f>
        <v>36348.15833992164</v>
      </c>
      <c r="I23" s="39">
        <f>E23-H23</f>
        <v>51968.013843237386</v>
      </c>
      <c r="J23" s="108"/>
      <c r="K23" s="39"/>
      <c r="M23" s="20"/>
      <c r="N23" s="20"/>
    </row>
    <row r="24" spans="2:14" x14ac:dyDescent="0.45">
      <c r="B24" s="2"/>
      <c r="C24" s="19"/>
      <c r="D24" s="22" t="s">
        <v>19</v>
      </c>
      <c r="E24" s="39">
        <f>DSalloc!G11</f>
        <v>89453.892288575968</v>
      </c>
      <c r="F24" s="119" t="s">
        <v>17</v>
      </c>
      <c r="G24" s="103">
        <f>Fac!$I$39</f>
        <v>0.23182641261525178</v>
      </c>
      <c r="H24" s="39">
        <f>E24*G24</f>
        <v>20737.7749437317</v>
      </c>
      <c r="I24" s="39">
        <f>E24-H24</f>
        <v>68716.117344844271</v>
      </c>
      <c r="J24" s="108"/>
      <c r="K24" s="39"/>
      <c r="M24" s="20"/>
      <c r="N24" s="20"/>
    </row>
    <row r="25" spans="2:14" x14ac:dyDescent="0.45">
      <c r="B25" s="2"/>
      <c r="C25" s="19"/>
      <c r="D25" s="22" t="s">
        <v>92</v>
      </c>
      <c r="E25" s="39">
        <f>DSalloc!H11</f>
        <v>16489.355528265012</v>
      </c>
      <c r="F25" s="119" t="s">
        <v>319</v>
      </c>
      <c r="G25" s="103">
        <f>Fac!$I$43</f>
        <v>0.45699011776290949</v>
      </c>
      <c r="H25" s="39">
        <f>E25*G25</f>
        <v>7535.4725246963108</v>
      </c>
      <c r="I25" s="39">
        <f>E25-H25</f>
        <v>8953.8830035687024</v>
      </c>
      <c r="J25" s="108"/>
      <c r="K25" s="39"/>
      <c r="L25" s="139">
        <f>SUM(E23:E25)</f>
        <v>194259.41999999998</v>
      </c>
      <c r="M25" s="20"/>
      <c r="N25" s="20"/>
    </row>
    <row r="26" spans="2:14" ht="6.95" customHeight="1" x14ac:dyDescent="0.45">
      <c r="B26" s="2"/>
      <c r="C26" s="19"/>
      <c r="D26" s="20"/>
      <c r="E26" s="39"/>
      <c r="F26" s="39"/>
      <c r="G26" s="104"/>
      <c r="H26" s="39"/>
      <c r="I26" s="39"/>
      <c r="J26" s="108"/>
      <c r="K26" s="39"/>
      <c r="L26" s="19"/>
      <c r="M26" s="20"/>
      <c r="N26" s="20"/>
    </row>
    <row r="27" spans="2:14" x14ac:dyDescent="0.45">
      <c r="B27" s="2"/>
      <c r="C27" s="23" t="s">
        <v>21</v>
      </c>
      <c r="D27" s="16"/>
      <c r="E27" s="208">
        <f>SUM(E10:E25)</f>
        <v>1897942.5262872132</v>
      </c>
      <c r="F27" s="208"/>
      <c r="G27" s="209"/>
      <c r="H27" s="208">
        <f>SUM(H10:H25)</f>
        <v>569885.00803325896</v>
      </c>
      <c r="I27" s="208">
        <f>SUM(I10:I25)</f>
        <v>1328057.5182539541</v>
      </c>
      <c r="J27" s="108"/>
      <c r="K27" s="39"/>
      <c r="L27" s="20">
        <f>I27+H27</f>
        <v>1897942.526287213</v>
      </c>
      <c r="N27" s="20"/>
    </row>
    <row r="28" spans="2:14" ht="6.95" customHeight="1" x14ac:dyDescent="0.45">
      <c r="B28" s="2"/>
      <c r="C28" s="19"/>
      <c r="D28" s="20"/>
      <c r="E28" s="20"/>
      <c r="F28" s="20"/>
      <c r="G28" s="20"/>
      <c r="H28" s="39"/>
      <c r="I28" s="39"/>
      <c r="J28" s="108"/>
      <c r="K28" s="39"/>
      <c r="L28" s="19"/>
      <c r="M28" s="20"/>
      <c r="N28" s="20"/>
    </row>
    <row r="29" spans="2:14" x14ac:dyDescent="0.45">
      <c r="B29" s="2"/>
      <c r="C29" s="19"/>
      <c r="D29" s="20" t="s">
        <v>22</v>
      </c>
      <c r="E29" s="20"/>
      <c r="F29" s="20"/>
      <c r="G29" s="20"/>
      <c r="H29" s="39">
        <f>Fac!I14</f>
        <v>164839.9</v>
      </c>
      <c r="I29" s="39"/>
      <c r="J29" s="108"/>
      <c r="K29" s="39"/>
      <c r="L29" s="19"/>
      <c r="M29" s="20"/>
      <c r="N29" s="20"/>
    </row>
    <row r="30" spans="2:14" ht="6.95" customHeight="1" x14ac:dyDescent="0.45">
      <c r="B30" s="2"/>
      <c r="C30" s="19"/>
      <c r="D30" s="20"/>
      <c r="E30" s="20"/>
      <c r="F30" s="20"/>
      <c r="G30" s="20"/>
      <c r="H30" s="20"/>
      <c r="I30" s="20"/>
      <c r="J30" s="28"/>
      <c r="K30" s="20"/>
      <c r="L30" s="19"/>
      <c r="M30" s="20"/>
      <c r="N30" s="20"/>
    </row>
    <row r="31" spans="2:14" ht="18" x14ac:dyDescent="0.8">
      <c r="B31" s="2"/>
      <c r="C31" s="111" t="s">
        <v>23</v>
      </c>
      <c r="D31" s="112"/>
      <c r="E31" s="112"/>
      <c r="F31" s="112"/>
      <c r="G31" s="112"/>
      <c r="H31" s="117">
        <f>ROUND(H27/H29,2)</f>
        <v>3.46</v>
      </c>
      <c r="I31" s="24"/>
      <c r="J31" s="109"/>
      <c r="K31" s="24"/>
      <c r="L31" s="38"/>
      <c r="M31" s="14"/>
      <c r="N31" s="45"/>
    </row>
    <row r="32" spans="2:14" ht="18" x14ac:dyDescent="0.8">
      <c r="B32" s="2"/>
      <c r="C32" s="111"/>
      <c r="D32" s="112"/>
      <c r="E32" s="112"/>
      <c r="F32" s="112"/>
      <c r="G32" s="112"/>
      <c r="H32" s="117"/>
      <c r="I32" s="24"/>
      <c r="J32" s="109"/>
      <c r="K32" s="24"/>
      <c r="L32" s="38"/>
      <c r="M32" s="24"/>
      <c r="N32" s="202"/>
    </row>
    <row r="33" spans="2:14" ht="18" x14ac:dyDescent="0.8">
      <c r="B33" s="2"/>
      <c r="C33" s="111" t="s">
        <v>321</v>
      </c>
      <c r="D33" s="112"/>
      <c r="E33" s="112"/>
      <c r="F33" s="112"/>
      <c r="G33" s="112"/>
      <c r="H33" s="117">
        <f>ROUND(H31*(748/1000),2)</f>
        <v>2.59</v>
      </c>
      <c r="I33" s="24"/>
      <c r="J33" s="109"/>
      <c r="K33" s="24"/>
      <c r="L33" s="38"/>
      <c r="M33" s="14"/>
      <c r="N33" s="45"/>
    </row>
    <row r="34" spans="2:14" x14ac:dyDescent="0.45">
      <c r="B34" s="6"/>
      <c r="C34" s="110"/>
      <c r="D34" s="33"/>
      <c r="E34" s="33"/>
      <c r="F34" s="33"/>
      <c r="G34" s="33"/>
      <c r="H34" s="110"/>
      <c r="I34" s="33"/>
      <c r="J34" s="34"/>
      <c r="K34" s="20"/>
      <c r="L34" s="19"/>
      <c r="M34" s="20"/>
      <c r="N34" s="20"/>
    </row>
    <row r="35" spans="2:14" x14ac:dyDescent="0.45">
      <c r="B35" s="1"/>
      <c r="C35" s="19"/>
      <c r="D35" s="20"/>
      <c r="E35" s="20"/>
      <c r="F35" s="20"/>
      <c r="G35" s="20"/>
      <c r="H35" s="19"/>
      <c r="I35" s="20"/>
      <c r="J35" s="20"/>
      <c r="K35" s="20"/>
      <c r="L35" s="19"/>
      <c r="M35" s="20"/>
      <c r="N35" s="20"/>
    </row>
    <row r="36" spans="2:14" x14ac:dyDescent="0.45">
      <c r="B36" s="14"/>
      <c r="C36" s="14"/>
      <c r="D36" s="14"/>
      <c r="E36" s="14"/>
      <c r="F36" s="14"/>
      <c r="G36" s="14"/>
      <c r="H36" s="14"/>
      <c r="I36" s="14"/>
      <c r="J36" s="14"/>
      <c r="K36" s="14"/>
      <c r="M36" s="14"/>
      <c r="N36" s="14"/>
    </row>
    <row r="37" spans="2:14" x14ac:dyDescent="0.45">
      <c r="B37" s="14"/>
      <c r="C37" s="23"/>
      <c r="D37" s="16"/>
      <c r="E37" s="208"/>
      <c r="F37" s="208"/>
      <c r="G37" s="209"/>
      <c r="H37" s="208"/>
      <c r="I37" s="208"/>
      <c r="J37" s="14"/>
      <c r="K37" s="14"/>
      <c r="M37" s="14"/>
      <c r="N37" s="14"/>
    </row>
    <row r="38" spans="2:14" x14ac:dyDescent="0.45">
      <c r="B38" s="14"/>
      <c r="C38" s="19"/>
      <c r="D38" s="20"/>
      <c r="E38" s="20"/>
      <c r="F38" s="20"/>
      <c r="G38" s="20"/>
      <c r="H38" s="39"/>
      <c r="I38" s="39"/>
      <c r="J38" s="14"/>
      <c r="K38" s="14"/>
      <c r="M38" s="14"/>
      <c r="N38" s="14"/>
    </row>
    <row r="39" spans="2:14" x14ac:dyDescent="0.45">
      <c r="B39" s="14"/>
      <c r="C39" s="19"/>
      <c r="D39" s="20"/>
      <c r="E39" s="20"/>
      <c r="F39" s="20"/>
      <c r="G39" s="20"/>
      <c r="H39" s="39"/>
      <c r="I39" s="39"/>
      <c r="J39" s="14"/>
      <c r="K39" s="14"/>
      <c r="M39" s="14"/>
      <c r="N39" s="14"/>
    </row>
    <row r="40" spans="2:14" x14ac:dyDescent="0.45">
      <c r="B40" s="14"/>
      <c r="C40" s="19"/>
      <c r="D40" s="20"/>
      <c r="E40" s="20"/>
      <c r="F40" s="20"/>
      <c r="G40" s="20"/>
      <c r="H40" s="20"/>
      <c r="I40" s="20"/>
      <c r="J40" s="14"/>
      <c r="K40" s="14"/>
      <c r="M40" s="14"/>
      <c r="N40" s="14"/>
    </row>
    <row r="41" spans="2:14" ht="18" x14ac:dyDescent="0.8">
      <c r="B41" s="14"/>
      <c r="C41" s="111"/>
      <c r="D41" s="112"/>
      <c r="E41" s="112"/>
      <c r="F41" s="112"/>
      <c r="G41" s="112"/>
      <c r="H41" s="117"/>
      <c r="I41" s="24"/>
      <c r="J41" s="14"/>
      <c r="K41" s="14"/>
      <c r="M41" s="14"/>
      <c r="N41" s="14"/>
    </row>
    <row r="42" spans="2:14" ht="18" x14ac:dyDescent="0.8">
      <c r="B42" s="14"/>
      <c r="C42" s="111"/>
      <c r="D42" s="112"/>
      <c r="E42" s="112"/>
      <c r="F42" s="112"/>
      <c r="G42" s="112"/>
      <c r="H42" s="117"/>
      <c r="I42" s="24"/>
      <c r="J42" s="14"/>
      <c r="K42" s="14"/>
      <c r="M42" s="14"/>
      <c r="N42" s="14"/>
    </row>
    <row r="43" spans="2:14" ht="18" x14ac:dyDescent="0.8">
      <c r="B43" s="14"/>
      <c r="C43" s="111"/>
      <c r="D43" s="112"/>
      <c r="E43" s="112"/>
      <c r="F43" s="112"/>
      <c r="G43" s="112"/>
      <c r="H43" s="117"/>
      <c r="I43" s="24"/>
      <c r="J43" s="14"/>
      <c r="K43" s="14"/>
      <c r="L43" s="116"/>
      <c r="M43" s="14"/>
      <c r="N43" s="14"/>
    </row>
    <row r="44" spans="2:14" x14ac:dyDescent="0.45">
      <c r="B44" s="14"/>
      <c r="C44" s="14"/>
      <c r="D44" s="14"/>
      <c r="E44" s="14"/>
      <c r="F44" s="14"/>
      <c r="G44" s="14"/>
      <c r="H44" s="14"/>
      <c r="I44" s="14"/>
      <c r="J44" s="14"/>
      <c r="K44" s="14"/>
      <c r="M44" s="14"/>
      <c r="N44" s="14"/>
    </row>
    <row r="45" spans="2:14" x14ac:dyDescent="0.45">
      <c r="B45" s="14"/>
      <c r="C45" s="14"/>
      <c r="D45" s="14"/>
      <c r="E45" s="14"/>
      <c r="F45" s="14"/>
      <c r="G45" s="14"/>
      <c r="H45" s="14"/>
      <c r="I45" s="14"/>
      <c r="J45" s="14"/>
      <c r="K45" s="14"/>
      <c r="M45" s="14"/>
      <c r="N45" s="14"/>
    </row>
    <row r="46" spans="2:14" x14ac:dyDescent="0.45">
      <c r="B46" s="14"/>
      <c r="C46" s="14"/>
      <c r="D46" s="14"/>
      <c r="E46" s="14"/>
      <c r="F46" s="14"/>
      <c r="G46" s="14"/>
      <c r="H46" s="14"/>
      <c r="I46" s="14"/>
      <c r="J46" s="14"/>
      <c r="K46" s="14"/>
      <c r="M46" s="14"/>
      <c r="N46" s="14"/>
    </row>
    <row r="47" spans="2:14" x14ac:dyDescent="0.45">
      <c r="B47" s="14"/>
      <c r="C47" s="14"/>
      <c r="D47" s="14"/>
      <c r="E47" s="14"/>
      <c r="F47" s="14"/>
      <c r="G47" s="14"/>
      <c r="H47" s="14"/>
      <c r="I47" s="14"/>
      <c r="J47" s="14"/>
      <c r="K47" s="14"/>
      <c r="M47" s="14"/>
      <c r="N47" s="14"/>
    </row>
    <row r="48" spans="2:14" x14ac:dyDescent="0.45">
      <c r="B48" s="14"/>
      <c r="C48" s="14"/>
      <c r="D48" s="14"/>
      <c r="E48" s="14"/>
      <c r="F48" s="14"/>
      <c r="G48" s="14"/>
      <c r="H48" s="14"/>
      <c r="I48" s="14"/>
      <c r="J48" s="14"/>
      <c r="K48" s="14"/>
      <c r="M48" s="14"/>
      <c r="N48" s="14"/>
    </row>
    <row r="49" spans="2:14" x14ac:dyDescent="0.45">
      <c r="B49" s="14"/>
      <c r="C49" s="14"/>
      <c r="D49" s="14"/>
      <c r="E49" s="14"/>
      <c r="F49" s="14"/>
      <c r="G49" s="14"/>
      <c r="H49" s="14"/>
      <c r="I49" s="14"/>
      <c r="J49" s="14"/>
      <c r="K49" s="14"/>
      <c r="M49" s="14"/>
      <c r="N49" s="14"/>
    </row>
    <row r="50" spans="2:14" x14ac:dyDescent="0.45">
      <c r="B50" s="14"/>
      <c r="C50" s="14"/>
      <c r="D50" s="14"/>
      <c r="E50" s="14"/>
      <c r="F50" s="14"/>
      <c r="G50" s="14"/>
      <c r="H50" s="14"/>
      <c r="I50" s="14"/>
      <c r="J50" s="14"/>
      <c r="K50" s="14"/>
      <c r="M50" s="14"/>
      <c r="N50" s="14"/>
    </row>
    <row r="51" spans="2:14" x14ac:dyDescent="0.45">
      <c r="B51" s="14"/>
      <c r="C51" s="14"/>
      <c r="D51" s="14"/>
      <c r="E51" s="14"/>
      <c r="F51" s="14"/>
      <c r="G51" s="14"/>
      <c r="H51" s="14"/>
      <c r="I51" s="14"/>
      <c r="J51" s="14"/>
      <c r="K51" s="14"/>
      <c r="M51" s="14"/>
      <c r="N51" s="14"/>
    </row>
    <row r="52" spans="2:14" x14ac:dyDescent="0.45">
      <c r="B52" s="14"/>
      <c r="C52" s="14"/>
      <c r="D52" s="14"/>
      <c r="E52" s="14"/>
      <c r="F52" s="14"/>
      <c r="G52" s="14"/>
      <c r="H52" s="14"/>
      <c r="I52" s="14"/>
      <c r="J52" s="14"/>
      <c r="K52" s="14"/>
      <c r="M52" s="14"/>
      <c r="N52" s="14"/>
    </row>
    <row r="53" spans="2:14" x14ac:dyDescent="0.45">
      <c r="B53" s="14"/>
      <c r="C53" s="14"/>
      <c r="D53" s="14"/>
      <c r="E53" s="14"/>
      <c r="F53" s="14"/>
      <c r="G53" s="14"/>
      <c r="H53" s="14"/>
      <c r="I53" s="14"/>
      <c r="J53" s="14"/>
      <c r="K53" s="14"/>
      <c r="M53" s="14"/>
      <c r="N53" s="14"/>
    </row>
  </sheetData>
  <mergeCells count="3">
    <mergeCell ref="F7:G7"/>
    <mergeCell ref="C3:I3"/>
    <mergeCell ref="C4:I4"/>
  </mergeCells>
  <printOptions horizontalCentered="1"/>
  <pageMargins left="0.45" right="0.45" top="0.3" bottom="0.3" header="0.3" footer="0.3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Proforma</vt:lpstr>
      <vt:lpstr>mtrx</vt:lpstr>
      <vt:lpstr>AlocDep</vt:lpstr>
      <vt:lpstr>Debt</vt:lpstr>
      <vt:lpstr>DSalloc</vt:lpstr>
      <vt:lpstr>Sys</vt:lpstr>
      <vt:lpstr>Fac</vt:lpstr>
      <vt:lpstr>Whol</vt:lpstr>
      <vt:lpstr>AlocDep!Print_Area</vt:lpstr>
      <vt:lpstr>Debt!Print_Area</vt:lpstr>
      <vt:lpstr>DSalloc!Print_Area</vt:lpstr>
      <vt:lpstr>Fac!Print_Area</vt:lpstr>
      <vt:lpstr>mtrx!Print_Area</vt:lpstr>
      <vt:lpstr>Sys!Print_Area</vt:lpstr>
      <vt:lpstr>Whol!Print_Area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Allyson Honaker</cp:lastModifiedBy>
  <cp:lastPrinted>2019-05-30T19:06:20Z</cp:lastPrinted>
  <dcterms:created xsi:type="dcterms:W3CDTF">2016-05-18T14:12:06Z</dcterms:created>
  <dcterms:modified xsi:type="dcterms:W3CDTF">2020-04-17T01:59:09Z</dcterms:modified>
</cp:coreProperties>
</file>