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activeTab="7"/>
  </bookViews>
  <sheets>
    <sheet name="Prfrd112619" sheetId="8" r:id="rId1"/>
    <sheet name="Base" sheetId="7" r:id="rId2"/>
    <sheet name="Market Only" sheetId="1" r:id="rId3"/>
    <sheet name="Solar + Wind" sheetId="2" r:id="rId4"/>
    <sheet name="CT Only" sheetId="3" r:id="rId5"/>
    <sheet name="CC Only" sheetId="4" r:id="rId6"/>
    <sheet name="Comparison" sheetId="5" r:id="rId7"/>
    <sheet name="CumCapAdd Summary" sheetId="10" r:id="rId8"/>
    <sheet name="source" sheetId="6" state="hidden" r:id="rId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'CC Only'!$A$2:$AD$36</definedName>
    <definedName name="_xlnm.Print_Area" localSheetId="4">'CT Only'!$A$2:$AD$36</definedName>
    <definedName name="_xlnm.Print_Area" localSheetId="7">'CumCapAdd Summary'!$A$2:$V$57</definedName>
    <definedName name="_xlnm.Print_Area" localSheetId="2">'Market Only'!$A$2:$AD$36</definedName>
    <definedName name="_xlnm.Print_Area" localSheetId="0">Prfrd112619!$A$1:$AA$24</definedName>
    <definedName name="_xlnm.Print_Area" localSheetId="3">'Solar + Wind'!$A$2:$AD$36</definedName>
  </definedNames>
  <calcPr calcId="162913"/>
</workbook>
</file>

<file path=xl/calcChain.xml><?xml version="1.0" encoding="utf-8"?>
<calcChain xmlns="http://schemas.openxmlformats.org/spreadsheetml/2006/main">
  <c r="V68" i="10" l="1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58" i="10" l="1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V11" i="10" l="1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I55" i="10" l="1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H55" i="10"/>
  <c r="G55" i="10"/>
  <c r="F55" i="10"/>
  <c r="E55" i="10"/>
  <c r="D55" i="10"/>
  <c r="C55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I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H44" i="10"/>
  <c r="G44" i="10"/>
  <c r="F44" i="10"/>
  <c r="E44" i="10"/>
  <c r="D44" i="10"/>
  <c r="C44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E1" i="6" l="1"/>
  <c r="B6" i="5" l="1"/>
  <c r="B34" i="5"/>
  <c r="B26" i="5"/>
  <c r="B18" i="5"/>
  <c r="B10" i="5"/>
  <c r="B33" i="5"/>
  <c r="B25" i="5"/>
  <c r="B17" i="5"/>
  <c r="B9" i="5"/>
  <c r="B11" i="5"/>
  <c r="B32" i="5"/>
  <c r="B24" i="5"/>
  <c r="B16" i="5"/>
  <c r="B8" i="5"/>
  <c r="B22" i="5"/>
  <c r="B14" i="5"/>
  <c r="B27" i="5"/>
  <c r="B31" i="5"/>
  <c r="B23" i="5"/>
  <c r="B15" i="5"/>
  <c r="B7" i="5"/>
  <c r="B30" i="5"/>
  <c r="B19" i="5"/>
  <c r="B29" i="5"/>
  <c r="B21" i="5"/>
  <c r="B13" i="5"/>
  <c r="B28" i="5"/>
  <c r="B20" i="5"/>
  <c r="B12" i="5"/>
  <c r="B35" i="5"/>
  <c r="P3" i="5"/>
  <c r="C32" i="5"/>
  <c r="C24" i="5"/>
  <c r="C16" i="5"/>
  <c r="C8" i="5"/>
  <c r="C31" i="5"/>
  <c r="C23" i="5"/>
  <c r="C15" i="5"/>
  <c r="C7" i="5"/>
  <c r="C14" i="5"/>
  <c r="C28" i="5"/>
  <c r="C12" i="5"/>
  <c r="C11" i="5"/>
  <c r="C26" i="5"/>
  <c r="C33" i="5"/>
  <c r="C17" i="5"/>
  <c r="C30" i="5"/>
  <c r="C22" i="5"/>
  <c r="C6" i="5"/>
  <c r="C20" i="5"/>
  <c r="C27" i="5"/>
  <c r="C34" i="5"/>
  <c r="C10" i="5"/>
  <c r="C25" i="5"/>
  <c r="C29" i="5"/>
  <c r="C21" i="5"/>
  <c r="C13" i="5"/>
  <c r="C35" i="5"/>
  <c r="C19" i="5"/>
  <c r="C18" i="5"/>
  <c r="C9" i="5"/>
  <c r="G35" i="5"/>
  <c r="G31" i="5"/>
  <c r="G27" i="5"/>
  <c r="G23" i="5"/>
  <c r="G19" i="5"/>
  <c r="G15" i="5"/>
  <c r="G11" i="5"/>
  <c r="G7" i="5"/>
  <c r="F13" i="5"/>
  <c r="F35" i="5"/>
  <c r="F31" i="5"/>
  <c r="F27" i="5"/>
  <c r="F23" i="5"/>
  <c r="F19" i="5"/>
  <c r="F15" i="5"/>
  <c r="F11" i="5"/>
  <c r="F7" i="5"/>
  <c r="F33" i="5"/>
  <c r="E20" i="5"/>
  <c r="E35" i="5"/>
  <c r="E31" i="5"/>
  <c r="E27" i="5"/>
  <c r="E23" i="5"/>
  <c r="E19" i="5"/>
  <c r="E15" i="5"/>
  <c r="E11" i="5"/>
  <c r="E7" i="5"/>
  <c r="F9" i="5"/>
  <c r="G20" i="5"/>
  <c r="D24" i="5"/>
  <c r="D35" i="5"/>
  <c r="D31" i="5"/>
  <c r="D27" i="5"/>
  <c r="K27" i="5" s="1"/>
  <c r="D23" i="5"/>
  <c r="K23" i="5" s="1"/>
  <c r="D19" i="5"/>
  <c r="K19" i="5" s="1"/>
  <c r="D15" i="5"/>
  <c r="K15" i="5" s="1"/>
  <c r="D11" i="5"/>
  <c r="K11" i="5" s="1"/>
  <c r="D7" i="5"/>
  <c r="K7" i="5" s="1"/>
  <c r="F17" i="5"/>
  <c r="G24" i="5"/>
  <c r="D16" i="5"/>
  <c r="K16" i="5" s="1"/>
  <c r="G34" i="5"/>
  <c r="G30" i="5"/>
  <c r="G26" i="5"/>
  <c r="G22" i="5"/>
  <c r="G18" i="5"/>
  <c r="G14" i="5"/>
  <c r="G10" i="5"/>
  <c r="G6" i="5"/>
  <c r="F6" i="5"/>
  <c r="F29" i="5"/>
  <c r="E29" i="5"/>
  <c r="E17" i="5"/>
  <c r="E9" i="5"/>
  <c r="D29" i="5"/>
  <c r="K29" i="5" s="1"/>
  <c r="D21" i="5"/>
  <c r="K21" i="5" s="1"/>
  <c r="D13" i="5"/>
  <c r="K13" i="5" s="1"/>
  <c r="G28" i="5"/>
  <c r="G16" i="5"/>
  <c r="F28" i="5"/>
  <c r="F16" i="5"/>
  <c r="F8" i="5"/>
  <c r="E28" i="5"/>
  <c r="E24" i="5"/>
  <c r="E8" i="5"/>
  <c r="D32" i="5"/>
  <c r="K32" i="5" s="1"/>
  <c r="F34" i="5"/>
  <c r="F30" i="5"/>
  <c r="F26" i="5"/>
  <c r="F22" i="5"/>
  <c r="F18" i="5"/>
  <c r="F14" i="5"/>
  <c r="F10" i="5"/>
  <c r="E21" i="5"/>
  <c r="F24" i="5"/>
  <c r="E34" i="5"/>
  <c r="E30" i="5"/>
  <c r="E26" i="5"/>
  <c r="E22" i="5"/>
  <c r="E18" i="5"/>
  <c r="E14" i="5"/>
  <c r="E10" i="5"/>
  <c r="E6" i="5"/>
  <c r="G29" i="5"/>
  <c r="G9" i="5"/>
  <c r="F21" i="5"/>
  <c r="E25" i="5"/>
  <c r="D17" i="5"/>
  <c r="K17" i="5" s="1"/>
  <c r="G8" i="5"/>
  <c r="F20" i="5"/>
  <c r="D8" i="5"/>
  <c r="K8" i="5" s="1"/>
  <c r="D34" i="5"/>
  <c r="K34" i="5" s="1"/>
  <c r="D30" i="5"/>
  <c r="K30" i="5" s="1"/>
  <c r="D26" i="5"/>
  <c r="D22" i="5"/>
  <c r="K22" i="5" s="1"/>
  <c r="D18" i="5"/>
  <c r="D14" i="5"/>
  <c r="K14" i="5" s="1"/>
  <c r="D10" i="5"/>
  <c r="K10" i="5" s="1"/>
  <c r="D6" i="5"/>
  <c r="G33" i="5"/>
  <c r="G25" i="5"/>
  <c r="G21" i="5"/>
  <c r="G17" i="5"/>
  <c r="G13" i="5"/>
  <c r="F25" i="5"/>
  <c r="E33" i="5"/>
  <c r="E13" i="5"/>
  <c r="D33" i="5"/>
  <c r="D25" i="5"/>
  <c r="K25" i="5" s="1"/>
  <c r="D9" i="5"/>
  <c r="K9" i="5" s="1"/>
  <c r="G32" i="5"/>
  <c r="G12" i="5"/>
  <c r="F32" i="5"/>
  <c r="F12" i="5"/>
  <c r="E32" i="5"/>
  <c r="E12" i="5"/>
  <c r="D28" i="5"/>
  <c r="K28" i="5" s="1"/>
  <c r="D20" i="5"/>
  <c r="E16" i="5"/>
  <c r="D12" i="5"/>
  <c r="K12" i="5" s="1"/>
  <c r="I29" i="5" l="1"/>
  <c r="I17" i="5"/>
  <c r="I35" i="5"/>
  <c r="I30" i="5"/>
  <c r="I33" i="5"/>
  <c r="I6" i="5"/>
  <c r="I14" i="5"/>
  <c r="I19" i="5"/>
  <c r="I22" i="5"/>
  <c r="I25" i="5"/>
  <c r="I12" i="5"/>
  <c r="I7" i="5"/>
  <c r="I16" i="5"/>
  <c r="I10" i="5"/>
  <c r="I20" i="5"/>
  <c r="I15" i="5"/>
  <c r="I24" i="5"/>
  <c r="I18" i="5"/>
  <c r="I28" i="5"/>
  <c r="I23" i="5"/>
  <c r="I32" i="5"/>
  <c r="I26" i="5"/>
  <c r="I8" i="5"/>
  <c r="I13" i="5"/>
  <c r="I31" i="5"/>
  <c r="I11" i="5"/>
  <c r="I34" i="5"/>
  <c r="I21" i="5"/>
  <c r="I27" i="5"/>
  <c r="I9" i="5"/>
  <c r="J7" i="5"/>
  <c r="J29" i="5"/>
  <c r="J30" i="5"/>
  <c r="J25" i="5"/>
  <c r="J17" i="5"/>
  <c r="J15" i="5"/>
  <c r="J9" i="5"/>
  <c r="J33" i="5"/>
  <c r="J35" i="5"/>
  <c r="J10" i="5"/>
  <c r="J23" i="5"/>
  <c r="J18" i="5"/>
  <c r="J34" i="5"/>
  <c r="J26" i="5"/>
  <c r="J31" i="5"/>
  <c r="J19" i="5"/>
  <c r="J27" i="5"/>
  <c r="J11" i="5"/>
  <c r="J8" i="5"/>
  <c r="J16" i="5"/>
  <c r="J12" i="5"/>
  <c r="J13" i="5"/>
  <c r="J6" i="5"/>
  <c r="J28" i="5"/>
  <c r="J24" i="5"/>
  <c r="J20" i="5"/>
  <c r="J21" i="5"/>
  <c r="J22" i="5"/>
  <c r="J14" i="5"/>
  <c r="J32" i="5"/>
  <c r="N11" i="5"/>
  <c r="M33" i="5"/>
  <c r="L15" i="5"/>
  <c r="L13" i="5"/>
  <c r="N23" i="5"/>
  <c r="M8" i="5"/>
  <c r="L23" i="5"/>
  <c r="L32" i="5"/>
  <c r="M32" i="5"/>
  <c r="L11" i="5"/>
  <c r="M7" i="5"/>
  <c r="N6" i="5"/>
  <c r="L27" i="5"/>
  <c r="M13" i="5"/>
  <c r="N15" i="5"/>
  <c r="N27" i="5"/>
  <c r="L29" i="5"/>
  <c r="L14" i="5"/>
  <c r="M16" i="5"/>
  <c r="N7" i="5"/>
  <c r="N12" i="5"/>
  <c r="N32" i="5"/>
  <c r="L28" i="5"/>
  <c r="N14" i="5"/>
  <c r="M35" i="5"/>
  <c r="M15" i="5"/>
  <c r="M23" i="5"/>
  <c r="M27" i="5"/>
  <c r="N16" i="5"/>
  <c r="L7" i="5"/>
  <c r="M14" i="5"/>
  <c r="L21" i="5"/>
  <c r="M17" i="5"/>
  <c r="L19" i="5"/>
  <c r="M18" i="5"/>
  <c r="L31" i="5"/>
  <c r="M11" i="5"/>
  <c r="M10" i="5"/>
  <c r="M29" i="5"/>
  <c r="M19" i="5"/>
  <c r="M12" i="5"/>
  <c r="M20" i="5"/>
  <c r="L17" i="5"/>
  <c r="N19" i="5"/>
  <c r="K6" i="5"/>
  <c r="M31" i="5"/>
  <c r="L16" i="5"/>
  <c r="N21" i="5"/>
  <c r="M21" i="5"/>
  <c r="N17" i="5"/>
  <c r="N13" i="5"/>
  <c r="L30" i="5"/>
  <c r="L24" i="5"/>
  <c r="K31" i="5"/>
  <c r="N31" i="5"/>
  <c r="N8" i="5"/>
  <c r="K18" i="5"/>
  <c r="L8" i="5"/>
  <c r="L18" i="5"/>
  <c r="N26" i="5"/>
  <c r="N18" i="5"/>
  <c r="M24" i="5"/>
  <c r="M34" i="5"/>
  <c r="L34" i="5"/>
  <c r="L12" i="5"/>
  <c r="L22" i="5"/>
  <c r="M28" i="5"/>
  <c r="M9" i="5"/>
  <c r="N28" i="5"/>
  <c r="L9" i="5"/>
  <c r="M26" i="5"/>
  <c r="K26" i="5"/>
  <c r="L33" i="5"/>
  <c r="N24" i="5"/>
  <c r="K24" i="5"/>
  <c r="N20" i="5"/>
  <c r="N25" i="5"/>
  <c r="N9" i="5"/>
  <c r="N29" i="5"/>
  <c r="M30" i="5"/>
  <c r="N34" i="5"/>
  <c r="N33" i="5"/>
  <c r="L6" i="5"/>
  <c r="N10" i="5"/>
  <c r="L26" i="5"/>
  <c r="L20" i="5"/>
  <c r="L25" i="5"/>
  <c r="N30" i="5"/>
  <c r="K35" i="5"/>
  <c r="L35" i="5"/>
  <c r="N35" i="5"/>
  <c r="M25" i="5"/>
  <c r="K33" i="5"/>
  <c r="K20" i="5"/>
  <c r="M6" i="5"/>
  <c r="L10" i="5"/>
  <c r="M22" i="5"/>
  <c r="N22" i="5"/>
</calcChain>
</file>

<file path=xl/sharedStrings.xml><?xml version="1.0" encoding="utf-8"?>
<sst xmlns="http://schemas.openxmlformats.org/spreadsheetml/2006/main" count="315" uniqueCount="71">
  <si>
    <t>DRAFT - PRELIMINARY</t>
  </si>
  <si>
    <t>Planning Peak Load (MW)</t>
  </si>
  <si>
    <t>Required Generation Capacity (MW)</t>
  </si>
  <si>
    <t>Firm Generation Capacity without New Additions (MW)</t>
  </si>
  <si>
    <t>Commercial DR Firm Capacity (MW)</t>
  </si>
  <si>
    <t>Residential DR Firm Capacity (MW)</t>
  </si>
  <si>
    <t>Commercial DSM Firm Capacity (MW)</t>
  </si>
  <si>
    <t>Residential DSM Firm Capacity (MW)</t>
  </si>
  <si>
    <t>Distributed Solar Firm Capacity (MW)</t>
  </si>
  <si>
    <t>Utility Solar Firm Capacity (MW)</t>
  </si>
  <si>
    <t>CVR Firm Capacity (MW)</t>
  </si>
  <si>
    <t>Wind Firm Capacity (MW)</t>
  </si>
  <si>
    <t>Firm Generation Capacity with New Additions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</si>
  <si>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</si>
  <si>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</si>
  <si>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</si>
  <si>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</si>
  <si>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2019H1 Base Band Commodity Pricing</t>
  </si>
  <si>
    <t>15 MW CHP Capacity (MW)</t>
  </si>
  <si>
    <t>216 MW RICE Firm Capacity (MW)</t>
  </si>
  <si>
    <t>256 MW (50% Share of 497 MW) GE 7F.05 Firm Capacity (MW)</t>
  </si>
  <si>
    <t>325 MW (25% Share of 1,603 MW) M 501 JAC Firm Capacity (MW)</t>
  </si>
  <si>
    <t>125 MW LM 6000 CT Firm Capacity        (MW)</t>
  </si>
  <si>
    <t>Short Term
 PPA Capacity
 (MW)</t>
  </si>
  <si>
    <t>Nameplate Solar</t>
  </si>
  <si>
    <t>Nameplate Wind</t>
  </si>
  <si>
    <t>2019 KP IRP</t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</si>
  <si>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</si>
  <si>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</si>
  <si>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</si>
  <si>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2"/>
        <color theme="1"/>
        <rFont val="Calibri"/>
        <family val="2"/>
      </rPr>
      <t xml:space="preserve">
Repower
443 MW 
Firm Capacity</t>
    </r>
  </si>
  <si>
    <t>Big Sandy Site
216 MW RICE Firm Capacity (MW)</t>
  </si>
  <si>
    <t>Big Sandy Site
256 MW (50% Share of 497 MW) GE 7F.05 Firm Capacity (MW)</t>
  </si>
  <si>
    <t>Big Sandy Site
325 MW (25% Share of 1,603 MW) M 501 JAC Firm Capacity (MW)</t>
  </si>
  <si>
    <t>Big Sandy Site
Repower
443 MW 
Firm Capacity</t>
  </si>
  <si>
    <t>2019 KPCo IRP</t>
  </si>
  <si>
    <t>Market</t>
  </si>
  <si>
    <t>Solar + Wind</t>
  </si>
  <si>
    <t>CT Only</t>
  </si>
  <si>
    <t>CC Only</t>
  </si>
  <si>
    <t>Difference over the Market Only</t>
  </si>
  <si>
    <t>KP Optimization Expansion Plan (Supply-side, Renewables, VVO, DR, EE) for Stakeholder 2023-2030 Wind and Solar Additions Scenario</t>
  </si>
  <si>
    <t>KP Optimization Expansion Plan (Supply-side, Renewables, VVO, DR, EE) for Stakeholder 2023 CT Addition Scenario</t>
  </si>
  <si>
    <t>KP Optimization Expansion Plan (Supply-side, Renewables, VVO, DR, EE) for Stakeholder 2024 CC Addition Scenario</t>
  </si>
  <si>
    <t>KP Optimization Expansion Plan (Supply-side, Renewables, VVO, DR, EE)</t>
  </si>
  <si>
    <t>Base</t>
  </si>
  <si>
    <t>Alternate Title Text:</t>
  </si>
  <si>
    <t>Solar 
Incr
Nameplate</t>
  </si>
  <si>
    <t>Wind
Incr
Nameplate</t>
  </si>
  <si>
    <t>Preferred</t>
  </si>
  <si>
    <t>New Nat. Gas</t>
  </si>
  <si>
    <t>New Solar (Nameplate)</t>
  </si>
  <si>
    <t>New Solar (Firm)</t>
  </si>
  <si>
    <t>New Wind (Nameplate)</t>
  </si>
  <si>
    <t>New Wind (Firm)</t>
  </si>
  <si>
    <t>New EE</t>
  </si>
  <si>
    <t>New VVO</t>
  </si>
  <si>
    <t>New DG</t>
  </si>
  <si>
    <t>STMP</t>
  </si>
  <si>
    <t>New Nat Gas</t>
  </si>
  <si>
    <t>Case 1</t>
  </si>
  <si>
    <t>SH-Solar + Wind</t>
  </si>
  <si>
    <t>SH-CT Only</t>
  </si>
  <si>
    <t>SH-CC Only</t>
  </si>
  <si>
    <t>KP Optimization Expansion Plan (Supply-side, Renewables, VVO, DR, EE) for Preferred Plan with ST PPA Allowed 2022-2024 and Limited EE Available</t>
  </si>
  <si>
    <t>KP Optimization Expansion Plan (Supply-side, Renewables, VVO, DR, EE) for Stakeholder 2022-2024 Market Purchase Scenario</t>
  </si>
  <si>
    <t>SH-Market</t>
  </si>
  <si>
    <t>Preferred 112619</t>
  </si>
  <si>
    <t>Capacity Reserves (MW) without new additions</t>
  </si>
  <si>
    <t>Capacity Reserves (MW) with new additions</t>
  </si>
  <si>
    <t>Stakeholder Base Commodity Pricing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</si>
</sst>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  <numFmt numFmtId="174" formatCode="0_);[Red]\(0\)"/>
    <numFmt numFmtId="175" formatCode="_(* #,##0_);_(* \(#,##0\);_(* &quot;-&quot;??_);_(@_)"/>
  </numFmts>
  <fonts count="99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2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839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165" fontId="7" fillId="0" borderId="0">
      <alignment horizontal="left" wrapText="1"/>
    </xf>
    <xf numFmtId="165" fontId="7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" fillId="10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10" fillId="33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" fillId="1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" fillId="18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" fillId="22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" fillId="2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0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0" fillId="37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" fillId="30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" fillId="11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0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0" fillId="39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" fillId="15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10" fillId="40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" fillId="19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" fillId="23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6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" fillId="27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0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0" fillId="39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" fillId="3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42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166" fontId="11" fillId="0" borderId="10" applyFill="0" applyBorder="0" applyProtection="0"/>
    <xf numFmtId="0" fontId="61" fillId="12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1" fillId="16" borderId="0" applyNumberFormat="0" applyBorder="0" applyAlignment="0" applyProtection="0"/>
    <xf numFmtId="0" fontId="12" fillId="40" borderId="0" applyNumberFormat="0" applyBorder="0" applyAlignment="0" applyProtection="0"/>
    <xf numFmtId="0" fontId="13" fillId="40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1" fillId="20" borderId="0" applyNumberFormat="0" applyBorder="0" applyAlignment="0" applyProtection="0"/>
    <xf numFmtId="0" fontId="12" fillId="41" borderId="0" applyNumberFormat="0" applyBorder="0" applyAlignment="0" applyProtection="0"/>
    <xf numFmtId="0" fontId="13" fillId="41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1" fillId="24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1" fillId="28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1" fillId="32" borderId="0" applyNumberFormat="0" applyBorder="0" applyAlignment="0" applyProtection="0"/>
    <xf numFmtId="0" fontId="12" fillId="46" borderId="0" applyNumberFormat="0" applyBorder="0" applyAlignment="0" applyProtection="0"/>
    <xf numFmtId="0" fontId="13" fillId="46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1" fillId="9" borderId="0" applyNumberFormat="0" applyBorder="0" applyAlignment="0" applyProtection="0"/>
    <xf numFmtId="0" fontId="12" fillId="47" borderId="0" applyNumberFormat="0" applyBorder="0" applyAlignment="0" applyProtection="0"/>
    <xf numFmtId="0" fontId="13" fillId="47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1" fillId="13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7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1" fillId="21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1" fillId="25" borderId="0" applyNumberFormat="0" applyBorder="0" applyAlignment="0" applyProtection="0"/>
    <xf numFmtId="0" fontId="12" fillId="45" borderId="0" applyNumberFormat="0" applyBorder="0" applyAlignment="0" applyProtection="0"/>
    <xf numFmtId="0" fontId="13" fillId="4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61" fillId="29" borderId="0" applyNumberFormat="0" applyBorder="0" applyAlignment="0" applyProtection="0"/>
    <xf numFmtId="0" fontId="12" fillId="50" borderId="0" applyNumberFormat="0" applyBorder="0" applyAlignment="0" applyProtection="0"/>
    <xf numFmtId="0" fontId="13" fillId="50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167" fontId="11" fillId="0" borderId="0" applyFill="0" applyBorder="0" applyProtection="0"/>
    <xf numFmtId="167" fontId="11" fillId="51" borderId="11" applyFill="0" applyBorder="0" applyProtection="0">
      <alignment horizontal="center"/>
    </xf>
    <xf numFmtId="0" fontId="63" fillId="3" borderId="0" applyNumberFormat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168" fontId="16" fillId="0" borderId="0" applyNumberFormat="0" applyFont="0" applyAlignment="0" applyProtection="0"/>
    <xf numFmtId="168" fontId="16" fillId="0" borderId="0" applyNumberFormat="0" applyFont="0" applyAlignment="0" applyProtection="0"/>
    <xf numFmtId="168" fontId="16" fillId="0" borderId="0" applyNumberFormat="0" applyFont="0" applyAlignment="0" applyProtection="0"/>
    <xf numFmtId="0" fontId="65" fillId="6" borderId="4" applyNumberFormat="0" applyAlignment="0" applyProtection="0"/>
    <xf numFmtId="0" fontId="17" fillId="52" borderId="12" applyNumberFormat="0" applyAlignment="0" applyProtection="0"/>
    <xf numFmtId="0" fontId="18" fillId="52" borderId="12" applyNumberFormat="0" applyAlignment="0" applyProtection="0"/>
    <xf numFmtId="0" fontId="66" fillId="6" borderId="4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19" fillId="53" borderId="13" applyNumberFormat="0" applyAlignment="0" applyProtection="0"/>
    <xf numFmtId="0" fontId="20" fillId="53" borderId="13" applyNumberFormat="0" applyAlignment="0" applyProtection="0"/>
    <xf numFmtId="0" fontId="68" fillId="7" borderId="7" applyNumberFormat="0" applyAlignment="0" applyProtection="0"/>
    <xf numFmtId="0" fontId="68" fillId="7" borderId="7" applyNumberFormat="0" applyAlignment="0" applyProtection="0"/>
    <xf numFmtId="37" fontId="21" fillId="0" borderId="14" applyNumberFormat="0" applyFill="0" applyBorder="0" applyProtection="0">
      <alignment horizontal="right"/>
    </xf>
    <xf numFmtId="0" fontId="21" fillId="0" borderId="14" applyNumberFormat="0" applyFill="0" applyBorder="0" applyProtection="0">
      <alignment horizontal="right"/>
    </xf>
    <xf numFmtId="37" fontId="21" fillId="51" borderId="14" applyNumberFormat="0" applyFill="0" applyBorder="0" applyProtection="0">
      <alignment horizontal="center"/>
    </xf>
    <xf numFmtId="0" fontId="21" fillId="51" borderId="14" applyNumberFormat="0" applyFill="0" applyBorder="0" applyProtection="0">
      <alignment horizontal="center"/>
    </xf>
    <xf numFmtId="37" fontId="22" fillId="0" borderId="0" applyNumberFormat="0" applyFill="0" applyBorder="0" applyProtection="0">
      <alignment horizontal="right"/>
    </xf>
    <xf numFmtId="0" fontId="22" fillId="0" borderId="0" applyNumberFormat="0" applyFill="0" applyBorder="0" applyProtection="0">
      <alignment horizontal="right"/>
    </xf>
    <xf numFmtId="37" fontId="23" fillId="0" borderId="0" applyFill="0" applyBorder="0" applyProtection="0">
      <alignment horizontal="right"/>
    </xf>
    <xf numFmtId="0" fontId="23" fillId="0" borderId="0" applyFill="0" applyBorder="0" applyProtection="0">
      <alignment horizontal="right"/>
    </xf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11" fillId="0" borderId="14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" fillId="0" borderId="14" applyFont="0" applyFill="0" applyBorder="0" applyAlignment="0" applyProtection="0"/>
    <xf numFmtId="37" fontId="11" fillId="0" borderId="14" applyFont="0" applyFill="0" applyBorder="0" applyAlignment="0" applyProtection="0"/>
    <xf numFmtId="0" fontId="11" fillId="0" borderId="14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11" fillId="0" borderId="14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14" applyFont="0" applyFill="0" applyBorder="0" applyAlignment="0" applyProtection="0"/>
    <xf numFmtId="37" fontId="11" fillId="0" borderId="14" applyFont="0" applyFill="0" applyBorder="0" applyAlignment="0" applyProtection="0"/>
    <xf numFmtId="0" fontId="11" fillId="0" borderId="14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ill="0" applyBorder="0" applyAlignment="0" applyProtection="0"/>
    <xf numFmtId="40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" fillId="0" borderId="0" applyFill="0" applyBorder="0" applyAlignment="0" applyProtection="0"/>
    <xf numFmtId="0" fontId="26" fillId="0" borderId="0"/>
    <xf numFmtId="0" fontId="27" fillId="0" borderId="0"/>
    <xf numFmtId="0" fontId="26" fillId="0" borderId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0" fontId="2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0" fontId="28" fillId="0" borderId="0" applyNumberFormat="0" applyFill="0" applyBorder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11" fillId="0" borderId="0" applyFill="0" applyBorder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26" fillId="0" borderId="0"/>
    <xf numFmtId="0" fontId="27" fillId="0" borderId="0"/>
    <xf numFmtId="0" fontId="26" fillId="0" borderId="0"/>
    <xf numFmtId="0" fontId="31" fillId="0" borderId="0">
      <alignment horizontal="right"/>
    </xf>
    <xf numFmtId="0" fontId="31" fillId="0" borderId="0"/>
    <xf numFmtId="0" fontId="71" fillId="2" borderId="0" applyNumberFormat="0" applyBorder="0" applyAlignment="0" applyProtection="0"/>
    <xf numFmtId="0" fontId="32" fillId="35" borderId="0" applyNumberFormat="0" applyBorder="0" applyAlignment="0" applyProtection="0"/>
    <xf numFmtId="0" fontId="33" fillId="35" borderId="0" applyNumberFormat="0" applyBorder="0" applyAlignment="0" applyProtection="0"/>
    <xf numFmtId="0" fontId="72" fillId="2" borderId="0" applyNumberFormat="0" applyBorder="0" applyAlignment="0" applyProtection="0"/>
    <xf numFmtId="0" fontId="72" fillId="2" borderId="0" applyNumberFormat="0" applyBorder="0" applyAlignment="0" applyProtection="0"/>
    <xf numFmtId="0" fontId="73" fillId="0" borderId="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4" fillId="0" borderId="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5" fillId="0" borderId="3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40" fillId="0" borderId="17" applyNumberFormat="0" applyFill="0" applyAlignment="0" applyProtection="0"/>
    <xf numFmtId="0" fontId="7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0" fontId="7" fillId="0" borderId="0" applyFill="0" applyBorder="0" applyAlignment="0" applyProtection="0"/>
    <xf numFmtId="37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37" fontId="41" fillId="0" borderId="0" applyNumberFormat="0" applyFill="0" applyBorder="0" applyProtection="0">
      <alignment horizontal="centerContinuous"/>
    </xf>
    <xf numFmtId="170" fontId="7" fillId="0" borderId="0" applyFill="0" applyBorder="0" applyAlignment="0" applyProtection="0"/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37" fontId="41" fillId="0" borderId="0" applyNumberFormat="0" applyFill="0" applyBorder="0" applyProtection="0">
      <alignment horizontal="centerContinuous"/>
    </xf>
    <xf numFmtId="170" fontId="7" fillId="0" borderId="0" applyFill="0" applyBorder="0" applyAlignment="0" applyProtection="0"/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37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7" fontId="42" fillId="0" borderId="0">
      <alignment horizontal="centerContinuous"/>
    </xf>
    <xf numFmtId="0" fontId="42" fillId="0" borderId="0">
      <alignment horizontal="centerContinuous"/>
    </xf>
    <xf numFmtId="37" fontId="42" fillId="0" borderId="0">
      <alignment horizontal="centerContinuous"/>
    </xf>
    <xf numFmtId="0" fontId="42" fillId="0" borderId="0">
      <alignment horizontal="centerContinuous"/>
    </xf>
    <xf numFmtId="37" fontId="42" fillId="0" borderId="0">
      <alignment horizontal="centerContinuous"/>
    </xf>
    <xf numFmtId="0" fontId="42" fillId="0" borderId="0">
      <alignment horizontal="centerContinuous"/>
    </xf>
    <xf numFmtId="37" fontId="42" fillId="0" borderId="0">
      <alignment horizontal="centerContinuous"/>
    </xf>
    <xf numFmtId="0" fontId="42" fillId="0" borderId="0">
      <alignment horizontal="centerContinuous"/>
    </xf>
    <xf numFmtId="37" fontId="42" fillId="0" borderId="0">
      <alignment horizontal="centerContinuous"/>
    </xf>
    <xf numFmtId="0" fontId="42" fillId="0" borderId="0">
      <alignment horizontal="centerContinuous"/>
    </xf>
    <xf numFmtId="0" fontId="43" fillId="0" borderId="0" applyNumberFormat="0" applyFill="0" applyBorder="0" applyAlignment="0" applyProtection="0">
      <alignment vertical="top"/>
      <protection locked="0"/>
    </xf>
    <xf numFmtId="0" fontId="76" fillId="5" borderId="4" applyNumberFormat="0" applyAlignment="0" applyProtection="0"/>
    <xf numFmtId="0" fontId="44" fillId="38" borderId="12" applyNumberFormat="0" applyAlignment="0" applyProtection="0"/>
    <xf numFmtId="0" fontId="45" fillId="38" borderId="12" applyNumberFormat="0" applyAlignment="0" applyProtection="0"/>
    <xf numFmtId="0" fontId="77" fillId="5" borderId="4" applyNumberFormat="0" applyAlignment="0" applyProtection="0"/>
    <xf numFmtId="0" fontId="77" fillId="5" borderId="4" applyNumberFormat="0" applyAlignment="0" applyProtection="0"/>
    <xf numFmtId="0" fontId="78" fillId="0" borderId="6" applyNumberFormat="0" applyFill="0" applyAlignment="0" applyProtection="0"/>
    <xf numFmtId="0" fontId="46" fillId="0" borderId="18" applyNumberFormat="0" applyFill="0" applyAlignment="0" applyProtection="0"/>
    <xf numFmtId="0" fontId="47" fillId="0" borderId="18" applyNumberFormat="0" applyFill="0" applyAlignment="0" applyProtection="0"/>
    <xf numFmtId="0" fontId="79" fillId="0" borderId="6" applyNumberFormat="0" applyFill="0" applyAlignment="0" applyProtection="0"/>
    <xf numFmtId="0" fontId="79" fillId="0" borderId="6" applyNumberFormat="0" applyFill="0" applyAlignment="0" applyProtection="0"/>
    <xf numFmtId="0" fontId="80" fillId="4" borderId="0" applyNumberFormat="0" applyBorder="0" applyAlignment="0" applyProtection="0"/>
    <xf numFmtId="0" fontId="48" fillId="54" borderId="0" applyNumberFormat="0" applyBorder="0" applyAlignment="0" applyProtection="0"/>
    <xf numFmtId="0" fontId="49" fillId="5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7" fillId="0" borderId="0"/>
    <xf numFmtId="0" fontId="82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6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" fillId="0" borderId="0"/>
    <xf numFmtId="0" fontId="7" fillId="0" borderId="0"/>
    <xf numFmtId="0" fontId="7" fillId="0" borderId="0"/>
    <xf numFmtId="0" fontId="82" fillId="0" borderId="0"/>
    <xf numFmtId="0" fontId="7" fillId="0" borderId="0"/>
    <xf numFmtId="37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82" fillId="0" borderId="0"/>
    <xf numFmtId="0" fontId="7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82" fillId="0" borderId="0"/>
    <xf numFmtId="0" fontId="7" fillId="0" borderId="0"/>
    <xf numFmtId="0" fontId="82" fillId="0" borderId="0"/>
    <xf numFmtId="0" fontId="82" fillId="0" borderId="0"/>
    <xf numFmtId="0" fontId="6" fillId="0" borderId="0"/>
    <xf numFmtId="0" fontId="82" fillId="0" borderId="0"/>
    <xf numFmtId="37" fontId="11" fillId="0" borderId="0"/>
    <xf numFmtId="0" fontId="11" fillId="0" borderId="0"/>
    <xf numFmtId="37" fontId="11" fillId="0" borderId="0"/>
    <xf numFmtId="0" fontId="1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82" fillId="0" borderId="0"/>
    <xf numFmtId="0" fontId="82" fillId="0" borderId="0"/>
    <xf numFmtId="0" fontId="7" fillId="0" borderId="0"/>
    <xf numFmtId="0" fontId="8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82" fillId="0" borderId="0"/>
    <xf numFmtId="0" fontId="7" fillId="0" borderId="0"/>
    <xf numFmtId="0" fontId="82" fillId="0" borderId="0"/>
    <xf numFmtId="0" fontId="82" fillId="0" borderId="0"/>
    <xf numFmtId="0" fontId="7" fillId="0" borderId="0"/>
    <xf numFmtId="0" fontId="60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7" fillId="0" borderId="0"/>
    <xf numFmtId="0" fontId="82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5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25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82" fillId="0" borderId="0"/>
    <xf numFmtId="0" fontId="7" fillId="0" borderId="0"/>
    <xf numFmtId="0" fontId="82" fillId="0" borderId="0"/>
    <xf numFmtId="0" fontId="9" fillId="0" borderId="0"/>
    <xf numFmtId="0" fontId="7" fillId="0" borderId="0"/>
    <xf numFmtId="0" fontId="7" fillId="0" borderId="0"/>
    <xf numFmtId="0" fontId="82" fillId="0" borderId="0"/>
    <xf numFmtId="0" fontId="25" fillId="0" borderId="0"/>
    <xf numFmtId="0" fontId="8" fillId="0" borderId="0"/>
    <xf numFmtId="0" fontId="82" fillId="0" borderId="0"/>
    <xf numFmtId="0" fontId="82" fillId="0" borderId="0"/>
    <xf numFmtId="0" fontId="7" fillId="0" borderId="0"/>
    <xf numFmtId="0" fontId="8" fillId="0" borderId="0"/>
    <xf numFmtId="0" fontId="7" fillId="0" borderId="0"/>
    <xf numFmtId="0" fontId="82" fillId="0" borderId="0"/>
    <xf numFmtId="0" fontId="7" fillId="0" borderId="0"/>
    <xf numFmtId="0" fontId="82" fillId="0" borderId="0"/>
    <xf numFmtId="0" fontId="82" fillId="0" borderId="0"/>
    <xf numFmtId="0" fontId="7" fillId="0" borderId="0"/>
    <xf numFmtId="0" fontId="25" fillId="0" borderId="0"/>
    <xf numFmtId="0" fontId="6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8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82" fillId="0" borderId="0"/>
    <xf numFmtId="0" fontId="11" fillId="0" borderId="0"/>
    <xf numFmtId="0" fontId="82" fillId="0" borderId="0"/>
    <xf numFmtId="0" fontId="7" fillId="0" borderId="0"/>
    <xf numFmtId="0" fontId="7" fillId="0" borderId="0"/>
    <xf numFmtId="0" fontId="82" fillId="0" borderId="0"/>
    <xf numFmtId="0" fontId="7" fillId="0" borderId="0"/>
    <xf numFmtId="0" fontId="82" fillId="0" borderId="0"/>
    <xf numFmtId="0" fontId="6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7" fillId="55" borderId="19" applyNumberFormat="0" applyFont="0" applyAlignment="0" applyProtection="0"/>
    <xf numFmtId="0" fontId="7" fillId="55" borderId="19" applyNumberFormat="0" applyFont="0" applyAlignment="0" applyProtection="0"/>
    <xf numFmtId="0" fontId="7" fillId="55" borderId="19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60" fillId="8" borderId="8" applyNumberFormat="0" applyFont="0" applyAlignment="0" applyProtection="0"/>
    <xf numFmtId="0" fontId="51" fillId="55" borderId="19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37" fontId="11" fillId="0" borderId="0" applyNumberFormat="0" applyFill="0" applyBorder="0" applyAlignment="0" applyProtection="0">
      <alignment horizontal="right" vertical="center"/>
      <protection locked="0"/>
    </xf>
    <xf numFmtId="0" fontId="11" fillId="0" borderId="0" applyNumberFormat="0" applyFill="0" applyBorder="0" applyAlignment="0" applyProtection="0">
      <alignment horizontal="right" vertical="center"/>
      <protection locked="0"/>
    </xf>
    <xf numFmtId="37" fontId="7" fillId="0" borderId="20" applyNumberFormat="0" applyFill="0" applyBorder="0" applyProtection="0">
      <alignment horizontal="center"/>
    </xf>
    <xf numFmtId="37" fontId="7" fillId="0" borderId="20" applyNumberFormat="0" applyFill="0" applyBorder="0" applyProtection="0">
      <alignment horizontal="center"/>
    </xf>
    <xf numFmtId="0" fontId="7" fillId="0" borderId="20" applyNumberFormat="0" applyFill="0" applyBorder="0" applyProtection="0">
      <alignment horizontal="center"/>
    </xf>
    <xf numFmtId="0" fontId="7" fillId="0" borderId="20" applyNumberFormat="0" applyFill="0" applyBorder="0" applyProtection="0">
      <alignment horizontal="center"/>
    </xf>
    <xf numFmtId="37" fontId="7" fillId="0" borderId="20" applyNumberFormat="0" applyFill="0" applyBorder="0" applyProtection="0">
      <alignment horizontal="center"/>
    </xf>
    <xf numFmtId="168" fontId="26" fillId="0" borderId="0" applyProtection="0"/>
    <xf numFmtId="0" fontId="83" fillId="6" borderId="5" applyNumberFormat="0" applyAlignment="0" applyProtection="0"/>
    <xf numFmtId="0" fontId="52" fillId="52" borderId="21" applyNumberFormat="0" applyAlignment="0" applyProtection="0"/>
    <xf numFmtId="0" fontId="53" fillId="52" borderId="21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26" fillId="0" borderId="0"/>
    <xf numFmtId="0" fontId="27" fillId="0" borderId="0"/>
    <xf numFmtId="0" fontId="2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1" fillId="0" borderId="0" applyFill="0" applyBorder="0" applyProtection="0"/>
    <xf numFmtId="10" fontId="11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19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0" fontId="54" fillId="0" borderId="22">
      <alignment horizontal="center"/>
    </xf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25" fillId="56" borderId="0" applyNumberFormat="0" applyFont="0" applyBorder="0" applyAlignment="0" applyProtection="0"/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0" fontId="7" fillId="0" borderId="0" applyNumberFormat="0" applyFill="0" applyBorder="0" applyProtection="0">
      <alignment horizontal="center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37" fontId="11" fillId="0" borderId="0" applyFill="0" applyBorder="0" applyProtection="0"/>
    <xf numFmtId="0" fontId="11" fillId="0" borderId="0" applyFill="0" applyBorder="0" applyProtection="0"/>
    <xf numFmtId="37" fontId="11" fillId="0" borderId="0" applyFill="0" applyBorder="0" applyProtection="0"/>
    <xf numFmtId="0" fontId="11" fillId="0" borderId="0" applyFill="0" applyBorder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5" fillId="0" borderId="9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5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5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57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24" applyNumberFormat="0" applyFill="0" applyAlignment="0" applyProtection="0"/>
    <xf numFmtId="0" fontId="8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8" fillId="57" borderId="25">
      <alignment horizontal="center" vertical="top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6" fillId="0" borderId="0" xfId="2"/>
    <xf numFmtId="0" fontId="6" fillId="0" borderId="0" xfId="2" applyAlignment="1">
      <alignment wrapText="1"/>
    </xf>
    <xf numFmtId="0" fontId="6" fillId="0" borderId="0" xfId="2" applyAlignment="1">
      <alignment horizontal="center" vertical="center" wrapText="1"/>
    </xf>
    <xf numFmtId="0" fontId="6" fillId="0" borderId="0" xfId="2" applyAlignment="1">
      <alignment horizontal="center" wrapText="1"/>
    </xf>
    <xf numFmtId="0" fontId="6" fillId="0" borderId="0" xfId="2" applyAlignment="1">
      <alignment vertical="center"/>
    </xf>
    <xf numFmtId="38" fontId="6" fillId="0" borderId="0" xfId="2" applyNumberFormat="1" applyAlignment="1">
      <alignment horizontal="center" wrapText="1"/>
    </xf>
    <xf numFmtId="164" fontId="6" fillId="0" borderId="0" xfId="2" applyNumberFormat="1" applyAlignment="1">
      <alignment horizontal="center" vertical="center" wrapText="1"/>
    </xf>
    <xf numFmtId="0" fontId="6" fillId="0" borderId="0" xfId="2" applyAlignment="1">
      <alignment horizontal="right" vertical="center"/>
    </xf>
    <xf numFmtId="37" fontId="6" fillId="0" borderId="0" xfId="234" applyNumberFormat="1" applyFont="1" applyAlignment="1">
      <alignment horizontal="center" vertical="center"/>
    </xf>
    <xf numFmtId="38" fontId="6" fillId="0" borderId="0" xfId="2" applyNumberFormat="1" applyAlignment="1">
      <alignment horizontal="center" vertical="center" wrapText="1"/>
    </xf>
    <xf numFmtId="38" fontId="6" fillId="0" borderId="0" xfId="2" applyNumberFormat="1" applyAlignment="1">
      <alignment horizontal="center" vertical="center"/>
    </xf>
    <xf numFmtId="3" fontId="6" fillId="0" borderId="0" xfId="2" applyNumberFormat="1" applyAlignment="1">
      <alignment horizontal="center" vertical="center"/>
    </xf>
    <xf numFmtId="40" fontId="6" fillId="0" borderId="0" xfId="2" applyNumberFormat="1" applyAlignment="1">
      <alignment horizontal="center" vertical="center" wrapText="1"/>
    </xf>
    <xf numFmtId="0" fontId="90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6" fillId="0" borderId="0" xfId="2" applyAlignment="1"/>
    <xf numFmtId="9" fontId="6" fillId="0" borderId="0" xfId="2808" applyFont="1" applyAlignment="1">
      <alignment horizontal="center"/>
    </xf>
    <xf numFmtId="9" fontId="6" fillId="0" borderId="0" xfId="2808" applyFont="1" applyAlignment="1"/>
    <xf numFmtId="173" fontId="6" fillId="0" borderId="0" xfId="2" applyNumberFormat="1" applyAlignment="1">
      <alignment horizontal="center" wrapText="1"/>
    </xf>
    <xf numFmtId="0" fontId="90" fillId="0" borderId="0" xfId="2" applyFont="1" applyAlignment="1"/>
    <xf numFmtId="0" fontId="89" fillId="0" borderId="0" xfId="2" applyFont="1" applyAlignment="1">
      <alignment vertical="center"/>
    </xf>
    <xf numFmtId="38" fontId="6" fillId="0" borderId="0" xfId="2" applyNumberFormat="1" applyAlignment="1">
      <alignment horizontal="center"/>
    </xf>
    <xf numFmtId="40" fontId="6" fillId="0" borderId="0" xfId="2" applyNumberFormat="1" applyAlignment="1">
      <alignment horizontal="center" vertical="center"/>
    </xf>
    <xf numFmtId="164" fontId="6" fillId="0" borderId="0" xfId="2" applyNumberFormat="1" applyAlignment="1">
      <alignment horizontal="center" vertical="center"/>
    </xf>
    <xf numFmtId="169" fontId="6" fillId="0" borderId="0" xfId="2" applyNumberFormat="1" applyAlignment="1">
      <alignment horizontal="right" vertical="center" wrapText="1"/>
    </xf>
    <xf numFmtId="3" fontId="6" fillId="0" borderId="0" xfId="2" applyNumberFormat="1" applyAlignment="1">
      <alignment horizontal="left" vertical="center"/>
    </xf>
    <xf numFmtId="0" fontId="93" fillId="0" borderId="0" xfId="0" applyFont="1"/>
    <xf numFmtId="3" fontId="6" fillId="0" borderId="0" xfId="2" applyNumberFormat="1" applyAlignment="1">
      <alignment horizontal="center" vertical="center" wrapText="1"/>
    </xf>
    <xf numFmtId="0" fontId="89" fillId="0" borderId="0" xfId="2" applyFont="1" applyAlignment="1"/>
    <xf numFmtId="0" fontId="92" fillId="0" borderId="0" xfId="2" applyFont="1" applyAlignment="1">
      <alignment horizontal="center" vertical="center"/>
    </xf>
    <xf numFmtId="0" fontId="92" fillId="0" borderId="0" xfId="2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wrapText="1"/>
    </xf>
    <xf numFmtId="17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2832" applyFont="1" applyAlignment="1">
      <alignment horizontal="center"/>
    </xf>
    <xf numFmtId="9" fontId="0" fillId="0" borderId="0" xfId="2832" applyFont="1" applyAlignment="1"/>
    <xf numFmtId="0" fontId="0" fillId="0" borderId="0" xfId="0" applyAlignment="1"/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" fontId="0" fillId="0" borderId="0" xfId="2832" applyNumberFormat="1" applyFont="1" applyAlignment="1">
      <alignment horizontal="center"/>
    </xf>
    <xf numFmtId="174" fontId="0" fillId="0" borderId="0" xfId="2832" applyNumberFormat="1" applyFont="1" applyAlignment="1"/>
    <xf numFmtId="3" fontId="0" fillId="0" borderId="0" xfId="0" applyNumberFormat="1" applyAlignment="1">
      <alignment wrapText="1"/>
    </xf>
    <xf numFmtId="3" fontId="6" fillId="0" borderId="0" xfId="2" applyNumberFormat="1" applyAlignment="1">
      <alignment horizontal="center" wrapText="1"/>
    </xf>
    <xf numFmtId="0" fontId="6" fillId="0" borderId="0" xfId="2" applyFill="1"/>
    <xf numFmtId="0" fontId="92" fillId="0" borderId="0" xfId="2" applyFont="1" applyFill="1" applyAlignment="1">
      <alignment horizontal="center" vertical="center"/>
    </xf>
    <xf numFmtId="3" fontId="6" fillId="0" borderId="0" xfId="2" applyNumberFormat="1" applyFill="1" applyAlignment="1">
      <alignment horizontal="center" wrapText="1"/>
    </xf>
    <xf numFmtId="0" fontId="6" fillId="0" borderId="0" xfId="2" applyFill="1" applyAlignment="1">
      <alignment horizontal="center" vertical="center" wrapText="1"/>
    </xf>
    <xf numFmtId="3" fontId="6" fillId="0" borderId="0" xfId="2" applyNumberFormat="1" applyFill="1" applyAlignment="1">
      <alignment horizontal="center" vertical="center" wrapText="1"/>
    </xf>
    <xf numFmtId="0" fontId="6" fillId="0" borderId="0" xfId="2" applyFill="1" applyAlignment="1">
      <alignment horizontal="center" wrapText="1"/>
    </xf>
    <xf numFmtId="37" fontId="6" fillId="0" borderId="0" xfId="234" applyNumberFormat="1" applyFont="1" applyFill="1" applyAlignment="1">
      <alignment horizontal="center" vertical="center"/>
    </xf>
    <xf numFmtId="0" fontId="4" fillId="0" borderId="0" xfId="2" applyFont="1" applyFill="1" applyAlignment="1"/>
    <xf numFmtId="0" fontId="0" fillId="58" borderId="0" xfId="0" applyFill="1" applyAlignment="1">
      <alignment horizontal="center" wrapText="1"/>
    </xf>
    <xf numFmtId="1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39" fontId="3" fillId="0" borderId="0" xfId="2831" applyNumberFormat="1" applyFont="1" applyAlignment="1">
      <alignment horizontal="center" vertical="center"/>
    </xf>
    <xf numFmtId="0" fontId="2" fillId="0" borderId="0" xfId="2833" applyAlignment="1">
      <alignment wrapText="1"/>
    </xf>
    <xf numFmtId="0" fontId="2" fillId="0" borderId="0" xfId="2833" applyAlignment="1">
      <alignment horizontal="center" vertical="center" wrapText="1"/>
    </xf>
    <xf numFmtId="0" fontId="2" fillId="0" borderId="0" xfId="2833" applyAlignment="1">
      <alignment horizontal="center" wrapText="1"/>
    </xf>
    <xf numFmtId="0" fontId="2" fillId="58" borderId="0" xfId="2833" applyFill="1" applyAlignment="1">
      <alignment horizontal="center" wrapText="1"/>
    </xf>
    <xf numFmtId="173" fontId="2" fillId="0" borderId="0" xfId="2833" applyNumberFormat="1" applyAlignment="1">
      <alignment horizontal="center" wrapText="1"/>
    </xf>
    <xf numFmtId="164" fontId="2" fillId="0" borderId="0" xfId="2833" applyNumberFormat="1" applyAlignment="1">
      <alignment horizontal="center" wrapText="1"/>
    </xf>
    <xf numFmtId="0" fontId="2" fillId="0" borderId="0" xfId="2833" applyAlignment="1">
      <alignment vertical="center"/>
    </xf>
    <xf numFmtId="38" fontId="2" fillId="0" borderId="0" xfId="2833" applyNumberFormat="1" applyAlignment="1">
      <alignment horizontal="center" vertical="center" wrapText="1"/>
    </xf>
    <xf numFmtId="38" fontId="2" fillId="0" borderId="0" xfId="2833" applyNumberFormat="1" applyAlignment="1">
      <alignment horizontal="center" vertical="center"/>
    </xf>
    <xf numFmtId="3" fontId="2" fillId="0" borderId="0" xfId="2833" applyNumberFormat="1" applyAlignment="1">
      <alignment horizontal="center" vertical="center"/>
    </xf>
    <xf numFmtId="40" fontId="2" fillId="0" borderId="0" xfId="2833" applyNumberFormat="1" applyAlignment="1">
      <alignment horizontal="center" vertical="center" wrapText="1"/>
    </xf>
    <xf numFmtId="38" fontId="2" fillId="0" borderId="0" xfId="2833" applyNumberFormat="1" applyAlignment="1">
      <alignment horizontal="center" wrapText="1"/>
    </xf>
    <xf numFmtId="3" fontId="2" fillId="0" borderId="0" xfId="2833" applyNumberFormat="1" applyAlignment="1">
      <alignment horizontal="center" wrapText="1"/>
    </xf>
    <xf numFmtId="3" fontId="2" fillId="0" borderId="0" xfId="2833" applyNumberFormat="1" applyAlignment="1">
      <alignment horizontal="center" vertical="center" wrapText="1"/>
    </xf>
    <xf numFmtId="1" fontId="2" fillId="0" borderId="0" xfId="2833" applyNumberFormat="1" applyAlignment="1">
      <alignment horizontal="right" vertical="center" wrapText="1"/>
    </xf>
    <xf numFmtId="37" fontId="2" fillId="0" borderId="0" xfId="2834" applyNumberFormat="1" applyFont="1" applyAlignment="1">
      <alignment horizontal="center" vertical="center"/>
    </xf>
    <xf numFmtId="0" fontId="2" fillId="0" borderId="0" xfId="2833" applyAlignment="1">
      <alignment horizontal="right" vertical="center"/>
    </xf>
    <xf numFmtId="37" fontId="2" fillId="0" borderId="0" xfId="2834" applyNumberFormat="1" applyFont="1" applyFill="1" applyAlignment="1">
      <alignment horizontal="center" vertical="center"/>
    </xf>
    <xf numFmtId="38" fontId="87" fillId="0" borderId="0" xfId="2833" applyNumberFormat="1" applyFont="1" applyAlignment="1">
      <alignment horizontal="center" wrapText="1"/>
    </xf>
    <xf numFmtId="0" fontId="2" fillId="0" borderId="0" xfId="2833" applyAlignment="1">
      <alignment horizontal="center"/>
    </xf>
    <xf numFmtId="40" fontId="2" fillId="0" borderId="0" xfId="2833" applyNumberFormat="1" applyAlignment="1">
      <alignment horizontal="center" vertical="center"/>
    </xf>
    <xf numFmtId="38" fontId="2" fillId="0" borderId="0" xfId="2833" applyNumberFormat="1" applyAlignment="1">
      <alignment horizontal="center"/>
    </xf>
    <xf numFmtId="173" fontId="2" fillId="0" borderId="0" xfId="2833" applyNumberFormat="1" applyAlignment="1">
      <alignment horizontal="center"/>
    </xf>
    <xf numFmtId="38" fontId="95" fillId="0" borderId="0" xfId="2833" applyNumberFormat="1" applyFont="1" applyAlignment="1">
      <alignment horizontal="center"/>
    </xf>
    <xf numFmtId="39" fontId="2" fillId="0" borderId="0" xfId="2834" applyNumberFormat="1" applyFont="1" applyAlignment="1">
      <alignment horizontal="center" vertical="center"/>
    </xf>
    <xf numFmtId="3" fontId="2" fillId="0" borderId="0" xfId="2833" applyNumberFormat="1" applyAlignment="1">
      <alignment horizontal="right" vertical="center" wrapText="1"/>
    </xf>
    <xf numFmtId="175" fontId="0" fillId="0" borderId="0" xfId="2831" applyNumberFormat="1" applyFont="1" applyAlignment="1">
      <alignment horizontal="center"/>
    </xf>
    <xf numFmtId="175" fontId="0" fillId="0" borderId="0" xfId="2831" applyNumberFormat="1" applyFont="1" applyAlignment="1"/>
    <xf numFmtId="9" fontId="85" fillId="0" borderId="0" xfId="2835" applyFont="1" applyAlignment="1">
      <alignment horizontal="center"/>
    </xf>
    <xf numFmtId="9" fontId="0" fillId="0" borderId="0" xfId="2835" applyFont="1" applyAlignment="1"/>
    <xf numFmtId="0" fontId="2" fillId="0" borderId="0" xfId="2833" applyAlignment="1"/>
    <xf numFmtId="173" fontId="2" fillId="0" borderId="0" xfId="2833" applyNumberFormat="1" applyAlignment="1">
      <alignment wrapText="1"/>
    </xf>
    <xf numFmtId="0" fontId="2" fillId="0" borderId="0" xfId="2833" applyAlignment="1">
      <alignment horizontal="right" vertical="center" wrapText="1"/>
    </xf>
    <xf numFmtId="1" fontId="0" fillId="0" borderId="0" xfId="2835" applyNumberFormat="1" applyFont="1" applyAlignment="1">
      <alignment horizontal="center"/>
    </xf>
    <xf numFmtId="38" fontId="2" fillId="0" borderId="0" xfId="2833" applyNumberFormat="1" applyAlignment="1">
      <alignment wrapText="1"/>
    </xf>
    <xf numFmtId="9" fontId="0" fillId="0" borderId="0" xfId="2835" applyFont="1" applyAlignment="1">
      <alignment horizontal="center"/>
    </xf>
    <xf numFmtId="0" fontId="96" fillId="59" borderId="28" xfId="0" applyFont="1" applyFill="1" applyBorder="1" applyAlignment="1">
      <alignment horizontal="center" vertical="center" wrapText="1"/>
    </xf>
    <xf numFmtId="0" fontId="96" fillId="59" borderId="29" xfId="0" applyFont="1" applyFill="1" applyBorder="1" applyAlignment="1">
      <alignment horizontal="center" vertical="center" wrapText="1"/>
    </xf>
    <xf numFmtId="0" fontId="96" fillId="59" borderId="30" xfId="0" applyFont="1" applyFill="1" applyBorder="1" applyAlignment="1">
      <alignment horizontal="center" vertical="center" wrapText="1"/>
    </xf>
    <xf numFmtId="0" fontId="97" fillId="60" borderId="32" xfId="0" applyFont="1" applyFill="1" applyBorder="1"/>
    <xf numFmtId="38" fontId="97" fillId="60" borderId="33" xfId="0" applyNumberFormat="1" applyFont="1" applyFill="1" applyBorder="1" applyAlignment="1">
      <alignment horizontal="center" vertical="center"/>
    </xf>
    <xf numFmtId="38" fontId="97" fillId="60" borderId="34" xfId="0" applyNumberFormat="1" applyFont="1" applyFill="1" applyBorder="1" applyAlignment="1">
      <alignment horizontal="center" vertical="center"/>
    </xf>
    <xf numFmtId="0" fontId="97" fillId="60" borderId="36" xfId="0" applyFont="1" applyFill="1" applyBorder="1"/>
    <xf numFmtId="38" fontId="97" fillId="60" borderId="37" xfId="0" applyNumberFormat="1" applyFont="1" applyFill="1" applyBorder="1" applyAlignment="1">
      <alignment horizontal="center"/>
    </xf>
    <xf numFmtId="38" fontId="97" fillId="60" borderId="38" xfId="0" applyNumberFormat="1" applyFont="1" applyFill="1" applyBorder="1" applyAlignment="1">
      <alignment horizontal="center"/>
    </xf>
    <xf numFmtId="38" fontId="97" fillId="60" borderId="37" xfId="0" applyNumberFormat="1" applyFont="1" applyFill="1" applyBorder="1" applyAlignment="1">
      <alignment horizontal="center" vertical="center"/>
    </xf>
    <xf numFmtId="38" fontId="97" fillId="60" borderId="38" xfId="0" applyNumberFormat="1" applyFont="1" applyFill="1" applyBorder="1" applyAlignment="1">
      <alignment horizontal="center" vertical="center"/>
    </xf>
    <xf numFmtId="0" fontId="97" fillId="60" borderId="40" xfId="0" applyFont="1" applyFill="1" applyBorder="1"/>
    <xf numFmtId="38" fontId="97" fillId="60" borderId="41" xfId="0" applyNumberFormat="1" applyFont="1" applyFill="1" applyBorder="1" applyAlignment="1">
      <alignment horizontal="center"/>
    </xf>
    <xf numFmtId="38" fontId="97" fillId="60" borderId="42" xfId="0" applyNumberFormat="1" applyFont="1" applyFill="1" applyBorder="1" applyAlignment="1">
      <alignment horizontal="center"/>
    </xf>
    <xf numFmtId="0" fontId="97" fillId="0" borderId="31" xfId="0" applyFont="1" applyBorder="1"/>
    <xf numFmtId="38" fontId="98" fillId="0" borderId="33" xfId="0" applyNumberFormat="1" applyFont="1" applyFill="1" applyBorder="1" applyAlignment="1">
      <alignment horizontal="center" vertical="center"/>
    </xf>
    <xf numFmtId="38" fontId="98" fillId="0" borderId="34" xfId="0" applyNumberFormat="1" applyFont="1" applyFill="1" applyBorder="1" applyAlignment="1">
      <alignment horizontal="center" vertical="center"/>
    </xf>
    <xf numFmtId="0" fontId="97" fillId="0" borderId="35" xfId="0" applyFont="1" applyBorder="1"/>
    <xf numFmtId="38" fontId="98" fillId="0" borderId="37" xfId="0" applyNumberFormat="1" applyFont="1" applyFill="1" applyBorder="1" applyAlignment="1">
      <alignment horizontal="center"/>
    </xf>
    <xf numFmtId="38" fontId="98" fillId="0" borderId="38" xfId="0" applyNumberFormat="1" applyFont="1" applyFill="1" applyBorder="1" applyAlignment="1">
      <alignment horizontal="center"/>
    </xf>
    <xf numFmtId="38" fontId="98" fillId="0" borderId="37" xfId="0" applyNumberFormat="1" applyFont="1" applyFill="1" applyBorder="1" applyAlignment="1">
      <alignment horizontal="center" vertical="center"/>
    </xf>
    <xf numFmtId="38" fontId="98" fillId="0" borderId="38" xfId="0" applyNumberFormat="1" applyFont="1" applyFill="1" applyBorder="1" applyAlignment="1">
      <alignment horizontal="center" vertical="center"/>
    </xf>
    <xf numFmtId="0" fontId="97" fillId="0" borderId="39" xfId="0" applyFont="1" applyBorder="1"/>
    <xf numFmtId="38" fontId="98" fillId="0" borderId="41" xfId="0" applyNumberFormat="1" applyFont="1" applyFill="1" applyBorder="1" applyAlignment="1">
      <alignment horizontal="center"/>
    </xf>
    <xf numFmtId="38" fontId="98" fillId="0" borderId="42" xfId="0" applyNumberFormat="1" applyFont="1" applyFill="1" applyBorder="1" applyAlignment="1">
      <alignment horizontal="center"/>
    </xf>
    <xf numFmtId="0" fontId="97" fillId="0" borderId="32" xfId="0" applyFont="1" applyBorder="1"/>
    <xf numFmtId="38" fontId="97" fillId="0" borderId="33" xfId="0" applyNumberFormat="1" applyFont="1" applyFill="1" applyBorder="1" applyAlignment="1">
      <alignment horizontal="center" vertical="center"/>
    </xf>
    <xf numFmtId="0" fontId="97" fillId="0" borderId="36" xfId="0" applyFont="1" applyBorder="1"/>
    <xf numFmtId="38" fontId="97" fillId="0" borderId="37" xfId="0" applyNumberFormat="1" applyFont="1" applyFill="1" applyBorder="1" applyAlignment="1">
      <alignment horizontal="center"/>
    </xf>
    <xf numFmtId="38" fontId="97" fillId="0" borderId="37" xfId="0" applyNumberFormat="1" applyFont="1" applyFill="1" applyBorder="1" applyAlignment="1">
      <alignment horizontal="center" vertical="center"/>
    </xf>
    <xf numFmtId="38" fontId="97" fillId="0" borderId="41" xfId="0" applyNumberFormat="1" applyFont="1" applyFill="1" applyBorder="1" applyAlignment="1">
      <alignment horizontal="center"/>
    </xf>
    <xf numFmtId="37" fontId="1" fillId="0" borderId="0" xfId="2831" applyNumberFormat="1" applyFont="1" applyAlignment="1">
      <alignment horizontal="center" vertical="center"/>
    </xf>
    <xf numFmtId="38" fontId="97" fillId="0" borderId="34" xfId="0" applyNumberFormat="1" applyFont="1" applyFill="1" applyBorder="1" applyAlignment="1">
      <alignment horizontal="center" vertical="center"/>
    </xf>
    <xf numFmtId="38" fontId="97" fillId="0" borderId="38" xfId="0" applyNumberFormat="1" applyFont="1" applyFill="1" applyBorder="1" applyAlignment="1">
      <alignment horizontal="center"/>
    </xf>
    <xf numFmtId="38" fontId="97" fillId="0" borderId="38" xfId="0" applyNumberFormat="1" applyFont="1" applyFill="1" applyBorder="1" applyAlignment="1">
      <alignment horizontal="center" vertical="center"/>
    </xf>
    <xf numFmtId="0" fontId="97" fillId="0" borderId="40" xfId="0" applyFont="1" applyBorder="1"/>
    <xf numFmtId="38" fontId="97" fillId="0" borderId="42" xfId="0" applyNumberFormat="1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89" fillId="0" borderId="0" xfId="0" applyFont="1" applyAlignment="1">
      <alignment horizontal="center" vertical="center"/>
    </xf>
    <xf numFmtId="0" fontId="89" fillId="0" borderId="0" xfId="2833" applyFont="1" applyAlignment="1">
      <alignment horizontal="center" vertical="center"/>
    </xf>
    <xf numFmtId="0" fontId="89" fillId="0" borderId="0" xfId="2" applyFont="1" applyAlignment="1">
      <alignment horizontal="center"/>
    </xf>
    <xf numFmtId="0" fontId="90" fillId="0" borderId="0" xfId="2" applyFont="1" applyAlignment="1">
      <alignment horizontal="center"/>
    </xf>
    <xf numFmtId="0" fontId="91" fillId="0" borderId="0" xfId="2" applyFont="1" applyAlignment="1">
      <alignment horizontal="center" vertical="center" wrapText="1"/>
    </xf>
    <xf numFmtId="0" fontId="97" fillId="0" borderId="43" xfId="0" applyFont="1" applyBorder="1" applyAlignment="1">
      <alignment horizontal="left" vertical="center" wrapText="1"/>
    </xf>
    <xf numFmtId="0" fontId="97" fillId="0" borderId="32" xfId="0" applyFont="1" applyBorder="1" applyAlignment="1">
      <alignment horizontal="left" vertical="center" wrapText="1"/>
    </xf>
    <xf numFmtId="0" fontId="97" fillId="0" borderId="44" xfId="0" applyFont="1" applyBorder="1" applyAlignment="1">
      <alignment horizontal="left" vertical="center" wrapText="1"/>
    </xf>
    <xf numFmtId="0" fontId="97" fillId="0" borderId="40" xfId="0" applyFont="1" applyBorder="1" applyAlignment="1">
      <alignment horizontal="left" vertical="center" wrapText="1"/>
    </xf>
    <xf numFmtId="0" fontId="96" fillId="59" borderId="26" xfId="0" applyFont="1" applyFill="1" applyBorder="1" applyAlignment="1">
      <alignment horizontal="center" wrapText="1"/>
    </xf>
    <xf numFmtId="0" fontId="96" fillId="59" borderId="27" xfId="0" applyFont="1" applyFill="1" applyBorder="1" applyAlignment="1">
      <alignment horizontal="center" wrapText="1"/>
    </xf>
    <xf numFmtId="0" fontId="96" fillId="60" borderId="31" xfId="0" applyFont="1" applyFill="1" applyBorder="1" applyAlignment="1">
      <alignment horizontal="center" vertical="center" wrapText="1"/>
    </xf>
    <xf numFmtId="0" fontId="96" fillId="60" borderId="35" xfId="0" applyFont="1" applyFill="1" applyBorder="1" applyAlignment="1">
      <alignment horizontal="center" vertical="center" wrapText="1"/>
    </xf>
    <xf numFmtId="0" fontId="96" fillId="60" borderId="39" xfId="0" applyFont="1" applyFill="1" applyBorder="1" applyAlignment="1">
      <alignment horizontal="center" vertical="center" wrapText="1"/>
    </xf>
    <xf numFmtId="0" fontId="96" fillId="0" borderId="31" xfId="0" applyFont="1" applyBorder="1" applyAlignment="1">
      <alignment horizontal="center" vertical="center" wrapText="1"/>
    </xf>
    <xf numFmtId="0" fontId="96" fillId="0" borderId="35" xfId="0" applyFont="1" applyBorder="1" applyAlignment="1">
      <alignment horizontal="center" vertical="center" wrapText="1"/>
    </xf>
    <xf numFmtId="0" fontId="96" fillId="0" borderId="39" xfId="0" applyFont="1" applyBorder="1" applyAlignment="1">
      <alignment horizontal="center" vertical="center" wrapText="1"/>
    </xf>
  </cellXfs>
  <cellStyles count="2839">
    <cellStyle name=" 1" xfId="3"/>
    <cellStyle name=" 1 2" xfId="4"/>
    <cellStyle name="_08August 2010 Actual" xfId="5"/>
    <cellStyle name="_09September 2010 Actual" xfId="6"/>
    <cellStyle name="_10October 2010 Actual" xfId="7"/>
    <cellStyle name="_11November 2010 Actual" xfId="8"/>
    <cellStyle name="_11November 2010 Actual Revised" xfId="9"/>
    <cellStyle name="_12December 2010 Actual" xfId="10"/>
    <cellStyle name="_Cap Settlement Model_WP in OPCo no Dres VS. WP Removed no Dres.(5 Co. Model)" xfId="11"/>
    <cellStyle name="_Cap Settlement Summary-Cases 1-4" xfId="12"/>
    <cellStyle name="20% - Accent1 2" xfId="14"/>
    <cellStyle name="20% - Accent1 2 2" xfId="15"/>
    <cellStyle name="20% - Accent1 2 2 2" xfId="16"/>
    <cellStyle name="20% - Accent1 2 3" xfId="17"/>
    <cellStyle name="20% - Accent1 3" xfId="18"/>
    <cellStyle name="20% - Accent1 3 2" xfId="19"/>
    <cellStyle name="20% - Accent1 3 2 2" xfId="20"/>
    <cellStyle name="20% - Accent1 3 3" xfId="21"/>
    <cellStyle name="20% - Accent1 4" xfId="22"/>
    <cellStyle name="20% - Accent1 5" xfId="23"/>
    <cellStyle name="20% - Accent1 6" xfId="13"/>
    <cellStyle name="20% - Accent2 2" xfId="25"/>
    <cellStyle name="20% - Accent2 2 2" xfId="26"/>
    <cellStyle name="20% - Accent2 2 2 2" xfId="27"/>
    <cellStyle name="20% - Accent2 2 3" xfId="28"/>
    <cellStyle name="20% - Accent2 3" xfId="29"/>
    <cellStyle name="20% - Accent2 3 2" xfId="30"/>
    <cellStyle name="20% - Accent2 3 2 2" xfId="31"/>
    <cellStyle name="20% - Accent2 3 3" xfId="32"/>
    <cellStyle name="20% - Accent2 4" xfId="33"/>
    <cellStyle name="20% - Accent2 5" xfId="34"/>
    <cellStyle name="20% - Accent2 6" xfId="24"/>
    <cellStyle name="20% - Accent3 2" xfId="36"/>
    <cellStyle name="20% - Accent3 2 2" xfId="37"/>
    <cellStyle name="20% - Accent3 2 2 2" xfId="38"/>
    <cellStyle name="20% - Accent3 2 3" xfId="39"/>
    <cellStyle name="20% - Accent3 3" xfId="40"/>
    <cellStyle name="20% - Accent3 3 2" xfId="41"/>
    <cellStyle name="20% - Accent3 3 2 2" xfId="42"/>
    <cellStyle name="20% - Accent3 3 3" xfId="43"/>
    <cellStyle name="20% - Accent3 4" xfId="44"/>
    <cellStyle name="20% - Accent3 5" xfId="45"/>
    <cellStyle name="20% - Accent3 6" xfId="35"/>
    <cellStyle name="20% - Accent4 2" xfId="47"/>
    <cellStyle name="20% - Accent4 2 2" xfId="48"/>
    <cellStyle name="20% - Accent4 2 2 2" xfId="49"/>
    <cellStyle name="20% - Accent4 2 3" xfId="50"/>
    <cellStyle name="20% - Accent4 3" xfId="51"/>
    <cellStyle name="20% - Accent4 3 2" xfId="52"/>
    <cellStyle name="20% - Accent4 3 2 2" xfId="53"/>
    <cellStyle name="20% - Accent4 3 3" xfId="54"/>
    <cellStyle name="20% - Accent4 4" xfId="55"/>
    <cellStyle name="20% - Accent4 5" xfId="56"/>
    <cellStyle name="20% - Accent4 6" xfId="46"/>
    <cellStyle name="20% - Accent5 2" xfId="58"/>
    <cellStyle name="20% - Accent5 2 2" xfId="59"/>
    <cellStyle name="20% - Accent5 2 2 2" xfId="60"/>
    <cellStyle name="20% - Accent5 2 3" xfId="61"/>
    <cellStyle name="20% - Accent5 3" xfId="62"/>
    <cellStyle name="20% - Accent5 3 2" xfId="63"/>
    <cellStyle name="20% - Accent5 3 2 2" xfId="64"/>
    <cellStyle name="20% - Accent5 3 3" xfId="65"/>
    <cellStyle name="20% - Accent5 4" xfId="66"/>
    <cellStyle name="20% - Accent5 5" xfId="67"/>
    <cellStyle name="20% - Accent5 6" xfId="57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5" xfId="78"/>
    <cellStyle name="20% - Accent6 6" xfId="68"/>
    <cellStyle name="40% - Accent1 2" xfId="80"/>
    <cellStyle name="40% - Accent1 2 2" xfId="81"/>
    <cellStyle name="40% - Accent1 2 2 2" xfId="82"/>
    <cellStyle name="40% - Accent1 2 3" xfId="83"/>
    <cellStyle name="40% - Accent1 3" xfId="84"/>
    <cellStyle name="40% - Accent1 3 2" xfId="85"/>
    <cellStyle name="40% - Accent1 3 2 2" xfId="86"/>
    <cellStyle name="40% - Accent1 3 3" xfId="87"/>
    <cellStyle name="40% - Accent1 4" xfId="88"/>
    <cellStyle name="40% - Accent1 5" xfId="89"/>
    <cellStyle name="40% - Accent1 6" xfId="79"/>
    <cellStyle name="40% - Accent2 2" xfId="91"/>
    <cellStyle name="40% - Accent2 2 2" xfId="92"/>
    <cellStyle name="40% - Accent2 2 2 2" xfId="93"/>
    <cellStyle name="40% - Accent2 2 3" xfId="94"/>
    <cellStyle name="40% - Accent2 3" xfId="95"/>
    <cellStyle name="40% - Accent2 3 2" xfId="96"/>
    <cellStyle name="40% - Accent2 3 2 2" xfId="97"/>
    <cellStyle name="40% - Accent2 3 3" xfId="98"/>
    <cellStyle name="40% - Accent2 4" xfId="99"/>
    <cellStyle name="40% - Accent2 5" xfId="100"/>
    <cellStyle name="40% - Accent2 6" xfId="90"/>
    <cellStyle name="40% - Accent3 2" xfId="102"/>
    <cellStyle name="40% - Accent3 2 2" xfId="103"/>
    <cellStyle name="40% - Accent3 2 2 2" xfId="104"/>
    <cellStyle name="40% - Accent3 2 3" xfId="105"/>
    <cellStyle name="40% - Accent3 3" xfId="106"/>
    <cellStyle name="40% - Accent3 3 2" xfId="107"/>
    <cellStyle name="40% - Accent3 3 2 2" xfId="108"/>
    <cellStyle name="40% - Accent3 3 3" xfId="109"/>
    <cellStyle name="40% - Accent3 4" xfId="110"/>
    <cellStyle name="40% - Accent3 5" xfId="111"/>
    <cellStyle name="40% - Accent3 6" xfId="101"/>
    <cellStyle name="40% - Accent4 2" xfId="113"/>
    <cellStyle name="40% - Accent4 2 2" xfId="114"/>
    <cellStyle name="40% - Accent4 2 2 2" xfId="115"/>
    <cellStyle name="40% - Accent4 2 3" xfId="116"/>
    <cellStyle name="40% - Accent4 3" xfId="117"/>
    <cellStyle name="40% - Accent4 3 2" xfId="118"/>
    <cellStyle name="40% - Accent4 3 2 2" xfId="119"/>
    <cellStyle name="40% - Accent4 3 3" xfId="120"/>
    <cellStyle name="40% - Accent4 4" xfId="121"/>
    <cellStyle name="40% - Accent4 5" xfId="122"/>
    <cellStyle name="40% - Accent4 6" xfId="112"/>
    <cellStyle name="40% - Accent5 2" xfId="124"/>
    <cellStyle name="40% - Accent5 2 2" xfId="125"/>
    <cellStyle name="40% - Accent5 2 2 2" xfId="126"/>
    <cellStyle name="40% - Accent5 2 3" xfId="127"/>
    <cellStyle name="40% - Accent5 3" xfId="128"/>
    <cellStyle name="40% - Accent5 3 2" xfId="129"/>
    <cellStyle name="40% - Accent5 3 2 2" xfId="130"/>
    <cellStyle name="40% - Accent5 3 3" xfId="131"/>
    <cellStyle name="40% - Accent5 4" xfId="132"/>
    <cellStyle name="40% - Accent5 5" xfId="133"/>
    <cellStyle name="40% - Accent5 6" xfId="123"/>
    <cellStyle name="40% - Accent6 2" xfId="135"/>
    <cellStyle name="40% - Accent6 2 2" xfId="136"/>
    <cellStyle name="40% - Accent6 2 2 2" xfId="137"/>
    <cellStyle name="40% - Accent6 2 3" xfId="138"/>
    <cellStyle name="40% - Accent6 3" xfId="139"/>
    <cellStyle name="40% - Accent6 3 2" xfId="140"/>
    <cellStyle name="40% - Accent6 3 2 2" xfId="141"/>
    <cellStyle name="40% - Accent6 3 3" xfId="142"/>
    <cellStyle name="40% - Accent6 4" xfId="143"/>
    <cellStyle name="40% - Accent6 5" xfId="144"/>
    <cellStyle name="40% - Accent6 6" xfId="134"/>
    <cellStyle name="4Decimals" xfId="145"/>
    <cellStyle name="60% - Accent1 2" xfId="147"/>
    <cellStyle name="60% - Accent1 3" xfId="148"/>
    <cellStyle name="60% - Accent1 4" xfId="149"/>
    <cellStyle name="60% - Accent1 5" xfId="150"/>
    <cellStyle name="60% - Accent1 6" xfId="146"/>
    <cellStyle name="60% - Accent2 2" xfId="152"/>
    <cellStyle name="60% - Accent2 3" xfId="153"/>
    <cellStyle name="60% - Accent2 4" xfId="154"/>
    <cellStyle name="60% - Accent2 5" xfId="155"/>
    <cellStyle name="60% - Accent2 6" xfId="151"/>
    <cellStyle name="60% - Accent3 2" xfId="157"/>
    <cellStyle name="60% - Accent3 3" xfId="158"/>
    <cellStyle name="60% - Accent3 4" xfId="159"/>
    <cellStyle name="60% - Accent3 5" xfId="160"/>
    <cellStyle name="60% - Accent3 6" xfId="156"/>
    <cellStyle name="60% - Accent4 2" xfId="162"/>
    <cellStyle name="60% - Accent4 3" xfId="163"/>
    <cellStyle name="60% - Accent4 4" xfId="164"/>
    <cellStyle name="60% - Accent4 5" xfId="165"/>
    <cellStyle name="60% - Accent4 6" xfId="161"/>
    <cellStyle name="60% - Accent5 2" xfId="167"/>
    <cellStyle name="60% - Accent5 3" xfId="168"/>
    <cellStyle name="60% - Accent5 4" xfId="169"/>
    <cellStyle name="60% - Accent5 5" xfId="170"/>
    <cellStyle name="60% - Accent5 6" xfId="166"/>
    <cellStyle name="60% - Accent6 2" xfId="172"/>
    <cellStyle name="60% - Accent6 3" xfId="173"/>
    <cellStyle name="60% - Accent6 4" xfId="174"/>
    <cellStyle name="60% - Accent6 5" xfId="175"/>
    <cellStyle name="60% - Accent6 6" xfId="171"/>
    <cellStyle name="Accent1 2" xfId="177"/>
    <cellStyle name="Accent1 3" xfId="178"/>
    <cellStyle name="Accent1 4" xfId="179"/>
    <cellStyle name="Accent1 5" xfId="180"/>
    <cellStyle name="Accent1 6" xfId="176"/>
    <cellStyle name="Accent2 2" xfId="182"/>
    <cellStyle name="Accent2 3" xfId="183"/>
    <cellStyle name="Accent2 4" xfId="184"/>
    <cellStyle name="Accent2 5" xfId="185"/>
    <cellStyle name="Accent2 6" xfId="181"/>
    <cellStyle name="Accent3 2" xfId="187"/>
    <cellStyle name="Accent3 3" xfId="188"/>
    <cellStyle name="Accent3 4" xfId="189"/>
    <cellStyle name="Accent3 5" xfId="190"/>
    <cellStyle name="Accent3 6" xfId="186"/>
    <cellStyle name="Accent4 2" xfId="192"/>
    <cellStyle name="Accent4 3" xfId="193"/>
    <cellStyle name="Accent4 4" xfId="194"/>
    <cellStyle name="Accent4 5" xfId="195"/>
    <cellStyle name="Accent4 6" xfId="191"/>
    <cellStyle name="Accent5 2" xfId="197"/>
    <cellStyle name="Accent5 3" xfId="198"/>
    <cellStyle name="Accent5 4" xfId="199"/>
    <cellStyle name="Accent5 5" xfId="200"/>
    <cellStyle name="Accent5 6" xfId="196"/>
    <cellStyle name="Accent6 2" xfId="202"/>
    <cellStyle name="Accent6 3" xfId="203"/>
    <cellStyle name="Accent6 4" xfId="204"/>
    <cellStyle name="Accent6 5" xfId="205"/>
    <cellStyle name="Accent6 6" xfId="201"/>
    <cellStyle name="AsPercent" xfId="206"/>
    <cellStyle name="AsPercentCenter" xfId="207"/>
    <cellStyle name="Bad 2" xfId="209"/>
    <cellStyle name="Bad 3" xfId="210"/>
    <cellStyle name="Bad 4" xfId="211"/>
    <cellStyle name="Bad 5" xfId="212"/>
    <cellStyle name="Bad 6" xfId="208"/>
    <cellStyle name="cajun" xfId="213"/>
    <cellStyle name="cajun 2" xfId="214"/>
    <cellStyle name="cajun 2 2" xfId="215"/>
    <cellStyle name="Calculation 2" xfId="217"/>
    <cellStyle name="Calculation 3" xfId="218"/>
    <cellStyle name="Calculation 4" xfId="219"/>
    <cellStyle name="Calculation 5" xfId="220"/>
    <cellStyle name="Calculation 6" xfId="216"/>
    <cellStyle name="Check Cell 2" xfId="222"/>
    <cellStyle name="Check Cell 3" xfId="223"/>
    <cellStyle name="Check Cell 4" xfId="224"/>
    <cellStyle name="Check Cell 5" xfId="225"/>
    <cellStyle name="Check Cell 6" xfId="221"/>
    <cellStyle name="ColumnHeader" xfId="226"/>
    <cellStyle name="ColumnHeader 2" xfId="227"/>
    <cellStyle name="ColumnHeaderCenter" xfId="228"/>
    <cellStyle name="ColumnHeaderCenter 2" xfId="229"/>
    <cellStyle name="ColumnHeaderUnderline" xfId="230"/>
    <cellStyle name="ColumnHeaderUnderline 2" xfId="231"/>
    <cellStyle name="ColumnMath" xfId="232"/>
    <cellStyle name="ColumnMath 2" xfId="233"/>
    <cellStyle name="Comma" xfId="2831" builtinId="3"/>
    <cellStyle name="Comma 10" xfId="235"/>
    <cellStyle name="Comma 10 2" xfId="236"/>
    <cellStyle name="Comma 11" xfId="237"/>
    <cellStyle name="Comma 11 2" xfId="238"/>
    <cellStyle name="Comma 11 2 2" xfId="239"/>
    <cellStyle name="Comma 11 2 2 2" xfId="240"/>
    <cellStyle name="Comma 11 2 3" xfId="241"/>
    <cellStyle name="Comma 11 3" xfId="242"/>
    <cellStyle name="Comma 11 3 2" xfId="243"/>
    <cellStyle name="Comma 11 3 2 2" xfId="244"/>
    <cellStyle name="Comma 11 3 3" xfId="245"/>
    <cellStyle name="Comma 11 4" xfId="246"/>
    <cellStyle name="Comma 12" xfId="247"/>
    <cellStyle name="Comma 12 2" xfId="248"/>
    <cellStyle name="Comma 12 2 2" xfId="249"/>
    <cellStyle name="Comma 12 2 2 2" xfId="250"/>
    <cellStyle name="Comma 12 2 3" xfId="251"/>
    <cellStyle name="Comma 12 3" xfId="252"/>
    <cellStyle name="Comma 12 4" xfId="253"/>
    <cellStyle name="Comma 12 4 2" xfId="254"/>
    <cellStyle name="Comma 12 5" xfId="255"/>
    <cellStyle name="Comma 13" xfId="256"/>
    <cellStyle name="Comma 13 2" xfId="257"/>
    <cellStyle name="Comma 13 2 2" xfId="258"/>
    <cellStyle name="Comma 13 3" xfId="259"/>
    <cellStyle name="Comma 14" xfId="260"/>
    <cellStyle name="Comma 14 2" xfId="261"/>
    <cellStyle name="Comma 14 2 2" xfId="262"/>
    <cellStyle name="Comma 14 3" xfId="263"/>
    <cellStyle name="Comma 14 4" xfId="264"/>
    <cellStyle name="Comma 14 4 2" xfId="265"/>
    <cellStyle name="Comma 15" xfId="266"/>
    <cellStyle name="Comma 15 10" xfId="267"/>
    <cellStyle name="Comma 15 11" xfId="268"/>
    <cellStyle name="Comma 15 12" xfId="269"/>
    <cellStyle name="Comma 15 13" xfId="270"/>
    <cellStyle name="Comma 15 14" xfId="271"/>
    <cellStyle name="Comma 15 15" xfId="272"/>
    <cellStyle name="Comma 15 16" xfId="273"/>
    <cellStyle name="Comma 15 17" xfId="274"/>
    <cellStyle name="Comma 15 18" xfId="275"/>
    <cellStyle name="Comma 15 19" xfId="276"/>
    <cellStyle name="Comma 15 2" xfId="277"/>
    <cellStyle name="Comma 15 2 2" xfId="278"/>
    <cellStyle name="Comma 15 20" xfId="279"/>
    <cellStyle name="Comma 15 3" xfId="280"/>
    <cellStyle name="Comma 15 3 10" xfId="281"/>
    <cellStyle name="Comma 15 3 11" xfId="282"/>
    <cellStyle name="Comma 15 3 12" xfId="283"/>
    <cellStyle name="Comma 15 3 2" xfId="284"/>
    <cellStyle name="Comma 15 3 3" xfId="285"/>
    <cellStyle name="Comma 15 3 4" xfId="286"/>
    <cellStyle name="Comma 15 3 5" xfId="287"/>
    <cellStyle name="Comma 15 3 6" xfId="288"/>
    <cellStyle name="Comma 15 3 7" xfId="289"/>
    <cellStyle name="Comma 15 3 8" xfId="290"/>
    <cellStyle name="Comma 15 3 9" xfId="291"/>
    <cellStyle name="Comma 15 4" xfId="292"/>
    <cellStyle name="Comma 15 4 2" xfId="293"/>
    <cellStyle name="Comma 15 5" xfId="294"/>
    <cellStyle name="Comma 15 6" xfId="295"/>
    <cellStyle name="Comma 15 7" xfId="296"/>
    <cellStyle name="Comma 15 8" xfId="297"/>
    <cellStyle name="Comma 15 9" xfId="298"/>
    <cellStyle name="Comma 16" xfId="299"/>
    <cellStyle name="Comma 16 10" xfId="300"/>
    <cellStyle name="Comma 16 11" xfId="301"/>
    <cellStyle name="Comma 16 12" xfId="302"/>
    <cellStyle name="Comma 16 13" xfId="303"/>
    <cellStyle name="Comma 16 14" xfId="304"/>
    <cellStyle name="Comma 16 15" xfId="305"/>
    <cellStyle name="Comma 16 16" xfId="306"/>
    <cellStyle name="Comma 16 17" xfId="307"/>
    <cellStyle name="Comma 16 18" xfId="308"/>
    <cellStyle name="Comma 16 19" xfId="309"/>
    <cellStyle name="Comma 16 2" xfId="310"/>
    <cellStyle name="Comma 16 2 2" xfId="311"/>
    <cellStyle name="Comma 16 20" xfId="312"/>
    <cellStyle name="Comma 16 3" xfId="313"/>
    <cellStyle name="Comma 16 3 10" xfId="314"/>
    <cellStyle name="Comma 16 3 11" xfId="315"/>
    <cellStyle name="Comma 16 3 12" xfId="316"/>
    <cellStyle name="Comma 16 3 2" xfId="317"/>
    <cellStyle name="Comma 16 3 3" xfId="318"/>
    <cellStyle name="Comma 16 3 4" xfId="319"/>
    <cellStyle name="Comma 16 3 5" xfId="320"/>
    <cellStyle name="Comma 16 3 6" xfId="321"/>
    <cellStyle name="Comma 16 3 7" xfId="322"/>
    <cellStyle name="Comma 16 3 8" xfId="323"/>
    <cellStyle name="Comma 16 3 9" xfId="324"/>
    <cellStyle name="Comma 16 4" xfId="325"/>
    <cellStyle name="Comma 16 4 2" xfId="326"/>
    <cellStyle name="Comma 16 5" xfId="327"/>
    <cellStyle name="Comma 16 6" xfId="328"/>
    <cellStyle name="Comma 16 7" xfId="329"/>
    <cellStyle name="Comma 16 8" xfId="330"/>
    <cellStyle name="Comma 16 9" xfId="331"/>
    <cellStyle name="Comma 17" xfId="332"/>
    <cellStyle name="Comma 17 10" xfId="333"/>
    <cellStyle name="Comma 17 11" xfId="334"/>
    <cellStyle name="Comma 17 12" xfId="335"/>
    <cellStyle name="Comma 17 13" xfId="336"/>
    <cellStyle name="Comma 17 14" xfId="337"/>
    <cellStyle name="Comma 17 15" xfId="338"/>
    <cellStyle name="Comma 17 16" xfId="339"/>
    <cellStyle name="Comma 17 17" xfId="340"/>
    <cellStyle name="Comma 17 2" xfId="341"/>
    <cellStyle name="Comma 17 2 2" xfId="342"/>
    <cellStyle name="Comma 17 2 3" xfId="343"/>
    <cellStyle name="Comma 17 2 4" xfId="344"/>
    <cellStyle name="Comma 17 2 5" xfId="345"/>
    <cellStyle name="Comma 17 2 6" xfId="346"/>
    <cellStyle name="Comma 17 2 7" xfId="347"/>
    <cellStyle name="Comma 17 2 8" xfId="348"/>
    <cellStyle name="Comma 17 3" xfId="349"/>
    <cellStyle name="Comma 17 3 2" xfId="350"/>
    <cellStyle name="Comma 17 4" xfId="351"/>
    <cellStyle name="Comma 17 4 2" xfId="352"/>
    <cellStyle name="Comma 17 4 3" xfId="353"/>
    <cellStyle name="Comma 17 4 4" xfId="354"/>
    <cellStyle name="Comma 17 4 5" xfId="355"/>
    <cellStyle name="Comma 17 4 6" xfId="356"/>
    <cellStyle name="Comma 17 5" xfId="357"/>
    <cellStyle name="Comma 17 6" xfId="358"/>
    <cellStyle name="Comma 17 7" xfId="359"/>
    <cellStyle name="Comma 17 8" xfId="360"/>
    <cellStyle name="Comma 17 9" xfId="361"/>
    <cellStyle name="Comma 18" xfId="362"/>
    <cellStyle name="Comma 18 10" xfId="363"/>
    <cellStyle name="Comma 18 11" xfId="364"/>
    <cellStyle name="Comma 18 12" xfId="365"/>
    <cellStyle name="Comma 18 2" xfId="366"/>
    <cellStyle name="Comma 18 3" xfId="367"/>
    <cellStyle name="Comma 18 4" xfId="368"/>
    <cellStyle name="Comma 18 5" xfId="369"/>
    <cellStyle name="Comma 18 6" xfId="370"/>
    <cellStyle name="Comma 18 7" xfId="371"/>
    <cellStyle name="Comma 18 8" xfId="372"/>
    <cellStyle name="Comma 18 9" xfId="373"/>
    <cellStyle name="Comma 19" xfId="374"/>
    <cellStyle name="Comma 19 2" xfId="375"/>
    <cellStyle name="Comma 19 3" xfId="376"/>
    <cellStyle name="Comma 2" xfId="377"/>
    <cellStyle name="Comma 2 2" xfId="378"/>
    <cellStyle name="Comma 2 2 2" xfId="379"/>
    <cellStyle name="Comma 2 2 2 2" xfId="380"/>
    <cellStyle name="Comma 2 2 3" xfId="381"/>
    <cellStyle name="Comma 2 3" xfId="382"/>
    <cellStyle name="Comma 2 3 2" xfId="383"/>
    <cellStyle name="Comma 2 3 2 2" xfId="384"/>
    <cellStyle name="Comma 2 3 3" xfId="385"/>
    <cellStyle name="Comma 2 4" xfId="386"/>
    <cellStyle name="Comma 2 4 2" xfId="387"/>
    <cellStyle name="Comma 2 4 2 2" xfId="388"/>
    <cellStyle name="Comma 2 4 3" xfId="389"/>
    <cellStyle name="Comma 2 4 3 10" xfId="390"/>
    <cellStyle name="Comma 2 4 3 11" xfId="391"/>
    <cellStyle name="Comma 2 4 3 12" xfId="392"/>
    <cellStyle name="Comma 2 4 3 13" xfId="393"/>
    <cellStyle name="Comma 2 4 3 14" xfId="394"/>
    <cellStyle name="Comma 2 4 3 15" xfId="395"/>
    <cellStyle name="Comma 2 4 3 16" xfId="396"/>
    <cellStyle name="Comma 2 4 3 17" xfId="397"/>
    <cellStyle name="Comma 2 4 3 18" xfId="398"/>
    <cellStyle name="Comma 2 4 3 19" xfId="399"/>
    <cellStyle name="Comma 2 4 3 2" xfId="400"/>
    <cellStyle name="Comma 2 4 3 2 10" xfId="401"/>
    <cellStyle name="Comma 2 4 3 2 11" xfId="402"/>
    <cellStyle name="Comma 2 4 3 2 12" xfId="403"/>
    <cellStyle name="Comma 2 4 3 2 13" xfId="404"/>
    <cellStyle name="Comma 2 4 3 2 14" xfId="405"/>
    <cellStyle name="Comma 2 4 3 2 15" xfId="406"/>
    <cellStyle name="Comma 2 4 3 2 16" xfId="407"/>
    <cellStyle name="Comma 2 4 3 2 17" xfId="408"/>
    <cellStyle name="Comma 2 4 3 2 18" xfId="409"/>
    <cellStyle name="Comma 2 4 3 2 19" xfId="410"/>
    <cellStyle name="Comma 2 4 3 2 2" xfId="411"/>
    <cellStyle name="Comma 2 4 3 2 2 2" xfId="412"/>
    <cellStyle name="Comma 2 4 3 2 20" xfId="413"/>
    <cellStyle name="Comma 2 4 3 2 3" xfId="414"/>
    <cellStyle name="Comma 2 4 3 2 3 10" xfId="415"/>
    <cellStyle name="Comma 2 4 3 2 3 11" xfId="416"/>
    <cellStyle name="Comma 2 4 3 2 3 12" xfId="417"/>
    <cellStyle name="Comma 2 4 3 2 3 2" xfId="418"/>
    <cellStyle name="Comma 2 4 3 2 3 3" xfId="419"/>
    <cellStyle name="Comma 2 4 3 2 3 4" xfId="420"/>
    <cellStyle name="Comma 2 4 3 2 3 5" xfId="421"/>
    <cellStyle name="Comma 2 4 3 2 3 6" xfId="422"/>
    <cellStyle name="Comma 2 4 3 2 3 7" xfId="423"/>
    <cellStyle name="Comma 2 4 3 2 3 8" xfId="424"/>
    <cellStyle name="Comma 2 4 3 2 3 9" xfId="425"/>
    <cellStyle name="Comma 2 4 3 2 4" xfId="426"/>
    <cellStyle name="Comma 2 4 3 2 4 2" xfId="427"/>
    <cellStyle name="Comma 2 4 3 2 5" xfId="428"/>
    <cellStyle name="Comma 2 4 3 2 6" xfId="429"/>
    <cellStyle name="Comma 2 4 3 2 7" xfId="430"/>
    <cellStyle name="Comma 2 4 3 2 8" xfId="431"/>
    <cellStyle name="Comma 2 4 3 2 9" xfId="432"/>
    <cellStyle name="Comma 2 4 3 20" xfId="433"/>
    <cellStyle name="Comma 2 4 3 21" xfId="434"/>
    <cellStyle name="Comma 2 4 3 22" xfId="435"/>
    <cellStyle name="Comma 2 4 3 23" xfId="436"/>
    <cellStyle name="Comma 2 4 3 24" xfId="437"/>
    <cellStyle name="Comma 2 4 3 25" xfId="438"/>
    <cellStyle name="Comma 2 4 3 3" xfId="439"/>
    <cellStyle name="Comma 2 4 3 4" xfId="440"/>
    <cellStyle name="Comma 2 4 3 5" xfId="441"/>
    <cellStyle name="Comma 2 4 3 6" xfId="442"/>
    <cellStyle name="Comma 2 4 3 7" xfId="443"/>
    <cellStyle name="Comma 2 4 3 7 10" xfId="444"/>
    <cellStyle name="Comma 2 4 3 7 11" xfId="445"/>
    <cellStyle name="Comma 2 4 3 7 12" xfId="446"/>
    <cellStyle name="Comma 2 4 3 7 2" xfId="447"/>
    <cellStyle name="Comma 2 4 3 7 3" xfId="448"/>
    <cellStyle name="Comma 2 4 3 7 4" xfId="449"/>
    <cellStyle name="Comma 2 4 3 7 5" xfId="450"/>
    <cellStyle name="Comma 2 4 3 7 6" xfId="451"/>
    <cellStyle name="Comma 2 4 3 7 7" xfId="452"/>
    <cellStyle name="Comma 2 4 3 7 8" xfId="453"/>
    <cellStyle name="Comma 2 4 3 7 9" xfId="454"/>
    <cellStyle name="Comma 2 4 3 8" xfId="455"/>
    <cellStyle name="Comma 2 4 3 9" xfId="456"/>
    <cellStyle name="Comma 2 5" xfId="457"/>
    <cellStyle name="Comma 2 5 2" xfId="458"/>
    <cellStyle name="Comma 2 6" xfId="459"/>
    <cellStyle name="Comma 2 6 2" xfId="460"/>
    <cellStyle name="Comma 2 7" xfId="461"/>
    <cellStyle name="Comma 2 7 2" xfId="462"/>
    <cellStyle name="Comma 2 7 3" xfId="463"/>
    <cellStyle name="Comma 2 7 4" xfId="464"/>
    <cellStyle name="Comma 2 7 4 2" xfId="465"/>
    <cellStyle name="Comma 20" xfId="466"/>
    <cellStyle name="Comma 20 2" xfId="467"/>
    <cellStyle name="Comma 20 3" xfId="468"/>
    <cellStyle name="Comma 20 4" xfId="469"/>
    <cellStyle name="Comma 20 5" xfId="470"/>
    <cellStyle name="Comma 20 6" xfId="471"/>
    <cellStyle name="Comma 20 7" xfId="472"/>
    <cellStyle name="Comma 21" xfId="473"/>
    <cellStyle name="Comma 22" xfId="474"/>
    <cellStyle name="Comma 23" xfId="475"/>
    <cellStyle name="Comma 24" xfId="476"/>
    <cellStyle name="Comma 25" xfId="477"/>
    <cellStyle name="Comma 26" xfId="478"/>
    <cellStyle name="Comma 27" xfId="479"/>
    <cellStyle name="Comma 28" xfId="480"/>
    <cellStyle name="Comma 29" xfId="481"/>
    <cellStyle name="Comma 3" xfId="482"/>
    <cellStyle name="Comma 3 2" xfId="483"/>
    <cellStyle name="Comma 3 2 2" xfId="484"/>
    <cellStyle name="Comma 3 2 2 2" xfId="485"/>
    <cellStyle name="Comma 3 2 2 2 2" xfId="486"/>
    <cellStyle name="Comma 3 2 2 3" xfId="487"/>
    <cellStyle name="Comma 3 2 3" xfId="488"/>
    <cellStyle name="Comma 3 2 3 2" xfId="489"/>
    <cellStyle name="Comma 3 2 3 2 2" xfId="490"/>
    <cellStyle name="Comma 3 2 4" xfId="491"/>
    <cellStyle name="Comma 3 3" xfId="492"/>
    <cellStyle name="Comma 3 3 2" xfId="493"/>
    <cellStyle name="Comma 3 3 2 2" xfId="494"/>
    <cellStyle name="Comma 3 3 3" xfId="495"/>
    <cellStyle name="Comma 3 4" xfId="496"/>
    <cellStyle name="Comma 3 4 2" xfId="497"/>
    <cellStyle name="Comma 3 4 2 2" xfId="498"/>
    <cellStyle name="Comma 3 4 3" xfId="499"/>
    <cellStyle name="Comma 3 5" xfId="500"/>
    <cellStyle name="Comma 3 5 2" xfId="501"/>
    <cellStyle name="Comma 3 5 2 2" xfId="502"/>
    <cellStyle name="Comma 3 6" xfId="503"/>
    <cellStyle name="Comma 3 6 10" xfId="504"/>
    <cellStyle name="Comma 3 6 11" xfId="505"/>
    <cellStyle name="Comma 3 6 12" xfId="506"/>
    <cellStyle name="Comma 3 6 13" xfId="507"/>
    <cellStyle name="Comma 3 6 14" xfId="508"/>
    <cellStyle name="Comma 3 6 15" xfId="509"/>
    <cellStyle name="Comma 3 6 16" xfId="510"/>
    <cellStyle name="Comma 3 6 17" xfId="511"/>
    <cellStyle name="Comma 3 6 18" xfId="512"/>
    <cellStyle name="Comma 3 6 19" xfId="513"/>
    <cellStyle name="Comma 3 6 2" xfId="514"/>
    <cellStyle name="Comma 3 6 2 10" xfId="515"/>
    <cellStyle name="Comma 3 6 2 11" xfId="516"/>
    <cellStyle name="Comma 3 6 2 12" xfId="517"/>
    <cellStyle name="Comma 3 6 2 13" xfId="518"/>
    <cellStyle name="Comma 3 6 2 14" xfId="519"/>
    <cellStyle name="Comma 3 6 2 15" xfId="520"/>
    <cellStyle name="Comma 3 6 2 16" xfId="521"/>
    <cellStyle name="Comma 3 6 2 17" xfId="522"/>
    <cellStyle name="Comma 3 6 2 18" xfId="523"/>
    <cellStyle name="Comma 3 6 2 19" xfId="524"/>
    <cellStyle name="Comma 3 6 2 2" xfId="525"/>
    <cellStyle name="Comma 3 6 2 2 2" xfId="526"/>
    <cellStyle name="Comma 3 6 2 20" xfId="527"/>
    <cellStyle name="Comma 3 6 2 3" xfId="528"/>
    <cellStyle name="Comma 3 6 2 3 10" xfId="529"/>
    <cellStyle name="Comma 3 6 2 3 11" xfId="530"/>
    <cellStyle name="Comma 3 6 2 3 12" xfId="531"/>
    <cellStyle name="Comma 3 6 2 3 2" xfId="532"/>
    <cellStyle name="Comma 3 6 2 3 3" xfId="533"/>
    <cellStyle name="Comma 3 6 2 3 4" xfId="534"/>
    <cellStyle name="Comma 3 6 2 3 5" xfId="535"/>
    <cellStyle name="Comma 3 6 2 3 6" xfId="536"/>
    <cellStyle name="Comma 3 6 2 3 7" xfId="537"/>
    <cellStyle name="Comma 3 6 2 3 8" xfId="538"/>
    <cellStyle name="Comma 3 6 2 3 9" xfId="539"/>
    <cellStyle name="Comma 3 6 2 4" xfId="540"/>
    <cellStyle name="Comma 3 6 2 4 2" xfId="541"/>
    <cellStyle name="Comma 3 6 2 5" xfId="542"/>
    <cellStyle name="Comma 3 6 2 6" xfId="543"/>
    <cellStyle name="Comma 3 6 2 7" xfId="544"/>
    <cellStyle name="Comma 3 6 2 8" xfId="545"/>
    <cellStyle name="Comma 3 6 2 9" xfId="546"/>
    <cellStyle name="Comma 3 6 20" xfId="547"/>
    <cellStyle name="Comma 3 6 21" xfId="548"/>
    <cellStyle name="Comma 3 6 22" xfId="549"/>
    <cellStyle name="Comma 3 6 23" xfId="550"/>
    <cellStyle name="Comma 3 6 24" xfId="551"/>
    <cellStyle name="Comma 3 6 25" xfId="552"/>
    <cellStyle name="Comma 3 6 3" xfId="553"/>
    <cellStyle name="Comma 3 6 4" xfId="554"/>
    <cellStyle name="Comma 3 6 5" xfId="555"/>
    <cellStyle name="Comma 3 6 6" xfId="556"/>
    <cellStyle name="Comma 3 6 7" xfId="557"/>
    <cellStyle name="Comma 3 6 7 10" xfId="558"/>
    <cellStyle name="Comma 3 6 7 11" xfId="559"/>
    <cellStyle name="Comma 3 6 7 12" xfId="560"/>
    <cellStyle name="Comma 3 6 7 2" xfId="561"/>
    <cellStyle name="Comma 3 6 7 3" xfId="562"/>
    <cellStyle name="Comma 3 6 7 4" xfId="563"/>
    <cellStyle name="Comma 3 6 7 5" xfId="564"/>
    <cellStyle name="Comma 3 6 7 6" xfId="565"/>
    <cellStyle name="Comma 3 6 7 7" xfId="566"/>
    <cellStyle name="Comma 3 6 7 8" xfId="567"/>
    <cellStyle name="Comma 3 6 7 9" xfId="568"/>
    <cellStyle name="Comma 3 6 8" xfId="569"/>
    <cellStyle name="Comma 3 6 9" xfId="570"/>
    <cellStyle name="Comma 3_Amos 3 Forecast" xfId="571"/>
    <cellStyle name="Comma 30" xfId="572"/>
    <cellStyle name="Comma 31" xfId="573"/>
    <cellStyle name="Comma 32" xfId="574"/>
    <cellStyle name="Comma 33" xfId="575"/>
    <cellStyle name="Comma 34" xfId="576"/>
    <cellStyle name="Comma 35" xfId="577"/>
    <cellStyle name="Comma 36" xfId="234"/>
    <cellStyle name="Comma 36 2" xfId="2837"/>
    <cellStyle name="Comma 37" xfId="2810"/>
    <cellStyle name="Comma 38" xfId="2811"/>
    <cellStyle name="Comma 39" xfId="2809"/>
    <cellStyle name="Comma 4" xfId="578"/>
    <cellStyle name="Comma 4 2" xfId="579"/>
    <cellStyle name="Comma 4 2 2" xfId="580"/>
    <cellStyle name="Comma 4 3" xfId="581"/>
    <cellStyle name="Comma 4 4" xfId="582"/>
    <cellStyle name="Comma 4_Amos 3 Forecast" xfId="583"/>
    <cellStyle name="Comma 40" xfId="2815"/>
    <cellStyle name="Comma 41" xfId="2818"/>
    <cellStyle name="Comma 42" xfId="2816"/>
    <cellStyle name="Comma 43" xfId="2817"/>
    <cellStyle name="Comma 44" xfId="2823"/>
    <cellStyle name="Comma 45" xfId="2826"/>
    <cellStyle name="Comma 46" xfId="2824"/>
    <cellStyle name="Comma 47" xfId="2825"/>
    <cellStyle name="Comma 48" xfId="2834"/>
    <cellStyle name="Comma 5" xfId="584"/>
    <cellStyle name="Comma 5 2" xfId="585"/>
    <cellStyle name="Comma 5 2 2" xfId="586"/>
    <cellStyle name="Comma 5 2 2 2" xfId="587"/>
    <cellStyle name="Comma 5 2 2 3" xfId="588"/>
    <cellStyle name="Comma 5 3" xfId="589"/>
    <cellStyle name="Comma 5 3 2" xfId="590"/>
    <cellStyle name="Comma 5 3 3" xfId="591"/>
    <cellStyle name="Comma 5 4" xfId="592"/>
    <cellStyle name="Comma 5 4 10" xfId="593"/>
    <cellStyle name="Comma 5 4 11" xfId="594"/>
    <cellStyle name="Comma 5 4 12" xfId="595"/>
    <cellStyle name="Comma 5 4 13" xfId="596"/>
    <cellStyle name="Comma 5 4 14" xfId="597"/>
    <cellStyle name="Comma 5 4 15" xfId="598"/>
    <cellStyle name="Comma 5 4 16" xfId="599"/>
    <cellStyle name="Comma 5 4 17" xfId="600"/>
    <cellStyle name="Comma 5 4 18" xfId="601"/>
    <cellStyle name="Comma 5 4 19" xfId="602"/>
    <cellStyle name="Comma 5 4 2" xfId="603"/>
    <cellStyle name="Comma 5 4 2 10" xfId="604"/>
    <cellStyle name="Comma 5 4 2 11" xfId="605"/>
    <cellStyle name="Comma 5 4 2 12" xfId="606"/>
    <cellStyle name="Comma 5 4 2 13" xfId="607"/>
    <cellStyle name="Comma 5 4 2 14" xfId="608"/>
    <cellStyle name="Comma 5 4 2 15" xfId="609"/>
    <cellStyle name="Comma 5 4 2 16" xfId="610"/>
    <cellStyle name="Comma 5 4 2 17" xfId="611"/>
    <cellStyle name="Comma 5 4 2 18" xfId="612"/>
    <cellStyle name="Comma 5 4 2 19" xfId="613"/>
    <cellStyle name="Comma 5 4 2 2" xfId="614"/>
    <cellStyle name="Comma 5 4 2 2 2" xfId="615"/>
    <cellStyle name="Comma 5 4 2 20" xfId="616"/>
    <cellStyle name="Comma 5 4 2 3" xfId="617"/>
    <cellStyle name="Comma 5 4 2 3 10" xfId="618"/>
    <cellStyle name="Comma 5 4 2 3 11" xfId="619"/>
    <cellStyle name="Comma 5 4 2 3 12" xfId="620"/>
    <cellStyle name="Comma 5 4 2 3 2" xfId="621"/>
    <cellStyle name="Comma 5 4 2 3 3" xfId="622"/>
    <cellStyle name="Comma 5 4 2 3 4" xfId="623"/>
    <cellStyle name="Comma 5 4 2 3 5" xfId="624"/>
    <cellStyle name="Comma 5 4 2 3 6" xfId="625"/>
    <cellStyle name="Comma 5 4 2 3 7" xfId="626"/>
    <cellStyle name="Comma 5 4 2 3 8" xfId="627"/>
    <cellStyle name="Comma 5 4 2 3 9" xfId="628"/>
    <cellStyle name="Comma 5 4 2 4" xfId="629"/>
    <cellStyle name="Comma 5 4 2 4 2" xfId="630"/>
    <cellStyle name="Comma 5 4 2 5" xfId="631"/>
    <cellStyle name="Comma 5 4 2 6" xfId="632"/>
    <cellStyle name="Comma 5 4 2 7" xfId="633"/>
    <cellStyle name="Comma 5 4 2 8" xfId="634"/>
    <cellStyle name="Comma 5 4 2 9" xfId="635"/>
    <cellStyle name="Comma 5 4 20" xfId="636"/>
    <cellStyle name="Comma 5 4 21" xfId="637"/>
    <cellStyle name="Comma 5 4 22" xfId="638"/>
    <cellStyle name="Comma 5 4 23" xfId="639"/>
    <cellStyle name="Comma 5 4 24" xfId="640"/>
    <cellStyle name="Comma 5 4 3" xfId="641"/>
    <cellStyle name="Comma 5 4 3 2" xfId="642"/>
    <cellStyle name="Comma 5 4 4" xfId="643"/>
    <cellStyle name="Comma 5 4 4 2" xfId="644"/>
    <cellStyle name="Comma 5 4 5" xfId="645"/>
    <cellStyle name="Comma 5 4 5 2" xfId="646"/>
    <cellStyle name="Comma 5 4 6" xfId="647"/>
    <cellStyle name="Comma 5 4 6 10" xfId="648"/>
    <cellStyle name="Comma 5 4 6 11" xfId="649"/>
    <cellStyle name="Comma 5 4 6 12" xfId="650"/>
    <cellStyle name="Comma 5 4 6 2" xfId="651"/>
    <cellStyle name="Comma 5 4 6 3" xfId="652"/>
    <cellStyle name="Comma 5 4 6 4" xfId="653"/>
    <cellStyle name="Comma 5 4 6 5" xfId="654"/>
    <cellStyle name="Comma 5 4 6 6" xfId="655"/>
    <cellStyle name="Comma 5 4 6 7" xfId="656"/>
    <cellStyle name="Comma 5 4 6 8" xfId="657"/>
    <cellStyle name="Comma 5 4 6 9" xfId="658"/>
    <cellStyle name="Comma 5 4 7" xfId="659"/>
    <cellStyle name="Comma 5 4 8" xfId="660"/>
    <cellStyle name="Comma 5 4 9" xfId="661"/>
    <cellStyle name="Comma 6" xfId="662"/>
    <cellStyle name="Comma 6 2" xfId="663"/>
    <cellStyle name="Comma 6 2 2" xfId="664"/>
    <cellStyle name="Comma 6 3" xfId="665"/>
    <cellStyle name="Comma 6 4" xfId="666"/>
    <cellStyle name="Comma 7" xfId="667"/>
    <cellStyle name="Comma 7 2" xfId="668"/>
    <cellStyle name="Comma 7 2 2" xfId="669"/>
    <cellStyle name="Comma 7 2 3" xfId="670"/>
    <cellStyle name="Comma 7 2 3 2" xfId="671"/>
    <cellStyle name="Comma 7 2 4" xfId="672"/>
    <cellStyle name="Comma 7 3" xfId="673"/>
    <cellStyle name="Comma 8" xfId="674"/>
    <cellStyle name="Comma 8 2" xfId="675"/>
    <cellStyle name="Comma 9" xfId="676"/>
    <cellStyle name="Comma 9 10" xfId="677"/>
    <cellStyle name="Comma 9 11" xfId="678"/>
    <cellStyle name="Comma 9 12" xfId="679"/>
    <cellStyle name="Comma 9 13" xfId="680"/>
    <cellStyle name="Comma 9 14" xfId="681"/>
    <cellStyle name="Comma 9 15" xfId="682"/>
    <cellStyle name="Comma 9 16" xfId="683"/>
    <cellStyle name="Comma 9 17" xfId="684"/>
    <cellStyle name="Comma 9 18" xfId="685"/>
    <cellStyle name="Comma 9 19" xfId="686"/>
    <cellStyle name="Comma 9 2" xfId="687"/>
    <cellStyle name="Comma 9 2 2" xfId="688"/>
    <cellStyle name="Comma 9 2 3" xfId="689"/>
    <cellStyle name="Comma 9 2 4" xfId="690"/>
    <cellStyle name="Comma 9 20" xfId="691"/>
    <cellStyle name="Comma 9 21" xfId="692"/>
    <cellStyle name="Comma 9 22" xfId="693"/>
    <cellStyle name="Comma 9 23" xfId="694"/>
    <cellStyle name="Comma 9 24" xfId="695"/>
    <cellStyle name="Comma 9 25" xfId="696"/>
    <cellStyle name="Comma 9 3" xfId="697"/>
    <cellStyle name="Comma 9 3 10" xfId="698"/>
    <cellStyle name="Comma 9 3 11" xfId="699"/>
    <cellStyle name="Comma 9 3 12" xfId="700"/>
    <cellStyle name="Comma 9 3 13" xfId="701"/>
    <cellStyle name="Comma 9 3 14" xfId="702"/>
    <cellStyle name="Comma 9 3 15" xfId="703"/>
    <cellStyle name="Comma 9 3 16" xfId="704"/>
    <cellStyle name="Comma 9 3 17" xfId="705"/>
    <cellStyle name="Comma 9 3 18" xfId="706"/>
    <cellStyle name="Comma 9 3 19" xfId="707"/>
    <cellStyle name="Comma 9 3 2" xfId="708"/>
    <cellStyle name="Comma 9 3 20" xfId="709"/>
    <cellStyle name="Comma 9 3 21" xfId="710"/>
    <cellStyle name="Comma 9 3 3" xfId="711"/>
    <cellStyle name="Comma 9 3 3 2" xfId="712"/>
    <cellStyle name="Comma 9 3 4" xfId="713"/>
    <cellStyle name="Comma 9 3 4 10" xfId="714"/>
    <cellStyle name="Comma 9 3 4 11" xfId="715"/>
    <cellStyle name="Comma 9 3 4 12" xfId="716"/>
    <cellStyle name="Comma 9 3 4 2" xfId="717"/>
    <cellStyle name="Comma 9 3 4 3" xfId="718"/>
    <cellStyle name="Comma 9 3 4 4" xfId="719"/>
    <cellStyle name="Comma 9 3 4 5" xfId="720"/>
    <cellStyle name="Comma 9 3 4 6" xfId="721"/>
    <cellStyle name="Comma 9 3 4 7" xfId="722"/>
    <cellStyle name="Comma 9 3 4 8" xfId="723"/>
    <cellStyle name="Comma 9 3 4 9" xfId="724"/>
    <cellStyle name="Comma 9 3 5" xfId="725"/>
    <cellStyle name="Comma 9 3 5 2" xfId="726"/>
    <cellStyle name="Comma 9 3 6" xfId="727"/>
    <cellStyle name="Comma 9 3 7" xfId="728"/>
    <cellStyle name="Comma 9 3 8" xfId="729"/>
    <cellStyle name="Comma 9 3 9" xfId="730"/>
    <cellStyle name="Comma 9 4" xfId="731"/>
    <cellStyle name="Comma 9 5" xfId="732"/>
    <cellStyle name="Comma 9 6" xfId="733"/>
    <cellStyle name="Comma 9 7" xfId="734"/>
    <cellStyle name="Comma 9 7 10" xfId="735"/>
    <cellStyle name="Comma 9 7 11" xfId="736"/>
    <cellStyle name="Comma 9 7 12" xfId="737"/>
    <cellStyle name="Comma 9 7 13" xfId="738"/>
    <cellStyle name="Comma 9 7 14" xfId="739"/>
    <cellStyle name="Comma 9 7 15" xfId="740"/>
    <cellStyle name="Comma 9 7 16" xfId="741"/>
    <cellStyle name="Comma 9 7 17" xfId="742"/>
    <cellStyle name="Comma 9 7 18" xfId="743"/>
    <cellStyle name="Comma 9 7 19" xfId="744"/>
    <cellStyle name="Comma 9 7 2" xfId="745"/>
    <cellStyle name="Comma 9 7 20" xfId="746"/>
    <cellStyle name="Comma 9 7 3" xfId="747"/>
    <cellStyle name="Comma 9 7 4" xfId="748"/>
    <cellStyle name="Comma 9 7 5" xfId="749"/>
    <cellStyle name="Comma 9 7 6" xfId="750"/>
    <cellStyle name="Comma 9 7 7" xfId="751"/>
    <cellStyle name="Comma 9 7 8" xfId="752"/>
    <cellStyle name="Comma 9 7 9" xfId="753"/>
    <cellStyle name="Comma 9 8" xfId="754"/>
    <cellStyle name="Comma 9 9" xfId="755"/>
    <cellStyle name="Comma0" xfId="756"/>
    <cellStyle name="Comma0 - Style3" xfId="757"/>
    <cellStyle name="Comma0 - Style3 2" xfId="758"/>
    <cellStyle name="Comma0 - Style4" xfId="759"/>
    <cellStyle name="Comma0 10" xfId="760"/>
    <cellStyle name="Comma0 10 2" xfId="761"/>
    <cellStyle name="Comma0 10 2 2" xfId="762"/>
    <cellStyle name="Comma0 10 2 2 2" xfId="763"/>
    <cellStyle name="Comma0 10 2 3" xfId="764"/>
    <cellStyle name="Comma0 10 3" xfId="765"/>
    <cellStyle name="Comma0 10 3 2" xfId="766"/>
    <cellStyle name="Comma0 10 4" xfId="767"/>
    <cellStyle name="Comma0 100" xfId="768"/>
    <cellStyle name="Comma0 100 2" xfId="769"/>
    <cellStyle name="Comma0 101" xfId="770"/>
    <cellStyle name="Comma0 101 2" xfId="771"/>
    <cellStyle name="Comma0 102" xfId="772"/>
    <cellStyle name="Comma0 102 2" xfId="773"/>
    <cellStyle name="Comma0 103" xfId="774"/>
    <cellStyle name="Comma0 103 2" xfId="775"/>
    <cellStyle name="Comma0 104" xfId="776"/>
    <cellStyle name="Comma0 104 2" xfId="777"/>
    <cellStyle name="Comma0 105" xfId="778"/>
    <cellStyle name="Comma0 105 2" xfId="779"/>
    <cellStyle name="Comma0 106" xfId="780"/>
    <cellStyle name="Comma0 106 2" xfId="781"/>
    <cellStyle name="Comma0 107" xfId="782"/>
    <cellStyle name="Comma0 107 2" xfId="783"/>
    <cellStyle name="Comma0 108" xfId="784"/>
    <cellStyle name="Comma0 108 2" xfId="785"/>
    <cellStyle name="Comma0 109" xfId="786"/>
    <cellStyle name="Comma0 109 2" xfId="787"/>
    <cellStyle name="Comma0 11" xfId="788"/>
    <cellStyle name="Comma0 11 2" xfId="789"/>
    <cellStyle name="Comma0 11 2 2" xfId="790"/>
    <cellStyle name="Comma0 11 2 2 2" xfId="791"/>
    <cellStyle name="Comma0 11 2 3" xfId="792"/>
    <cellStyle name="Comma0 11 3" xfId="793"/>
    <cellStyle name="Comma0 11 3 2" xfId="794"/>
    <cellStyle name="Comma0 11 4" xfId="795"/>
    <cellStyle name="Comma0 110" xfId="796"/>
    <cellStyle name="Comma0 111" xfId="797"/>
    <cellStyle name="Comma0 112" xfId="798"/>
    <cellStyle name="Comma0 113" xfId="799"/>
    <cellStyle name="Comma0 114" xfId="800"/>
    <cellStyle name="Comma0 115" xfId="801"/>
    <cellStyle name="Comma0 116" xfId="802"/>
    <cellStyle name="Comma0 117" xfId="803"/>
    <cellStyle name="Comma0 118" xfId="804"/>
    <cellStyle name="Comma0 119" xfId="805"/>
    <cellStyle name="Comma0 12" xfId="806"/>
    <cellStyle name="Comma0 12 2" xfId="807"/>
    <cellStyle name="Comma0 12 2 2" xfId="808"/>
    <cellStyle name="Comma0 12 2 2 2" xfId="809"/>
    <cellStyle name="Comma0 12 2 3" xfId="810"/>
    <cellStyle name="Comma0 12 3" xfId="811"/>
    <cellStyle name="Comma0 12 3 2" xfId="812"/>
    <cellStyle name="Comma0 12 4" xfId="813"/>
    <cellStyle name="Comma0 120" xfId="814"/>
    <cellStyle name="Comma0 121" xfId="815"/>
    <cellStyle name="Comma0 122" xfId="816"/>
    <cellStyle name="Comma0 123" xfId="817"/>
    <cellStyle name="Comma0 124" xfId="818"/>
    <cellStyle name="Comma0 125" xfId="819"/>
    <cellStyle name="Comma0 126" xfId="820"/>
    <cellStyle name="Comma0 127" xfId="821"/>
    <cellStyle name="Comma0 128" xfId="822"/>
    <cellStyle name="Comma0 129" xfId="823"/>
    <cellStyle name="Comma0 13" xfId="824"/>
    <cellStyle name="Comma0 13 2" xfId="825"/>
    <cellStyle name="Comma0 13 2 2" xfId="826"/>
    <cellStyle name="Comma0 13 2 2 2" xfId="827"/>
    <cellStyle name="Comma0 13 2 3" xfId="828"/>
    <cellStyle name="Comma0 13 3" xfId="829"/>
    <cellStyle name="Comma0 13 3 2" xfId="830"/>
    <cellStyle name="Comma0 13 4" xfId="831"/>
    <cellStyle name="Comma0 130" xfId="832"/>
    <cellStyle name="Comma0 14" xfId="833"/>
    <cellStyle name="Comma0 14 2" xfId="834"/>
    <cellStyle name="Comma0 14 2 2" xfId="835"/>
    <cellStyle name="Comma0 14 2 2 2" xfId="836"/>
    <cellStyle name="Comma0 14 2 3" xfId="837"/>
    <cellStyle name="Comma0 14 3" xfId="838"/>
    <cellStyle name="Comma0 14 3 2" xfId="839"/>
    <cellStyle name="Comma0 14 4" xfId="840"/>
    <cellStyle name="Comma0 15" xfId="841"/>
    <cellStyle name="Comma0 15 2" xfId="842"/>
    <cellStyle name="Comma0 15 2 2" xfId="843"/>
    <cellStyle name="Comma0 15 2 2 2" xfId="844"/>
    <cellStyle name="Comma0 15 2 3" xfId="845"/>
    <cellStyle name="Comma0 15 3" xfId="846"/>
    <cellStyle name="Comma0 15 3 2" xfId="847"/>
    <cellStyle name="Comma0 15 4" xfId="848"/>
    <cellStyle name="Comma0 16" xfId="849"/>
    <cellStyle name="Comma0 16 2" xfId="850"/>
    <cellStyle name="Comma0 16 2 2" xfId="851"/>
    <cellStyle name="Comma0 16 2 2 2" xfId="852"/>
    <cellStyle name="Comma0 16 2 3" xfId="853"/>
    <cellStyle name="Comma0 16 3" xfId="854"/>
    <cellStyle name="Comma0 16 3 2" xfId="855"/>
    <cellStyle name="Comma0 16 4" xfId="856"/>
    <cellStyle name="Comma0 17" xfId="857"/>
    <cellStyle name="Comma0 17 2" xfId="858"/>
    <cellStyle name="Comma0 17 2 2" xfId="859"/>
    <cellStyle name="Comma0 17 2 2 2" xfId="860"/>
    <cellStyle name="Comma0 17 2 3" xfId="861"/>
    <cellStyle name="Comma0 17 3" xfId="862"/>
    <cellStyle name="Comma0 17 3 2" xfId="863"/>
    <cellStyle name="Comma0 17 4" xfId="864"/>
    <cellStyle name="Comma0 18" xfId="865"/>
    <cellStyle name="Comma0 18 2" xfId="866"/>
    <cellStyle name="Comma0 18 2 2" xfId="867"/>
    <cellStyle name="Comma0 18 2 2 2" xfId="868"/>
    <cellStyle name="Comma0 18 2 3" xfId="869"/>
    <cellStyle name="Comma0 18 3" xfId="870"/>
    <cellStyle name="Comma0 18 3 2" xfId="871"/>
    <cellStyle name="Comma0 18 4" xfId="872"/>
    <cellStyle name="Comma0 19" xfId="873"/>
    <cellStyle name="Comma0 19 2" xfId="874"/>
    <cellStyle name="Comma0 19 2 2" xfId="875"/>
    <cellStyle name="Comma0 19 2 2 2" xfId="876"/>
    <cellStyle name="Comma0 19 2 3" xfId="877"/>
    <cellStyle name="Comma0 19 3" xfId="878"/>
    <cellStyle name="Comma0 19 3 2" xfId="879"/>
    <cellStyle name="Comma0 19 4" xfId="880"/>
    <cellStyle name="Comma0 2" xfId="881"/>
    <cellStyle name="Comma0 2 2" xfId="882"/>
    <cellStyle name="Comma0 2 2 2" xfId="883"/>
    <cellStyle name="Comma0 2 2 2 2" xfId="884"/>
    <cellStyle name="Comma0 2 2 3" xfId="885"/>
    <cellStyle name="Comma0 2 3" xfId="886"/>
    <cellStyle name="Comma0 2 3 2" xfId="887"/>
    <cellStyle name="Comma0 2 3 2 2" xfId="888"/>
    <cellStyle name="Comma0 2 3 3" xfId="889"/>
    <cellStyle name="Comma0 2 4" xfId="890"/>
    <cellStyle name="Comma0 2 4 2" xfId="891"/>
    <cellStyle name="Comma0 2 4 2 2" xfId="892"/>
    <cellStyle name="Comma0 2 4 3" xfId="893"/>
    <cellStyle name="Comma0 2 5" xfId="894"/>
    <cellStyle name="Comma0 2 5 2" xfId="895"/>
    <cellStyle name="Comma0 2 6" xfId="896"/>
    <cellStyle name="Comma0 20" xfId="897"/>
    <cellStyle name="Comma0 20 2" xfId="898"/>
    <cellStyle name="Comma0 20 2 2" xfId="899"/>
    <cellStyle name="Comma0 20 2 2 2" xfId="900"/>
    <cellStyle name="Comma0 20 2 3" xfId="901"/>
    <cellStyle name="Comma0 20 3" xfId="902"/>
    <cellStyle name="Comma0 20 3 2" xfId="903"/>
    <cellStyle name="Comma0 20 4" xfId="904"/>
    <cellStyle name="Comma0 21" xfId="905"/>
    <cellStyle name="Comma0 21 2" xfId="906"/>
    <cellStyle name="Comma0 21 2 2" xfId="907"/>
    <cellStyle name="Comma0 21 2 2 2" xfId="908"/>
    <cellStyle name="Comma0 21 2 3" xfId="909"/>
    <cellStyle name="Comma0 21 3" xfId="910"/>
    <cellStyle name="Comma0 21 3 2" xfId="911"/>
    <cellStyle name="Comma0 21 4" xfId="912"/>
    <cellStyle name="Comma0 22" xfId="913"/>
    <cellStyle name="Comma0 22 2" xfId="914"/>
    <cellStyle name="Comma0 22 2 2" xfId="915"/>
    <cellStyle name="Comma0 22 2 2 2" xfId="916"/>
    <cellStyle name="Comma0 22 2 3" xfId="917"/>
    <cellStyle name="Comma0 22 3" xfId="918"/>
    <cellStyle name="Comma0 22 3 2" xfId="919"/>
    <cellStyle name="Comma0 22 4" xfId="920"/>
    <cellStyle name="Comma0 23" xfId="921"/>
    <cellStyle name="Comma0 23 2" xfId="922"/>
    <cellStyle name="Comma0 23 2 2" xfId="923"/>
    <cellStyle name="Comma0 23 2 2 2" xfId="924"/>
    <cellStyle name="Comma0 23 2 3" xfId="925"/>
    <cellStyle name="Comma0 23 3" xfId="926"/>
    <cellStyle name="Comma0 23 3 2" xfId="927"/>
    <cellStyle name="Comma0 23 4" xfId="928"/>
    <cellStyle name="Comma0 24" xfId="929"/>
    <cellStyle name="Comma0 24 2" xfId="930"/>
    <cellStyle name="Comma0 24 2 2" xfId="931"/>
    <cellStyle name="Comma0 24 2 2 2" xfId="932"/>
    <cellStyle name="Comma0 24 2 3" xfId="933"/>
    <cellStyle name="Comma0 24 3" xfId="934"/>
    <cellStyle name="Comma0 24 3 2" xfId="935"/>
    <cellStyle name="Comma0 24 4" xfId="936"/>
    <cellStyle name="Comma0 25" xfId="937"/>
    <cellStyle name="Comma0 25 2" xfId="938"/>
    <cellStyle name="Comma0 25 2 2" xfId="939"/>
    <cellStyle name="Comma0 25 2 2 2" xfId="940"/>
    <cellStyle name="Comma0 25 2 3" xfId="941"/>
    <cellStyle name="Comma0 25 3" xfId="942"/>
    <cellStyle name="Comma0 25 3 2" xfId="943"/>
    <cellStyle name="Comma0 25 4" xfId="944"/>
    <cellStyle name="Comma0 26" xfId="945"/>
    <cellStyle name="Comma0 26 2" xfId="946"/>
    <cellStyle name="Comma0 26 2 2" xfId="947"/>
    <cellStyle name="Comma0 26 2 2 2" xfId="948"/>
    <cellStyle name="Comma0 26 2 3" xfId="949"/>
    <cellStyle name="Comma0 26 3" xfId="950"/>
    <cellStyle name="Comma0 26 3 2" xfId="951"/>
    <cellStyle name="Comma0 26 4" xfId="952"/>
    <cellStyle name="Comma0 27" xfId="953"/>
    <cellStyle name="Comma0 27 2" xfId="954"/>
    <cellStyle name="Comma0 27 2 2" xfId="955"/>
    <cellStyle name="Comma0 27 3" xfId="956"/>
    <cellStyle name="Comma0 28" xfId="957"/>
    <cellStyle name="Comma0 28 2" xfId="958"/>
    <cellStyle name="Comma0 28 2 2" xfId="959"/>
    <cellStyle name="Comma0 28 3" xfId="960"/>
    <cellStyle name="Comma0 29" xfId="961"/>
    <cellStyle name="Comma0 29 2" xfId="962"/>
    <cellStyle name="Comma0 29 2 2" xfId="963"/>
    <cellStyle name="Comma0 29 3" xfId="964"/>
    <cellStyle name="Comma0 3" xfId="965"/>
    <cellStyle name="Comma0 3 2" xfId="966"/>
    <cellStyle name="Comma0 3 2 2" xfId="967"/>
    <cellStyle name="Comma0 3 2 2 2" xfId="968"/>
    <cellStyle name="Comma0 3 2 3" xfId="969"/>
    <cellStyle name="Comma0 3 3" xfId="970"/>
    <cellStyle name="Comma0 3 3 2" xfId="971"/>
    <cellStyle name="Comma0 3 3 2 2" xfId="972"/>
    <cellStyle name="Comma0 3 3 3" xfId="973"/>
    <cellStyle name="Comma0 3 4" xfId="974"/>
    <cellStyle name="Comma0 3 4 2" xfId="975"/>
    <cellStyle name="Comma0 3 4 2 2" xfId="976"/>
    <cellStyle name="Comma0 3 4 3" xfId="977"/>
    <cellStyle name="Comma0 3 5" xfId="978"/>
    <cellStyle name="Comma0 3 5 2" xfId="979"/>
    <cellStyle name="Comma0 3 6" xfId="980"/>
    <cellStyle name="Comma0 30" xfId="981"/>
    <cellStyle name="Comma0 30 2" xfId="982"/>
    <cellStyle name="Comma0 30 2 2" xfId="983"/>
    <cellStyle name="Comma0 30 3" xfId="984"/>
    <cellStyle name="Comma0 31" xfId="985"/>
    <cellStyle name="Comma0 31 2" xfId="986"/>
    <cellStyle name="Comma0 31 2 2" xfId="987"/>
    <cellStyle name="Comma0 31 3" xfId="988"/>
    <cellStyle name="Comma0 32" xfId="989"/>
    <cellStyle name="Comma0 32 2" xfId="990"/>
    <cellStyle name="Comma0 32 2 2" xfId="991"/>
    <cellStyle name="Comma0 32 3" xfId="992"/>
    <cellStyle name="Comma0 33" xfId="993"/>
    <cellStyle name="Comma0 33 2" xfId="994"/>
    <cellStyle name="Comma0 33 2 2" xfId="995"/>
    <cellStyle name="Comma0 33 3" xfId="996"/>
    <cellStyle name="Comma0 34" xfId="997"/>
    <cellStyle name="Comma0 34 2" xfId="998"/>
    <cellStyle name="Comma0 34 2 2" xfId="999"/>
    <cellStyle name="Comma0 34 3" xfId="1000"/>
    <cellStyle name="Comma0 35" xfId="1001"/>
    <cellStyle name="Comma0 35 2" xfId="1002"/>
    <cellStyle name="Comma0 35 2 2" xfId="1003"/>
    <cellStyle name="Comma0 35 3" xfId="1004"/>
    <cellStyle name="Comma0 36" xfId="1005"/>
    <cellStyle name="Comma0 36 2" xfId="1006"/>
    <cellStyle name="Comma0 36 2 2" xfId="1007"/>
    <cellStyle name="Comma0 36 3" xfId="1008"/>
    <cellStyle name="Comma0 37" xfId="1009"/>
    <cellStyle name="Comma0 37 2" xfId="1010"/>
    <cellStyle name="Comma0 37 2 2" xfId="1011"/>
    <cellStyle name="Comma0 37 3" xfId="1012"/>
    <cellStyle name="Comma0 38" xfId="1013"/>
    <cellStyle name="Comma0 38 2" xfId="1014"/>
    <cellStyle name="Comma0 38 2 2" xfId="1015"/>
    <cellStyle name="Comma0 38 3" xfId="1016"/>
    <cellStyle name="Comma0 39" xfId="1017"/>
    <cellStyle name="Comma0 39 2" xfId="1018"/>
    <cellStyle name="Comma0 39 2 2" xfId="1019"/>
    <cellStyle name="Comma0 39 3" xfId="1020"/>
    <cellStyle name="Comma0 4" xfId="1021"/>
    <cellStyle name="Comma0 4 2" xfId="1022"/>
    <cellStyle name="Comma0 4 2 2" xfId="1023"/>
    <cellStyle name="Comma0 4 2 2 2" xfId="1024"/>
    <cellStyle name="Comma0 4 2 3" xfId="1025"/>
    <cellStyle name="Comma0 4 3" xfId="1026"/>
    <cellStyle name="Comma0 4 3 2" xfId="1027"/>
    <cellStyle name="Comma0 4 3 2 2" xfId="1028"/>
    <cellStyle name="Comma0 4 3 3" xfId="1029"/>
    <cellStyle name="Comma0 4 4" xfId="1030"/>
    <cellStyle name="Comma0 4 4 2" xfId="1031"/>
    <cellStyle name="Comma0 4 4 2 2" xfId="1032"/>
    <cellStyle name="Comma0 4 4 3" xfId="1033"/>
    <cellStyle name="Comma0 4 5" xfId="1034"/>
    <cellStyle name="Comma0 4 5 2" xfId="1035"/>
    <cellStyle name="Comma0 4 6" xfId="1036"/>
    <cellStyle name="Comma0 40" xfId="1037"/>
    <cellStyle name="Comma0 40 2" xfId="1038"/>
    <cellStyle name="Comma0 40 2 2" xfId="1039"/>
    <cellStyle name="Comma0 40 3" xfId="1040"/>
    <cellStyle name="Comma0 41" xfId="1041"/>
    <cellStyle name="Comma0 41 2" xfId="1042"/>
    <cellStyle name="Comma0 41 2 2" xfId="1043"/>
    <cellStyle name="Comma0 41 3" xfId="1044"/>
    <cellStyle name="Comma0 42" xfId="1045"/>
    <cellStyle name="Comma0 42 2" xfId="1046"/>
    <cellStyle name="Comma0 43" xfId="1047"/>
    <cellStyle name="Comma0 43 2" xfId="1048"/>
    <cellStyle name="Comma0 44" xfId="1049"/>
    <cellStyle name="Comma0 44 2" xfId="1050"/>
    <cellStyle name="Comma0 45" xfId="1051"/>
    <cellStyle name="Comma0 45 2" xfId="1052"/>
    <cellStyle name="Comma0 46" xfId="1053"/>
    <cellStyle name="Comma0 46 2" xfId="1054"/>
    <cellStyle name="Comma0 47" xfId="1055"/>
    <cellStyle name="Comma0 47 2" xfId="1056"/>
    <cellStyle name="Comma0 48" xfId="1057"/>
    <cellStyle name="Comma0 48 2" xfId="1058"/>
    <cellStyle name="Comma0 49" xfId="1059"/>
    <cellStyle name="Comma0 49 2" xfId="1060"/>
    <cellStyle name="Comma0 5" xfId="1061"/>
    <cellStyle name="Comma0 5 2" xfId="1062"/>
    <cellStyle name="Comma0 5 2 2" xfId="1063"/>
    <cellStyle name="Comma0 5 2 2 2" xfId="1064"/>
    <cellStyle name="Comma0 5 2 3" xfId="1065"/>
    <cellStyle name="Comma0 5 3" xfId="1066"/>
    <cellStyle name="Comma0 5 3 2" xfId="1067"/>
    <cellStyle name="Comma0 5 3 2 2" xfId="1068"/>
    <cellStyle name="Comma0 5 3 3" xfId="1069"/>
    <cellStyle name="Comma0 5 4" xfId="1070"/>
    <cellStyle name="Comma0 5 4 2" xfId="1071"/>
    <cellStyle name="Comma0 5 4 2 2" xfId="1072"/>
    <cellStyle name="Comma0 5 4 3" xfId="1073"/>
    <cellStyle name="Comma0 5 5" xfId="1074"/>
    <cellStyle name="Comma0 5 5 2" xfId="1075"/>
    <cellStyle name="Comma0 5 6" xfId="1076"/>
    <cellStyle name="Comma0 50" xfId="1077"/>
    <cellStyle name="Comma0 50 2" xfId="1078"/>
    <cellStyle name="Comma0 51" xfId="1079"/>
    <cellStyle name="Comma0 51 2" xfId="1080"/>
    <cellStyle name="Comma0 52" xfId="1081"/>
    <cellStyle name="Comma0 52 2" xfId="1082"/>
    <cellStyle name="Comma0 53" xfId="1083"/>
    <cellStyle name="Comma0 53 2" xfId="1084"/>
    <cellStyle name="Comma0 54" xfId="1085"/>
    <cellStyle name="Comma0 54 2" xfId="1086"/>
    <cellStyle name="Comma0 55" xfId="1087"/>
    <cellStyle name="Comma0 55 2" xfId="1088"/>
    <cellStyle name="Comma0 56" xfId="1089"/>
    <cellStyle name="Comma0 56 2" xfId="1090"/>
    <cellStyle name="Comma0 57" xfId="1091"/>
    <cellStyle name="Comma0 57 2" xfId="1092"/>
    <cellStyle name="Comma0 58" xfId="1093"/>
    <cellStyle name="Comma0 58 2" xfId="1094"/>
    <cellStyle name="Comma0 59" xfId="1095"/>
    <cellStyle name="Comma0 59 2" xfId="1096"/>
    <cellStyle name="Comma0 6" xfId="1097"/>
    <cellStyle name="Comma0 6 2" xfId="1098"/>
    <cellStyle name="Comma0 6 2 2" xfId="1099"/>
    <cellStyle name="Comma0 6 2 2 2" xfId="1100"/>
    <cellStyle name="Comma0 6 2 3" xfId="1101"/>
    <cellStyle name="Comma0 6 3" xfId="1102"/>
    <cellStyle name="Comma0 6 3 2" xfId="1103"/>
    <cellStyle name="Comma0 6 3 2 2" xfId="1104"/>
    <cellStyle name="Comma0 6 3 3" xfId="1105"/>
    <cellStyle name="Comma0 6 4" xfId="1106"/>
    <cellStyle name="Comma0 6 4 2" xfId="1107"/>
    <cellStyle name="Comma0 6 4 2 2" xfId="1108"/>
    <cellStyle name="Comma0 6 4 3" xfId="1109"/>
    <cellStyle name="Comma0 6 5" xfId="1110"/>
    <cellStyle name="Comma0 6 5 2" xfId="1111"/>
    <cellStyle name="Comma0 6 6" xfId="1112"/>
    <cellStyle name="Comma0 60" xfId="1113"/>
    <cellStyle name="Comma0 60 2" xfId="1114"/>
    <cellStyle name="Comma0 61" xfId="1115"/>
    <cellStyle name="Comma0 61 2" xfId="1116"/>
    <cellStyle name="Comma0 62" xfId="1117"/>
    <cellStyle name="Comma0 62 2" xfId="1118"/>
    <cellStyle name="Comma0 63" xfId="1119"/>
    <cellStyle name="Comma0 63 2" xfId="1120"/>
    <cellStyle name="Comma0 64" xfId="1121"/>
    <cellStyle name="Comma0 64 2" xfId="1122"/>
    <cellStyle name="Comma0 65" xfId="1123"/>
    <cellStyle name="Comma0 65 2" xfId="1124"/>
    <cellStyle name="Comma0 66" xfId="1125"/>
    <cellStyle name="Comma0 66 2" xfId="1126"/>
    <cellStyle name="Comma0 67" xfId="1127"/>
    <cellStyle name="Comma0 67 2" xfId="1128"/>
    <cellStyle name="Comma0 68" xfId="1129"/>
    <cellStyle name="Comma0 68 2" xfId="1130"/>
    <cellStyle name="Comma0 69" xfId="1131"/>
    <cellStyle name="Comma0 69 2" xfId="1132"/>
    <cellStyle name="Comma0 7" xfId="1133"/>
    <cellStyle name="Comma0 7 2" xfId="1134"/>
    <cellStyle name="Comma0 7 2 2" xfId="1135"/>
    <cellStyle name="Comma0 7 2 2 2" xfId="1136"/>
    <cellStyle name="Comma0 7 2 2 2 2" xfId="1137"/>
    <cellStyle name="Comma0 7 2 2 3" xfId="1138"/>
    <cellStyle name="Comma0 7 2 3" xfId="1139"/>
    <cellStyle name="Comma0 7 2 3 2" xfId="1140"/>
    <cellStyle name="Comma0 7 2 4" xfId="1141"/>
    <cellStyle name="Comma0 7 3" xfId="1142"/>
    <cellStyle name="Comma0 7 3 2" xfId="1143"/>
    <cellStyle name="Comma0 7 3 2 2" xfId="1144"/>
    <cellStyle name="Comma0 7 3 3" xfId="1145"/>
    <cellStyle name="Comma0 7 4" xfId="1146"/>
    <cellStyle name="Comma0 7 4 2" xfId="1147"/>
    <cellStyle name="Comma0 7 4 2 2" xfId="1148"/>
    <cellStyle name="Comma0 7 4 3" xfId="1149"/>
    <cellStyle name="Comma0 7 5" xfId="1150"/>
    <cellStyle name="Comma0 7 5 2" xfId="1151"/>
    <cellStyle name="Comma0 7 6" xfId="1152"/>
    <cellStyle name="Comma0 70" xfId="1153"/>
    <cellStyle name="Comma0 70 2" xfId="1154"/>
    <cellStyle name="Comma0 71" xfId="1155"/>
    <cellStyle name="Comma0 71 2" xfId="1156"/>
    <cellStyle name="Comma0 72" xfId="1157"/>
    <cellStyle name="Comma0 72 2" xfId="1158"/>
    <cellStyle name="Comma0 73" xfId="1159"/>
    <cellStyle name="Comma0 73 2" xfId="1160"/>
    <cellStyle name="Comma0 74" xfId="1161"/>
    <cellStyle name="Comma0 74 2" xfId="1162"/>
    <cellStyle name="Comma0 75" xfId="1163"/>
    <cellStyle name="Comma0 75 2" xfId="1164"/>
    <cellStyle name="Comma0 76" xfId="1165"/>
    <cellStyle name="Comma0 76 2" xfId="1166"/>
    <cellStyle name="Comma0 77" xfId="1167"/>
    <cellStyle name="Comma0 77 2" xfId="1168"/>
    <cellStyle name="Comma0 78" xfId="1169"/>
    <cellStyle name="Comma0 78 2" xfId="1170"/>
    <cellStyle name="Comma0 79" xfId="1171"/>
    <cellStyle name="Comma0 79 2" xfId="1172"/>
    <cellStyle name="Comma0 8" xfId="1173"/>
    <cellStyle name="Comma0 8 2" xfId="1174"/>
    <cellStyle name="Comma0 8 2 2" xfId="1175"/>
    <cellStyle name="Comma0 8 2 2 2" xfId="1176"/>
    <cellStyle name="Comma0 8 2 2 2 2" xfId="1177"/>
    <cellStyle name="Comma0 8 2 2 3" xfId="1178"/>
    <cellStyle name="Comma0 8 2 3" xfId="1179"/>
    <cellStyle name="Comma0 8 2 3 2" xfId="1180"/>
    <cellStyle name="Comma0 8 2 4" xfId="1181"/>
    <cellStyle name="Comma0 8 3" xfId="1182"/>
    <cellStyle name="Comma0 8 3 2" xfId="1183"/>
    <cellStyle name="Comma0 8 3 2 2" xfId="1184"/>
    <cellStyle name="Comma0 8 3 3" xfId="1185"/>
    <cellStyle name="Comma0 8 4" xfId="1186"/>
    <cellStyle name="Comma0 8 4 2" xfId="1187"/>
    <cellStyle name="Comma0 8 4 2 2" xfId="1188"/>
    <cellStyle name="Comma0 8 4 3" xfId="1189"/>
    <cellStyle name="Comma0 8 5" xfId="1190"/>
    <cellStyle name="Comma0 8 5 2" xfId="1191"/>
    <cellStyle name="Comma0 8 6" xfId="1192"/>
    <cellStyle name="Comma0 80" xfId="1193"/>
    <cellStyle name="Comma0 80 2" xfId="1194"/>
    <cellStyle name="Comma0 81" xfId="1195"/>
    <cellStyle name="Comma0 81 2" xfId="1196"/>
    <cellStyle name="Comma0 82" xfId="1197"/>
    <cellStyle name="Comma0 82 2" xfId="1198"/>
    <cellStyle name="Comma0 83" xfId="1199"/>
    <cellStyle name="Comma0 83 2" xfId="1200"/>
    <cellStyle name="Comma0 84" xfId="1201"/>
    <cellStyle name="Comma0 84 2" xfId="1202"/>
    <cellStyle name="Comma0 85" xfId="1203"/>
    <cellStyle name="Comma0 85 2" xfId="1204"/>
    <cellStyle name="Comma0 86" xfId="1205"/>
    <cellStyle name="Comma0 86 2" xfId="1206"/>
    <cellStyle name="Comma0 87" xfId="1207"/>
    <cellStyle name="Comma0 87 2" xfId="1208"/>
    <cellStyle name="Comma0 88" xfId="1209"/>
    <cellStyle name="Comma0 88 2" xfId="1210"/>
    <cellStyle name="Comma0 89" xfId="1211"/>
    <cellStyle name="Comma0 89 2" xfId="1212"/>
    <cellStyle name="Comma0 9" xfId="1213"/>
    <cellStyle name="Comma0 9 2" xfId="1214"/>
    <cellStyle name="Comma0 9 2 2" xfId="1215"/>
    <cellStyle name="Comma0 9 2 2 2" xfId="1216"/>
    <cellStyle name="Comma0 9 2 3" xfId="1217"/>
    <cellStyle name="Comma0 9 3" xfId="1218"/>
    <cellStyle name="Comma0 9 3 2" xfId="1219"/>
    <cellStyle name="Comma0 9 4" xfId="1220"/>
    <cellStyle name="Comma0 90" xfId="1221"/>
    <cellStyle name="Comma0 90 2" xfId="1222"/>
    <cellStyle name="Comma0 91" xfId="1223"/>
    <cellStyle name="Comma0 91 2" xfId="1224"/>
    <cellStyle name="Comma0 92" xfId="1225"/>
    <cellStyle name="Comma0 92 2" xfId="1226"/>
    <cellStyle name="Comma0 93" xfId="1227"/>
    <cellStyle name="Comma0 93 2" xfId="1228"/>
    <cellStyle name="Comma0 94" xfId="1229"/>
    <cellStyle name="Comma0 94 2" xfId="1230"/>
    <cellStyle name="Comma0 95" xfId="1231"/>
    <cellStyle name="Comma0 95 2" xfId="1232"/>
    <cellStyle name="Comma0 96" xfId="1233"/>
    <cellStyle name="Comma0 96 2" xfId="1234"/>
    <cellStyle name="Comma0 97" xfId="1235"/>
    <cellStyle name="Comma0 97 2" xfId="1236"/>
    <cellStyle name="Comma0 98" xfId="1237"/>
    <cellStyle name="Comma0 98 2" xfId="1238"/>
    <cellStyle name="Comma0 99" xfId="1239"/>
    <cellStyle name="Comma0 99 2" xfId="1240"/>
    <cellStyle name="Comma0_I&amp;M RP1 Retire" xfId="1241"/>
    <cellStyle name="Comma1 - Style1" xfId="1242"/>
    <cellStyle name="Currency 10" xfId="1243"/>
    <cellStyle name="Currency 10 2" xfId="1244"/>
    <cellStyle name="Currency 10 3" xfId="1245"/>
    <cellStyle name="Currency 11" xfId="1246"/>
    <cellStyle name="Currency 2" xfId="1247"/>
    <cellStyle name="Currency 2 2" xfId="1248"/>
    <cellStyle name="Currency 2 2 2" xfId="1249"/>
    <cellStyle name="Currency 2 3" xfId="1250"/>
    <cellStyle name="Currency 2 3 10" xfId="1251"/>
    <cellStyle name="Currency 2 3 11" xfId="1252"/>
    <cellStyle name="Currency 2 3 12" xfId="1253"/>
    <cellStyle name="Currency 2 3 13" xfId="1254"/>
    <cellStyle name="Currency 2 3 14" xfId="1255"/>
    <cellStyle name="Currency 2 3 15" xfId="1256"/>
    <cellStyle name="Currency 2 3 16" xfId="1257"/>
    <cellStyle name="Currency 2 3 17" xfId="1258"/>
    <cellStyle name="Currency 2 3 18" xfId="1259"/>
    <cellStyle name="Currency 2 3 19" xfId="1260"/>
    <cellStyle name="Currency 2 3 2" xfId="1261"/>
    <cellStyle name="Currency 2 3 20" xfId="1262"/>
    <cellStyle name="Currency 2 3 21" xfId="1263"/>
    <cellStyle name="Currency 2 3 22" xfId="1264"/>
    <cellStyle name="Currency 2 3 23" xfId="1265"/>
    <cellStyle name="Currency 2 3 24" xfId="1266"/>
    <cellStyle name="Currency 2 3 25" xfId="1267"/>
    <cellStyle name="Currency 2 3 3" xfId="1268"/>
    <cellStyle name="Currency 2 3 3 10" xfId="1269"/>
    <cellStyle name="Currency 2 3 3 11" xfId="1270"/>
    <cellStyle name="Currency 2 3 3 12" xfId="1271"/>
    <cellStyle name="Currency 2 3 3 13" xfId="1272"/>
    <cellStyle name="Currency 2 3 3 14" xfId="1273"/>
    <cellStyle name="Currency 2 3 3 15" xfId="1274"/>
    <cellStyle name="Currency 2 3 3 16" xfId="1275"/>
    <cellStyle name="Currency 2 3 3 17" xfId="1276"/>
    <cellStyle name="Currency 2 3 3 18" xfId="1277"/>
    <cellStyle name="Currency 2 3 3 19" xfId="1278"/>
    <cellStyle name="Currency 2 3 3 2" xfId="1279"/>
    <cellStyle name="Currency 2 3 3 2 2" xfId="1280"/>
    <cellStyle name="Currency 2 3 3 20" xfId="1281"/>
    <cellStyle name="Currency 2 3 3 3" xfId="1282"/>
    <cellStyle name="Currency 2 3 3 3 10" xfId="1283"/>
    <cellStyle name="Currency 2 3 3 3 11" xfId="1284"/>
    <cellStyle name="Currency 2 3 3 3 12" xfId="1285"/>
    <cellStyle name="Currency 2 3 3 3 2" xfId="1286"/>
    <cellStyle name="Currency 2 3 3 3 3" xfId="1287"/>
    <cellStyle name="Currency 2 3 3 3 4" xfId="1288"/>
    <cellStyle name="Currency 2 3 3 3 5" xfId="1289"/>
    <cellStyle name="Currency 2 3 3 3 6" xfId="1290"/>
    <cellStyle name="Currency 2 3 3 3 7" xfId="1291"/>
    <cellStyle name="Currency 2 3 3 3 8" xfId="1292"/>
    <cellStyle name="Currency 2 3 3 3 9" xfId="1293"/>
    <cellStyle name="Currency 2 3 3 4" xfId="1294"/>
    <cellStyle name="Currency 2 3 3 4 2" xfId="1295"/>
    <cellStyle name="Currency 2 3 3 5" xfId="1296"/>
    <cellStyle name="Currency 2 3 3 6" xfId="1297"/>
    <cellStyle name="Currency 2 3 3 7" xfId="1298"/>
    <cellStyle name="Currency 2 3 3 8" xfId="1299"/>
    <cellStyle name="Currency 2 3 3 9" xfId="1300"/>
    <cellStyle name="Currency 2 3 4" xfId="1301"/>
    <cellStyle name="Currency 2 3 5" xfId="1302"/>
    <cellStyle name="Currency 2 3 6" xfId="1303"/>
    <cellStyle name="Currency 2 3 7" xfId="1304"/>
    <cellStyle name="Currency 2 3 7 10" xfId="1305"/>
    <cellStyle name="Currency 2 3 7 11" xfId="1306"/>
    <cellStyle name="Currency 2 3 7 12" xfId="1307"/>
    <cellStyle name="Currency 2 3 7 2" xfId="1308"/>
    <cellStyle name="Currency 2 3 7 3" xfId="1309"/>
    <cellStyle name="Currency 2 3 7 4" xfId="1310"/>
    <cellStyle name="Currency 2 3 7 5" xfId="1311"/>
    <cellStyle name="Currency 2 3 7 6" xfId="1312"/>
    <cellStyle name="Currency 2 3 7 7" xfId="1313"/>
    <cellStyle name="Currency 2 3 7 8" xfId="1314"/>
    <cellStyle name="Currency 2 3 7 9" xfId="1315"/>
    <cellStyle name="Currency 2 3 8" xfId="1316"/>
    <cellStyle name="Currency 2 3 9" xfId="1317"/>
    <cellStyle name="Currency 2 4" xfId="1318"/>
    <cellStyle name="Currency 3" xfId="1319"/>
    <cellStyle name="Currency 3 2" xfId="1320"/>
    <cellStyle name="Currency 3 2 2" xfId="1321"/>
    <cellStyle name="Currency 3 2 2 2" xfId="1322"/>
    <cellStyle name="Currency 3 3" xfId="1323"/>
    <cellStyle name="Currency 3 3 2" xfId="1324"/>
    <cellStyle name="Currency 3_Amos 3 Forecast" xfId="1325"/>
    <cellStyle name="Currency 4" xfId="1326"/>
    <cellStyle name="Currency 4 2" xfId="1327"/>
    <cellStyle name="Currency 4 2 2" xfId="1328"/>
    <cellStyle name="Currency 4 2 3" xfId="1329"/>
    <cellStyle name="Currency 4 2 3 2" xfId="1330"/>
    <cellStyle name="Currency 4 2 4" xfId="1331"/>
    <cellStyle name="Currency 4 3" xfId="1332"/>
    <cellStyle name="Currency 5" xfId="1333"/>
    <cellStyle name="Currency 5 2" xfId="1334"/>
    <cellStyle name="Currency 5 2 2" xfId="1335"/>
    <cellStyle name="Currency 5 3" xfId="1336"/>
    <cellStyle name="Currency 5 4" xfId="1337"/>
    <cellStyle name="Currency 6" xfId="1338"/>
    <cellStyle name="Currency 6 2" xfId="1339"/>
    <cellStyle name="Currency 7" xfId="1340"/>
    <cellStyle name="Currency 7 2" xfId="1341"/>
    <cellStyle name="Currency 7 2 2" xfId="1342"/>
    <cellStyle name="Currency 7 2 3" xfId="1343"/>
    <cellStyle name="Currency 7 3" xfId="1344"/>
    <cellStyle name="Currency 7 4" xfId="1345"/>
    <cellStyle name="Currency 8" xfId="1346"/>
    <cellStyle name="Currency 8 2" xfId="1347"/>
    <cellStyle name="Currency 8 3" xfId="1348"/>
    <cellStyle name="Currency 8 3 10" xfId="1349"/>
    <cellStyle name="Currency 8 3 11" xfId="1350"/>
    <cellStyle name="Currency 8 3 12" xfId="1351"/>
    <cellStyle name="Currency 8 3 13" xfId="1352"/>
    <cellStyle name="Currency 8 3 14" xfId="1353"/>
    <cellStyle name="Currency 8 3 15" xfId="1354"/>
    <cellStyle name="Currency 8 3 16" xfId="1355"/>
    <cellStyle name="Currency 8 3 17" xfId="1356"/>
    <cellStyle name="Currency 8 3 18" xfId="1357"/>
    <cellStyle name="Currency 8 3 19" xfId="1358"/>
    <cellStyle name="Currency 8 3 2" xfId="1359"/>
    <cellStyle name="Currency 8 3 2 2" xfId="1360"/>
    <cellStyle name="Currency 8 3 20" xfId="1361"/>
    <cellStyle name="Currency 8 3 3" xfId="1362"/>
    <cellStyle name="Currency 8 3 3 10" xfId="1363"/>
    <cellStyle name="Currency 8 3 3 11" xfId="1364"/>
    <cellStyle name="Currency 8 3 3 12" xfId="1365"/>
    <cellStyle name="Currency 8 3 3 2" xfId="1366"/>
    <cellStyle name="Currency 8 3 3 3" xfId="1367"/>
    <cellStyle name="Currency 8 3 3 4" xfId="1368"/>
    <cellStyle name="Currency 8 3 3 5" xfId="1369"/>
    <cellStyle name="Currency 8 3 3 6" xfId="1370"/>
    <cellStyle name="Currency 8 3 3 7" xfId="1371"/>
    <cellStyle name="Currency 8 3 3 8" xfId="1372"/>
    <cellStyle name="Currency 8 3 3 9" xfId="1373"/>
    <cellStyle name="Currency 8 3 4" xfId="1374"/>
    <cellStyle name="Currency 8 3 4 2" xfId="1375"/>
    <cellStyle name="Currency 8 3 5" xfId="1376"/>
    <cellStyle name="Currency 8 3 6" xfId="1377"/>
    <cellStyle name="Currency 8 3 7" xfId="1378"/>
    <cellStyle name="Currency 8 3 8" xfId="1379"/>
    <cellStyle name="Currency 8 3 9" xfId="1380"/>
    <cellStyle name="Currency 8 4" xfId="1381"/>
    <cellStyle name="Currency 9" xfId="1382"/>
    <cellStyle name="Currency 9 2" xfId="1383"/>
    <cellStyle name="Currency 9 3" xfId="1384"/>
    <cellStyle name="Currency0" xfId="1385"/>
    <cellStyle name="Currency0 2" xfId="1386"/>
    <cellStyle name="Currency0 2 2" xfId="1387"/>
    <cellStyle name="Currency0 2 2 2" xfId="1388"/>
    <cellStyle name="Currency0 2 2 2 2" xfId="1389"/>
    <cellStyle name="Currency0 2 2 3" xfId="1390"/>
    <cellStyle name="Currency0 2 3" xfId="1391"/>
    <cellStyle name="Currency0 2 3 2" xfId="1392"/>
    <cellStyle name="Currency0 2 3 2 2" xfId="1393"/>
    <cellStyle name="Currency0 2 3 3" xfId="1394"/>
    <cellStyle name="Currency0 2 4" xfId="1395"/>
    <cellStyle name="Currency0 2 4 2" xfId="1396"/>
    <cellStyle name="Currency0 2 4 2 2" xfId="1397"/>
    <cellStyle name="Currency0 2 4 3" xfId="1398"/>
    <cellStyle name="Currency0 2 5" xfId="1399"/>
    <cellStyle name="Currency0 2 5 2" xfId="1400"/>
    <cellStyle name="Currency0 2 6" xfId="1401"/>
    <cellStyle name="Currency0 3" xfId="1402"/>
    <cellStyle name="Currency0 3 2" xfId="1403"/>
    <cellStyle name="Currency0 3 2 2" xfId="1404"/>
    <cellStyle name="Currency0 3 2 2 2" xfId="1405"/>
    <cellStyle name="Currency0 3 2 2 2 2" xfId="1406"/>
    <cellStyle name="Currency0 3 2 2 3" xfId="1407"/>
    <cellStyle name="Currency0 3 2 3" xfId="1408"/>
    <cellStyle name="Currency0 3 2 3 2" xfId="1409"/>
    <cellStyle name="Currency0 3 2 4" xfId="1410"/>
    <cellStyle name="Currency0 3 3" xfId="1411"/>
    <cellStyle name="Currency0 3 3 2" xfId="1412"/>
    <cellStyle name="Currency0 3 3 2 2" xfId="1413"/>
    <cellStyle name="Currency0 3 3 3" xfId="1414"/>
    <cellStyle name="Currency0 3 4" xfId="1415"/>
    <cellStyle name="Currency0 3 4 2" xfId="1416"/>
    <cellStyle name="Currency0 3 4 2 2" xfId="1417"/>
    <cellStyle name="Currency0 3 4 3" xfId="1418"/>
    <cellStyle name="Currency0 3 5" xfId="1419"/>
    <cellStyle name="Currency0 3 5 2" xfId="1420"/>
    <cellStyle name="Currency0 3 6" xfId="1421"/>
    <cellStyle name="Currency0 4" xfId="1422"/>
    <cellStyle name="Currency0 4 2" xfId="1423"/>
    <cellStyle name="Currency0 4 2 2" xfId="1424"/>
    <cellStyle name="Currency0 4 3" xfId="1425"/>
    <cellStyle name="Currency0 5" xfId="1426"/>
    <cellStyle name="Currency0 5 2" xfId="1427"/>
    <cellStyle name="Currency0 5 2 2" xfId="1428"/>
    <cellStyle name="Currency0 5 2 2 2" xfId="1429"/>
    <cellStyle name="Currency0 5 2 3" xfId="1430"/>
    <cellStyle name="Currency0 5 3" xfId="1431"/>
    <cellStyle name="Currency0 5 3 2" xfId="1432"/>
    <cellStyle name="Currency0 5 4" xfId="1433"/>
    <cellStyle name="Currency0 6" xfId="1434"/>
    <cellStyle name="Currency0 6 2" xfId="1435"/>
    <cellStyle name="Currency0 6 2 2" xfId="1436"/>
    <cellStyle name="Currency0 6 3" xfId="1437"/>
    <cellStyle name="Currency0 7" xfId="1438"/>
    <cellStyle name="Currency0 7 2" xfId="1439"/>
    <cellStyle name="Currency0 8" xfId="1440"/>
    <cellStyle name="DATA TYPE" xfId="1441"/>
    <cellStyle name="Date" xfId="1442"/>
    <cellStyle name="Date 2" xfId="1443"/>
    <cellStyle name="Date 2 2" xfId="1444"/>
    <cellStyle name="Date 2 2 2" xfId="1445"/>
    <cellStyle name="Date 2 2 2 2" xfId="1446"/>
    <cellStyle name="Date 2 2 3" xfId="1447"/>
    <cellStyle name="Date 2 3" xfId="1448"/>
    <cellStyle name="Date 2 3 2" xfId="1449"/>
    <cellStyle name="Date 2 3 2 2" xfId="1450"/>
    <cellStyle name="Date 2 3 3" xfId="1451"/>
    <cellStyle name="Date 2 4" xfId="1452"/>
    <cellStyle name="Date 2 4 2" xfId="1453"/>
    <cellStyle name="Date 2 4 2 2" xfId="1454"/>
    <cellStyle name="Date 2 4 3" xfId="1455"/>
    <cellStyle name="Date 2 5" xfId="1456"/>
    <cellStyle name="Date 2 5 2" xfId="1457"/>
    <cellStyle name="Date 2 6" xfId="1458"/>
    <cellStyle name="Date 3" xfId="1459"/>
    <cellStyle name="Date 3 2" xfId="1460"/>
    <cellStyle name="Date 3 2 2" xfId="1461"/>
    <cellStyle name="Date 3 2 2 2" xfId="1462"/>
    <cellStyle name="Date 3 2 2 2 2" xfId="1463"/>
    <cellStyle name="Date 3 2 2 3" xfId="1464"/>
    <cellStyle name="Date 3 2 3" xfId="1465"/>
    <cellStyle name="Date 3 2 3 2" xfId="1466"/>
    <cellStyle name="Date 3 2 4" xfId="1467"/>
    <cellStyle name="Date 3 3" xfId="1468"/>
    <cellStyle name="Date 3 3 2" xfId="1469"/>
    <cellStyle name="Date 3 3 2 2" xfId="1470"/>
    <cellStyle name="Date 3 3 3" xfId="1471"/>
    <cellStyle name="Date 3 4" xfId="1472"/>
    <cellStyle name="Date 3 4 2" xfId="1473"/>
    <cellStyle name="Date 3 4 2 2" xfId="1474"/>
    <cellStyle name="Date 3 4 3" xfId="1475"/>
    <cellStyle name="Date 3 5" xfId="1476"/>
    <cellStyle name="Date 3 5 2" xfId="1477"/>
    <cellStyle name="Date 3 6" xfId="1478"/>
    <cellStyle name="Date 4" xfId="1479"/>
    <cellStyle name="Date 4 2" xfId="1480"/>
    <cellStyle name="Date 4 2 2" xfId="1481"/>
    <cellStyle name="Date 4 3" xfId="1482"/>
    <cellStyle name="Date 5" xfId="1483"/>
    <cellStyle name="Date 5 2" xfId="1484"/>
    <cellStyle name="Date 5 2 2" xfId="1485"/>
    <cellStyle name="Date 5 2 2 2" xfId="1486"/>
    <cellStyle name="Date 5 2 3" xfId="1487"/>
    <cellStyle name="Date 5 3" xfId="1488"/>
    <cellStyle name="Date 5 3 2" xfId="1489"/>
    <cellStyle name="Date 5 4" xfId="1490"/>
    <cellStyle name="Date 6" xfId="1491"/>
    <cellStyle name="Date 6 2" xfId="1492"/>
    <cellStyle name="Date 6 2 2" xfId="1493"/>
    <cellStyle name="Date 6 3" xfId="1494"/>
    <cellStyle name="Date 7" xfId="1495"/>
    <cellStyle name="Date 7 2" xfId="1496"/>
    <cellStyle name="Date 8" xfId="1497"/>
    <cellStyle name="DateTime24H" xfId="1498"/>
    <cellStyle name="Euro" xfId="1499"/>
    <cellStyle name="Euro 2" xfId="1500"/>
    <cellStyle name="Explanatory Text 2" xfId="1502"/>
    <cellStyle name="Explanatory Text 3" xfId="1503"/>
    <cellStyle name="Explanatory Text 4" xfId="1504"/>
    <cellStyle name="Explanatory Text 5" xfId="1505"/>
    <cellStyle name="Explanatory Text 6" xfId="1501"/>
    <cellStyle name="Fixed" xfId="1506"/>
    <cellStyle name="Fixed 2" xfId="1507"/>
    <cellStyle name="Fixed 2 2" xfId="1508"/>
    <cellStyle name="Fixed 2 2 2" xfId="1509"/>
    <cellStyle name="Fixed 2 2 2 2" xfId="1510"/>
    <cellStyle name="Fixed 2 2 3" xfId="1511"/>
    <cellStyle name="Fixed 2 3" xfId="1512"/>
    <cellStyle name="Fixed 2 3 2" xfId="1513"/>
    <cellStyle name="Fixed 2 3 2 2" xfId="1514"/>
    <cellStyle name="Fixed 2 3 3" xfId="1515"/>
    <cellStyle name="Fixed 2 4" xfId="1516"/>
    <cellStyle name="Fixed 2 4 2" xfId="1517"/>
    <cellStyle name="Fixed 2 4 2 2" xfId="1518"/>
    <cellStyle name="Fixed 2 4 3" xfId="1519"/>
    <cellStyle name="Fixed 2 5" xfId="1520"/>
    <cellStyle name="Fixed 2 5 2" xfId="1521"/>
    <cellStyle name="Fixed 2 6" xfId="1522"/>
    <cellStyle name="Fixed 3" xfId="1523"/>
    <cellStyle name="Fixed 3 2" xfId="1524"/>
    <cellStyle name="Fixed 3 2 2" xfId="1525"/>
    <cellStyle name="Fixed 3 2 2 2" xfId="1526"/>
    <cellStyle name="Fixed 3 2 2 2 2" xfId="1527"/>
    <cellStyle name="Fixed 3 2 2 3" xfId="1528"/>
    <cellStyle name="Fixed 3 2 3" xfId="1529"/>
    <cellStyle name="Fixed 3 2 3 2" xfId="1530"/>
    <cellStyle name="Fixed 3 2 4" xfId="1531"/>
    <cellStyle name="Fixed 3 3" xfId="1532"/>
    <cellStyle name="Fixed 3 3 2" xfId="1533"/>
    <cellStyle name="Fixed 3 3 2 2" xfId="1534"/>
    <cellStyle name="Fixed 3 3 3" xfId="1535"/>
    <cellStyle name="Fixed 3 4" xfId="1536"/>
    <cellStyle name="Fixed 3 4 2" xfId="1537"/>
    <cellStyle name="Fixed 3 4 2 2" xfId="1538"/>
    <cellStyle name="Fixed 3 4 3" xfId="1539"/>
    <cellStyle name="Fixed 3 5" xfId="1540"/>
    <cellStyle name="Fixed 3 5 2" xfId="1541"/>
    <cellStyle name="Fixed 3 6" xfId="1542"/>
    <cellStyle name="Fixed 4" xfId="1543"/>
    <cellStyle name="Fixed 4 2" xfId="1544"/>
    <cellStyle name="Fixed 4 2 2" xfId="1545"/>
    <cellStyle name="Fixed 4 3" xfId="1546"/>
    <cellStyle name="Fixed 5" xfId="1547"/>
    <cellStyle name="Fixed 5 2" xfId="1548"/>
    <cellStyle name="Fixed 5 2 2" xfId="1549"/>
    <cellStyle name="Fixed 5 2 2 2" xfId="1550"/>
    <cellStyle name="Fixed 5 2 3" xfId="1551"/>
    <cellStyle name="Fixed 5 3" xfId="1552"/>
    <cellStyle name="Fixed 5 3 2" xfId="1553"/>
    <cellStyle name="Fixed 5 4" xfId="1554"/>
    <cellStyle name="Fixed 6" xfId="1555"/>
    <cellStyle name="Fixed 6 2" xfId="1556"/>
    <cellStyle name="Fixed 6 2 2" xfId="1557"/>
    <cellStyle name="Fixed 6 3" xfId="1558"/>
    <cellStyle name="Fixed 7" xfId="1559"/>
    <cellStyle name="Fixed 7 2" xfId="1560"/>
    <cellStyle name="Fixed 8" xfId="1561"/>
    <cellStyle name="Fixed2 - Style2" xfId="1562"/>
    <cellStyle name="Fixed2 - Style2 2" xfId="1563"/>
    <cellStyle name="Fixed3 - Style3" xfId="1564"/>
    <cellStyle name="FUEL SUBTOTAL" xfId="1565"/>
    <cellStyle name="FUEL TYPE" xfId="1566"/>
    <cellStyle name="Good 2" xfId="1568"/>
    <cellStyle name="Good 3" xfId="1569"/>
    <cellStyle name="Good 4" xfId="1570"/>
    <cellStyle name="Good 5" xfId="1571"/>
    <cellStyle name="Good 6" xfId="1567"/>
    <cellStyle name="Heading 1 10" xfId="1573"/>
    <cellStyle name="Heading 1 11" xfId="1572"/>
    <cellStyle name="Heading 1 2" xfId="1574"/>
    <cellStyle name="Heading 1 2 2" xfId="1575"/>
    <cellStyle name="Heading 1 3" xfId="1576"/>
    <cellStyle name="Heading 1 3 2" xfId="1577"/>
    <cellStyle name="Heading 1 3 2 2" xfId="1578"/>
    <cellStyle name="Heading 1 3 2 2 2" xfId="1579"/>
    <cellStyle name="Heading 1 3 2 2 2 2" xfId="1580"/>
    <cellStyle name="Heading 1 3 2 2 3" xfId="1581"/>
    <cellStyle name="Heading 1 3 2 3" xfId="1582"/>
    <cellStyle name="Heading 1 3 2 3 2" xfId="1583"/>
    <cellStyle name="Heading 1 3 2 4" xfId="1584"/>
    <cellStyle name="Heading 1 4" xfId="1585"/>
    <cellStyle name="Heading 1 5" xfId="1586"/>
    <cellStyle name="Heading 1 6" xfId="1587"/>
    <cellStyle name="Heading 1 6 2" xfId="1588"/>
    <cellStyle name="Heading 1 6 2 2" xfId="1589"/>
    <cellStyle name="Heading 1 6 2 2 2" xfId="1590"/>
    <cellStyle name="Heading 1 6 2 2 2 2" xfId="1591"/>
    <cellStyle name="Heading 1 6 2 2 3" xfId="1592"/>
    <cellStyle name="Heading 1 6 2 3" xfId="1593"/>
    <cellStyle name="Heading 1 6 2 3 2" xfId="1594"/>
    <cellStyle name="Heading 1 6 2 4" xfId="1595"/>
    <cellStyle name="Heading 1 6 3" xfId="1596"/>
    <cellStyle name="Heading 1 6 3 2" xfId="1597"/>
    <cellStyle name="Heading 1 6 3 2 2" xfId="1598"/>
    <cellStyle name="Heading 1 6 3 3" xfId="1599"/>
    <cellStyle name="Heading 1 6 4" xfId="1600"/>
    <cellStyle name="Heading 1 6 4 2" xfId="1601"/>
    <cellStyle name="Heading 1 6 4 2 2" xfId="1602"/>
    <cellStyle name="Heading 1 6 4 3" xfId="1603"/>
    <cellStyle name="Heading 1 6 5" xfId="1604"/>
    <cellStyle name="Heading 1 7" xfId="1605"/>
    <cellStyle name="Heading 1 7 2" xfId="1606"/>
    <cellStyle name="Heading 1 8" xfId="1607"/>
    <cellStyle name="Heading 1 9" xfId="1608"/>
    <cellStyle name="Heading 2 10" xfId="1610"/>
    <cellStyle name="Heading 2 11" xfId="1611"/>
    <cellStyle name="Heading 2 12" xfId="1609"/>
    <cellStyle name="Heading 2 2" xfId="1612"/>
    <cellStyle name="Heading 2 2 2" xfId="1613"/>
    <cellStyle name="Heading 2 3" xfId="1614"/>
    <cellStyle name="Heading 2 3 2" xfId="1615"/>
    <cellStyle name="Heading 2 3 3" xfId="1616"/>
    <cellStyle name="Heading 2 3 3 2" xfId="1617"/>
    <cellStyle name="Heading 2 3 3 2 2" xfId="1618"/>
    <cellStyle name="Heading 2 3 3 2 2 2" xfId="1619"/>
    <cellStyle name="Heading 2 3 3 2 3" xfId="1620"/>
    <cellStyle name="Heading 2 3 3 3" xfId="1621"/>
    <cellStyle name="Heading 2 3 3 3 2" xfId="1622"/>
    <cellStyle name="Heading 2 3 3 4" xfId="1623"/>
    <cellStyle name="Heading 2 4" xfId="1624"/>
    <cellStyle name="Heading 2 5" xfId="1625"/>
    <cellStyle name="Heading 2 6" xfId="1626"/>
    <cellStyle name="Heading 2 7" xfId="1627"/>
    <cellStyle name="Heading 2 7 2" xfId="1628"/>
    <cellStyle name="Heading 2 7 2 2" xfId="1629"/>
    <cellStyle name="Heading 2 7 2 2 2" xfId="1630"/>
    <cellStyle name="Heading 2 7 2 2 2 2" xfId="1631"/>
    <cellStyle name="Heading 2 7 2 2 3" xfId="1632"/>
    <cellStyle name="Heading 2 7 2 3" xfId="1633"/>
    <cellStyle name="Heading 2 7 2 3 2" xfId="1634"/>
    <cellStyle name="Heading 2 7 2 4" xfId="1635"/>
    <cellStyle name="Heading 2 7 3" xfId="1636"/>
    <cellStyle name="Heading 2 7 3 2" xfId="1637"/>
    <cellStyle name="Heading 2 7 3 2 2" xfId="1638"/>
    <cellStyle name="Heading 2 7 3 3" xfId="1639"/>
    <cellStyle name="Heading 2 7 4" xfId="1640"/>
    <cellStyle name="Heading 2 7 4 2" xfId="1641"/>
    <cellStyle name="Heading 2 7 4 2 2" xfId="1642"/>
    <cellStyle name="Heading 2 7 4 3" xfId="1643"/>
    <cellStyle name="Heading 2 7 5" xfId="1644"/>
    <cellStyle name="Heading 2 8" xfId="1645"/>
    <cellStyle name="Heading 2 8 2" xfId="1646"/>
    <cellStyle name="Heading 2 9" xfId="1647"/>
    <cellStyle name="Heading 3 2" xfId="1649"/>
    <cellStyle name="Heading 3 2 2" xfId="1650"/>
    <cellStyle name="Heading 3 2 2 2" xfId="1651"/>
    <cellStyle name="Heading 3 2 2 2 2" xfId="1652"/>
    <cellStyle name="Heading 3 2 2 2 2 2" xfId="1653"/>
    <cellStyle name="Heading 3 2 2 2 3" xfId="1654"/>
    <cellStyle name="Heading 3 2 2 3" xfId="1655"/>
    <cellStyle name="Heading 3 2 2 3 2" xfId="1656"/>
    <cellStyle name="Heading 3 2 2 4" xfId="1657"/>
    <cellStyle name="Heading 3 2 3" xfId="1658"/>
    <cellStyle name="Heading 3 2 3 2" xfId="1659"/>
    <cellStyle name="Heading 3 2 3 2 2" xfId="1660"/>
    <cellStyle name="Heading 3 2 3 3" xfId="1661"/>
    <cellStyle name="Heading 3 2 4" xfId="1662"/>
    <cellStyle name="Heading 3 2 4 2" xfId="1663"/>
    <cellStyle name="Heading 3 2 5" xfId="1664"/>
    <cellStyle name="Heading 3 3" xfId="1665"/>
    <cellStyle name="Heading 3 4" xfId="1648"/>
    <cellStyle name="Heading 4 2" xfId="1667"/>
    <cellStyle name="Heading 4 2 2" xfId="1668"/>
    <cellStyle name="Heading 4 2 2 2" xfId="1669"/>
    <cellStyle name="Heading 4 2 2 2 2" xfId="1670"/>
    <cellStyle name="Heading 4 2 2 2 2 2" xfId="1671"/>
    <cellStyle name="Heading 4 2 2 2 3" xfId="1672"/>
    <cellStyle name="Heading 4 2 2 3" xfId="1673"/>
    <cellStyle name="Heading 4 2 2 3 2" xfId="1674"/>
    <cellStyle name="Heading 4 2 2 4" xfId="1675"/>
    <cellStyle name="Heading 4 2 3" xfId="1676"/>
    <cellStyle name="Heading 4 2 3 2" xfId="1677"/>
    <cellStyle name="Heading 4 2 3 2 2" xfId="1678"/>
    <cellStyle name="Heading 4 2 3 3" xfId="1679"/>
    <cellStyle name="Heading 4 2 4" xfId="1680"/>
    <cellStyle name="Heading 4 2 4 2" xfId="1681"/>
    <cellStyle name="Heading 4 2 5" xfId="1682"/>
    <cellStyle name="Heading 4 3" xfId="1683"/>
    <cellStyle name="Heading 4 4" xfId="1666"/>
    <cellStyle name="HEADING1" xfId="1684"/>
    <cellStyle name="Heading1 10" xfId="1685"/>
    <cellStyle name="Heading1 10 2" xfId="1686"/>
    <cellStyle name="HEADING1 11" xfId="1687"/>
    <cellStyle name="HEADING1 12" xfId="1688"/>
    <cellStyle name="HEADING1 13" xfId="1689"/>
    <cellStyle name="HEADING1 14" xfId="1690"/>
    <cellStyle name="HEADING1 15" xfId="1691"/>
    <cellStyle name="HEADING1 16" xfId="1692"/>
    <cellStyle name="HEADING1 17" xfId="1693"/>
    <cellStyle name="HEADING1 18" xfId="1694"/>
    <cellStyle name="HEADING1 19" xfId="1695"/>
    <cellStyle name="HEADING1 2" xfId="1696"/>
    <cellStyle name="HEADING1 2 2" xfId="1697"/>
    <cellStyle name="HEADING1 2 2 2" xfId="1698"/>
    <cellStyle name="HEADING1 2 2 2 2" xfId="1699"/>
    <cellStyle name="HEADING1 2 2 3" xfId="1700"/>
    <cellStyle name="HEADING1 2 3" xfId="1701"/>
    <cellStyle name="HEADING1 2 3 2" xfId="1702"/>
    <cellStyle name="HEADING1 2 3 2 2" xfId="1703"/>
    <cellStyle name="HEADING1 2 3 3" xfId="1704"/>
    <cellStyle name="HEADING1 2 4" xfId="1705"/>
    <cellStyle name="HEADING1 2 4 2" xfId="1706"/>
    <cellStyle name="HEADING1 2 4 2 2" xfId="1707"/>
    <cellStyle name="HEADING1 2 4 3" xfId="1708"/>
    <cellStyle name="HEADING1 2 5" xfId="1709"/>
    <cellStyle name="HEADING1 2 5 2" xfId="1710"/>
    <cellStyle name="HEADING1 2 6" xfId="1711"/>
    <cellStyle name="HEADING1 20" xfId="1712"/>
    <cellStyle name="HEADING1 3" xfId="1713"/>
    <cellStyle name="HEADING1 3 2" xfId="1714"/>
    <cellStyle name="HEADING1 3 2 2" xfId="1715"/>
    <cellStyle name="HEADING1 3 2 2 2" xfId="1716"/>
    <cellStyle name="HEADING1 3 2 2 2 2" xfId="1717"/>
    <cellStyle name="HEADING1 3 2 2 3" xfId="1718"/>
    <cellStyle name="HEADING1 3 2 3" xfId="1719"/>
    <cellStyle name="HEADING1 3 2 3 2" xfId="1720"/>
    <cellStyle name="HEADING1 3 2 4" xfId="1721"/>
    <cellStyle name="HEADING1 3 3" xfId="1722"/>
    <cellStyle name="HEADING1 3 3 2" xfId="1723"/>
    <cellStyle name="HEADING1 3 3 2 2" xfId="1724"/>
    <cellStyle name="HEADING1 3 3 3" xfId="1725"/>
    <cellStyle name="HEADING1 3 4" xfId="1726"/>
    <cellStyle name="HEADING1 3 4 2" xfId="1727"/>
    <cellStyle name="HEADING1 3 4 2 2" xfId="1728"/>
    <cellStyle name="HEADING1 3 4 3" xfId="1729"/>
    <cellStyle name="HEADING1 3 5" xfId="1730"/>
    <cellStyle name="HEADING1 3 5 2" xfId="1731"/>
    <cellStyle name="HEADING1 3 6" xfId="1732"/>
    <cellStyle name="HEADING1 4" xfId="1733"/>
    <cellStyle name="HEADING1 4 2" xfId="1734"/>
    <cellStyle name="HEADING1 4 2 2" xfId="1735"/>
    <cellStyle name="HEADING1 4 3" xfId="1736"/>
    <cellStyle name="HEADING1 5" xfId="1737"/>
    <cellStyle name="HEADING1 5 2" xfId="1738"/>
    <cellStyle name="HEADING1 5 2 2" xfId="1739"/>
    <cellStyle name="HEADING1 5 2 2 2" xfId="1740"/>
    <cellStyle name="HEADING1 5 2 3" xfId="1741"/>
    <cellStyle name="HEADING1 5 3" xfId="1742"/>
    <cellStyle name="HEADING1 5 3 2" xfId="1743"/>
    <cellStyle name="HEADING1 5 4" xfId="1744"/>
    <cellStyle name="HEADING1 6" xfId="1745"/>
    <cellStyle name="HEADING1 6 2" xfId="1746"/>
    <cellStyle name="HEADING1 6 2 2" xfId="1747"/>
    <cellStyle name="HEADING1 6 3" xfId="1748"/>
    <cellStyle name="HEADING1 7" xfId="1749"/>
    <cellStyle name="Heading1 7 2" xfId="1750"/>
    <cellStyle name="HEADING1 7 2 2" xfId="1751"/>
    <cellStyle name="Heading1 7 2 3" xfId="1752"/>
    <cellStyle name="Heading1 7 2 4" xfId="1753"/>
    <cellStyle name="Heading1 8" xfId="1754"/>
    <cellStyle name="HEADING1 8 2" xfId="1755"/>
    <cellStyle name="Heading1 8 3" xfId="1756"/>
    <cellStyle name="Heading1 8 4" xfId="1757"/>
    <cellStyle name="Heading1 9" xfId="1758"/>
    <cellStyle name="Heading1 9 2" xfId="1759"/>
    <cellStyle name="HEADING2" xfId="1760"/>
    <cellStyle name="HEADING2 2" xfId="1761"/>
    <cellStyle name="HEADING2 2 2" xfId="1762"/>
    <cellStyle name="Heading2 3" xfId="1763"/>
    <cellStyle name="Heading2 3 2" xfId="1764"/>
    <cellStyle name="Heading2 4" xfId="1765"/>
    <cellStyle name="Heading2 4 2" xfId="1766"/>
    <cellStyle name="Heading2 5" xfId="1767"/>
    <cellStyle name="Heading2 5 2" xfId="1768"/>
    <cellStyle name="Heading2 6" xfId="1769"/>
    <cellStyle name="Heading2 6 2" xfId="1770"/>
    <cellStyle name="Heading2 7" xfId="1771"/>
    <cellStyle name="Heading2 7 2" xfId="1772"/>
    <cellStyle name="Hyperlink 2" xfId="1773"/>
    <cellStyle name="Input 2" xfId="1775"/>
    <cellStyle name="Input 3" xfId="1776"/>
    <cellStyle name="Input 4" xfId="1777"/>
    <cellStyle name="Input 5" xfId="1778"/>
    <cellStyle name="Input 6" xfId="1774"/>
    <cellStyle name="Linked Cell 2" xfId="1780"/>
    <cellStyle name="Linked Cell 3" xfId="1781"/>
    <cellStyle name="Linked Cell 4" xfId="1782"/>
    <cellStyle name="Linked Cell 5" xfId="1783"/>
    <cellStyle name="Linked Cell 6" xfId="1779"/>
    <cellStyle name="Neutral 2" xfId="1785"/>
    <cellStyle name="Neutral 3" xfId="1786"/>
    <cellStyle name="Neutral 4" xfId="1787"/>
    <cellStyle name="Neutral 5" xfId="1788"/>
    <cellStyle name="Neutral 6" xfId="1784"/>
    <cellStyle name="Normal" xfId="0" builtinId="0"/>
    <cellStyle name="Normal 10" xfId="1789"/>
    <cellStyle name="Normal 10 2" xfId="1790"/>
    <cellStyle name="Normal 10 2 2" xfId="1791"/>
    <cellStyle name="Normal 10 3" xfId="1792"/>
    <cellStyle name="Normal 10 3 2" xfId="1793"/>
    <cellStyle name="Normal 10 3 3" xfId="1794"/>
    <cellStyle name="Normal 11" xfId="1795"/>
    <cellStyle name="Normal 11 2" xfId="1796"/>
    <cellStyle name="Normal 11 2 2" xfId="1797"/>
    <cellStyle name="Normal 11 3" xfId="1798"/>
    <cellStyle name="Normal 11 4" xfId="1799"/>
    <cellStyle name="Normal 11 4 2" xfId="1800"/>
    <cellStyle name="Normal 11 5" xfId="1801"/>
    <cellStyle name="Normal 12" xfId="1802"/>
    <cellStyle name="Normal 12 2" xfId="1803"/>
    <cellStyle name="Normal 12 3" xfId="1804"/>
    <cellStyle name="Normal 13" xfId="1805"/>
    <cellStyle name="Normal 13 2" xfId="1806"/>
    <cellStyle name="Normal 13 2 2" xfId="1807"/>
    <cellStyle name="Normal 13 3" xfId="1808"/>
    <cellStyle name="Normal 13 4" xfId="1809"/>
    <cellStyle name="Normal 13 5" xfId="1810"/>
    <cellStyle name="Normal 13 6" xfId="1811"/>
    <cellStyle name="Normal 14" xfId="1812"/>
    <cellStyle name="Normal 14 2" xfId="1813"/>
    <cellStyle name="Normal 14 3" xfId="1814"/>
    <cellStyle name="Normal 14 4" xfId="1815"/>
    <cellStyle name="Normal 15" xfId="1816"/>
    <cellStyle name="Normal 15 2" xfId="1817"/>
    <cellStyle name="Normal 15 3" xfId="1818"/>
    <cellStyle name="Normal 15 4" xfId="1819"/>
    <cellStyle name="Normal 16" xfId="1820"/>
    <cellStyle name="Normal 16 2" xfId="1821"/>
    <cellStyle name="Normal 16 3" xfId="1822"/>
    <cellStyle name="Normal 17" xfId="1823"/>
    <cellStyle name="Normal 17 2" xfId="1824"/>
    <cellStyle name="Normal 18" xfId="1825"/>
    <cellStyle name="Normal 18 2" xfId="1826"/>
    <cellStyle name="Normal 19" xfId="1827"/>
    <cellStyle name="Normal 2" xfId="1828"/>
    <cellStyle name="Normal 2 10" xfId="1829"/>
    <cellStyle name="Normal 2 10 2" xfId="1830"/>
    <cellStyle name="Normal 2 10 3" xfId="1831"/>
    <cellStyle name="Normal 2 11" xfId="1832"/>
    <cellStyle name="Normal 2 12" xfId="1833"/>
    <cellStyle name="Normal 2 13" xfId="1834"/>
    <cellStyle name="Normal 2 14" xfId="1835"/>
    <cellStyle name="Normal 2 15" xfId="1836"/>
    <cellStyle name="Normal 2 16" xfId="1837"/>
    <cellStyle name="Normal 2 17" xfId="1838"/>
    <cellStyle name="Normal 2 18" xfId="1839"/>
    <cellStyle name="Normal 2 19" xfId="1840"/>
    <cellStyle name="Normal 2 2" xfId="1841"/>
    <cellStyle name="Normal 2 2 2" xfId="1842"/>
    <cellStyle name="Normal 2 2 2 2" xfId="1843"/>
    <cellStyle name="Normal 2 2 2 2 2" xfId="1844"/>
    <cellStyle name="Normal 2 2 2 2 2 2" xfId="1845"/>
    <cellStyle name="Normal 2 2 2 2 3" xfId="1846"/>
    <cellStyle name="Normal 2 2 3" xfId="1847"/>
    <cellStyle name="Normal 2 2 3 2" xfId="1848"/>
    <cellStyle name="Normal 2 2 3 2 2" xfId="1849"/>
    <cellStyle name="Normal 2 2 3 3" xfId="1850"/>
    <cellStyle name="Normal 2 2 4" xfId="1851"/>
    <cellStyle name="Normal 2 2 5" xfId="1852"/>
    <cellStyle name="Normal 2 2_AM 3 and Mitchell NBV forecast DRAFT 9-24" xfId="1853"/>
    <cellStyle name="Normal 2 20" xfId="1854"/>
    <cellStyle name="Normal 2 21" xfId="1855"/>
    <cellStyle name="Normal 2 22" xfId="1856"/>
    <cellStyle name="Normal 2 22 2" xfId="1857"/>
    <cellStyle name="Normal 2 23" xfId="1858"/>
    <cellStyle name="Normal 2 23 2" xfId="1859"/>
    <cellStyle name="Normal 2 24" xfId="1860"/>
    <cellStyle name="Normal 2 24 2" xfId="1861"/>
    <cellStyle name="Normal 2 25" xfId="1862"/>
    <cellStyle name="Normal 2 26" xfId="1863"/>
    <cellStyle name="Normal 2 27" xfId="1864"/>
    <cellStyle name="Normal 2 28" xfId="1865"/>
    <cellStyle name="Normal 2 29" xfId="1866"/>
    <cellStyle name="Normal 2 3" xfId="1867"/>
    <cellStyle name="Normal 2 3 2" xfId="1868"/>
    <cellStyle name="Normal 2 3 3" xfId="1869"/>
    <cellStyle name="Normal 2 3 3 2" xfId="1870"/>
    <cellStyle name="Normal 2 3 4" xfId="1871"/>
    <cellStyle name="Normal 2 30" xfId="1872"/>
    <cellStyle name="Normal 2 31" xfId="1873"/>
    <cellStyle name="Normal 2 32" xfId="1874"/>
    <cellStyle name="Normal 2 33" xfId="1875"/>
    <cellStyle name="Normal 2 34" xfId="1876"/>
    <cellStyle name="Normal 2 35" xfId="1877"/>
    <cellStyle name="Normal 2 36" xfId="1878"/>
    <cellStyle name="Normal 2 37" xfId="1879"/>
    <cellStyle name="Normal 2 38" xfId="1880"/>
    <cellStyle name="Normal 2 39" xfId="1881"/>
    <cellStyle name="Normal 2 4" xfId="1882"/>
    <cellStyle name="Normal 2 4 2" xfId="1883"/>
    <cellStyle name="Normal 2 4 3" xfId="1884"/>
    <cellStyle name="Normal 2 4 4" xfId="1885"/>
    <cellStyle name="Normal 2 5" xfId="1886"/>
    <cellStyle name="Normal 2 5 2" xfId="1887"/>
    <cellStyle name="Normal 2 5 3" xfId="1888"/>
    <cellStyle name="Normal 2 5 4" xfId="1889"/>
    <cellStyle name="Normal 2 6" xfId="1890"/>
    <cellStyle name="Normal 2 6 2" xfId="1891"/>
    <cellStyle name="Normal 2 6 2 2" xfId="1892"/>
    <cellStyle name="Normal 2 6 2 2 2" xfId="1893"/>
    <cellStyle name="Normal 2 6 2 3" xfId="1894"/>
    <cellStyle name="Normal 2 6 3" xfId="1895"/>
    <cellStyle name="Normal 2 6 4" xfId="1896"/>
    <cellStyle name="Normal 2 6 4 2" xfId="1897"/>
    <cellStyle name="Normal 2 6 5" xfId="1898"/>
    <cellStyle name="Normal 2 7" xfId="1899"/>
    <cellStyle name="Normal 2 8" xfId="1900"/>
    <cellStyle name="Normal 2 8 2" xfId="1901"/>
    <cellStyle name="Normal 2 8 3" xfId="1902"/>
    <cellStyle name="Normal 2 9" xfId="1903"/>
    <cellStyle name="Normal 2_3 Company Case Comparisons v12-8-11" xfId="1904"/>
    <cellStyle name="Normal 20" xfId="1905"/>
    <cellStyle name="Normal 21" xfId="1906"/>
    <cellStyle name="Normal 22" xfId="2"/>
    <cellStyle name="Normal 22 2" xfId="2836"/>
    <cellStyle name="Normal 24" xfId="2833"/>
    <cellStyle name="Normal 3" xfId="1907"/>
    <cellStyle name="Normal 3 2" xfId="1908"/>
    <cellStyle name="Normal 3 2 2" xfId="1909"/>
    <cellStyle name="Normal 3 2 2 2" xfId="1910"/>
    <cellStyle name="Normal 3 2 2 2 2" xfId="1911"/>
    <cellStyle name="Normal 3 2 3" xfId="1912"/>
    <cellStyle name="Normal 3 2 3 2" xfId="1913"/>
    <cellStyle name="Normal 3 3" xfId="1914"/>
    <cellStyle name="Normal 3 3 2" xfId="1915"/>
    <cellStyle name="Normal 3 3 2 2" xfId="1916"/>
    <cellStyle name="Normal 3 3 3" xfId="1917"/>
    <cellStyle name="Normal 3 4" xfId="1918"/>
    <cellStyle name="Normal 3 4 2" xfId="1919"/>
    <cellStyle name="Normal 3 4 2 2" xfId="1920"/>
    <cellStyle name="Normal 3 4 3" xfId="1921"/>
    <cellStyle name="Normal 3 4 3 2" xfId="1922"/>
    <cellStyle name="Normal 3 4 3 3" xfId="1923"/>
    <cellStyle name="Normal 3 4 4" xfId="1924"/>
    <cellStyle name="Normal 3 5" xfId="1925"/>
    <cellStyle name="Normal 3 5 2" xfId="1926"/>
    <cellStyle name="Normal 3 5 2 2" xfId="1927"/>
    <cellStyle name="Normal 3 5 3" xfId="1928"/>
    <cellStyle name="Normal 3 5 4" xfId="1929"/>
    <cellStyle name="Normal 3 6" xfId="1930"/>
    <cellStyle name="Normal 3 6 2" xfId="1931"/>
    <cellStyle name="Normal 3 6 3" xfId="1932"/>
    <cellStyle name="Normal 3 7" xfId="1933"/>
    <cellStyle name="Normal 3_Amos 3 Forecast" xfId="1934"/>
    <cellStyle name="Normal 4" xfId="1935"/>
    <cellStyle name="Normal 4 2" xfId="1936"/>
    <cellStyle name="Normal 4 2 2" xfId="1937"/>
    <cellStyle name="Normal 4 2 2 2" xfId="1938"/>
    <cellStyle name="Normal 4 3" xfId="1939"/>
    <cellStyle name="Normal 4 3 2" xfId="1940"/>
    <cellStyle name="Normal 4 3 2 2" xfId="1941"/>
    <cellStyle name="Normal 4 3 2 2 2" xfId="1942"/>
    <cellStyle name="Normal 4 3 3" xfId="1943"/>
    <cellStyle name="Normal 4 3 3 2" xfId="1944"/>
    <cellStyle name="Normal 4 3_AM 3 and Mitchell NBV forecast DRAFT 9-24" xfId="1945"/>
    <cellStyle name="Normal 4 4" xfId="1946"/>
    <cellStyle name="Normal 4 4 2" xfId="1947"/>
    <cellStyle name="Normal 4 4 2 2" xfId="1948"/>
    <cellStyle name="Normal 4 5" xfId="1949"/>
    <cellStyle name="Normal 4 5 2" xfId="1950"/>
    <cellStyle name="Normal 4 5 2 2" xfId="1951"/>
    <cellStyle name="Normal 4 6" xfId="1952"/>
    <cellStyle name="Normal 4 6 2" xfId="1953"/>
    <cellStyle name="Normal 4 7" xfId="1954"/>
    <cellStyle name="Normal 4_AM 3 and Mitchell NBV forecast DRAFT 9-24" xfId="1955"/>
    <cellStyle name="Normal 5" xfId="1956"/>
    <cellStyle name="Normal 5 2" xfId="1957"/>
    <cellStyle name="Normal 5 2 2" xfId="1958"/>
    <cellStyle name="Normal 5 2 2 2" xfId="1959"/>
    <cellStyle name="Normal 5 2 2 3" xfId="1960"/>
    <cellStyle name="Normal 5 2 2 4" xfId="1961"/>
    <cellStyle name="Normal 5 2 3" xfId="1962"/>
    <cellStyle name="Normal 5 2 4" xfId="1963"/>
    <cellStyle name="Normal 5 2 5" xfId="1964"/>
    <cellStyle name="Normal 5 2 6" xfId="1965"/>
    <cellStyle name="Normal 5 3" xfId="1966"/>
    <cellStyle name="Normal 5 3 2" xfId="1967"/>
    <cellStyle name="Normal 5 3 3" xfId="1968"/>
    <cellStyle name="Normal 5 4" xfId="1969"/>
    <cellStyle name="Normal 5 5" xfId="1970"/>
    <cellStyle name="Normal 5_Amos 3 Forecast" xfId="1971"/>
    <cellStyle name="Normal 6" xfId="1972"/>
    <cellStyle name="Normal 6 2" xfId="1973"/>
    <cellStyle name="Normal 6 2 2" xfId="1974"/>
    <cellStyle name="Normal 6 2 2 2" xfId="1975"/>
    <cellStyle name="Normal 6 3" xfId="1976"/>
    <cellStyle name="Normal 6 3 2" xfId="1977"/>
    <cellStyle name="Normal 6 3 2 2" xfId="1978"/>
    <cellStyle name="Normal 7" xfId="1979"/>
    <cellStyle name="Normal 7 2" xfId="1980"/>
    <cellStyle name="Normal 7 2 2" xfId="1981"/>
    <cellStyle name="Normal 7 2 2 2" xfId="1982"/>
    <cellStyle name="Normal 7 3" xfId="1983"/>
    <cellStyle name="Normal 7 3 2" xfId="1984"/>
    <cellStyle name="Normal 8" xfId="1985"/>
    <cellStyle name="Normal 8 2" xfId="1986"/>
    <cellStyle name="Normal 8 2 2" xfId="1987"/>
    <cellStyle name="Normal 8 2 2 2" xfId="1988"/>
    <cellStyle name="Normal 8 2 3" xfId="1989"/>
    <cellStyle name="Normal 8 3" xfId="1990"/>
    <cellStyle name="Normal 8 3 2" xfId="1991"/>
    <cellStyle name="Normal 8 3 3" xfId="1992"/>
    <cellStyle name="Normal 8 4" xfId="1993"/>
    <cellStyle name="Normal 8 4 2" xfId="1994"/>
    <cellStyle name="Normal 9" xfId="1995"/>
    <cellStyle name="Normal 9 2" xfId="1996"/>
    <cellStyle name="Normal 9 2 2" xfId="1997"/>
    <cellStyle name="Normal 9 2 3" xfId="1998"/>
    <cellStyle name="Note 10" xfId="2000"/>
    <cellStyle name="Note 11" xfId="2001"/>
    <cellStyle name="Note 12" xfId="2002"/>
    <cellStyle name="Note 13" xfId="2003"/>
    <cellStyle name="Note 14" xfId="2004"/>
    <cellStyle name="Note 15" xfId="2005"/>
    <cellStyle name="Note 16" xfId="2006"/>
    <cellStyle name="Note 17" xfId="2007"/>
    <cellStyle name="Note 18" xfId="2008"/>
    <cellStyle name="Note 19" xfId="2009"/>
    <cellStyle name="Note 2" xfId="2010"/>
    <cellStyle name="Note 2 2" xfId="2011"/>
    <cellStyle name="Note 2 3" xfId="2012"/>
    <cellStyle name="Note 2 4" xfId="2013"/>
    <cellStyle name="Note 2 4 10" xfId="2014"/>
    <cellStyle name="Note 2 4 11" xfId="2015"/>
    <cellStyle name="Note 2 4 12" xfId="2016"/>
    <cellStyle name="Note 2 4 13" xfId="2017"/>
    <cellStyle name="Note 2 4 14" xfId="2018"/>
    <cellStyle name="Note 2 4 15" xfId="2019"/>
    <cellStyle name="Note 2 4 16" xfId="2020"/>
    <cellStyle name="Note 2 4 17" xfId="2021"/>
    <cellStyle name="Note 2 4 18" xfId="2022"/>
    <cellStyle name="Note 2 4 19" xfId="2023"/>
    <cellStyle name="Note 2 4 2" xfId="2024"/>
    <cellStyle name="Note 2 4 2 2" xfId="2025"/>
    <cellStyle name="Note 2 4 20" xfId="2026"/>
    <cellStyle name="Note 2 4 3" xfId="2027"/>
    <cellStyle name="Note 2 4 3 10" xfId="2028"/>
    <cellStyle name="Note 2 4 3 11" xfId="2029"/>
    <cellStyle name="Note 2 4 3 12" xfId="2030"/>
    <cellStyle name="Note 2 4 3 2" xfId="2031"/>
    <cellStyle name="Note 2 4 3 3" xfId="2032"/>
    <cellStyle name="Note 2 4 3 4" xfId="2033"/>
    <cellStyle name="Note 2 4 3 5" xfId="2034"/>
    <cellStyle name="Note 2 4 3 6" xfId="2035"/>
    <cellStyle name="Note 2 4 3 7" xfId="2036"/>
    <cellStyle name="Note 2 4 3 8" xfId="2037"/>
    <cellStyle name="Note 2 4 3 9" xfId="2038"/>
    <cellStyle name="Note 2 4 4" xfId="2039"/>
    <cellStyle name="Note 2 4 4 2" xfId="2040"/>
    <cellStyle name="Note 2 4 5" xfId="2041"/>
    <cellStyle name="Note 2 4 6" xfId="2042"/>
    <cellStyle name="Note 2 4 7" xfId="2043"/>
    <cellStyle name="Note 2 4 8" xfId="2044"/>
    <cellStyle name="Note 2 4 9" xfId="2045"/>
    <cellStyle name="Note 20" xfId="2046"/>
    <cellStyle name="Note 21" xfId="2047"/>
    <cellStyle name="Note 22" xfId="2048"/>
    <cellStyle name="Note 23" xfId="2049"/>
    <cellStyle name="Note 24" xfId="2050"/>
    <cellStyle name="Note 25" xfId="1999"/>
    <cellStyle name="Note 3" xfId="2051"/>
    <cellStyle name="Note 4" xfId="2052"/>
    <cellStyle name="Note 4 10" xfId="2053"/>
    <cellStyle name="Note 4 11" xfId="2054"/>
    <cellStyle name="Note 4 12" xfId="2055"/>
    <cellStyle name="Note 4 13" xfId="2056"/>
    <cellStyle name="Note 4 14" xfId="2057"/>
    <cellStyle name="Note 4 15" xfId="2058"/>
    <cellStyle name="Note 4 16" xfId="2059"/>
    <cellStyle name="Note 4 17" xfId="2060"/>
    <cellStyle name="Note 4 18" xfId="2061"/>
    <cellStyle name="Note 4 19" xfId="2062"/>
    <cellStyle name="Note 4 2" xfId="2063"/>
    <cellStyle name="Note 4 2 2" xfId="2064"/>
    <cellStyle name="Note 4 20" xfId="2065"/>
    <cellStyle name="Note 4 3" xfId="2066"/>
    <cellStyle name="Note 4 3 10" xfId="2067"/>
    <cellStyle name="Note 4 3 11" xfId="2068"/>
    <cellStyle name="Note 4 3 12" xfId="2069"/>
    <cellStyle name="Note 4 3 2" xfId="2070"/>
    <cellStyle name="Note 4 3 3" xfId="2071"/>
    <cellStyle name="Note 4 3 4" xfId="2072"/>
    <cellStyle name="Note 4 3 5" xfId="2073"/>
    <cellStyle name="Note 4 3 6" xfId="2074"/>
    <cellStyle name="Note 4 3 7" xfId="2075"/>
    <cellStyle name="Note 4 3 8" xfId="2076"/>
    <cellStyle name="Note 4 3 9" xfId="2077"/>
    <cellStyle name="Note 4 4" xfId="2078"/>
    <cellStyle name="Note 4 4 2" xfId="2079"/>
    <cellStyle name="Note 4 5" xfId="2080"/>
    <cellStyle name="Note 4 6" xfId="2081"/>
    <cellStyle name="Note 4 7" xfId="2082"/>
    <cellStyle name="Note 4 8" xfId="2083"/>
    <cellStyle name="Note 4 9" xfId="2084"/>
    <cellStyle name="Note 5" xfId="2085"/>
    <cellStyle name="Note 5 10" xfId="2086"/>
    <cellStyle name="Note 5 11" xfId="2087"/>
    <cellStyle name="Note 5 12" xfId="2088"/>
    <cellStyle name="Note 5 2" xfId="2089"/>
    <cellStyle name="Note 5 3" xfId="2090"/>
    <cellStyle name="Note 5 4" xfId="2091"/>
    <cellStyle name="Note 5 5" xfId="2092"/>
    <cellStyle name="Note 5 6" xfId="2093"/>
    <cellStyle name="Note 5 7" xfId="2094"/>
    <cellStyle name="Note 5 8" xfId="2095"/>
    <cellStyle name="Note 5 9" xfId="2096"/>
    <cellStyle name="Note 6" xfId="2097"/>
    <cellStyle name="Note 6 2" xfId="2098"/>
    <cellStyle name="Note 6 3" xfId="2099"/>
    <cellStyle name="Note 6 4" xfId="2100"/>
    <cellStyle name="Note 6 5" xfId="2101"/>
    <cellStyle name="Note 6 6" xfId="2102"/>
    <cellStyle name="Note 6 7" xfId="2103"/>
    <cellStyle name="Note 7" xfId="2104"/>
    <cellStyle name="Note 8" xfId="2105"/>
    <cellStyle name="Note 9" xfId="2106"/>
    <cellStyle name="NotesFooter" xfId="2107"/>
    <cellStyle name="NotesFooter 2" xfId="2108"/>
    <cellStyle name="NotesHeader" xfId="2109"/>
    <cellStyle name="NotesHeader 2" xfId="2110"/>
    <cellStyle name="NotesHeader 2 2" xfId="2111"/>
    <cellStyle name="NotesHeader 3" xfId="2112"/>
    <cellStyle name="NotesHeader_AM 3 and Mitchell NBV forecast DRAFT 9-24" xfId="2113"/>
    <cellStyle name="ntec" xfId="2114"/>
    <cellStyle name="Output 2" xfId="2116"/>
    <cellStyle name="Output 3" xfId="2117"/>
    <cellStyle name="Output 4" xfId="2118"/>
    <cellStyle name="Output 5" xfId="2119"/>
    <cellStyle name="Output 6" xfId="2115"/>
    <cellStyle name="Percen - Style1" xfId="2120"/>
    <cellStyle name="Percen - Style1 2" xfId="2121"/>
    <cellStyle name="Percen - Style2" xfId="2122"/>
    <cellStyle name="Percent" xfId="2832" builtinId="5"/>
    <cellStyle name="Percent 10" xfId="2123"/>
    <cellStyle name="Percent 10 2" xfId="2124"/>
    <cellStyle name="Percent 10 3" xfId="2125"/>
    <cellStyle name="Percent 11" xfId="2126"/>
    <cellStyle name="Percent 11 10" xfId="2127"/>
    <cellStyle name="Percent 11 11" xfId="2128"/>
    <cellStyle name="Percent 11 12" xfId="2129"/>
    <cellStyle name="Percent 11 13" xfId="2130"/>
    <cellStyle name="Percent 11 14" xfId="2131"/>
    <cellStyle name="Percent 11 15" xfId="2132"/>
    <cellStyle name="Percent 11 16" xfId="2133"/>
    <cellStyle name="Percent 11 17" xfId="2134"/>
    <cellStyle name="Percent 11 18" xfId="2135"/>
    <cellStyle name="Percent 11 19" xfId="2136"/>
    <cellStyle name="Percent 11 2" xfId="2137"/>
    <cellStyle name="Percent 11 20" xfId="2138"/>
    <cellStyle name="Percent 11 21" xfId="2139"/>
    <cellStyle name="Percent 11 22" xfId="2140"/>
    <cellStyle name="Percent 11 23" xfId="2141"/>
    <cellStyle name="Percent 11 24" xfId="2142"/>
    <cellStyle name="Percent 11 25" xfId="2143"/>
    <cellStyle name="Percent 11 3" xfId="2144"/>
    <cellStyle name="Percent 11 3 10" xfId="2145"/>
    <cellStyle name="Percent 11 3 11" xfId="2146"/>
    <cellStyle name="Percent 11 3 12" xfId="2147"/>
    <cellStyle name="Percent 11 3 13" xfId="2148"/>
    <cellStyle name="Percent 11 3 14" xfId="2149"/>
    <cellStyle name="Percent 11 3 15" xfId="2150"/>
    <cellStyle name="Percent 11 3 16" xfId="2151"/>
    <cellStyle name="Percent 11 3 17" xfId="2152"/>
    <cellStyle name="Percent 11 3 18" xfId="2153"/>
    <cellStyle name="Percent 11 3 19" xfId="2154"/>
    <cellStyle name="Percent 11 3 2" xfId="2155"/>
    <cellStyle name="Percent 11 3 2 2" xfId="2156"/>
    <cellStyle name="Percent 11 3 20" xfId="2157"/>
    <cellStyle name="Percent 11 3 3" xfId="2158"/>
    <cellStyle name="Percent 11 3 3 10" xfId="2159"/>
    <cellStyle name="Percent 11 3 3 11" xfId="2160"/>
    <cellStyle name="Percent 11 3 3 12" xfId="2161"/>
    <cellStyle name="Percent 11 3 3 2" xfId="2162"/>
    <cellStyle name="Percent 11 3 3 3" xfId="2163"/>
    <cellStyle name="Percent 11 3 3 4" xfId="2164"/>
    <cellStyle name="Percent 11 3 3 5" xfId="2165"/>
    <cellStyle name="Percent 11 3 3 6" xfId="2166"/>
    <cellStyle name="Percent 11 3 3 7" xfId="2167"/>
    <cellStyle name="Percent 11 3 3 8" xfId="2168"/>
    <cellStyle name="Percent 11 3 3 9" xfId="2169"/>
    <cellStyle name="Percent 11 3 4" xfId="2170"/>
    <cellStyle name="Percent 11 3 4 2" xfId="2171"/>
    <cellStyle name="Percent 11 3 5" xfId="2172"/>
    <cellStyle name="Percent 11 3 6" xfId="2173"/>
    <cellStyle name="Percent 11 3 7" xfId="2174"/>
    <cellStyle name="Percent 11 3 8" xfId="2175"/>
    <cellStyle name="Percent 11 3 9" xfId="2176"/>
    <cellStyle name="Percent 11 4" xfId="2177"/>
    <cellStyle name="Percent 11 4 2" xfId="2178"/>
    <cellStyle name="Percent 11 5" xfId="2179"/>
    <cellStyle name="Percent 11 5 2" xfId="2180"/>
    <cellStyle name="Percent 11 6" xfId="2181"/>
    <cellStyle name="Percent 11 6 2" xfId="2182"/>
    <cellStyle name="Percent 11 7" xfId="2183"/>
    <cellStyle name="Percent 11 7 10" xfId="2184"/>
    <cellStyle name="Percent 11 7 11" xfId="2185"/>
    <cellStyle name="Percent 11 7 12" xfId="2186"/>
    <cellStyle name="Percent 11 7 2" xfId="2187"/>
    <cellStyle name="Percent 11 7 3" xfId="2188"/>
    <cellStyle name="Percent 11 7 4" xfId="2189"/>
    <cellStyle name="Percent 11 7 5" xfId="2190"/>
    <cellStyle name="Percent 11 7 6" xfId="2191"/>
    <cellStyle name="Percent 11 7 7" xfId="2192"/>
    <cellStyle name="Percent 11 7 8" xfId="2193"/>
    <cellStyle name="Percent 11 7 9" xfId="2194"/>
    <cellStyle name="Percent 11 8" xfId="2195"/>
    <cellStyle name="Percent 11 9" xfId="2196"/>
    <cellStyle name="Percent 12" xfId="2197"/>
    <cellStyle name="Percent 12 2" xfId="2198"/>
    <cellStyle name="Percent 12 2 2" xfId="2199"/>
    <cellStyle name="Percent 12 2 2 2" xfId="2200"/>
    <cellStyle name="Percent 12 2 3" xfId="2201"/>
    <cellStyle name="Percent 12 3" xfId="2202"/>
    <cellStyle name="Percent 12 3 2" xfId="2203"/>
    <cellStyle name="Percent 12 4" xfId="2204"/>
    <cellStyle name="Percent 13" xfId="2205"/>
    <cellStyle name="Percent 13 2" xfId="2206"/>
    <cellStyle name="Percent 13 2 2" xfId="2207"/>
    <cellStyle name="Percent 13 2 2 2" xfId="2208"/>
    <cellStyle name="Percent 13 2 3" xfId="2209"/>
    <cellStyle name="Percent 13 3" xfId="2210"/>
    <cellStyle name="Percent 13 4" xfId="2211"/>
    <cellStyle name="Percent 13 4 2" xfId="2212"/>
    <cellStyle name="Percent 13 5" xfId="2213"/>
    <cellStyle name="Percent 14" xfId="2214"/>
    <cellStyle name="Percent 14 2" xfId="2215"/>
    <cellStyle name="Percent 14 2 2" xfId="2216"/>
    <cellStyle name="Percent 14 3" xfId="2217"/>
    <cellStyle name="Percent 15" xfId="2218"/>
    <cellStyle name="Percent 15 2" xfId="2219"/>
    <cellStyle name="Percent 15 2 2" xfId="2220"/>
    <cellStyle name="Percent 15 3" xfId="2221"/>
    <cellStyle name="Percent 16" xfId="2222"/>
    <cellStyle name="Percent 16 10" xfId="2223"/>
    <cellStyle name="Percent 16 11" xfId="2224"/>
    <cellStyle name="Percent 16 12" xfId="2225"/>
    <cellStyle name="Percent 16 13" xfId="2226"/>
    <cellStyle name="Percent 16 14" xfId="2227"/>
    <cellStyle name="Percent 16 15" xfId="2228"/>
    <cellStyle name="Percent 16 16" xfId="2229"/>
    <cellStyle name="Percent 16 17" xfId="2230"/>
    <cellStyle name="Percent 16 18" xfId="2231"/>
    <cellStyle name="Percent 16 19" xfId="2232"/>
    <cellStyle name="Percent 16 2" xfId="2233"/>
    <cellStyle name="Percent 16 2 2" xfId="2234"/>
    <cellStyle name="Percent 16 20" xfId="2235"/>
    <cellStyle name="Percent 16 3" xfId="2236"/>
    <cellStyle name="Percent 16 3 10" xfId="2237"/>
    <cellStyle name="Percent 16 3 11" xfId="2238"/>
    <cellStyle name="Percent 16 3 12" xfId="2239"/>
    <cellStyle name="Percent 16 3 2" xfId="2240"/>
    <cellStyle name="Percent 16 3 3" xfId="2241"/>
    <cellStyle name="Percent 16 3 4" xfId="2242"/>
    <cellStyle name="Percent 16 3 5" xfId="2243"/>
    <cellStyle name="Percent 16 3 6" xfId="2244"/>
    <cellStyle name="Percent 16 3 7" xfId="2245"/>
    <cellStyle name="Percent 16 3 8" xfId="2246"/>
    <cellStyle name="Percent 16 3 9" xfId="2247"/>
    <cellStyle name="Percent 16 4" xfId="2248"/>
    <cellStyle name="Percent 16 4 2" xfId="2249"/>
    <cellStyle name="Percent 16 5" xfId="2250"/>
    <cellStyle name="Percent 16 6" xfId="2251"/>
    <cellStyle name="Percent 16 7" xfId="2252"/>
    <cellStyle name="Percent 16 8" xfId="2253"/>
    <cellStyle name="Percent 16 9" xfId="2254"/>
    <cellStyle name="Percent 17" xfId="2255"/>
    <cellStyle name="Percent 17 10" xfId="2256"/>
    <cellStyle name="Percent 17 11" xfId="2257"/>
    <cellStyle name="Percent 17 12" xfId="2258"/>
    <cellStyle name="Percent 17 2" xfId="2259"/>
    <cellStyle name="Percent 17 3" xfId="2260"/>
    <cellStyle name="Percent 17 4" xfId="2261"/>
    <cellStyle name="Percent 17 5" xfId="2262"/>
    <cellStyle name="Percent 17 6" xfId="2263"/>
    <cellStyle name="Percent 17 7" xfId="2264"/>
    <cellStyle name="Percent 17 8" xfId="2265"/>
    <cellStyle name="Percent 17 9" xfId="2266"/>
    <cellStyle name="Percent 18" xfId="2267"/>
    <cellStyle name="Percent 18 2" xfId="2268"/>
    <cellStyle name="Percent 18 3" xfId="2269"/>
    <cellStyle name="Percent 18 4" xfId="2270"/>
    <cellStyle name="Percent 18 5" xfId="2271"/>
    <cellStyle name="Percent 18 6" xfId="2272"/>
    <cellStyle name="Percent 18 7" xfId="2273"/>
    <cellStyle name="Percent 19" xfId="2274"/>
    <cellStyle name="Percent 2" xfId="2275"/>
    <cellStyle name="Percent 2 2" xfId="2276"/>
    <cellStyle name="Percent 2 2 2" xfId="2277"/>
    <cellStyle name="Percent 2 2 2 2" xfId="2278"/>
    <cellStyle name="Percent 2 2 3" xfId="2279"/>
    <cellStyle name="Percent 2 3" xfId="2280"/>
    <cellStyle name="Percent 2 3 2" xfId="2281"/>
    <cellStyle name="Percent 2 3 2 2" xfId="2282"/>
    <cellStyle name="Percent 2 3 3" xfId="2283"/>
    <cellStyle name="Percent 2 4" xfId="2284"/>
    <cellStyle name="Percent 2 4 2" xfId="2285"/>
    <cellStyle name="Percent 2 4 2 2" xfId="2286"/>
    <cellStyle name="Percent 2 4 3" xfId="2287"/>
    <cellStyle name="Percent 2 5" xfId="2288"/>
    <cellStyle name="Percent 2 5 2" xfId="2289"/>
    <cellStyle name="Percent 2 5 2 10" xfId="2290"/>
    <cellStyle name="Percent 2 5 2 11" xfId="2291"/>
    <cellStyle name="Percent 2 5 2 12" xfId="2292"/>
    <cellStyle name="Percent 2 5 2 13" xfId="2293"/>
    <cellStyle name="Percent 2 5 2 14" xfId="2294"/>
    <cellStyle name="Percent 2 5 2 15" xfId="2295"/>
    <cellStyle name="Percent 2 5 2 16" xfId="2296"/>
    <cellStyle name="Percent 2 5 2 17" xfId="2297"/>
    <cellStyle name="Percent 2 5 2 18" xfId="2298"/>
    <cellStyle name="Percent 2 5 2 19" xfId="2299"/>
    <cellStyle name="Percent 2 5 2 2" xfId="2300"/>
    <cellStyle name="Percent 2 5 2 2 10" xfId="2301"/>
    <cellStyle name="Percent 2 5 2 2 11" xfId="2302"/>
    <cellStyle name="Percent 2 5 2 2 12" xfId="2303"/>
    <cellStyle name="Percent 2 5 2 2 13" xfId="2304"/>
    <cellStyle name="Percent 2 5 2 2 14" xfId="2305"/>
    <cellStyle name="Percent 2 5 2 2 15" xfId="2306"/>
    <cellStyle name="Percent 2 5 2 2 16" xfId="2307"/>
    <cellStyle name="Percent 2 5 2 2 17" xfId="2308"/>
    <cellStyle name="Percent 2 5 2 2 18" xfId="2309"/>
    <cellStyle name="Percent 2 5 2 2 19" xfId="2310"/>
    <cellStyle name="Percent 2 5 2 2 2" xfId="2311"/>
    <cellStyle name="Percent 2 5 2 2 2 2" xfId="2312"/>
    <cellStyle name="Percent 2 5 2 2 20" xfId="2313"/>
    <cellStyle name="Percent 2 5 2 2 3" xfId="2314"/>
    <cellStyle name="Percent 2 5 2 2 3 10" xfId="2315"/>
    <cellStyle name="Percent 2 5 2 2 3 11" xfId="2316"/>
    <cellStyle name="Percent 2 5 2 2 3 12" xfId="2317"/>
    <cellStyle name="Percent 2 5 2 2 3 2" xfId="2318"/>
    <cellStyle name="Percent 2 5 2 2 3 3" xfId="2319"/>
    <cellStyle name="Percent 2 5 2 2 3 4" xfId="2320"/>
    <cellStyle name="Percent 2 5 2 2 3 5" xfId="2321"/>
    <cellStyle name="Percent 2 5 2 2 3 6" xfId="2322"/>
    <cellStyle name="Percent 2 5 2 2 3 7" xfId="2323"/>
    <cellStyle name="Percent 2 5 2 2 3 8" xfId="2324"/>
    <cellStyle name="Percent 2 5 2 2 3 9" xfId="2325"/>
    <cellStyle name="Percent 2 5 2 2 4" xfId="2326"/>
    <cellStyle name="Percent 2 5 2 2 4 2" xfId="2327"/>
    <cellStyle name="Percent 2 5 2 2 5" xfId="2328"/>
    <cellStyle name="Percent 2 5 2 2 6" xfId="2329"/>
    <cellStyle name="Percent 2 5 2 2 7" xfId="2330"/>
    <cellStyle name="Percent 2 5 2 2 8" xfId="2331"/>
    <cellStyle name="Percent 2 5 2 2 9" xfId="2332"/>
    <cellStyle name="Percent 2 5 2 20" xfId="2333"/>
    <cellStyle name="Percent 2 5 2 21" xfId="2334"/>
    <cellStyle name="Percent 2 5 2 22" xfId="2335"/>
    <cellStyle name="Percent 2 5 2 23" xfId="2336"/>
    <cellStyle name="Percent 2 5 2 24" xfId="2337"/>
    <cellStyle name="Percent 2 5 2 25" xfId="2338"/>
    <cellStyle name="Percent 2 5 2 3" xfId="2339"/>
    <cellStyle name="Percent 2 5 2 4" xfId="2340"/>
    <cellStyle name="Percent 2 5 2 5" xfId="2341"/>
    <cellStyle name="Percent 2 5 2 6" xfId="2342"/>
    <cellStyle name="Percent 2 5 2 7" xfId="2343"/>
    <cellStyle name="Percent 2 5 2 7 10" xfId="2344"/>
    <cellStyle name="Percent 2 5 2 7 11" xfId="2345"/>
    <cellStyle name="Percent 2 5 2 7 12" xfId="2346"/>
    <cellStyle name="Percent 2 5 2 7 2" xfId="2347"/>
    <cellStyle name="Percent 2 5 2 7 3" xfId="2348"/>
    <cellStyle name="Percent 2 5 2 7 4" xfId="2349"/>
    <cellStyle name="Percent 2 5 2 7 5" xfId="2350"/>
    <cellStyle name="Percent 2 5 2 7 6" xfId="2351"/>
    <cellStyle name="Percent 2 5 2 7 7" xfId="2352"/>
    <cellStyle name="Percent 2 5 2 7 8" xfId="2353"/>
    <cellStyle name="Percent 2 5 2 7 9" xfId="2354"/>
    <cellStyle name="Percent 2 5 2 8" xfId="2355"/>
    <cellStyle name="Percent 2 5 2 9" xfId="2356"/>
    <cellStyle name="Percent 2 6" xfId="2357"/>
    <cellStyle name="Percent 2 7" xfId="2358"/>
    <cellStyle name="Percent 2 7 10" xfId="2359"/>
    <cellStyle name="Percent 2 7 11" xfId="2360"/>
    <cellStyle name="Percent 2 7 12" xfId="2361"/>
    <cellStyle name="Percent 2 7 13" xfId="2362"/>
    <cellStyle name="Percent 2 7 14" xfId="2363"/>
    <cellStyle name="Percent 2 7 15" xfId="2364"/>
    <cellStyle name="Percent 2 7 16" xfId="2365"/>
    <cellStyle name="Percent 2 7 17" xfId="2366"/>
    <cellStyle name="Percent 2 7 18" xfId="2367"/>
    <cellStyle name="Percent 2 7 19" xfId="2368"/>
    <cellStyle name="Percent 2 7 2" xfId="2369"/>
    <cellStyle name="Percent 2 7 2 2" xfId="2370"/>
    <cellStyle name="Percent 2 7 20" xfId="2371"/>
    <cellStyle name="Percent 2 7 3" xfId="2372"/>
    <cellStyle name="Percent 2 7 3 10" xfId="2373"/>
    <cellStyle name="Percent 2 7 3 11" xfId="2374"/>
    <cellStyle name="Percent 2 7 3 12" xfId="2375"/>
    <cellStyle name="Percent 2 7 3 2" xfId="2376"/>
    <cellStyle name="Percent 2 7 3 3" xfId="2377"/>
    <cellStyle name="Percent 2 7 3 4" xfId="2378"/>
    <cellStyle name="Percent 2 7 3 5" xfId="2379"/>
    <cellStyle name="Percent 2 7 3 6" xfId="2380"/>
    <cellStyle name="Percent 2 7 3 7" xfId="2381"/>
    <cellStyle name="Percent 2 7 3 8" xfId="2382"/>
    <cellStyle name="Percent 2 7 3 9" xfId="2383"/>
    <cellStyle name="Percent 2 7 4" xfId="2384"/>
    <cellStyle name="Percent 2 7 4 2" xfId="2385"/>
    <cellStyle name="Percent 2 7 5" xfId="2386"/>
    <cellStyle name="Percent 2 7 6" xfId="2387"/>
    <cellStyle name="Percent 2 7 7" xfId="2388"/>
    <cellStyle name="Percent 2 7 8" xfId="2389"/>
    <cellStyle name="Percent 2 7 9" xfId="2390"/>
    <cellStyle name="Percent 20" xfId="2391"/>
    <cellStyle name="Percent 21" xfId="2392"/>
    <cellStyle name="Percent 22" xfId="2393"/>
    <cellStyle name="Percent 23" xfId="2394"/>
    <cellStyle name="Percent 24" xfId="2395"/>
    <cellStyle name="Percent 25" xfId="2396"/>
    <cellStyle name="Percent 26" xfId="2397"/>
    <cellStyle name="Percent 27" xfId="2398"/>
    <cellStyle name="Percent 28" xfId="2399"/>
    <cellStyle name="Percent 29" xfId="2400"/>
    <cellStyle name="Percent 3" xfId="2401"/>
    <cellStyle name="Percent 3 2" xfId="2402"/>
    <cellStyle name="Percent 3 2 2" xfId="2403"/>
    <cellStyle name="Percent 3 2 2 2" xfId="2404"/>
    <cellStyle name="Percent 3 2 2 2 2" xfId="2405"/>
    <cellStyle name="Percent 3 2 2 3" xfId="2406"/>
    <cellStyle name="Percent 3 2 3" xfId="2407"/>
    <cellStyle name="Percent 3 2 3 2" xfId="2408"/>
    <cellStyle name="Percent 3 2 3 2 2" xfId="2409"/>
    <cellStyle name="Percent 3 2 4" xfId="2410"/>
    <cellStyle name="Percent 3 3" xfId="2411"/>
    <cellStyle name="Percent 3 3 2" xfId="2412"/>
    <cellStyle name="Percent 3 3 2 2" xfId="2413"/>
    <cellStyle name="Percent 3 3 3" xfId="2414"/>
    <cellStyle name="Percent 3 4" xfId="2415"/>
    <cellStyle name="Percent 3 4 2" xfId="2416"/>
    <cellStyle name="Percent 3 4 2 2" xfId="2417"/>
    <cellStyle name="Percent 3 4 3" xfId="2418"/>
    <cellStyle name="Percent 3 5" xfId="2419"/>
    <cellStyle name="Percent 3 5 2" xfId="2420"/>
    <cellStyle name="Percent 3 5 2 2" xfId="2421"/>
    <cellStyle name="Percent 3 6" xfId="2422"/>
    <cellStyle name="Percent 3 6 10" xfId="2423"/>
    <cellStyle name="Percent 3 6 11" xfId="2424"/>
    <cellStyle name="Percent 3 6 12" xfId="2425"/>
    <cellStyle name="Percent 3 6 13" xfId="2426"/>
    <cellStyle name="Percent 3 6 14" xfId="2427"/>
    <cellStyle name="Percent 3 6 15" xfId="2428"/>
    <cellStyle name="Percent 3 6 16" xfId="2429"/>
    <cellStyle name="Percent 3 6 17" xfId="2430"/>
    <cellStyle name="Percent 3 6 18" xfId="2431"/>
    <cellStyle name="Percent 3 6 19" xfId="2432"/>
    <cellStyle name="Percent 3 6 2" xfId="2433"/>
    <cellStyle name="Percent 3 6 2 10" xfId="2434"/>
    <cellStyle name="Percent 3 6 2 11" xfId="2435"/>
    <cellStyle name="Percent 3 6 2 12" xfId="2436"/>
    <cellStyle name="Percent 3 6 2 13" xfId="2437"/>
    <cellStyle name="Percent 3 6 2 14" xfId="2438"/>
    <cellStyle name="Percent 3 6 2 15" xfId="2439"/>
    <cellStyle name="Percent 3 6 2 16" xfId="2440"/>
    <cellStyle name="Percent 3 6 2 17" xfId="2441"/>
    <cellStyle name="Percent 3 6 2 18" xfId="2442"/>
    <cellStyle name="Percent 3 6 2 19" xfId="2443"/>
    <cellStyle name="Percent 3 6 2 2" xfId="2444"/>
    <cellStyle name="Percent 3 6 2 2 2" xfId="2445"/>
    <cellStyle name="Percent 3 6 2 20" xfId="2446"/>
    <cellStyle name="Percent 3 6 2 3" xfId="2447"/>
    <cellStyle name="Percent 3 6 2 3 10" xfId="2448"/>
    <cellStyle name="Percent 3 6 2 3 11" xfId="2449"/>
    <cellStyle name="Percent 3 6 2 3 12" xfId="2450"/>
    <cellStyle name="Percent 3 6 2 3 2" xfId="2451"/>
    <cellStyle name="Percent 3 6 2 3 3" xfId="2452"/>
    <cellStyle name="Percent 3 6 2 3 4" xfId="2453"/>
    <cellStyle name="Percent 3 6 2 3 5" xfId="2454"/>
    <cellStyle name="Percent 3 6 2 3 6" xfId="2455"/>
    <cellStyle name="Percent 3 6 2 3 7" xfId="2456"/>
    <cellStyle name="Percent 3 6 2 3 8" xfId="2457"/>
    <cellStyle name="Percent 3 6 2 3 9" xfId="2458"/>
    <cellStyle name="Percent 3 6 2 4" xfId="2459"/>
    <cellStyle name="Percent 3 6 2 4 2" xfId="2460"/>
    <cellStyle name="Percent 3 6 2 5" xfId="2461"/>
    <cellStyle name="Percent 3 6 2 6" xfId="2462"/>
    <cellStyle name="Percent 3 6 2 7" xfId="2463"/>
    <cellStyle name="Percent 3 6 2 8" xfId="2464"/>
    <cellStyle name="Percent 3 6 2 9" xfId="2465"/>
    <cellStyle name="Percent 3 6 20" xfId="2466"/>
    <cellStyle name="Percent 3 6 21" xfId="2467"/>
    <cellStyle name="Percent 3 6 22" xfId="2468"/>
    <cellStyle name="Percent 3 6 23" xfId="2469"/>
    <cellStyle name="Percent 3 6 24" xfId="2470"/>
    <cellStyle name="Percent 3 6 25" xfId="2471"/>
    <cellStyle name="Percent 3 6 3" xfId="2472"/>
    <cellStyle name="Percent 3 6 3 2" xfId="2473"/>
    <cellStyle name="Percent 3 6 4" xfId="2474"/>
    <cellStyle name="Percent 3 6 5" xfId="2475"/>
    <cellStyle name="Percent 3 6 5 2" xfId="2476"/>
    <cellStyle name="Percent 3 6 6" xfId="2477"/>
    <cellStyle name="Percent 3 6 6 2" xfId="2478"/>
    <cellStyle name="Percent 3 6 7" xfId="2479"/>
    <cellStyle name="Percent 3 6 7 10" xfId="2480"/>
    <cellStyle name="Percent 3 6 7 11" xfId="2481"/>
    <cellStyle name="Percent 3 6 7 12" xfId="2482"/>
    <cellStyle name="Percent 3 6 7 2" xfId="2483"/>
    <cellStyle name="Percent 3 6 7 3" xfId="2484"/>
    <cellStyle name="Percent 3 6 7 4" xfId="2485"/>
    <cellStyle name="Percent 3 6 7 5" xfId="2486"/>
    <cellStyle name="Percent 3 6 7 6" xfId="2487"/>
    <cellStyle name="Percent 3 6 7 7" xfId="2488"/>
    <cellStyle name="Percent 3 6 7 8" xfId="2489"/>
    <cellStyle name="Percent 3 6 7 9" xfId="2490"/>
    <cellStyle name="Percent 3 6 8" xfId="2491"/>
    <cellStyle name="Percent 3 6 9" xfId="2492"/>
    <cellStyle name="Percent 3_Amos 3 Forecast" xfId="2493"/>
    <cellStyle name="Percent 30" xfId="2494"/>
    <cellStyle name="Percent 31" xfId="2495"/>
    <cellStyle name="Percent 32" xfId="2496"/>
    <cellStyle name="Percent 33" xfId="2497"/>
    <cellStyle name="Percent 34" xfId="2498"/>
    <cellStyle name="Percent 35" xfId="2499"/>
    <cellStyle name="Percent 36" xfId="2808"/>
    <cellStyle name="Percent 36 2" xfId="2838"/>
    <cellStyle name="Percent 37" xfId="2812"/>
    <cellStyle name="Percent 38" xfId="2813"/>
    <cellStyle name="Percent 39" xfId="2814"/>
    <cellStyle name="Percent 4" xfId="2500"/>
    <cellStyle name="Percent 4 2" xfId="2501"/>
    <cellStyle name="Percent 4 2 2" xfId="2502"/>
    <cellStyle name="Percent 4 3" xfId="2503"/>
    <cellStyle name="Percent 4 4" xfId="2504"/>
    <cellStyle name="Percent 4 4 10" xfId="2505"/>
    <cellStyle name="Percent 4 4 11" xfId="2506"/>
    <cellStyle name="Percent 4 4 12" xfId="2507"/>
    <cellStyle name="Percent 4 4 13" xfId="2508"/>
    <cellStyle name="Percent 4 4 14" xfId="2509"/>
    <cellStyle name="Percent 4 4 15" xfId="2510"/>
    <cellStyle name="Percent 4 4 16" xfId="2511"/>
    <cellStyle name="Percent 4 4 17" xfId="2512"/>
    <cellStyle name="Percent 4 4 18" xfId="2513"/>
    <cellStyle name="Percent 4 4 19" xfId="2514"/>
    <cellStyle name="Percent 4 4 2" xfId="2515"/>
    <cellStyle name="Percent 4 4 2 10" xfId="2516"/>
    <cellStyle name="Percent 4 4 2 11" xfId="2517"/>
    <cellStyle name="Percent 4 4 2 12" xfId="2518"/>
    <cellStyle name="Percent 4 4 2 13" xfId="2519"/>
    <cellStyle name="Percent 4 4 2 14" xfId="2520"/>
    <cellStyle name="Percent 4 4 2 15" xfId="2521"/>
    <cellStyle name="Percent 4 4 2 16" xfId="2522"/>
    <cellStyle name="Percent 4 4 2 17" xfId="2523"/>
    <cellStyle name="Percent 4 4 2 18" xfId="2524"/>
    <cellStyle name="Percent 4 4 2 19" xfId="2525"/>
    <cellStyle name="Percent 4 4 2 2" xfId="2526"/>
    <cellStyle name="Percent 4 4 2 2 2" xfId="2527"/>
    <cellStyle name="Percent 4 4 2 20" xfId="2528"/>
    <cellStyle name="Percent 4 4 2 3" xfId="2529"/>
    <cellStyle name="Percent 4 4 2 3 10" xfId="2530"/>
    <cellStyle name="Percent 4 4 2 3 11" xfId="2531"/>
    <cellStyle name="Percent 4 4 2 3 12" xfId="2532"/>
    <cellStyle name="Percent 4 4 2 3 2" xfId="2533"/>
    <cellStyle name="Percent 4 4 2 3 3" xfId="2534"/>
    <cellStyle name="Percent 4 4 2 3 4" xfId="2535"/>
    <cellStyle name="Percent 4 4 2 3 5" xfId="2536"/>
    <cellStyle name="Percent 4 4 2 3 6" xfId="2537"/>
    <cellStyle name="Percent 4 4 2 3 7" xfId="2538"/>
    <cellStyle name="Percent 4 4 2 3 8" xfId="2539"/>
    <cellStyle name="Percent 4 4 2 3 9" xfId="2540"/>
    <cellStyle name="Percent 4 4 2 4" xfId="2541"/>
    <cellStyle name="Percent 4 4 2 4 2" xfId="2542"/>
    <cellStyle name="Percent 4 4 2 5" xfId="2543"/>
    <cellStyle name="Percent 4 4 2 6" xfId="2544"/>
    <cellStyle name="Percent 4 4 2 7" xfId="2545"/>
    <cellStyle name="Percent 4 4 2 8" xfId="2546"/>
    <cellStyle name="Percent 4 4 2 9" xfId="2547"/>
    <cellStyle name="Percent 4 4 20" xfId="2548"/>
    <cellStyle name="Percent 4 4 21" xfId="2549"/>
    <cellStyle name="Percent 4 4 22" xfId="2550"/>
    <cellStyle name="Percent 4 4 23" xfId="2551"/>
    <cellStyle name="Percent 4 4 24" xfId="2552"/>
    <cellStyle name="Percent 4 4 3" xfId="2553"/>
    <cellStyle name="Percent 4 4 4" xfId="2554"/>
    <cellStyle name="Percent 4 4 5" xfId="2555"/>
    <cellStyle name="Percent 4 4 6" xfId="2556"/>
    <cellStyle name="Percent 4 4 6 10" xfId="2557"/>
    <cellStyle name="Percent 4 4 6 11" xfId="2558"/>
    <cellStyle name="Percent 4 4 6 12" xfId="2559"/>
    <cellStyle name="Percent 4 4 6 2" xfId="2560"/>
    <cellStyle name="Percent 4 4 6 3" xfId="2561"/>
    <cellStyle name="Percent 4 4 6 4" xfId="2562"/>
    <cellStyle name="Percent 4 4 6 5" xfId="2563"/>
    <cellStyle name="Percent 4 4 6 6" xfId="2564"/>
    <cellStyle name="Percent 4 4 6 7" xfId="2565"/>
    <cellStyle name="Percent 4 4 6 8" xfId="2566"/>
    <cellStyle name="Percent 4 4 6 9" xfId="2567"/>
    <cellStyle name="Percent 4 4 7" xfId="2568"/>
    <cellStyle name="Percent 4 4 8" xfId="2569"/>
    <cellStyle name="Percent 4 4 9" xfId="2570"/>
    <cellStyle name="Percent 40" xfId="2819"/>
    <cellStyle name="Percent 41" xfId="2820"/>
    <cellStyle name="Percent 42" xfId="2821"/>
    <cellStyle name="Percent 43" xfId="2822"/>
    <cellStyle name="Percent 44" xfId="2827"/>
    <cellStyle name="Percent 45" xfId="2828"/>
    <cellStyle name="Percent 46" xfId="2829"/>
    <cellStyle name="Percent 47" xfId="2830"/>
    <cellStyle name="Percent 49" xfId="2835"/>
    <cellStyle name="Percent 5" xfId="2571"/>
    <cellStyle name="Percent 5 2" xfId="2572"/>
    <cellStyle name="Percent 5 2 2" xfId="2573"/>
    <cellStyle name="Percent 5 2 2 2" xfId="2574"/>
    <cellStyle name="Percent 5 2 3" xfId="2575"/>
    <cellStyle name="Percent 5 3" xfId="2576"/>
    <cellStyle name="Percent 5 3 2" xfId="2577"/>
    <cellStyle name="Percent 5 4" xfId="2578"/>
    <cellStyle name="Percent 6" xfId="2579"/>
    <cellStyle name="Percent 6 2" xfId="2580"/>
    <cellStyle name="Percent 6 2 2" xfId="2581"/>
    <cellStyle name="Percent 6 3" xfId="2582"/>
    <cellStyle name="Percent 7" xfId="2583"/>
    <cellStyle name="Percent 7 2" xfId="2584"/>
    <cellStyle name="Percent 7 2 2" xfId="2585"/>
    <cellStyle name="Percent 7 2 3" xfId="2586"/>
    <cellStyle name="Percent 7 2 3 2" xfId="2587"/>
    <cellStyle name="Percent 7 2 4" xfId="2588"/>
    <cellStyle name="Percent 7 3" xfId="2589"/>
    <cellStyle name="Percent 8" xfId="2590"/>
    <cellStyle name="Percent 8 2" xfId="2591"/>
    <cellStyle name="Percent 8 2 2" xfId="2592"/>
    <cellStyle name="Percent 8 2 3" xfId="2593"/>
    <cellStyle name="Percent 8 3" xfId="2594"/>
    <cellStyle name="Percent 9" xfId="2595"/>
    <cellStyle name="Percent 9 2" xfId="2596"/>
    <cellStyle name="Percent 9 3" xfId="2597"/>
    <cellStyle name="Percent2Decimals" xfId="2598"/>
    <cellStyle name="Percentage" xfId="2599"/>
    <cellStyle name="PSChar" xfId="2600"/>
    <cellStyle name="PSChar 2" xfId="2601"/>
    <cellStyle name="PSChar 2 2" xfId="2602"/>
    <cellStyle name="PSChar 3" xfId="2603"/>
    <cellStyle name="PSChar 3 2" xfId="2604"/>
    <cellStyle name="PSChar 4" xfId="2605"/>
    <cellStyle name="PSChar 4 2" xfId="2606"/>
    <cellStyle name="PSChar 5" xfId="2607"/>
    <cellStyle name="PSChar 5 2" xfId="2608"/>
    <cellStyle name="PSChar 6" xfId="2609"/>
    <cellStyle name="PSDate" xfId="2610"/>
    <cellStyle name="PSDate 2" xfId="2611"/>
    <cellStyle name="PSDate 2 2" xfId="2612"/>
    <cellStyle name="PSDate 2 2 2" xfId="2613"/>
    <cellStyle name="PSDate 2 2 2 2" xfId="2614"/>
    <cellStyle name="PSDate 2 3" xfId="2615"/>
    <cellStyle name="PSDate 2 3 2" xfId="2616"/>
    <cellStyle name="PSDate 3" xfId="2617"/>
    <cellStyle name="PSDate 3 2" xfId="2618"/>
    <cellStyle name="PSDate 3 2 2" xfId="2619"/>
    <cellStyle name="PSDate 3 2 2 2" xfId="2620"/>
    <cellStyle name="PSDate 3 3" xfId="2621"/>
    <cellStyle name="PSDate 3 3 2" xfId="2622"/>
    <cellStyle name="PSDate 4" xfId="2623"/>
    <cellStyle name="PSDate 4 2" xfId="2624"/>
    <cellStyle name="PSDate 4 2 2" xfId="2625"/>
    <cellStyle name="PSDate 4 2 2 2" xfId="2626"/>
    <cellStyle name="PSDate 4 3" xfId="2627"/>
    <cellStyle name="PSDate 4 3 2" xfId="2628"/>
    <cellStyle name="PSDate 5" xfId="2629"/>
    <cellStyle name="PSDate 5 2" xfId="2630"/>
    <cellStyle name="PSDate 5 2 2" xfId="2631"/>
    <cellStyle name="PSDate 5 2 2 2" xfId="2632"/>
    <cellStyle name="PSDate 5 3" xfId="2633"/>
    <cellStyle name="PSDate 5 3 2" xfId="2634"/>
    <cellStyle name="PSDate 6" xfId="2635"/>
    <cellStyle name="PSDate 6 2" xfId="2636"/>
    <cellStyle name="PSDate 6 2 2" xfId="2637"/>
    <cellStyle name="PSDate 7" xfId="2638"/>
    <cellStyle name="PSDate 7 2" xfId="2639"/>
    <cellStyle name="PSDec" xfId="2640"/>
    <cellStyle name="PSDec 2" xfId="2641"/>
    <cellStyle name="PSDec 2 2" xfId="2642"/>
    <cellStyle name="PSDec 3" xfId="2643"/>
    <cellStyle name="PSDec 3 2" xfId="2644"/>
    <cellStyle name="PSDec 4" xfId="2645"/>
    <cellStyle name="PSDec 4 2" xfId="2646"/>
    <cellStyle name="PSDec 5" xfId="2647"/>
    <cellStyle name="PSDec 5 2" xfId="2648"/>
    <cellStyle name="PSDec 6" xfId="2649"/>
    <cellStyle name="PSHeading" xfId="2650"/>
    <cellStyle name="PSHeading 2" xfId="2651"/>
    <cellStyle name="PSHeading 2 2" xfId="2652"/>
    <cellStyle name="PSHeading 2_Amos 3 Forecast" xfId="2653"/>
    <cellStyle name="PSHeading 3" xfId="2654"/>
    <cellStyle name="PSHeading 3 2" xfId="2655"/>
    <cellStyle name="PSHeading 4" xfId="2656"/>
    <cellStyle name="PSHeading 4 2" xfId="2657"/>
    <cellStyle name="PSHeading 5" xfId="2658"/>
    <cellStyle name="PSHeading 5 2" xfId="2659"/>
    <cellStyle name="PSHeading 6" xfId="2660"/>
    <cellStyle name="PSHeading_2012_6  GLR2200T_BU117" xfId="2661"/>
    <cellStyle name="PSInt" xfId="2662"/>
    <cellStyle name="PSInt 2" xfId="2663"/>
    <cellStyle name="PSInt 2 2" xfId="2664"/>
    <cellStyle name="PSInt 3" xfId="2665"/>
    <cellStyle name="PSInt 3 2" xfId="2666"/>
    <cellStyle name="PSInt 4" xfId="2667"/>
    <cellStyle name="PSInt 4 2" xfId="2668"/>
    <cellStyle name="PSInt 5" xfId="2669"/>
    <cellStyle name="PSInt 5 2" xfId="2670"/>
    <cellStyle name="PSInt 6" xfId="2671"/>
    <cellStyle name="PSSpacer" xfId="2672"/>
    <cellStyle name="PSSpacer 2" xfId="2673"/>
    <cellStyle name="PSSpacer 2 2" xfId="2674"/>
    <cellStyle name="PSSpacer 3" xfId="2675"/>
    <cellStyle name="PSSpacer 3 2" xfId="2676"/>
    <cellStyle name="PSSpacer 4" xfId="2677"/>
    <cellStyle name="PSSpacer 4 2" xfId="2678"/>
    <cellStyle name="PSSpacer 5" xfId="2679"/>
    <cellStyle name="PSSpacer 5 2" xfId="2680"/>
    <cellStyle name="PSSpacer 6" xfId="2681"/>
    <cellStyle name="SmallNormal" xfId="2682"/>
    <cellStyle name="SmallNormal 2" xfId="2683"/>
    <cellStyle name="SmallNormal 2 2" xfId="2684"/>
    <cellStyle name="SmallNormal 3" xfId="2685"/>
    <cellStyle name="SmallNormal 4" xfId="2686"/>
    <cellStyle name="SmallNormal 5" xfId="2687"/>
    <cellStyle name="SmallNormal 6" xfId="2688"/>
    <cellStyle name="SmallNormal 7" xfId="2689"/>
    <cellStyle name="SmallNormal 8" xfId="2690"/>
    <cellStyle name="SmallNormal 9" xfId="2691"/>
    <cellStyle name="SmallNormal 9 2" xfId="2692"/>
    <cellStyle name="SmallNormal 9 3" xfId="2693"/>
    <cellStyle name="SmallNormal_AM 3 and Mitchell NBV forecast DRAFT 9-24" xfId="2694"/>
    <cellStyle name="Style 1" xfId="2695"/>
    <cellStyle name="Style 1 2" xfId="2696"/>
    <cellStyle name="Style 1 2 2" xfId="2697"/>
    <cellStyle name="Style 1 2 2 2" xfId="2698"/>
    <cellStyle name="Style 1 2 3" xfId="2699"/>
    <cellStyle name="Style 1 2_AM 3 and Mitchell NBV forecast DRAFT 9-24" xfId="2700"/>
    <cellStyle name="Style 1 3" xfId="2701"/>
    <cellStyle name="Style 1 3 2" xfId="2702"/>
    <cellStyle name="Style 1 4" xfId="2703"/>
    <cellStyle name="Style 1 4 2" xfId="2704"/>
    <cellStyle name="Style 1 5" xfId="2705"/>
    <cellStyle name="Style 1_3 Company Case Comparisons v12-8-11" xfId="2706"/>
    <cellStyle name="TableData" xfId="2707"/>
    <cellStyle name="TableData 2" xfId="2708"/>
    <cellStyle name="TableDataCenter" xfId="2709"/>
    <cellStyle name="TableDataCenter 2" xfId="2710"/>
    <cellStyle name="Title" xfId="1" builtinId="15" customBuiltin="1"/>
    <cellStyle name="Title 2" xfId="2711"/>
    <cellStyle name="Title 2 2" xfId="2712"/>
    <cellStyle name="Title 2 2 2" xfId="2713"/>
    <cellStyle name="Title 2 2 2 2" xfId="2714"/>
    <cellStyle name="Title 2 2 2 2 2" xfId="2715"/>
    <cellStyle name="Title 2 2 2 3" xfId="2716"/>
    <cellStyle name="Title 2 2 3" xfId="2717"/>
    <cellStyle name="Title 2 2 3 2" xfId="2718"/>
    <cellStyle name="Title 2 2 4" xfId="2719"/>
    <cellStyle name="Title 2 3" xfId="2720"/>
    <cellStyle name="Title 2 3 2" xfId="2721"/>
    <cellStyle name="Title 2 3 2 2" xfId="2722"/>
    <cellStyle name="Title 2 3 3" xfId="2723"/>
    <cellStyle name="Title 2 4" xfId="2724"/>
    <cellStyle name="Title 2 4 2" xfId="2725"/>
    <cellStyle name="Title 2 5" xfId="2726"/>
    <cellStyle name="Total 10" xfId="2728"/>
    <cellStyle name="Total 10 2" xfId="2729"/>
    <cellStyle name="Total 11" xfId="2730"/>
    <cellStyle name="Total 11 2" xfId="2731"/>
    <cellStyle name="Total 12" xfId="2732"/>
    <cellStyle name="Total 12 2" xfId="2733"/>
    <cellStyle name="Total 13" xfId="2734"/>
    <cellStyle name="Total 14" xfId="2735"/>
    <cellStyle name="Total 15" xfId="2736"/>
    <cellStyle name="Total 16" xfId="2737"/>
    <cellStyle name="Total 17" xfId="2727"/>
    <cellStyle name="Total 2" xfId="2738"/>
    <cellStyle name="Total 2 2" xfId="2739"/>
    <cellStyle name="Total 2 2 2" xfId="2740"/>
    <cellStyle name="Total 2 2 2 2" xfId="2741"/>
    <cellStyle name="Total 2 2 3" xfId="2742"/>
    <cellStyle name="Total 2 3" xfId="2743"/>
    <cellStyle name="Total 2 3 2" xfId="2744"/>
    <cellStyle name="Total 2 3 2 2" xfId="2745"/>
    <cellStyle name="Total 2 3 3" xfId="2746"/>
    <cellStyle name="Total 2 4" xfId="2747"/>
    <cellStyle name="Total 2 4 2" xfId="2748"/>
    <cellStyle name="Total 2 4 2 2" xfId="2749"/>
    <cellStyle name="Total 2 4 3" xfId="2750"/>
    <cellStyle name="Total 2 5" xfId="2751"/>
    <cellStyle name="Total 2 5 2" xfId="2752"/>
    <cellStyle name="Total 2 6" xfId="2753"/>
    <cellStyle name="Total 3" xfId="2754"/>
    <cellStyle name="Total 3 2" xfId="2755"/>
    <cellStyle name="Total 3 2 2" xfId="2756"/>
    <cellStyle name="Total 3 2 2 2" xfId="2757"/>
    <cellStyle name="Total 3 2 2 2 2" xfId="2758"/>
    <cellStyle name="Total 3 2 2 3" xfId="2759"/>
    <cellStyle name="Total 3 2 3" xfId="2760"/>
    <cellStyle name="Total 3 2 3 2" xfId="2761"/>
    <cellStyle name="Total 3 2 4" xfId="2762"/>
    <cellStyle name="Total 3 3" xfId="2763"/>
    <cellStyle name="Total 3 3 2" xfId="2764"/>
    <cellStyle name="Total 3 3 2 2" xfId="2765"/>
    <cellStyle name="Total 3 3 3" xfId="2766"/>
    <cellStyle name="Total 3 4" xfId="2767"/>
    <cellStyle name="Total 3 4 2" xfId="2768"/>
    <cellStyle name="Total 3 4 2 2" xfId="2769"/>
    <cellStyle name="Total 3 4 3" xfId="2770"/>
    <cellStyle name="Total 3 5" xfId="2771"/>
    <cellStyle name="Total 3 5 2" xfId="2772"/>
    <cellStyle name="Total 3 6" xfId="2773"/>
    <cellStyle name="Total 4" xfId="2774"/>
    <cellStyle name="Total 4 2" xfId="2775"/>
    <cellStyle name="Total 4 2 2" xfId="2776"/>
    <cellStyle name="Total 4 3" xfId="2777"/>
    <cellStyle name="Total 4 3 2" xfId="2778"/>
    <cellStyle name="Total 5" xfId="2779"/>
    <cellStyle name="Total 5 2" xfId="2780"/>
    <cellStyle name="Total 5 2 2" xfId="2781"/>
    <cellStyle name="Total 5 2 2 2" xfId="2782"/>
    <cellStyle name="Total 5 2 3" xfId="2783"/>
    <cellStyle name="Total 5 3" xfId="2784"/>
    <cellStyle name="Total 5 3 2" xfId="2785"/>
    <cellStyle name="Total 5 4" xfId="2786"/>
    <cellStyle name="Total 6" xfId="2787"/>
    <cellStyle name="Total 6 2" xfId="2788"/>
    <cellStyle name="Total 6 2 2" xfId="2789"/>
    <cellStyle name="Total 6 3" xfId="2790"/>
    <cellStyle name="Total 7" xfId="2791"/>
    <cellStyle name="Total 7 2" xfId="2792"/>
    <cellStyle name="Total 7 2 2" xfId="2793"/>
    <cellStyle name="Total 7 3" xfId="2794"/>
    <cellStyle name="Total 8" xfId="2795"/>
    <cellStyle name="Total 8 2" xfId="2796"/>
    <cellStyle name="Total 8 2 2" xfId="2797"/>
    <cellStyle name="Total 8 3" xfId="2798"/>
    <cellStyle name="Total 9" xfId="2799"/>
    <cellStyle name="Total 9 2" xfId="2800"/>
    <cellStyle name="Total 9 3" xfId="2801"/>
    <cellStyle name="Warning Text 2" xfId="2803"/>
    <cellStyle name="Warning Text 3" xfId="2804"/>
    <cellStyle name="Warning Text 4" xfId="2805"/>
    <cellStyle name="Warning Text 5" xfId="2806"/>
    <cellStyle name="Warning Text 6" xfId="2802"/>
    <cellStyle name="YEAR HEADER" xfId="28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Comparison!$P$3</c:f>
          <c:strCache>
            <c:ptCount val="1"/>
            <c:pt idx="0">
              <c:v>Nameplate Solar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Comparison!$B$3:$B$5</c:f>
              <c:strCache>
                <c:ptCount val="3"/>
                <c:pt idx="0">
                  <c:v>Preferred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</c:numCache>
            </c:numRef>
          </c:cat>
          <c:val>
            <c:numRef>
              <c:f>Comparison!$B$6:$B$35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101.1976516634051</c:v>
                </c:pt>
                <c:pt idx="4">
                  <c:v>252.99412915851272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252.99412915851272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  <c:pt idx="15">
                  <c:v>455.38943248532291</c:v>
                </c:pt>
                <c:pt idx="16">
                  <c:v>455.38943248532291</c:v>
                </c:pt>
                <c:pt idx="17">
                  <c:v>455.38943248532291</c:v>
                </c:pt>
                <c:pt idx="18">
                  <c:v>455.38943248532291</c:v>
                </c:pt>
                <c:pt idx="19">
                  <c:v>455.38943248532291</c:v>
                </c:pt>
                <c:pt idx="20">
                  <c:v>455.38943248532291</c:v>
                </c:pt>
                <c:pt idx="21">
                  <c:v>455.38943248532291</c:v>
                </c:pt>
                <c:pt idx="22">
                  <c:v>455.38943248532291</c:v>
                </c:pt>
                <c:pt idx="23">
                  <c:v>455.38943248532291</c:v>
                </c:pt>
                <c:pt idx="24">
                  <c:v>455.38943248532291</c:v>
                </c:pt>
                <c:pt idx="25">
                  <c:v>455.38943248532291</c:v>
                </c:pt>
                <c:pt idx="26">
                  <c:v>455.38943248532291</c:v>
                </c:pt>
                <c:pt idx="27">
                  <c:v>455.38943248532291</c:v>
                </c:pt>
                <c:pt idx="28">
                  <c:v>455.38943248532291</c:v>
                </c:pt>
                <c:pt idx="29">
                  <c:v>455.38943248532291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5-43E2-BCC0-1B22A5A4236B}"/>
            </c:ext>
          </c:extLst>
        </c:ser>
        <c:ser>
          <c:idx val="1"/>
          <c:order val="1"/>
          <c:tx>
            <c:strRef>
              <c:f>Comparison!$C$3:$C$5</c:f>
              <c:strCache>
                <c:ptCount val="3"/>
                <c:pt idx="0">
                  <c:v>Base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</c:numCache>
            </c:numRef>
          </c:cat>
          <c:val>
            <c:numRef>
              <c:f>Comparison!$C$6:$C$35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151.79647749510764</c:v>
                </c:pt>
                <c:pt idx="5">
                  <c:v>151.79647749510764</c:v>
                </c:pt>
                <c:pt idx="6">
                  <c:v>151.79647749510764</c:v>
                </c:pt>
                <c:pt idx="7">
                  <c:v>151.79647749510764</c:v>
                </c:pt>
                <c:pt idx="8">
                  <c:v>151.79647749510764</c:v>
                </c:pt>
                <c:pt idx="9">
                  <c:v>151.79647749510764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  <c:pt idx="15">
                  <c:v>455.38943248532291</c:v>
                </c:pt>
                <c:pt idx="16">
                  <c:v>455.38943248532291</c:v>
                </c:pt>
                <c:pt idx="17">
                  <c:v>455.38943248532291</c:v>
                </c:pt>
                <c:pt idx="18">
                  <c:v>455.38943248532291</c:v>
                </c:pt>
                <c:pt idx="19">
                  <c:v>455.38943248532291</c:v>
                </c:pt>
                <c:pt idx="20">
                  <c:v>455.38943248532291</c:v>
                </c:pt>
                <c:pt idx="21">
                  <c:v>455.38943248532291</c:v>
                </c:pt>
                <c:pt idx="22">
                  <c:v>455.38943248532291</c:v>
                </c:pt>
                <c:pt idx="23">
                  <c:v>455.38943248532291</c:v>
                </c:pt>
                <c:pt idx="24">
                  <c:v>455.38943248532291</c:v>
                </c:pt>
                <c:pt idx="25">
                  <c:v>455.38943248532291</c:v>
                </c:pt>
                <c:pt idx="26">
                  <c:v>455.38943248532291</c:v>
                </c:pt>
                <c:pt idx="27">
                  <c:v>455.38943248532291</c:v>
                </c:pt>
                <c:pt idx="28">
                  <c:v>455.38943248532291</c:v>
                </c:pt>
                <c:pt idx="29">
                  <c:v>455.38943248532291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5-43E2-BCC0-1B22A5A4236B}"/>
            </c:ext>
          </c:extLst>
        </c:ser>
        <c:ser>
          <c:idx val="2"/>
          <c:order val="2"/>
          <c:tx>
            <c:strRef>
              <c:f>Comparison!$D$3:$D$5</c:f>
              <c:strCache>
                <c:ptCount val="3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Comparison!$A$6:$A$35</c:f>
              <c:numCache>
                <c:formatCode>General</c:formatCode>
                <c:ptCount val="3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</c:numCache>
            </c:numRef>
          </c:cat>
          <c:val>
            <c:numRef>
              <c:f>Comparison!$D$6:$D$35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303.59295499021533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  <c:pt idx="15">
                  <c:v>455.38943248532291</c:v>
                </c:pt>
                <c:pt idx="16">
                  <c:v>455.38943248532291</c:v>
                </c:pt>
                <c:pt idx="17">
                  <c:v>455.38943248532291</c:v>
                </c:pt>
                <c:pt idx="18">
                  <c:v>455.38943248532291</c:v>
                </c:pt>
                <c:pt idx="19">
                  <c:v>455.38943248532291</c:v>
                </c:pt>
                <c:pt idx="20">
                  <c:v>455.38943248532291</c:v>
                </c:pt>
                <c:pt idx="21">
                  <c:v>455.38943248532291</c:v>
                </c:pt>
                <c:pt idx="22">
                  <c:v>455.38943248532291</c:v>
                </c:pt>
                <c:pt idx="23">
                  <c:v>455.38943248532291</c:v>
                </c:pt>
                <c:pt idx="24">
                  <c:v>455.38943248532291</c:v>
                </c:pt>
                <c:pt idx="25">
                  <c:v>455.38943248532291</c:v>
                </c:pt>
                <c:pt idx="26">
                  <c:v>455.38943248532291</c:v>
                </c:pt>
                <c:pt idx="27">
                  <c:v>455.38943248532291</c:v>
                </c:pt>
                <c:pt idx="28">
                  <c:v>455.38943248532291</c:v>
                </c:pt>
                <c:pt idx="29">
                  <c:v>455.38943248532291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C5-43E2-BCC0-1B22A5A4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601624"/>
        <c:axId val="60359965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Comparison!$E$3:$E$5</c15:sqref>
                        </c15:formulaRef>
                      </c:ext>
                    </c:extLst>
                    <c:strCache>
                      <c:ptCount val="3"/>
                      <c:pt idx="0">
                        <c:v>Solar + Wind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Comparison!$A$6:$A$35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Comparison!$E$6:$E$35</c15:sqref>
                        </c15:formulaRef>
                      </c:ext>
                    </c:extLst>
                    <c:numCache>
                      <c:formatCode>#,##0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303.59295499021528</c:v>
                      </c:pt>
                      <c:pt idx="3">
                        <c:v>303.59295499021528</c:v>
                      </c:pt>
                      <c:pt idx="4">
                        <c:v>303.59295499021528</c:v>
                      </c:pt>
                      <c:pt idx="5">
                        <c:v>303.59295499021528</c:v>
                      </c:pt>
                      <c:pt idx="6">
                        <c:v>303.59295499021528</c:v>
                      </c:pt>
                      <c:pt idx="7">
                        <c:v>303.59295499021528</c:v>
                      </c:pt>
                      <c:pt idx="8">
                        <c:v>303.59295499021528</c:v>
                      </c:pt>
                      <c:pt idx="9">
                        <c:v>303.59295499021528</c:v>
                      </c:pt>
                      <c:pt idx="10">
                        <c:v>303.59295499021528</c:v>
                      </c:pt>
                      <c:pt idx="11">
                        <c:v>455.38943248532291</c:v>
                      </c:pt>
                      <c:pt idx="12">
                        <c:v>455.38943248532291</c:v>
                      </c:pt>
                      <c:pt idx="13">
                        <c:v>455.38943248532291</c:v>
                      </c:pt>
                      <c:pt idx="14">
                        <c:v>455.38943248532291</c:v>
                      </c:pt>
                      <c:pt idx="15">
                        <c:v>455.38943248532291</c:v>
                      </c:pt>
                      <c:pt idx="16">
                        <c:v>455.38943248532291</c:v>
                      </c:pt>
                      <c:pt idx="17">
                        <c:v>455.38943248532291</c:v>
                      </c:pt>
                      <c:pt idx="18">
                        <c:v>455.38943248532291</c:v>
                      </c:pt>
                      <c:pt idx="19">
                        <c:v>455.38943248532291</c:v>
                      </c:pt>
                      <c:pt idx="20">
                        <c:v>455.38943248532291</c:v>
                      </c:pt>
                      <c:pt idx="21">
                        <c:v>455.38943248532291</c:v>
                      </c:pt>
                      <c:pt idx="22">
                        <c:v>455.38943248532291</c:v>
                      </c:pt>
                      <c:pt idx="23">
                        <c:v>455.38943248532291</c:v>
                      </c:pt>
                      <c:pt idx="24">
                        <c:v>455.38943248532291</c:v>
                      </c:pt>
                      <c:pt idx="25">
                        <c:v>455.38943248532291</c:v>
                      </c:pt>
                      <c:pt idx="26">
                        <c:v>455.38943248532291</c:v>
                      </c:pt>
                      <c:pt idx="27">
                        <c:v>455.38943248532291</c:v>
                      </c:pt>
                      <c:pt idx="28">
                        <c:v>455.38943248532291</c:v>
                      </c:pt>
                      <c:pt idx="29">
                        <c:v>455.38943248532291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2C5-43E2-BCC0-1B22A5A423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Comparison!$F$3:$F$5</c15:sqref>
                        </c15:formulaRef>
                      </c:ext>
                    </c:extLst>
                    <c:strCache>
                      <c:ptCount val="3"/>
                      <c:pt idx="0">
                        <c:v>CT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Comparison!$A$6:$A$35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Comparison!$F$6:$F$35</c15:sqref>
                        </c15:formulaRef>
                      </c:ext>
                    </c:extLst>
                    <c:numCache>
                      <c:formatCode>#,##0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303.59295499021528</c:v>
                      </c:pt>
                      <c:pt idx="12">
                        <c:v>455.38943248532291</c:v>
                      </c:pt>
                      <c:pt idx="13">
                        <c:v>455.38943248532291</c:v>
                      </c:pt>
                      <c:pt idx="14">
                        <c:v>455.38943248532291</c:v>
                      </c:pt>
                      <c:pt idx="15">
                        <c:v>455.38943248532291</c:v>
                      </c:pt>
                      <c:pt idx="16">
                        <c:v>455.38943248532291</c:v>
                      </c:pt>
                      <c:pt idx="17">
                        <c:v>455.38943248532291</c:v>
                      </c:pt>
                      <c:pt idx="18">
                        <c:v>455.38943248532291</c:v>
                      </c:pt>
                      <c:pt idx="19">
                        <c:v>455.38943248532291</c:v>
                      </c:pt>
                      <c:pt idx="20">
                        <c:v>455.38943248532291</c:v>
                      </c:pt>
                      <c:pt idx="21">
                        <c:v>455.38943248532291</c:v>
                      </c:pt>
                      <c:pt idx="22">
                        <c:v>455.38943248532291</c:v>
                      </c:pt>
                      <c:pt idx="23">
                        <c:v>455.38943248532291</c:v>
                      </c:pt>
                      <c:pt idx="24">
                        <c:v>455.38943248532291</c:v>
                      </c:pt>
                      <c:pt idx="25">
                        <c:v>455.38943248532291</c:v>
                      </c:pt>
                      <c:pt idx="26">
                        <c:v>455.38943248532291</c:v>
                      </c:pt>
                      <c:pt idx="27">
                        <c:v>455.38943248532291</c:v>
                      </c:pt>
                      <c:pt idx="28">
                        <c:v>455.38943248532291</c:v>
                      </c:pt>
                      <c:pt idx="29">
                        <c:v>455.38943248532291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C3A-4FAB-8809-2117306F1B7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Comparison!$G$3:$G$5</c15:sqref>
                        </c15:formulaRef>
                      </c:ext>
                    </c:extLst>
                    <c:strCache>
                      <c:ptCount val="3"/>
                      <c:pt idx="0">
                        <c:v>CC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Comparison!$A$6:$A$35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  <c:pt idx="20">
                        <c:v>2040</c:v>
                      </c:pt>
                      <c:pt idx="21">
                        <c:v>2041</c:v>
                      </c:pt>
                      <c:pt idx="22">
                        <c:v>2042</c:v>
                      </c:pt>
                      <c:pt idx="23">
                        <c:v>2043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Comparison!$G$6:$G$35</c15:sqref>
                        </c15:formulaRef>
                      </c:ext>
                    </c:extLst>
                    <c:numCache>
                      <c:formatCode>#,##0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303.59295499021528</c:v>
                      </c:pt>
                      <c:pt idx="12">
                        <c:v>455.38943248532291</c:v>
                      </c:pt>
                      <c:pt idx="13">
                        <c:v>455.38943248532291</c:v>
                      </c:pt>
                      <c:pt idx="14">
                        <c:v>455.38943248532291</c:v>
                      </c:pt>
                      <c:pt idx="15">
                        <c:v>455.38943248532291</c:v>
                      </c:pt>
                      <c:pt idx="16">
                        <c:v>455.38943248532291</c:v>
                      </c:pt>
                      <c:pt idx="17">
                        <c:v>455.38943248532291</c:v>
                      </c:pt>
                      <c:pt idx="18">
                        <c:v>455.38943248532291</c:v>
                      </c:pt>
                      <c:pt idx="19">
                        <c:v>455.38943248532291</c:v>
                      </c:pt>
                      <c:pt idx="20">
                        <c:v>455.38943248532291</c:v>
                      </c:pt>
                      <c:pt idx="21">
                        <c:v>455.38943248532291</c:v>
                      </c:pt>
                      <c:pt idx="22">
                        <c:v>455.38943248532291</c:v>
                      </c:pt>
                      <c:pt idx="23">
                        <c:v>455.38943248532291</c:v>
                      </c:pt>
                      <c:pt idx="24">
                        <c:v>455.38943248532291</c:v>
                      </c:pt>
                      <c:pt idx="25">
                        <c:v>455.38943248532291</c:v>
                      </c:pt>
                      <c:pt idx="26">
                        <c:v>455.38943248532291</c:v>
                      </c:pt>
                      <c:pt idx="27">
                        <c:v>455.38943248532291</c:v>
                      </c:pt>
                      <c:pt idx="28">
                        <c:v>455.38943248532291</c:v>
                      </c:pt>
                      <c:pt idx="29">
                        <c:v>455.38943248532291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D4B-41B4-8689-91C1B54C0172}"/>
                  </c:ext>
                </c:extLst>
              </c15:ser>
            </c15:filteredLineSeries>
          </c:ext>
        </c:extLst>
      </c:lineChart>
      <c:catAx>
        <c:axId val="60360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599656"/>
        <c:crosses val="autoZero"/>
        <c:auto val="1"/>
        <c:lblAlgn val="ctr"/>
        <c:lblOffset val="100"/>
        <c:noMultiLvlLbl val="0"/>
      </c:catAx>
      <c:valAx>
        <c:axId val="60359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60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Summary'!$A$3:$A$11</c:f>
          <c:strCache>
            <c:ptCount val="9"/>
            <c:pt idx="0">
              <c:v>Case 1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9"/>
          <c:order val="0"/>
          <c:tx>
            <c:strRef>
              <c:f>'CumCapAdd Summary'!$B$3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Summary'!$C$3:$V$3</c15:sqref>
                  </c15:fullRef>
                </c:ext>
              </c:extLst>
              <c:f>'CumCapAdd Summary'!$C$3:$Q$3</c:f>
            </c:numRef>
          </c:val>
          <c:extLst>
            <c:ext xmlns:c16="http://schemas.microsoft.com/office/drawing/2014/chart" uri="{C3380CC4-5D6E-409C-BE32-E72D297353CC}">
              <c16:uniqueId val="{00000000-6ECC-4EF9-A1BB-43B52BCBB3F7}"/>
            </c:ext>
          </c:extLst>
        </c:ser>
        <c:ser>
          <c:idx val="11"/>
          <c:order val="1"/>
          <c:tx>
            <c:strRef>
              <c:f>'CumCapAdd Summary'!$B$4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Summary'!$C$4:$V$4</c15:sqref>
                  </c15:fullRef>
                </c:ext>
              </c:extLst>
              <c:f>'CumCapAdd Summary'!$C$4:$Q$4</c:f>
            </c:numRef>
          </c:val>
          <c:extLst>
            <c:ext xmlns:c16="http://schemas.microsoft.com/office/drawing/2014/chart" uri="{C3380CC4-5D6E-409C-BE32-E72D297353CC}">
              <c16:uniqueId val="{00000001-6ECC-4EF9-A1BB-43B52BCBB3F7}"/>
            </c:ext>
          </c:extLst>
        </c:ser>
        <c:ser>
          <c:idx val="12"/>
          <c:order val="2"/>
          <c:tx>
            <c:strRef>
              <c:f>'CumCapAdd Summary'!$B$6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Summary'!$C$6:$V$6</c15:sqref>
                  </c15:fullRef>
                </c:ext>
              </c:extLst>
              <c:f>'CumCapAdd Summary'!$C$6:$Q$6</c:f>
            </c:numRef>
          </c:val>
          <c:extLst>
            <c:ext xmlns:c16="http://schemas.microsoft.com/office/drawing/2014/chart" uri="{C3380CC4-5D6E-409C-BE32-E72D297353CC}">
              <c16:uniqueId val="{00000002-6ECC-4EF9-A1BB-43B52BCBB3F7}"/>
            </c:ext>
          </c:extLst>
        </c:ser>
        <c:ser>
          <c:idx val="10"/>
          <c:order val="3"/>
          <c:tx>
            <c:strRef>
              <c:f>'CumCapAdd Summary'!$B$8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Summary'!$C$8:$V$8</c15:sqref>
                  </c15:fullRef>
                </c:ext>
              </c:extLst>
              <c:f>'CumCapAdd Summary'!$C$8:$Q$8</c:f>
            </c:numRef>
          </c:val>
          <c:extLst>
            <c:ext xmlns:c16="http://schemas.microsoft.com/office/drawing/2014/chart" uri="{C3380CC4-5D6E-409C-BE32-E72D297353CC}">
              <c16:uniqueId val="{00000003-6ECC-4EF9-A1BB-43B52BCBB3F7}"/>
            </c:ext>
          </c:extLst>
        </c:ser>
        <c:ser>
          <c:idx val="13"/>
          <c:order val="4"/>
          <c:tx>
            <c:strRef>
              <c:f>'CumCapAdd Summary'!$B$9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Summary'!$C$9:$V$9</c15:sqref>
                  </c15:fullRef>
                </c:ext>
              </c:extLst>
              <c:f>'CumCapAdd Summary'!$C$9:$Q$9</c:f>
            </c:numRef>
          </c:val>
          <c:extLst>
            <c:ext xmlns:c16="http://schemas.microsoft.com/office/drawing/2014/chart" uri="{C3380CC4-5D6E-409C-BE32-E72D297353CC}">
              <c16:uniqueId val="{00000004-6ECC-4EF9-A1BB-43B52BCBB3F7}"/>
            </c:ext>
          </c:extLst>
        </c:ser>
        <c:ser>
          <c:idx val="14"/>
          <c:order val="5"/>
          <c:tx>
            <c:strRef>
              <c:f>'CumCapAdd Summary'!$B$10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Summary'!$C$10:$V$10</c15:sqref>
                  </c15:fullRef>
                </c:ext>
              </c:extLst>
              <c:f>'CumCapAdd Summary'!$C$10:$Q$10</c:f>
            </c:numRef>
          </c:val>
          <c:extLst>
            <c:ext xmlns:c16="http://schemas.microsoft.com/office/drawing/2014/chart" uri="{C3380CC4-5D6E-409C-BE32-E72D297353CC}">
              <c16:uniqueId val="{00000005-6ECC-4EF9-A1BB-43B52BCBB3F7}"/>
            </c:ext>
          </c:extLst>
        </c:ser>
        <c:ser>
          <c:idx val="15"/>
          <c:order val="6"/>
          <c:tx>
            <c:strRef>
              <c:f>'CumCapAdd Summary'!$B$11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Summary'!$C$11:$V$11</c15:sqref>
                  </c15:fullRef>
                </c:ext>
              </c:extLst>
              <c:f>'CumCapAdd Summary'!$C$11:$Q$11</c:f>
            </c:numRef>
          </c:val>
          <c:extLst>
            <c:ext xmlns:c16="http://schemas.microsoft.com/office/drawing/2014/chart" uri="{C3380CC4-5D6E-409C-BE32-E72D297353CC}">
              <c16:uniqueId val="{00000006-6ECC-4EF9-A1BB-43B52BCB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16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Summary'!$B$5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Summary'!$C$5:$V$5</c15:sqref>
                        </c15:fullRef>
                        <c15:formulaRef>
                          <c15:sqref>'CumCapAdd Summary'!$C$5:$Q$5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7-6ECC-4EF9-A1BB-43B52BCBB3F7}"/>
                  </c:ext>
                </c:extLst>
              </c15:ser>
            </c15:filteredBarSeries>
            <c15:filteredBarSeries>
              <c15:ser>
                <c:idx val="1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Summary'!$B$7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Summary'!$C$7:$V$7</c15:sqref>
                        </c15:fullRef>
                        <c15:formulaRef>
                          <c15:sqref>'CumCapAdd Summary'!$C$7:$Q$7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EF9-A1BB-43B52BCBB3F7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98245927183399"/>
          <c:y val="8.5523414836303352E-2"/>
          <c:w val="0.17474466788017787"/>
          <c:h val="0.8850935212045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Summary'!$A$14:$A$22</c:f>
          <c:strCache>
            <c:ptCount val="9"/>
            <c:pt idx="0">
              <c:v>SH-Market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8"/>
          <c:order val="0"/>
          <c:tx>
            <c:strRef>
              <c:f>'CumCapAdd Summary'!$B$14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Summary'!$C$14:$V$14</c15:sqref>
                  </c15:fullRef>
                </c:ext>
              </c:extLst>
              <c:f>'CumCapAdd Summary'!$C$14:$Q$14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3-4B54-A681-80A2A0C2B2AD}"/>
            </c:ext>
          </c:extLst>
        </c:ser>
        <c:ser>
          <c:idx val="20"/>
          <c:order val="1"/>
          <c:tx>
            <c:strRef>
              <c:f>'CumCapAdd Summary'!$B$15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Summary'!$C$15:$V$15</c15:sqref>
                  </c15:fullRef>
                </c:ext>
              </c:extLst>
              <c:f>'CumCapAdd Summary'!$C$15:$Q$15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303.59295499021533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3-4B54-A681-80A2A0C2B2AD}"/>
            </c:ext>
          </c:extLst>
        </c:ser>
        <c:ser>
          <c:idx val="21"/>
          <c:order val="2"/>
          <c:tx>
            <c:strRef>
              <c:f>'CumCapAdd Summary'!$B$17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Summary'!$C$17:$V$17</c15:sqref>
                  </c15:fullRef>
                </c:ext>
              </c:extLst>
              <c:f>'CumCapAdd Summary'!$C$17:$Q$17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100.00000000000001</c:v>
                </c:pt>
                <c:pt idx="11">
                  <c:v>100.00000000000001</c:v>
                </c:pt>
                <c:pt idx="12">
                  <c:v>100.00000000000001</c:v>
                </c:pt>
                <c:pt idx="13">
                  <c:v>100.00000000000001</c:v>
                </c:pt>
                <c:pt idx="14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3-4B54-A681-80A2A0C2B2AD}"/>
            </c:ext>
          </c:extLst>
        </c:ser>
        <c:ser>
          <c:idx val="19"/>
          <c:order val="3"/>
          <c:tx>
            <c:strRef>
              <c:f>'CumCapAdd Summary'!$B$19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Summary'!$C$19:$V$19</c15:sqref>
                  </c15:fullRef>
                </c:ext>
              </c:extLst>
              <c:f>'CumCapAdd Summary'!$C$19:$Q$19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4.9168226499999994</c:v>
                </c:pt>
                <c:pt idx="6">
                  <c:v>5.4552897500000004</c:v>
                </c:pt>
                <c:pt idx="7">
                  <c:v>5.4017012799999993</c:v>
                </c:pt>
                <c:pt idx="8">
                  <c:v>6.0245610699999999</c:v>
                </c:pt>
                <c:pt idx="9">
                  <c:v>6.0611009400000002</c:v>
                </c:pt>
                <c:pt idx="10">
                  <c:v>9.3083545000000019</c:v>
                </c:pt>
                <c:pt idx="11">
                  <c:v>10.914413120000001</c:v>
                </c:pt>
                <c:pt idx="12">
                  <c:v>11.154602780000001</c:v>
                </c:pt>
                <c:pt idx="13">
                  <c:v>10.310064709999999</c:v>
                </c:pt>
                <c:pt idx="14">
                  <c:v>10.598957559999999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3-4B54-A681-80A2A0C2B2AD}"/>
            </c:ext>
          </c:extLst>
        </c:ser>
        <c:ser>
          <c:idx val="22"/>
          <c:order val="4"/>
          <c:tx>
            <c:strRef>
              <c:f>'CumCapAdd Summary'!$B$20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Summary'!$C$20:$V$20</c15:sqref>
                  </c15:fullRef>
                </c:ext>
              </c:extLst>
              <c:f>'CumCapAdd Summary'!$C$20:$Q$20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4.2698</c:v>
                </c:pt>
                <c:pt idx="10">
                  <c:v>7.5539000000000005</c:v>
                </c:pt>
                <c:pt idx="11">
                  <c:v>10.3337</c:v>
                </c:pt>
                <c:pt idx="12">
                  <c:v>10.3337</c:v>
                </c:pt>
                <c:pt idx="13">
                  <c:v>10.3337</c:v>
                </c:pt>
                <c:pt idx="14">
                  <c:v>10.3337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C3-4B54-A681-80A2A0C2B2AD}"/>
            </c:ext>
          </c:extLst>
        </c:ser>
        <c:ser>
          <c:idx val="23"/>
          <c:order val="5"/>
          <c:tx>
            <c:strRef>
              <c:f>'CumCapAdd Summary'!$B$21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Summary'!$C$21:$V$21</c15:sqref>
                  </c15:fullRef>
                </c:ext>
              </c:extLst>
              <c:f>'CumCapAdd Summary'!$C$21:$Q$21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C3-4B54-A681-80A2A0C2B2AD}"/>
            </c:ext>
          </c:extLst>
        </c:ser>
        <c:ser>
          <c:idx val="24"/>
          <c:order val="6"/>
          <c:tx>
            <c:strRef>
              <c:f>'CumCapAdd Summary'!$B$22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Summary'!$C$22:$V$22</c15:sqref>
                  </c15:fullRef>
                </c:ext>
              </c:extLst>
              <c:f>'CumCapAdd Summary'!$C$22:$Q$22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C3-4B54-A681-80A2A0C2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25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Summary'!$B$16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Summary'!$C$16:$V$16</c15:sqref>
                        </c15:fullRef>
                        <c15:formulaRef>
                          <c15:sqref>'CumCapAdd Summary'!$C$16:$Q$16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129.28</c:v>
                      </c:pt>
                      <c:pt idx="6">
                        <c:v>129.28</c:v>
                      </c:pt>
                      <c:pt idx="7">
                        <c:v>129.28</c:v>
                      </c:pt>
                      <c:pt idx="8">
                        <c:v>129.28</c:v>
                      </c:pt>
                      <c:pt idx="9">
                        <c:v>129.28</c:v>
                      </c:pt>
                      <c:pt idx="10">
                        <c:v>155.13600000000002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8C3-4B54-A681-80A2A0C2B2AD}"/>
                  </c:ext>
                </c:extLst>
              </c15:ser>
            </c15:filteredBarSeries>
            <c15:filteredBarSeries>
              <c15:ser>
                <c:idx val="26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Summary'!$B$18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Summary'!$C$18:$V$18</c15:sqref>
                        </c15:fullRef>
                        <c15:formulaRef>
                          <c15:sqref>'CumCapAdd Summary'!$C$18:$Q$18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12.3</c:v>
                      </c:pt>
                      <c:pt idx="11">
                        <c:v>12.3</c:v>
                      </c:pt>
                      <c:pt idx="12">
                        <c:v>12.3</c:v>
                      </c:pt>
                      <c:pt idx="13">
                        <c:v>12.3</c:v>
                      </c:pt>
                      <c:pt idx="14">
                        <c:v>12.3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C3-4B54-A681-80A2A0C2B2AD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840675022116338"/>
          <c:y val="8.5523414836303352E-2"/>
          <c:w val="0.17474466788017787"/>
          <c:h val="0.82895317032739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Summary'!$A$25:$A$33</c:f>
          <c:strCache>
            <c:ptCount val="9"/>
            <c:pt idx="0">
              <c:v>SH-Solar + Wind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7"/>
          <c:order val="0"/>
          <c:tx>
            <c:strRef>
              <c:f>'CumCapAdd Summary'!$B$25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Summary'!$C$25:$V$25</c15:sqref>
                  </c15:fullRef>
                </c:ext>
              </c:extLst>
              <c:f>'CumCapAdd Summary'!$C$25:$Q$25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0-411C-861A-1BEF2A5FE0C3}"/>
            </c:ext>
          </c:extLst>
        </c:ser>
        <c:ser>
          <c:idx val="29"/>
          <c:order val="1"/>
          <c:tx>
            <c:strRef>
              <c:f>'CumCapAdd Summary'!$B$26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Summary'!$C$26:$V$26</c15:sqref>
                  </c15:fullRef>
                </c:ext>
              </c:extLst>
              <c:f>'CumCapAdd Summary'!$C$26:$Q$26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303.59295499021528</c:v>
                </c:pt>
                <c:pt idx="3">
                  <c:v>303.59295499021528</c:v>
                </c:pt>
                <c:pt idx="4">
                  <c:v>303.59295499021528</c:v>
                </c:pt>
                <c:pt idx="5">
                  <c:v>303.59295499021528</c:v>
                </c:pt>
                <c:pt idx="6">
                  <c:v>303.59295499021528</c:v>
                </c:pt>
                <c:pt idx="7">
                  <c:v>303.59295499021528</c:v>
                </c:pt>
                <c:pt idx="8">
                  <c:v>303.59295499021528</c:v>
                </c:pt>
                <c:pt idx="9">
                  <c:v>303.59295499021528</c:v>
                </c:pt>
                <c:pt idx="10">
                  <c:v>303.59295499021528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0-411C-861A-1BEF2A5FE0C3}"/>
            </c:ext>
          </c:extLst>
        </c:ser>
        <c:ser>
          <c:idx val="30"/>
          <c:order val="2"/>
          <c:tx>
            <c:strRef>
              <c:f>'CumCapAdd Summary'!$B$28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Summary'!$C$28:$V$28</c15:sqref>
                  </c15:fullRef>
                </c:ext>
              </c:extLst>
              <c:f>'CumCapAdd Summary'!$C$28:$Q$28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200.00000000000003</c:v>
                </c:pt>
                <c:pt idx="4">
                  <c:v>300.00000000000006</c:v>
                </c:pt>
                <c:pt idx="5">
                  <c:v>300.00000000000006</c:v>
                </c:pt>
                <c:pt idx="6">
                  <c:v>300.00000000000006</c:v>
                </c:pt>
                <c:pt idx="7">
                  <c:v>300.00000000000006</c:v>
                </c:pt>
                <c:pt idx="8">
                  <c:v>300.00000000000006</c:v>
                </c:pt>
                <c:pt idx="9">
                  <c:v>300.00000000000006</c:v>
                </c:pt>
                <c:pt idx="10">
                  <c:v>300.00000000000006</c:v>
                </c:pt>
                <c:pt idx="11">
                  <c:v>300.00000000000006</c:v>
                </c:pt>
                <c:pt idx="12">
                  <c:v>300.00000000000006</c:v>
                </c:pt>
                <c:pt idx="13">
                  <c:v>300.00000000000006</c:v>
                </c:pt>
                <c:pt idx="14">
                  <c:v>300.00000000000006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30-411C-861A-1BEF2A5FE0C3}"/>
            </c:ext>
          </c:extLst>
        </c:ser>
        <c:ser>
          <c:idx val="28"/>
          <c:order val="3"/>
          <c:tx>
            <c:strRef>
              <c:f>'CumCapAdd Summary'!$B$30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Summary'!$C$30:$V$30</c15:sqref>
                  </c15:fullRef>
                </c:ext>
              </c:extLst>
              <c:f>'CumCapAdd Summary'!$C$30:$Q$30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30-411C-861A-1BEF2A5FE0C3}"/>
            </c:ext>
          </c:extLst>
        </c:ser>
        <c:ser>
          <c:idx val="31"/>
          <c:order val="4"/>
          <c:tx>
            <c:strRef>
              <c:f>'CumCapAdd Summary'!$B$31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Summary'!$C$31:$V$31</c15:sqref>
                  </c15:fullRef>
                </c:ext>
              </c:extLst>
              <c:f>'CumCapAdd Summary'!$C$31:$Q$31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30-411C-861A-1BEF2A5FE0C3}"/>
            </c:ext>
          </c:extLst>
        </c:ser>
        <c:ser>
          <c:idx val="32"/>
          <c:order val="5"/>
          <c:tx>
            <c:strRef>
              <c:f>'CumCapAdd Summary'!$B$32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Summary'!$C$32:$V$32</c15:sqref>
                  </c15:fullRef>
                </c:ext>
              </c:extLst>
              <c:f>'CumCapAdd Summary'!$C$32:$Q$32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30-411C-861A-1BEF2A5FE0C3}"/>
            </c:ext>
          </c:extLst>
        </c:ser>
        <c:ser>
          <c:idx val="33"/>
          <c:order val="6"/>
          <c:tx>
            <c:strRef>
              <c:f>'CumCapAdd Summary'!$B$33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Summary'!$C$33:$V$33</c15:sqref>
                  </c15:fullRef>
                </c:ext>
              </c:extLst>
              <c:f>'CumCapAdd Summary'!$C$33:$Q$33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30-411C-861A-1BEF2A5F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4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Summary'!$B$27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Summary'!$C$27:$V$27</c15:sqref>
                        </c15:fullRef>
                        <c15:formulaRef>
                          <c15:sqref>'CumCapAdd Summary'!$C$27:$Q$27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155.136</c:v>
                      </c:pt>
                      <c:pt idx="3">
                        <c:v>155.136</c:v>
                      </c:pt>
                      <c:pt idx="4">
                        <c:v>155.136</c:v>
                      </c:pt>
                      <c:pt idx="5">
                        <c:v>155.136</c:v>
                      </c:pt>
                      <c:pt idx="6">
                        <c:v>155.136</c:v>
                      </c:pt>
                      <c:pt idx="7">
                        <c:v>155.136</c:v>
                      </c:pt>
                      <c:pt idx="8">
                        <c:v>155.136</c:v>
                      </c:pt>
                      <c:pt idx="9">
                        <c:v>155.136</c:v>
                      </c:pt>
                      <c:pt idx="10">
                        <c:v>155.136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430-411C-861A-1BEF2A5FE0C3}"/>
                  </c:ext>
                </c:extLst>
              </c15:ser>
            </c15:filteredBarSeries>
            <c15:filteredBarSeries>
              <c15:ser>
                <c:idx val="3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Summary'!$B$29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Summary'!$C$29:$V$29</c15:sqref>
                        </c15:fullRef>
                        <c15:formulaRef>
                          <c15:sqref>'CumCapAdd Summary'!$C$29:$Q$29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24.6</c:v>
                      </c:pt>
                      <c:pt idx="4">
                        <c:v>36.900000000000006</c:v>
                      </c:pt>
                      <c:pt idx="5">
                        <c:v>36.900000000000006</c:v>
                      </c:pt>
                      <c:pt idx="6">
                        <c:v>36.900000000000006</c:v>
                      </c:pt>
                      <c:pt idx="7">
                        <c:v>36.900000000000006</c:v>
                      </c:pt>
                      <c:pt idx="8">
                        <c:v>36.900000000000006</c:v>
                      </c:pt>
                      <c:pt idx="9">
                        <c:v>36.900000000000006</c:v>
                      </c:pt>
                      <c:pt idx="10">
                        <c:v>36.900000000000006</c:v>
                      </c:pt>
                      <c:pt idx="11">
                        <c:v>36.900000000000006</c:v>
                      </c:pt>
                      <c:pt idx="12">
                        <c:v>36.900000000000006</c:v>
                      </c:pt>
                      <c:pt idx="13">
                        <c:v>36.900000000000006</c:v>
                      </c:pt>
                      <c:pt idx="14">
                        <c:v>36.900000000000006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430-411C-861A-1BEF2A5FE0C3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Summary'!$A$36:$A$44</c:f>
          <c:strCache>
            <c:ptCount val="9"/>
            <c:pt idx="0">
              <c:v>SH-CT Only</c:v>
            </c:pt>
          </c:strCache>
        </c:strRef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5"/>
          <c:order val="0"/>
          <c:tx>
            <c:strRef>
              <c:f>'CumCapAdd Summary'!$B$36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Summary'!$C$36:$V$36</c15:sqref>
                  </c15:fullRef>
                </c:ext>
              </c:extLst>
              <c:f>'CumCapAdd Summary'!$C$36:$Q$36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248</c:v>
                </c:pt>
                <c:pt idx="4">
                  <c:v>248</c:v>
                </c:pt>
                <c:pt idx="5">
                  <c:v>248</c:v>
                </c:pt>
                <c:pt idx="6">
                  <c:v>248</c:v>
                </c:pt>
                <c:pt idx="7">
                  <c:v>248</c:v>
                </c:pt>
                <c:pt idx="8">
                  <c:v>248</c:v>
                </c:pt>
                <c:pt idx="9">
                  <c:v>248</c:v>
                </c:pt>
                <c:pt idx="10">
                  <c:v>248</c:v>
                </c:pt>
                <c:pt idx="11">
                  <c:v>248</c:v>
                </c:pt>
                <c:pt idx="12">
                  <c:v>248</c:v>
                </c:pt>
                <c:pt idx="13">
                  <c:v>248</c:v>
                </c:pt>
                <c:pt idx="14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A-44BC-B16A-60DAA3BE2EC9}"/>
            </c:ext>
          </c:extLst>
        </c:ser>
        <c:ser>
          <c:idx val="47"/>
          <c:order val="1"/>
          <c:tx>
            <c:strRef>
              <c:f>'CumCapAdd Summary'!$B$37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Summary'!$C$37:$V$37</c15:sqref>
                  </c15:fullRef>
                </c:ext>
              </c:extLst>
              <c:f>'CumCapAdd Summary'!$C$37:$Q$37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303.59295499021528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A-44BC-B16A-60DAA3BE2EC9}"/>
            </c:ext>
          </c:extLst>
        </c:ser>
        <c:ser>
          <c:idx val="48"/>
          <c:order val="2"/>
          <c:tx>
            <c:strRef>
              <c:f>'CumCapAdd Summary'!$B$39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Summary'!$C$39:$V$39</c15:sqref>
                  </c15:fullRef>
                </c:ext>
              </c:extLst>
              <c:f>'CumCapAdd Summary'!$C$39:$Q$39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A-44BC-B16A-60DAA3BE2EC9}"/>
            </c:ext>
          </c:extLst>
        </c:ser>
        <c:ser>
          <c:idx val="46"/>
          <c:order val="3"/>
          <c:tx>
            <c:strRef>
              <c:f>'CumCapAdd Summary'!$B$41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Summary'!$C$41:$V$41</c15:sqref>
                  </c15:fullRef>
                </c:ext>
              </c:extLst>
              <c:f>'CumCapAdd Summary'!$C$41:$Q$41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DA-44BC-B16A-60DAA3BE2EC9}"/>
            </c:ext>
          </c:extLst>
        </c:ser>
        <c:ser>
          <c:idx val="49"/>
          <c:order val="4"/>
          <c:tx>
            <c:strRef>
              <c:f>'CumCapAdd Summary'!$B$42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Summary'!$C$42:$V$42</c15:sqref>
                  </c15:fullRef>
                </c:ext>
              </c:extLst>
              <c:f>'CumCapAdd Summary'!$C$42:$Q$42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DA-44BC-B16A-60DAA3BE2EC9}"/>
            </c:ext>
          </c:extLst>
        </c:ser>
        <c:ser>
          <c:idx val="50"/>
          <c:order val="5"/>
          <c:tx>
            <c:strRef>
              <c:f>'CumCapAdd Summary'!$B$43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Summary'!$C$43:$V$43</c15:sqref>
                  </c15:fullRef>
                </c:ext>
              </c:extLst>
              <c:f>'CumCapAdd Summary'!$C$43:$Q$43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DA-44BC-B16A-60DAA3BE2EC9}"/>
            </c:ext>
          </c:extLst>
        </c:ser>
        <c:ser>
          <c:idx val="51"/>
          <c:order val="6"/>
          <c:tx>
            <c:strRef>
              <c:f>'CumCapAdd Summary'!$B$44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rgbClr val="2C4D7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Summary'!$C$44:$V$44</c15:sqref>
                  </c15:fullRef>
                </c:ext>
              </c:extLst>
              <c:f>'CumCapAdd Summary'!$C$44:$Q$44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DA-44BC-B16A-60DAA3BE2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52"/>
                <c:order val="7"/>
                <c:tx>
                  <c:strRef>
                    <c:extLst>
                      <c:ext uri="{02D57815-91ED-43cb-92C2-25804820EDAC}">
                        <c15:formulaRef>
                          <c15:sqref>'CumCapAdd Summary'!$B$38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rgbClr val="772C2A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Summary'!$C$38:$V$38</c15:sqref>
                        </c15:fullRef>
                        <c15:formulaRef>
                          <c15:sqref>'CumCapAdd Summary'!$C$38:$Q$38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155.136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C6DA-44BC-B16A-60DAA3BE2EC9}"/>
                  </c:ext>
                </c:extLst>
              </c15:ser>
            </c15:filteredBarSeries>
            <c15:filteredBarSeries>
              <c15:ser>
                <c:idx val="5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Summary'!$B$40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5F753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Summary'!$C$40:$V$40</c15:sqref>
                        </c15:fullRef>
                        <c15:formulaRef>
                          <c15:sqref>'CumCapAdd Summary'!$C$40:$Q$40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6DA-44BC-B16A-60DAA3BE2EC9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8123861607545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Summary'!$A$47:$A$55</c:f>
          <c:strCache>
            <c:ptCount val="9"/>
            <c:pt idx="0">
              <c:v>SH-CC Only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6"/>
          <c:order val="0"/>
          <c:tx>
            <c:strRef>
              <c:f>'CumCapAdd Summary'!$B$47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Summary'!$C$47:$V$47</c15:sqref>
                  </c15:fullRef>
                </c:ext>
              </c:extLst>
              <c:f>'CumCapAdd Summary'!$C$47:$Q$47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401</c:v>
                </c:pt>
                <c:pt idx="5">
                  <c:v>401</c:v>
                </c:pt>
                <c:pt idx="6">
                  <c:v>401</c:v>
                </c:pt>
                <c:pt idx="7">
                  <c:v>401</c:v>
                </c:pt>
                <c:pt idx="8">
                  <c:v>401</c:v>
                </c:pt>
                <c:pt idx="9">
                  <c:v>401</c:v>
                </c:pt>
                <c:pt idx="10">
                  <c:v>401</c:v>
                </c:pt>
                <c:pt idx="11">
                  <c:v>401</c:v>
                </c:pt>
                <c:pt idx="12">
                  <c:v>401</c:v>
                </c:pt>
                <c:pt idx="13">
                  <c:v>401</c:v>
                </c:pt>
                <c:pt idx="1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F-4DA0-AFDC-A2CE03D3BAA8}"/>
            </c:ext>
          </c:extLst>
        </c:ser>
        <c:ser>
          <c:idx val="38"/>
          <c:order val="1"/>
          <c:tx>
            <c:strRef>
              <c:f>'CumCapAdd Summary'!$B$48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Summary'!$C$48:$V$48</c15:sqref>
                  </c15:fullRef>
                </c:ext>
              </c:extLst>
              <c:f>'CumCapAdd Summary'!$C$48:$Q$48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303.59295499021528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F-4DA0-AFDC-A2CE03D3BAA8}"/>
            </c:ext>
          </c:extLst>
        </c:ser>
        <c:ser>
          <c:idx val="37"/>
          <c:order val="3"/>
          <c:tx>
            <c:strRef>
              <c:f>'CumCapAdd Summary'!$B$50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Summary'!$C$50:$V$50</c15:sqref>
                  </c15:fullRef>
                </c:ext>
              </c:extLst>
              <c:f>'CumCapAdd Summary'!$C$50:$Q$50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F-4DA0-AFDC-A2CE03D3BAA8}"/>
            </c:ext>
          </c:extLst>
        </c:ser>
        <c:ser>
          <c:idx val="41"/>
          <c:order val="5"/>
          <c:tx>
            <c:strRef>
              <c:f>'CumCapAdd Summary'!$B$52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Summary'!$C$52:$V$52</c15:sqref>
                  </c15:fullRef>
                </c:ext>
              </c:extLst>
              <c:f>'CumCapAdd Summary'!$C$52:$Q$52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0F-4DA0-AFDC-A2CE03D3BAA8}"/>
            </c:ext>
          </c:extLst>
        </c:ser>
        <c:ser>
          <c:idx val="42"/>
          <c:order val="6"/>
          <c:tx>
            <c:strRef>
              <c:f>'CumCapAdd Summary'!$B$53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Summary'!$C$53:$V$53</c15:sqref>
                  </c15:fullRef>
                </c:ext>
              </c:extLst>
              <c:f>'CumCapAdd Summary'!$C$53:$Q$53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0F-4DA0-AFDC-A2CE03D3BAA8}"/>
            </c:ext>
          </c:extLst>
        </c:ser>
        <c:ser>
          <c:idx val="43"/>
          <c:order val="7"/>
          <c:tx>
            <c:strRef>
              <c:f>'CumCapAdd Summary'!$B$54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Summary'!$C$54:$V$54</c15:sqref>
                  </c15:fullRef>
                </c:ext>
              </c:extLst>
              <c:f>'CumCapAdd Summary'!$C$54:$Q$54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50F-4DA0-AFDC-A2CE03D3BAA8}"/>
            </c:ext>
          </c:extLst>
        </c:ser>
        <c:ser>
          <c:idx val="44"/>
          <c:order val="8"/>
          <c:tx>
            <c:strRef>
              <c:f>'CumCapAdd Summary'!$B$55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Summary'!$C$55:$V$55</c15:sqref>
                  </c15:fullRef>
                </c:ext>
              </c:extLst>
              <c:f>'CumCapAdd Summary'!$C$55:$Q$55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50F-4DA0-AFDC-A2CE03D3B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9"/>
                <c:order val="2"/>
                <c:tx>
                  <c:strRef>
                    <c:extLst>
                      <c:ext uri="{02D57815-91ED-43cb-92C2-25804820EDAC}">
                        <c15:formulaRef>
                          <c15:sqref>'CumCapAdd Summary'!$B$49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Summary'!$C$49:$V$49</c15:sqref>
                        </c15:fullRef>
                        <c15:formulaRef>
                          <c15:sqref>'CumCapAdd Summary'!$C$49:$Q$49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155.136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50F-4DA0-AFDC-A2CE03D3BAA8}"/>
                  </c:ext>
                </c:extLst>
              </c15:ser>
            </c15:filteredBarSeries>
            <c15:filteredBarSeries>
              <c15:ser>
                <c:idx val="4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Summary'!$B$51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00B0F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Summary'!$C$51:$V$51</c15:sqref>
                        </c15:fullRef>
                        <c15:formulaRef>
                          <c15:sqref>'CumCapAdd Summary'!$C$51:$Q$51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50F-4DA0-AFDC-A2CE03D3BAA8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'CumCapAdd Summary'!$A$58:$A$66</c:f>
          <c:strCache>
            <c:ptCount val="9"/>
            <c:pt idx="0">
              <c:v>Preferred 112619</c:v>
            </c:pt>
          </c:strCache>
        </c:strRef>
      </c:tx>
      <c:layout>
        <c:manualLayout>
          <c:xMode val="edge"/>
          <c:yMode val="edge"/>
          <c:x val="0.43877811254387888"/>
          <c:y val="4.267989407320778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6"/>
          <c:order val="0"/>
          <c:tx>
            <c:strRef>
              <c:f>'CumCapAdd Summary'!$B$58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Summary'!$C$58:$V$58</c15:sqref>
                  </c15:fullRef>
                </c:ext>
              </c:extLst>
              <c:f>'CumCapAdd Summary'!$C$58:$Q$58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3-4FBF-AD88-5A4E589FFBAE}"/>
            </c:ext>
          </c:extLst>
        </c:ser>
        <c:ser>
          <c:idx val="38"/>
          <c:order val="1"/>
          <c:tx>
            <c:strRef>
              <c:f>'CumCapAdd Summary'!$B$59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Summary'!$C$59:$V$59</c15:sqref>
                  </c15:fullRef>
                </c:ext>
              </c:extLst>
              <c:f>'CumCapAdd Summary'!$C$59:$Q$59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101.1976516634051</c:v>
                </c:pt>
                <c:pt idx="4">
                  <c:v>252.99412915851272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252.99412915851272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3-4FBF-AD88-5A4E589FFBAE}"/>
            </c:ext>
          </c:extLst>
        </c:ser>
        <c:ser>
          <c:idx val="37"/>
          <c:order val="3"/>
          <c:tx>
            <c:strRef>
              <c:f>'CumCapAdd Summary'!$B$61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Summary'!$C$61:$V$61</c15:sqref>
                  </c15:fullRef>
                </c:ext>
              </c:extLst>
              <c:f>'CumCapAdd Summary'!$C$61:$Q$61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100.00000000000001</c:v>
                </c:pt>
                <c:pt idx="9">
                  <c:v>100.00000000000001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3-4FBF-AD88-5A4E589FFBAE}"/>
            </c:ext>
          </c:extLst>
        </c:ser>
        <c:ser>
          <c:idx val="41"/>
          <c:order val="5"/>
          <c:tx>
            <c:strRef>
              <c:f>'CumCapAdd Summary'!$B$63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Summary'!$C$63:$V$63</c15:sqref>
                  </c15:fullRef>
                </c:ext>
              </c:extLst>
              <c:f>'CumCapAdd Summary'!$C$63:$Q$63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2.2439366100000004</c:v>
                </c:pt>
                <c:pt idx="3">
                  <c:v>4.1465125399999998</c:v>
                </c:pt>
                <c:pt idx="4">
                  <c:v>5.7666461999999994</c:v>
                </c:pt>
                <c:pt idx="5">
                  <c:v>5.3229115699999996</c:v>
                </c:pt>
                <c:pt idx="6">
                  <c:v>4.8196818799999992</c:v>
                </c:pt>
                <c:pt idx="7">
                  <c:v>4.3036119299999998</c:v>
                </c:pt>
                <c:pt idx="8">
                  <c:v>3.7311688300000005</c:v>
                </c:pt>
                <c:pt idx="9">
                  <c:v>3.0433396000000004</c:v>
                </c:pt>
                <c:pt idx="10">
                  <c:v>3.1768784099999996</c:v>
                </c:pt>
                <c:pt idx="11">
                  <c:v>2.9678235900000001</c:v>
                </c:pt>
                <c:pt idx="12">
                  <c:v>2.7281158000000003</c:v>
                </c:pt>
                <c:pt idx="13">
                  <c:v>2.1085409799999999</c:v>
                </c:pt>
                <c:pt idx="14">
                  <c:v>1.7993302199999999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E3-4FBF-AD88-5A4E589FFBAE}"/>
            </c:ext>
          </c:extLst>
        </c:ser>
        <c:ser>
          <c:idx val="42"/>
          <c:order val="6"/>
          <c:tx>
            <c:strRef>
              <c:f>'CumCapAdd Summary'!$B$64</c:f>
              <c:strCache>
                <c:ptCount val="1"/>
                <c:pt idx="0">
                  <c:v>New VVO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Summary'!$C$64:$V$64</c15:sqref>
                  </c15:fullRef>
                </c:ext>
              </c:extLst>
              <c:f>'CumCapAdd Summary'!$C$64:$Q$64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4.2698</c:v>
                </c:pt>
                <c:pt idx="5">
                  <c:v>4.2698</c:v>
                </c:pt>
                <c:pt idx="6">
                  <c:v>4.2698</c:v>
                </c:pt>
                <c:pt idx="7">
                  <c:v>4.2698</c:v>
                </c:pt>
                <c:pt idx="8">
                  <c:v>4.2698</c:v>
                </c:pt>
                <c:pt idx="9">
                  <c:v>4.2698</c:v>
                </c:pt>
                <c:pt idx="10">
                  <c:v>4.2698</c:v>
                </c:pt>
                <c:pt idx="11">
                  <c:v>7.5539000000000005</c:v>
                </c:pt>
                <c:pt idx="12">
                  <c:v>7.5539000000000005</c:v>
                </c:pt>
                <c:pt idx="13">
                  <c:v>7.5539000000000005</c:v>
                </c:pt>
                <c:pt idx="14">
                  <c:v>7.5539000000000005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E3-4FBF-AD88-5A4E589FFBAE}"/>
            </c:ext>
          </c:extLst>
        </c:ser>
        <c:ser>
          <c:idx val="43"/>
          <c:order val="7"/>
          <c:tx>
            <c:strRef>
              <c:f>'CumCapAdd Summary'!$B$65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Summary'!$C$65:$V$65</c15:sqref>
                  </c15:fullRef>
                </c:ext>
              </c:extLst>
              <c:f>'CumCapAdd Summary'!$C$65:$Q$65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1.022</c:v>
                </c:pt>
                <c:pt idx="4">
                  <c:v>1.5329999999999999</c:v>
                </c:pt>
                <c:pt idx="5">
                  <c:v>1.5329999999999999</c:v>
                </c:pt>
                <c:pt idx="6">
                  <c:v>1.5329999999999999</c:v>
                </c:pt>
                <c:pt idx="7">
                  <c:v>2.044</c:v>
                </c:pt>
                <c:pt idx="8">
                  <c:v>2.044</c:v>
                </c:pt>
                <c:pt idx="9">
                  <c:v>2.5550000000000002</c:v>
                </c:pt>
                <c:pt idx="10">
                  <c:v>3.0659999999999998</c:v>
                </c:pt>
                <c:pt idx="11">
                  <c:v>3.577</c:v>
                </c:pt>
                <c:pt idx="12">
                  <c:v>3.577</c:v>
                </c:pt>
                <c:pt idx="13">
                  <c:v>4.0880000000000001</c:v>
                </c:pt>
                <c:pt idx="14">
                  <c:v>4.5990000000000002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9CE3-4FBF-AD88-5A4E589FFBAE}"/>
            </c:ext>
          </c:extLst>
        </c:ser>
        <c:ser>
          <c:idx val="44"/>
          <c:order val="8"/>
          <c:tx>
            <c:strRef>
              <c:f>'CumCapAdd Summary'!$B$66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'CumCapAdd Summary'!$C$2:$V$2</c15:sqref>
                  </c15:fullRef>
                </c:ext>
              </c:extLst>
              <c:f>'CumCapAdd Summary'!$C$2:$Q$2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'CumCapAdd Summary'!$C$66:$V$66</c15:sqref>
                  </c15:fullRef>
                </c:ext>
              </c:extLst>
              <c:f>'CumCapAdd Summary'!$C$66:$Q$66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CE3-4FBF-AD88-5A4E589FF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310168"/>
        <c:axId val="1147300984"/>
        <c:extLst>
          <c:ext xmlns:c15="http://schemas.microsoft.com/office/drawing/2012/chart" uri="{02D57815-91ED-43cb-92C2-25804820EDAC}">
            <c15:filteredBarSeries>
              <c15:ser>
                <c:idx val="39"/>
                <c:order val="2"/>
                <c:tx>
                  <c:strRef>
                    <c:extLst>
                      <c:ext uri="{02D57815-91ED-43cb-92C2-25804820EDAC}">
                        <c15:formulaRef>
                          <c15:sqref>'CumCapAdd Summary'!$B$60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'CumCapAdd Summary'!$C$60:$V$60</c15:sqref>
                        </c15:fullRef>
                        <c15:formulaRef>
                          <c15:sqref>'CumCapAdd Summary'!$C$60:$Q$60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51.712000000000003</c:v>
                      </c:pt>
                      <c:pt idx="4">
                        <c:v>129.28</c:v>
                      </c:pt>
                      <c:pt idx="5">
                        <c:v>129.28</c:v>
                      </c:pt>
                      <c:pt idx="6">
                        <c:v>129.28</c:v>
                      </c:pt>
                      <c:pt idx="7">
                        <c:v>129.28</c:v>
                      </c:pt>
                      <c:pt idx="8">
                        <c:v>129.28</c:v>
                      </c:pt>
                      <c:pt idx="9">
                        <c:v>129.28</c:v>
                      </c:pt>
                      <c:pt idx="10">
                        <c:v>129.28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CE3-4FBF-AD88-5A4E589FFBAE}"/>
                  </c:ext>
                </c:extLst>
              </c15:ser>
            </c15:filteredBarSeries>
            <c15:filteredBarSeries>
              <c15:ser>
                <c:idx val="4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'CumCapAdd Summary'!$B$62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rgbClr val="00B0F0"/>
                  </a:solidFill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Summary'!$C$2:$V$2</c15:sqref>
                        </c15:fullRef>
                        <c15:formulaRef>
                          <c15:sqref>'CumCapAdd Summary'!$C$2:$Q$2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'CumCapAdd Summary'!$C$62:$V$62</c15:sqref>
                        </c15:fullRef>
                        <c15:formulaRef>
                          <c15:sqref>'CumCapAdd Summary'!$C$62:$Q$62</c15:sqref>
                        </c15:formulaRef>
                      </c:ext>
                    </c:extLst>
                    <c:numCache>
                      <c:formatCode>#,##0_);[Red]\(#,##0\)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12.3</c:v>
                      </c:pt>
                      <c:pt idx="9">
                        <c:v>12.3</c:v>
                      </c:pt>
                      <c:pt idx="10">
                        <c:v>24.6</c:v>
                      </c:pt>
                      <c:pt idx="11">
                        <c:v>24.6</c:v>
                      </c:pt>
                      <c:pt idx="12">
                        <c:v>24.6</c:v>
                      </c:pt>
                      <c:pt idx="13">
                        <c:v>24.6</c:v>
                      </c:pt>
                      <c:pt idx="14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CE3-4FBF-AD88-5A4E589FFBAE}"/>
                  </c:ext>
                </c:extLst>
              </c15:ser>
            </c15:filteredBarSeries>
          </c:ext>
        </c:extLst>
      </c:barChart>
      <c:catAx>
        <c:axId val="114731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0984"/>
        <c:crosses val="autoZero"/>
        <c:auto val="1"/>
        <c:lblAlgn val="ctr"/>
        <c:lblOffset val="100"/>
        <c:noMultiLvlLbl val="0"/>
      </c:catAx>
      <c:valAx>
        <c:axId val="1147300984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1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06583130057142"/>
          <c:y val="7.7273741681845226E-2"/>
          <c:w val="0.17466592498145114"/>
          <c:h val="0.8669241762997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3" dropStyle="combo" dx="16" fmlaLink="source!$A$1" fmlaRange="source!$A$2:$A$29" noThreeD="1" sel="27" val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3</xdr:row>
          <xdr:rowOff>180975</xdr:rowOff>
        </xdr:from>
        <xdr:to>
          <xdr:col>6</xdr:col>
          <xdr:colOff>133350</xdr:colOff>
          <xdr:row>4</xdr:row>
          <xdr:rowOff>190500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203338</xdr:colOff>
      <xdr:row>4</xdr:row>
      <xdr:rowOff>26505</xdr:rowOff>
    </xdr:from>
    <xdr:to>
      <xdr:col>22</xdr:col>
      <xdr:colOff>660538</xdr:colOff>
      <xdr:row>20</xdr:row>
      <xdr:rowOff>121755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10126</xdr:colOff>
      <xdr:row>2</xdr:row>
      <xdr:rowOff>0</xdr:rowOff>
    </xdr:from>
    <xdr:to>
      <xdr:col>33</xdr:col>
      <xdr:colOff>581626</xdr:colOff>
      <xdr:row>10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10126</xdr:colOff>
      <xdr:row>13</xdr:row>
      <xdr:rowOff>0</xdr:rowOff>
    </xdr:from>
    <xdr:to>
      <xdr:col>33</xdr:col>
      <xdr:colOff>581626</xdr:colOff>
      <xdr:row>21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10126</xdr:colOff>
      <xdr:row>24</xdr:row>
      <xdr:rowOff>0</xdr:rowOff>
    </xdr:from>
    <xdr:to>
      <xdr:col>33</xdr:col>
      <xdr:colOff>581626</xdr:colOff>
      <xdr:row>32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10126</xdr:colOff>
      <xdr:row>35</xdr:row>
      <xdr:rowOff>0</xdr:rowOff>
    </xdr:from>
    <xdr:to>
      <xdr:col>33</xdr:col>
      <xdr:colOff>581626</xdr:colOff>
      <xdr:row>43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6908</xdr:colOff>
      <xdr:row>46</xdr:row>
      <xdr:rowOff>0</xdr:rowOff>
    </xdr:from>
    <xdr:to>
      <xdr:col>33</xdr:col>
      <xdr:colOff>578408</xdr:colOff>
      <xdr:row>54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57</xdr:row>
      <xdr:rowOff>0</xdr:rowOff>
    </xdr:from>
    <xdr:to>
      <xdr:col>33</xdr:col>
      <xdr:colOff>571500</xdr:colOff>
      <xdr:row>65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8"/>
  <sheetViews>
    <sheetView topLeftCell="J1" zoomScale="70" zoomScaleNormal="70" workbookViewId="0">
      <selection activeCell="AG6" sqref="AG6"/>
    </sheetView>
  </sheetViews>
  <sheetFormatPr defaultColWidth="9" defaultRowHeight="15" x14ac:dyDescent="0.25"/>
  <cols>
    <col min="1" max="1" width="18.875" style="72" bestFit="1" customWidth="1"/>
    <col min="2" max="2" width="10.125" style="72" bestFit="1" customWidth="1"/>
    <col min="3" max="3" width="10.25" style="70" customWidth="1"/>
    <col min="4" max="5" width="11.25" style="70" customWidth="1"/>
    <col min="6" max="6" width="11" style="70" customWidth="1"/>
    <col min="7" max="8" width="11.75" style="70" customWidth="1"/>
    <col min="9" max="9" width="13.625" style="70" bestFit="1" customWidth="1"/>
    <col min="10" max="15" width="13.625" style="70" customWidth="1"/>
    <col min="16" max="16" width="9.875" style="70" customWidth="1"/>
    <col min="17" max="17" width="11.5" style="70" customWidth="1"/>
    <col min="18" max="18" width="11.125" style="70" customWidth="1"/>
    <col min="19" max="19" width="11.5" style="70" customWidth="1"/>
    <col min="20" max="20" width="10.25" style="70" customWidth="1"/>
    <col min="21" max="21" width="11.625" style="70" customWidth="1"/>
    <col min="22" max="22" width="12" style="70" bestFit="1" customWidth="1"/>
    <col min="23" max="23" width="12.75" style="70" bestFit="1" customWidth="1"/>
    <col min="24" max="24" width="10.375" style="70" customWidth="1"/>
    <col min="25" max="25" width="11.75" style="70" customWidth="1"/>
    <col min="26" max="26" width="9.875" style="70" customWidth="1"/>
    <col min="27" max="27" width="9.25" style="70" customWidth="1"/>
    <col min="28" max="28" width="9.875" style="70" customWidth="1"/>
    <col min="29" max="29" width="10.25" style="70" customWidth="1"/>
    <col min="30" max="31" width="9.875" style="70" customWidth="1"/>
    <col min="32" max="32" width="11.875" style="70" customWidth="1"/>
    <col min="33" max="33" width="10.625" style="70" bestFit="1" customWidth="1"/>
    <col min="34" max="36" width="8" style="70" customWidth="1"/>
    <col min="37" max="39" width="9" style="70"/>
    <col min="40" max="40" width="11.125" style="70" bestFit="1" customWidth="1"/>
    <col min="41" max="41" width="10.125" style="70" bestFit="1" customWidth="1"/>
    <col min="42" max="55" width="9" style="70"/>
    <col min="56" max="56" width="9.25" style="70" bestFit="1" customWidth="1"/>
    <col min="57" max="16384" width="9" style="70"/>
  </cols>
  <sheetData>
    <row r="1" spans="1:57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7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7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7" ht="26.25" x14ac:dyDescent="0.25">
      <c r="A4" s="145" t="s">
        <v>64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7" ht="26.25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</row>
    <row r="6" spans="1:57" s="72" customFormat="1" ht="135" x14ac:dyDescent="0.25">
      <c r="A6" s="71"/>
      <c r="B6" s="72" t="s">
        <v>1</v>
      </c>
      <c r="C6" s="72" t="s">
        <v>2</v>
      </c>
      <c r="D6" s="72" t="s">
        <v>3</v>
      </c>
      <c r="E6" s="72" t="s">
        <v>18</v>
      </c>
      <c r="F6" s="72" t="s">
        <v>19</v>
      </c>
      <c r="G6" s="72" t="s">
        <v>20</v>
      </c>
      <c r="H6" s="72" t="s">
        <v>21</v>
      </c>
      <c r="I6" s="72" t="s">
        <v>22</v>
      </c>
      <c r="J6" s="73" t="s">
        <v>31</v>
      </c>
      <c r="K6" s="73" t="s">
        <v>32</v>
      </c>
      <c r="L6" s="73" t="s">
        <v>33</v>
      </c>
      <c r="M6" s="73" t="s">
        <v>34</v>
      </c>
      <c r="N6" s="72" t="s">
        <v>4</v>
      </c>
      <c r="O6" s="72" t="s">
        <v>5</v>
      </c>
      <c r="P6" s="72" t="s">
        <v>6</v>
      </c>
      <c r="Q6" s="72" t="s">
        <v>7</v>
      </c>
      <c r="R6" s="72" t="s">
        <v>8</v>
      </c>
      <c r="S6" s="72" t="s">
        <v>9</v>
      </c>
      <c r="T6" s="72" t="s">
        <v>10</v>
      </c>
      <c r="U6" s="72" t="s">
        <v>11</v>
      </c>
      <c r="V6" s="72" t="s">
        <v>23</v>
      </c>
      <c r="W6" s="72" t="s">
        <v>12</v>
      </c>
      <c r="X6" s="72" t="s">
        <v>13</v>
      </c>
      <c r="Y6" s="72" t="s">
        <v>14</v>
      </c>
      <c r="Z6" s="72" t="s">
        <v>15</v>
      </c>
      <c r="AA6" s="72" t="s">
        <v>16</v>
      </c>
      <c r="AB6" s="74" t="s">
        <v>24</v>
      </c>
      <c r="AC6" s="72" t="s">
        <v>25</v>
      </c>
      <c r="AD6" s="75"/>
      <c r="AE6" s="71" t="s">
        <v>47</v>
      </c>
      <c r="AF6" s="71" t="s">
        <v>48</v>
      </c>
      <c r="AG6" s="71"/>
      <c r="AH6" s="71"/>
      <c r="AK6" s="76"/>
      <c r="AL6" s="76"/>
      <c r="AM6" s="76"/>
      <c r="AN6" s="76"/>
      <c r="AW6" s="76"/>
      <c r="AX6" s="76"/>
      <c r="AY6" s="76"/>
      <c r="AZ6" s="76"/>
      <c r="BA6" s="76"/>
      <c r="BB6" s="76"/>
      <c r="BC6" s="76"/>
      <c r="BD6" s="76"/>
      <c r="BE6" s="76"/>
    </row>
    <row r="7" spans="1:57" x14ac:dyDescent="0.25">
      <c r="A7" s="71">
        <v>2020</v>
      </c>
      <c r="B7" s="77">
        <v>978.44832799999995</v>
      </c>
      <c r="C7" s="77">
        <v>1065.530229192</v>
      </c>
      <c r="D7" s="77">
        <v>1302</v>
      </c>
      <c r="E7" s="77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80">
        <v>0</v>
      </c>
      <c r="S7" s="77">
        <v>0</v>
      </c>
      <c r="T7" s="77">
        <v>0</v>
      </c>
      <c r="U7" s="77">
        <v>0</v>
      </c>
      <c r="V7" s="77">
        <v>0</v>
      </c>
      <c r="W7" s="77">
        <v>1302</v>
      </c>
      <c r="X7" s="77">
        <v>236.46977080800002</v>
      </c>
      <c r="Y7" s="80">
        <v>33.067834318993292</v>
      </c>
      <c r="Z7" s="81">
        <v>236.46977080800002</v>
      </c>
      <c r="AA7" s="74">
        <v>33.067834318993292</v>
      </c>
      <c r="AB7" s="82">
        <v>0</v>
      </c>
      <c r="AC7" s="83">
        <v>0</v>
      </c>
      <c r="AD7" s="84">
        <v>2020</v>
      </c>
      <c r="AE7" s="85">
        <v>0</v>
      </c>
      <c r="AF7" s="85">
        <v>0</v>
      </c>
      <c r="AG7" s="78"/>
      <c r="AH7" s="81"/>
      <c r="AI7" s="81"/>
      <c r="AJ7" s="72"/>
      <c r="AK7" s="76"/>
      <c r="AL7" s="76"/>
      <c r="AM7" s="76"/>
      <c r="AN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71">
        <v>2021</v>
      </c>
      <c r="B8" s="77">
        <v>982.75606000000005</v>
      </c>
      <c r="C8" s="77">
        <v>1069.6316957040001</v>
      </c>
      <c r="D8" s="77">
        <v>1302</v>
      </c>
      <c r="E8" s="77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9">
        <v>0</v>
      </c>
      <c r="Q8" s="79">
        <v>0</v>
      </c>
      <c r="R8" s="80">
        <v>0</v>
      </c>
      <c r="S8" s="77">
        <v>0</v>
      </c>
      <c r="T8" s="77">
        <v>0</v>
      </c>
      <c r="U8" s="77">
        <v>0</v>
      </c>
      <c r="V8" s="77">
        <v>0</v>
      </c>
      <c r="W8" s="77">
        <v>1302</v>
      </c>
      <c r="X8" s="77">
        <v>232.36830429599991</v>
      </c>
      <c r="Y8" s="80">
        <v>32.484555729933625</v>
      </c>
      <c r="Z8" s="81">
        <v>232.36830429599991</v>
      </c>
      <c r="AA8" s="74">
        <v>32.484555729933625</v>
      </c>
      <c r="AB8" s="82">
        <v>0</v>
      </c>
      <c r="AC8" s="82">
        <v>0</v>
      </c>
      <c r="AD8" s="84">
        <v>2021</v>
      </c>
      <c r="AE8" s="85">
        <v>0</v>
      </c>
      <c r="AF8" s="85">
        <v>0</v>
      </c>
      <c r="AG8" s="78"/>
      <c r="AH8" s="81"/>
      <c r="AI8" s="81"/>
      <c r="AJ8" s="72"/>
      <c r="AK8" s="76"/>
      <c r="AL8" s="76"/>
      <c r="AM8" s="76"/>
      <c r="AN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71">
        <v>2022</v>
      </c>
      <c r="B9" s="77">
        <v>988.71687199999997</v>
      </c>
      <c r="C9" s="77">
        <v>1076.4160585463999</v>
      </c>
      <c r="D9" s="77">
        <v>935.22</v>
      </c>
      <c r="E9" s="77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9">
        <v>1.9677670100000002</v>
      </c>
      <c r="Q9" s="79">
        <v>0.27616960000000002</v>
      </c>
      <c r="R9" s="80">
        <v>0</v>
      </c>
      <c r="S9" s="77">
        <v>0</v>
      </c>
      <c r="T9" s="77">
        <v>0</v>
      </c>
      <c r="U9" s="77">
        <v>0</v>
      </c>
      <c r="V9" s="77">
        <v>150</v>
      </c>
      <c r="W9" s="77">
        <v>1087.46393661</v>
      </c>
      <c r="X9" s="77">
        <v>-141.19605854639985</v>
      </c>
      <c r="Y9" s="80">
        <v>-5.4107372408630185</v>
      </c>
      <c r="Z9" s="81">
        <v>11.047878063600137</v>
      </c>
      <c r="AA9" s="74">
        <v>9.9873955230734701</v>
      </c>
      <c r="AB9" s="82">
        <v>0</v>
      </c>
      <c r="AC9" s="71">
        <v>0</v>
      </c>
      <c r="AD9" s="84">
        <v>2022</v>
      </c>
      <c r="AE9" s="87">
        <v>0</v>
      </c>
      <c r="AF9" s="85">
        <v>0</v>
      </c>
      <c r="AG9" s="78"/>
      <c r="AH9" s="81"/>
      <c r="AI9" s="81"/>
      <c r="AJ9" s="72"/>
      <c r="AK9" s="76"/>
      <c r="AL9" s="76"/>
      <c r="AM9" s="76"/>
      <c r="AN9" s="86"/>
      <c r="AW9" s="86"/>
      <c r="AX9" s="86"/>
      <c r="AY9" s="86"/>
      <c r="AZ9" s="86"/>
      <c r="BA9" s="86"/>
      <c r="BB9" s="86"/>
      <c r="BC9" s="86"/>
      <c r="BD9" s="86"/>
      <c r="BE9" s="86"/>
    </row>
    <row r="10" spans="1:57" x14ac:dyDescent="0.25">
      <c r="A10" s="71">
        <v>2023</v>
      </c>
      <c r="B10" s="77">
        <v>988.93489999999997</v>
      </c>
      <c r="C10" s="77">
        <v>1076.6534256299999</v>
      </c>
      <c r="D10" s="77">
        <v>935.22</v>
      </c>
      <c r="E10" s="77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9">
        <v>3.63475174</v>
      </c>
      <c r="Q10" s="79">
        <v>0.51176080000000002</v>
      </c>
      <c r="R10" s="80">
        <v>1.022</v>
      </c>
      <c r="S10" s="77">
        <v>51.712000000000003</v>
      </c>
      <c r="T10" s="77">
        <v>0</v>
      </c>
      <c r="U10" s="77">
        <v>0</v>
      </c>
      <c r="V10" s="77">
        <v>100</v>
      </c>
      <c r="W10" s="77">
        <v>1092.10051254</v>
      </c>
      <c r="X10" s="77">
        <v>-141.43342562999987</v>
      </c>
      <c r="Y10" s="80">
        <v>-5.4315910986658418</v>
      </c>
      <c r="Z10" s="81">
        <v>15.447086910000053</v>
      </c>
      <c r="AA10" s="74">
        <v>10.431992291909204</v>
      </c>
      <c r="AB10" s="82">
        <v>101.1976516634051</v>
      </c>
      <c r="AC10" s="71">
        <v>0</v>
      </c>
      <c r="AD10" s="84">
        <v>2023</v>
      </c>
      <c r="AE10" s="87">
        <v>0</v>
      </c>
      <c r="AF10" s="85">
        <v>0</v>
      </c>
      <c r="AG10" s="78"/>
      <c r="AH10" s="81"/>
      <c r="AI10" s="81"/>
      <c r="AJ10" s="72"/>
      <c r="AK10" s="76"/>
      <c r="AL10" s="76"/>
      <c r="AM10" s="76"/>
      <c r="AN10" s="86"/>
      <c r="AW10" s="86"/>
      <c r="AX10" s="86"/>
      <c r="AY10" s="86"/>
      <c r="AZ10" s="86"/>
      <c r="BA10" s="86"/>
      <c r="BB10" s="86"/>
      <c r="BC10" s="86"/>
      <c r="BD10" s="86"/>
      <c r="BE10" s="86"/>
    </row>
    <row r="11" spans="1:57" x14ac:dyDescent="0.25">
      <c r="A11" s="71">
        <v>2024</v>
      </c>
      <c r="B11" s="77">
        <v>986.23383969999998</v>
      </c>
      <c r="C11" s="77">
        <v>1073.7127812813899</v>
      </c>
      <c r="D11" s="77">
        <v>935.22</v>
      </c>
      <c r="E11" s="77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9">
        <v>5.0181850799999994</v>
      </c>
      <c r="Q11" s="79">
        <v>0.74846111999999998</v>
      </c>
      <c r="R11" s="80">
        <v>1.5329999999999999</v>
      </c>
      <c r="S11" s="77">
        <v>129.28</v>
      </c>
      <c r="T11" s="77">
        <v>4.2698</v>
      </c>
      <c r="U11" s="77">
        <v>0</v>
      </c>
      <c r="V11" s="77">
        <v>0</v>
      </c>
      <c r="W11" s="77">
        <v>1076.0694462000001</v>
      </c>
      <c r="X11" s="77">
        <v>-138.49278128138985</v>
      </c>
      <c r="Y11" s="80">
        <v>-5.1725906825015979</v>
      </c>
      <c r="Z11" s="81">
        <v>2.3566649186102495</v>
      </c>
      <c r="AA11" s="74">
        <v>9.1089559984401891</v>
      </c>
      <c r="AB11" s="82">
        <v>252.99412915851272</v>
      </c>
      <c r="AC11" s="71">
        <v>0</v>
      </c>
      <c r="AD11" s="84">
        <v>2024</v>
      </c>
      <c r="AE11" s="87">
        <v>50.598825831702548</v>
      </c>
      <c r="AF11" s="85">
        <v>0</v>
      </c>
      <c r="AG11" s="78"/>
      <c r="AH11" s="81"/>
      <c r="AI11" s="81"/>
      <c r="AJ11" s="72"/>
      <c r="AK11" s="76"/>
      <c r="AL11" s="76"/>
      <c r="AM11" s="76"/>
      <c r="AN11" s="86"/>
      <c r="AW11" s="86"/>
      <c r="AX11" s="86"/>
      <c r="AY11" s="86"/>
      <c r="AZ11" s="86"/>
      <c r="BA11" s="86"/>
      <c r="BB11" s="86"/>
      <c r="BC11" s="86"/>
      <c r="BD11" s="86"/>
      <c r="BE11" s="86"/>
    </row>
    <row r="12" spans="1:57" x14ac:dyDescent="0.25">
      <c r="A12" s="71">
        <v>2025</v>
      </c>
      <c r="B12" s="77">
        <v>983.64800720000005</v>
      </c>
      <c r="C12" s="77">
        <v>1070.8975854386401</v>
      </c>
      <c r="D12" s="77">
        <v>935.22</v>
      </c>
      <c r="E12" s="77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9">
        <v>4.5919020899999996</v>
      </c>
      <c r="Q12" s="79">
        <v>0.73100947999999999</v>
      </c>
      <c r="R12" s="80">
        <v>1.5329999999999999</v>
      </c>
      <c r="S12" s="77">
        <v>129.28</v>
      </c>
      <c r="T12" s="77">
        <v>4.2698</v>
      </c>
      <c r="U12" s="77">
        <v>0</v>
      </c>
      <c r="V12" s="77">
        <v>0</v>
      </c>
      <c r="W12" s="77">
        <v>1075.62571157</v>
      </c>
      <c r="X12" s="77">
        <v>-135.67758543864011</v>
      </c>
      <c r="Y12" s="80">
        <v>-4.9233065939769052</v>
      </c>
      <c r="Z12" s="81">
        <v>4.7281261313598861</v>
      </c>
      <c r="AA12" s="74">
        <v>9.3506725674988953</v>
      </c>
      <c r="AB12" s="82">
        <v>252.99412915851272</v>
      </c>
      <c r="AC12" s="71">
        <v>0</v>
      </c>
      <c r="AD12" s="84">
        <v>2025</v>
      </c>
      <c r="AE12" s="87">
        <v>0</v>
      </c>
      <c r="AF12" s="85">
        <v>0</v>
      </c>
      <c r="AG12" s="78"/>
      <c r="AH12" s="81"/>
      <c r="AI12" s="81"/>
      <c r="AJ12" s="72"/>
      <c r="AK12" s="76"/>
      <c r="AL12" s="76"/>
      <c r="AM12" s="76"/>
      <c r="AN12" s="86"/>
      <c r="AW12" s="86"/>
      <c r="AX12" s="86"/>
      <c r="AY12" s="86"/>
      <c r="AZ12" s="86"/>
      <c r="BA12" s="86"/>
      <c r="BB12" s="86"/>
      <c r="BC12" s="86"/>
      <c r="BD12" s="86"/>
      <c r="BE12" s="86"/>
    </row>
    <row r="13" spans="1:57" x14ac:dyDescent="0.25">
      <c r="A13" s="71">
        <v>2026</v>
      </c>
      <c r="B13" s="77">
        <v>981.35104530000001</v>
      </c>
      <c r="C13" s="77">
        <v>1068.39688301811</v>
      </c>
      <c r="D13" s="77">
        <v>935.22</v>
      </c>
      <c r="E13" s="77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9">
        <v>4.1206435399999997</v>
      </c>
      <c r="Q13" s="79">
        <v>0.69903833999999998</v>
      </c>
      <c r="R13" s="80">
        <v>1.5329999999999999</v>
      </c>
      <c r="S13" s="77">
        <v>129.28</v>
      </c>
      <c r="T13" s="77">
        <v>4.2698</v>
      </c>
      <c r="U13" s="77">
        <v>0</v>
      </c>
      <c r="V13" s="77">
        <v>0</v>
      </c>
      <c r="W13" s="77">
        <v>1075.1224818800001</v>
      </c>
      <c r="X13" s="77">
        <v>-133.17688301810995</v>
      </c>
      <c r="Y13" s="80">
        <v>-4.7007689573406095</v>
      </c>
      <c r="Z13" s="81">
        <v>6.7255988618901483</v>
      </c>
      <c r="AA13" s="74">
        <v>9.5553407752609143</v>
      </c>
      <c r="AB13" s="82">
        <v>252.99412915851272</v>
      </c>
      <c r="AC13" s="71">
        <v>0</v>
      </c>
      <c r="AD13" s="84">
        <v>2026</v>
      </c>
      <c r="AE13" s="87">
        <v>0</v>
      </c>
      <c r="AF13" s="85">
        <v>0</v>
      </c>
      <c r="AG13" s="78"/>
      <c r="AH13" s="81"/>
      <c r="AI13" s="81"/>
      <c r="AJ13" s="72"/>
      <c r="AK13" s="76"/>
      <c r="AL13" s="76"/>
      <c r="AM13" s="76"/>
      <c r="AN13" s="86"/>
      <c r="AW13" s="86"/>
      <c r="AX13" s="86"/>
      <c r="AY13" s="86"/>
      <c r="AZ13" s="86"/>
      <c r="BA13" s="86"/>
      <c r="BB13" s="86"/>
      <c r="BC13" s="86"/>
      <c r="BD13" s="86"/>
      <c r="BE13" s="86"/>
    </row>
    <row r="14" spans="1:57" x14ac:dyDescent="0.25">
      <c r="A14" s="71">
        <v>2027</v>
      </c>
      <c r="B14" s="77">
        <v>980.03577410000003</v>
      </c>
      <c r="C14" s="77">
        <v>1066.96494726267</v>
      </c>
      <c r="D14" s="77">
        <v>935.22</v>
      </c>
      <c r="E14" s="77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9">
        <v>3.6492290199999999</v>
      </c>
      <c r="Q14" s="79">
        <v>0.65438290999999993</v>
      </c>
      <c r="R14" s="80">
        <v>2.044</v>
      </c>
      <c r="S14" s="77">
        <v>129.28</v>
      </c>
      <c r="T14" s="77">
        <v>4.2698</v>
      </c>
      <c r="U14" s="77">
        <v>0</v>
      </c>
      <c r="V14" s="77">
        <v>0</v>
      </c>
      <c r="W14" s="77">
        <v>1075.1174119300001</v>
      </c>
      <c r="X14" s="77">
        <v>-131.74494726266994</v>
      </c>
      <c r="Y14" s="80">
        <v>-4.5728712445375619</v>
      </c>
      <c r="Z14" s="81">
        <v>8.1524646673301504</v>
      </c>
      <c r="AA14" s="74">
        <v>9.7018537835842551</v>
      </c>
      <c r="AB14" s="82">
        <v>252.99412915851272</v>
      </c>
      <c r="AC14" s="71">
        <v>0</v>
      </c>
      <c r="AD14" s="84">
        <v>2027</v>
      </c>
      <c r="AE14" s="87">
        <v>0</v>
      </c>
      <c r="AF14" s="85">
        <v>0</v>
      </c>
      <c r="AG14" s="78"/>
      <c r="AH14" s="81"/>
      <c r="AI14" s="81"/>
      <c r="AJ14" s="72"/>
      <c r="AK14" s="76"/>
      <c r="AL14" s="76"/>
      <c r="AM14" s="76"/>
      <c r="AN14" s="86"/>
      <c r="AW14" s="86"/>
      <c r="AX14" s="86"/>
      <c r="AY14" s="86"/>
      <c r="AZ14" s="86"/>
      <c r="BA14" s="86"/>
      <c r="BB14" s="86"/>
      <c r="BC14" s="86"/>
      <c r="BD14" s="86"/>
      <c r="BE14" s="86"/>
    </row>
    <row r="15" spans="1:57" x14ac:dyDescent="0.25">
      <c r="A15" s="71">
        <v>2028</v>
      </c>
      <c r="B15" s="77">
        <v>979.17846269999995</v>
      </c>
      <c r="C15" s="77">
        <v>1066.0315923414898</v>
      </c>
      <c r="D15" s="77">
        <v>935.22</v>
      </c>
      <c r="E15" s="77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9">
        <v>3.1316829900000003</v>
      </c>
      <c r="Q15" s="79">
        <v>0.59948584000000005</v>
      </c>
      <c r="R15" s="80">
        <v>2.044</v>
      </c>
      <c r="S15" s="77">
        <v>129.28</v>
      </c>
      <c r="T15" s="77">
        <v>4.2698</v>
      </c>
      <c r="U15" s="77">
        <v>12.3</v>
      </c>
      <c r="V15" s="77">
        <v>0</v>
      </c>
      <c r="W15" s="77">
        <v>1086.84496883</v>
      </c>
      <c r="X15" s="77">
        <v>-130.81159234148981</v>
      </c>
      <c r="Y15" s="80">
        <v>-4.4893208311371824</v>
      </c>
      <c r="Z15" s="81">
        <v>20.81337648851013</v>
      </c>
      <c r="AA15" s="74">
        <v>10.995595821533792</v>
      </c>
      <c r="AB15" s="82">
        <v>252.99412915851272</v>
      </c>
      <c r="AC15" s="71">
        <v>100.00000000000001</v>
      </c>
      <c r="AD15" s="84">
        <v>2028</v>
      </c>
      <c r="AE15" s="87">
        <v>0</v>
      </c>
      <c r="AF15" s="85">
        <v>0</v>
      </c>
      <c r="AG15" s="78"/>
      <c r="AH15" s="81"/>
      <c r="AI15" s="81"/>
      <c r="AJ15" s="72"/>
      <c r="AK15" s="76"/>
      <c r="AL15" s="76"/>
      <c r="AM15" s="76"/>
      <c r="AN15" s="86"/>
      <c r="AW15" s="86"/>
      <c r="AX15" s="86"/>
      <c r="AY15" s="86"/>
      <c r="AZ15" s="86"/>
      <c r="BA15" s="86"/>
      <c r="BB15" s="86"/>
      <c r="BC15" s="86"/>
      <c r="BD15" s="86"/>
      <c r="BE15" s="86"/>
    </row>
    <row r="16" spans="1:57" x14ac:dyDescent="0.25">
      <c r="A16" s="71">
        <v>2029</v>
      </c>
      <c r="B16" s="77">
        <v>979.29262740000001</v>
      </c>
      <c r="C16" s="77">
        <v>1066.1558834503801</v>
      </c>
      <c r="D16" s="77">
        <v>935.22</v>
      </c>
      <c r="E16" s="77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9">
        <v>2.5241813200000003</v>
      </c>
      <c r="Q16" s="79">
        <v>0.51915827999999997</v>
      </c>
      <c r="R16" s="80">
        <v>2.5550000000000002</v>
      </c>
      <c r="S16" s="77">
        <v>129.28</v>
      </c>
      <c r="T16" s="77">
        <v>4.2698</v>
      </c>
      <c r="U16" s="77">
        <v>12.3</v>
      </c>
      <c r="V16" s="77">
        <v>0</v>
      </c>
      <c r="W16" s="77">
        <v>1086.6681396000001</v>
      </c>
      <c r="X16" s="77">
        <v>-130.93588345038006</v>
      </c>
      <c r="Y16" s="80">
        <v>-4.5004553457133465</v>
      </c>
      <c r="Z16" s="81">
        <v>20.512256149620043</v>
      </c>
      <c r="AA16" s="74">
        <v>10.964599262334865</v>
      </c>
      <c r="AB16" s="82">
        <v>252.99412915851272</v>
      </c>
      <c r="AC16" s="71">
        <v>100.00000000000001</v>
      </c>
      <c r="AD16" s="84">
        <v>2029</v>
      </c>
      <c r="AE16" s="87">
        <v>101.19765166340508</v>
      </c>
      <c r="AF16" s="85">
        <v>0</v>
      </c>
      <c r="AG16" s="78"/>
      <c r="AH16" s="88"/>
      <c r="AI16" s="81"/>
      <c r="AJ16" s="72"/>
      <c r="AK16" s="76"/>
      <c r="AL16" s="76"/>
      <c r="AM16" s="76"/>
      <c r="AN16" s="86"/>
      <c r="AW16" s="86"/>
      <c r="AX16" s="86"/>
      <c r="AY16" s="86"/>
      <c r="AZ16" s="86"/>
      <c r="BA16" s="86"/>
      <c r="BB16" s="86"/>
      <c r="BC16" s="86"/>
      <c r="BD16" s="86"/>
      <c r="BE16" s="86"/>
    </row>
    <row r="17" spans="1:57" x14ac:dyDescent="0.25">
      <c r="A17" s="71">
        <v>2030</v>
      </c>
      <c r="B17" s="77">
        <v>978.39803830000005</v>
      </c>
      <c r="C17" s="77">
        <v>1065.1819442972101</v>
      </c>
      <c r="D17" s="77">
        <v>935.22</v>
      </c>
      <c r="E17" s="77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9">
        <v>1.9907104</v>
      </c>
      <c r="Q17" s="79">
        <v>1.1861680099999998</v>
      </c>
      <c r="R17" s="80">
        <v>3.0659999999999998</v>
      </c>
      <c r="S17" s="77">
        <v>129.28</v>
      </c>
      <c r="T17" s="77">
        <v>4.2698</v>
      </c>
      <c r="U17" s="77">
        <v>24.6</v>
      </c>
      <c r="V17" s="77">
        <v>0</v>
      </c>
      <c r="W17" s="77">
        <v>1099.6126784099999</v>
      </c>
      <c r="X17" s="77">
        <v>-129.96194429721004</v>
      </c>
      <c r="Y17" s="80">
        <v>-4.4131362298133112</v>
      </c>
      <c r="Z17" s="81">
        <v>34.430734112789878</v>
      </c>
      <c r="AA17" s="74">
        <v>12.389092717378549</v>
      </c>
      <c r="AB17" s="82">
        <v>252.99412915851272</v>
      </c>
      <c r="AC17" s="71">
        <v>200.00000000000003</v>
      </c>
      <c r="AD17" s="84">
        <v>2030</v>
      </c>
      <c r="AE17" s="87">
        <v>0</v>
      </c>
      <c r="AF17" s="85">
        <v>0</v>
      </c>
      <c r="AG17" s="78"/>
      <c r="AH17" s="81"/>
      <c r="AI17" s="81"/>
      <c r="AJ17" s="72"/>
      <c r="AK17" s="76"/>
      <c r="AL17" s="76"/>
      <c r="AM17" s="76"/>
      <c r="AN17" s="86"/>
      <c r="AW17" s="86"/>
      <c r="AX17" s="86"/>
      <c r="AY17" s="86"/>
      <c r="AZ17" s="86"/>
      <c r="BA17" s="86"/>
      <c r="BB17" s="86"/>
      <c r="BC17" s="86"/>
      <c r="BD17" s="86"/>
      <c r="BE17" s="86"/>
    </row>
    <row r="18" spans="1:57" x14ac:dyDescent="0.25">
      <c r="A18" s="71">
        <v>2031</v>
      </c>
      <c r="B18" s="77">
        <v>978.36417019999999</v>
      </c>
      <c r="C18" s="77">
        <v>1065.14507209674</v>
      </c>
      <c r="D18" s="77">
        <v>673.32</v>
      </c>
      <c r="E18" s="77">
        <v>0</v>
      </c>
      <c r="F18" s="78">
        <v>0</v>
      </c>
      <c r="G18" s="78">
        <v>0</v>
      </c>
      <c r="H18" s="78">
        <v>0</v>
      </c>
      <c r="I18" s="78">
        <v>122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9">
        <v>1.4846615999999999</v>
      </c>
      <c r="Q18" s="79">
        <v>1.4831619900000002</v>
      </c>
      <c r="R18" s="80">
        <v>3.577</v>
      </c>
      <c r="S18" s="77">
        <v>232.70400000000001</v>
      </c>
      <c r="T18" s="77">
        <v>7.5539000000000005</v>
      </c>
      <c r="U18" s="77">
        <v>24.6</v>
      </c>
      <c r="V18" s="77">
        <v>0</v>
      </c>
      <c r="W18" s="77">
        <v>1066.72272359</v>
      </c>
      <c r="X18" s="77">
        <v>-391.82507209673997</v>
      </c>
      <c r="Y18" s="80">
        <v>-31.179000569659244</v>
      </c>
      <c r="Z18" s="81">
        <v>1.5776514932599639</v>
      </c>
      <c r="AA18" s="74">
        <v>9.0312540137214441</v>
      </c>
      <c r="AB18" s="82">
        <v>455.38943248532291</v>
      </c>
      <c r="AC18" s="71">
        <v>200.00000000000003</v>
      </c>
      <c r="AD18" s="84">
        <v>2031</v>
      </c>
      <c r="AE18" s="87">
        <v>202.39530332681022</v>
      </c>
      <c r="AF18" s="85">
        <v>0</v>
      </c>
      <c r="AG18" s="78"/>
      <c r="AH18" s="81"/>
      <c r="AI18" s="81"/>
      <c r="AJ18" s="72"/>
      <c r="AK18" s="76"/>
      <c r="AL18" s="76"/>
      <c r="AM18" s="76"/>
      <c r="AN18" s="86"/>
      <c r="AW18" s="86"/>
      <c r="AX18" s="86"/>
      <c r="AY18" s="86"/>
      <c r="AZ18" s="86"/>
      <c r="BA18" s="86"/>
      <c r="BB18" s="86"/>
      <c r="BC18" s="86"/>
      <c r="BD18" s="86"/>
      <c r="BE18" s="86"/>
    </row>
    <row r="19" spans="1:57" x14ac:dyDescent="0.25">
      <c r="A19" s="71">
        <v>2032</v>
      </c>
      <c r="B19" s="77">
        <v>978.39624730000003</v>
      </c>
      <c r="C19" s="77">
        <v>1065.17999443551</v>
      </c>
      <c r="D19" s="77">
        <v>673.32</v>
      </c>
      <c r="E19" s="77">
        <v>0</v>
      </c>
      <c r="F19" s="78">
        <v>0</v>
      </c>
      <c r="G19" s="78">
        <v>0</v>
      </c>
      <c r="H19" s="78">
        <v>0</v>
      </c>
      <c r="I19" s="78">
        <v>122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9">
        <v>1.0684643999999999</v>
      </c>
      <c r="Q19" s="79">
        <v>1.6596514000000002</v>
      </c>
      <c r="R19" s="80">
        <v>3.577</v>
      </c>
      <c r="S19" s="77">
        <v>232.70400000000001</v>
      </c>
      <c r="T19" s="77">
        <v>7.5539000000000005</v>
      </c>
      <c r="U19" s="77">
        <v>24.6</v>
      </c>
      <c r="V19" s="77">
        <v>0</v>
      </c>
      <c r="W19" s="77">
        <v>1066.4830158</v>
      </c>
      <c r="X19" s="77">
        <v>-391.85999443550998</v>
      </c>
      <c r="Y19" s="80">
        <v>-31.181256892786934</v>
      </c>
      <c r="Z19" s="81">
        <v>1.3030213644899504</v>
      </c>
      <c r="AA19" s="74">
        <v>9.0031793093121308</v>
      </c>
      <c r="AB19" s="82">
        <v>455.38943248532291</v>
      </c>
      <c r="AC19" s="71">
        <v>200.00000000000003</v>
      </c>
      <c r="AD19" s="84">
        <v>2032</v>
      </c>
      <c r="AE19" s="87">
        <v>0</v>
      </c>
      <c r="AF19" s="85">
        <v>0</v>
      </c>
      <c r="AG19" s="78"/>
      <c r="AH19" s="81"/>
      <c r="AI19" s="81"/>
      <c r="AJ19" s="72"/>
      <c r="AK19" s="76"/>
      <c r="AL19" s="76"/>
      <c r="AM19" s="76"/>
      <c r="AN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71">
        <v>2033</v>
      </c>
      <c r="B20" s="77">
        <v>978.26869109999996</v>
      </c>
      <c r="C20" s="77">
        <v>1065.0411240005699</v>
      </c>
      <c r="D20" s="77">
        <v>673.32</v>
      </c>
      <c r="E20" s="77">
        <v>0</v>
      </c>
      <c r="F20" s="78">
        <v>0</v>
      </c>
      <c r="G20" s="78">
        <v>0</v>
      </c>
      <c r="H20" s="78">
        <v>0</v>
      </c>
      <c r="I20" s="78">
        <v>122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9">
        <v>0.73407924999999996</v>
      </c>
      <c r="Q20" s="79">
        <v>1.3744617300000002</v>
      </c>
      <c r="R20" s="80">
        <v>4.0880000000000001</v>
      </c>
      <c r="S20" s="77">
        <v>232.70400000000001</v>
      </c>
      <c r="T20" s="77">
        <v>7.5539000000000005</v>
      </c>
      <c r="U20" s="77">
        <v>24.6</v>
      </c>
      <c r="V20" s="77">
        <v>0</v>
      </c>
      <c r="W20" s="77">
        <v>1066.3744409800001</v>
      </c>
      <c r="X20" s="77">
        <v>-391.72112400056983</v>
      </c>
      <c r="Y20" s="80">
        <v>-31.172283634785941</v>
      </c>
      <c r="Z20" s="81">
        <v>1.3333169794302648</v>
      </c>
      <c r="AA20" s="74">
        <v>9.0062935348499149</v>
      </c>
      <c r="AB20" s="82">
        <v>455.38943248532291</v>
      </c>
      <c r="AC20" s="71">
        <v>200.00000000000003</v>
      </c>
      <c r="AD20" s="84">
        <v>2033</v>
      </c>
      <c r="AE20" s="85">
        <v>101.19765166340505</v>
      </c>
      <c r="AF20" s="85">
        <v>0</v>
      </c>
      <c r="AG20" s="78"/>
      <c r="AH20" s="81"/>
      <c r="AI20" s="81"/>
      <c r="AJ20" s="72"/>
      <c r="AK20" s="76"/>
      <c r="AL20" s="76"/>
      <c r="AM20" s="76"/>
      <c r="AN20" s="86"/>
      <c r="AW20" s="86"/>
      <c r="AX20" s="86"/>
      <c r="AY20" s="86"/>
      <c r="AZ20" s="86"/>
      <c r="BA20" s="86"/>
      <c r="BB20" s="86"/>
      <c r="BC20" s="86"/>
      <c r="BD20" s="86"/>
      <c r="BE20" s="86"/>
    </row>
    <row r="21" spans="1:57" x14ac:dyDescent="0.25">
      <c r="A21" s="71">
        <v>2034</v>
      </c>
      <c r="B21" s="77">
        <v>978.94262839999999</v>
      </c>
      <c r="C21" s="77">
        <v>1065.7748395390799</v>
      </c>
      <c r="D21" s="77">
        <v>673.32</v>
      </c>
      <c r="E21" s="77">
        <v>0</v>
      </c>
      <c r="F21" s="78">
        <v>0</v>
      </c>
      <c r="G21" s="78">
        <v>0</v>
      </c>
      <c r="H21" s="78">
        <v>0</v>
      </c>
      <c r="I21" s="78">
        <v>122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9">
        <v>0.45037349999999998</v>
      </c>
      <c r="Q21" s="79">
        <v>1.3489567199999999</v>
      </c>
      <c r="R21" s="80">
        <v>4.5990000000000002</v>
      </c>
      <c r="S21" s="77">
        <v>232.70400000000001</v>
      </c>
      <c r="T21" s="77">
        <v>7.5539000000000005</v>
      </c>
      <c r="U21" s="77">
        <v>24.6</v>
      </c>
      <c r="V21" s="77">
        <v>0</v>
      </c>
      <c r="W21" s="77">
        <v>1066.5762302200001</v>
      </c>
      <c r="X21" s="77">
        <v>-392.4548395390799</v>
      </c>
      <c r="Y21" s="80">
        <v>-31.219666968585752</v>
      </c>
      <c r="Z21" s="81">
        <v>0.80139068092012167</v>
      </c>
      <c r="AA21" s="74">
        <v>8.9518628852877598</v>
      </c>
      <c r="AB21" s="82">
        <v>455.38943248532291</v>
      </c>
      <c r="AC21" s="71">
        <v>200.00000000000003</v>
      </c>
      <c r="AD21" s="84">
        <v>2034</v>
      </c>
      <c r="AE21" s="85">
        <v>0</v>
      </c>
      <c r="AF21" s="85">
        <v>0</v>
      </c>
      <c r="AG21" s="78"/>
      <c r="AH21" s="81"/>
      <c r="AI21" s="81"/>
      <c r="AJ21" s="72"/>
      <c r="AK21" s="76"/>
      <c r="AL21" s="76"/>
      <c r="AM21" s="76"/>
      <c r="AN21" s="86"/>
      <c r="AW21" s="86"/>
      <c r="AX21" s="86"/>
      <c r="AY21" s="86"/>
      <c r="AZ21" s="86"/>
      <c r="BA21" s="86"/>
      <c r="BB21" s="86"/>
      <c r="BC21" s="86"/>
      <c r="BD21" s="86"/>
      <c r="BE21" s="86"/>
    </row>
    <row r="22" spans="1:57" x14ac:dyDescent="0.25">
      <c r="A22" s="71">
        <v>2035</v>
      </c>
      <c r="B22" s="77">
        <v>979.31914659999995</v>
      </c>
      <c r="C22" s="77">
        <v>1066.1847549034198</v>
      </c>
      <c r="D22" s="77">
        <v>673.32</v>
      </c>
      <c r="E22" s="77">
        <v>0</v>
      </c>
      <c r="F22" s="78">
        <v>0</v>
      </c>
      <c r="G22" s="78">
        <v>0</v>
      </c>
      <c r="H22" s="78">
        <v>0</v>
      </c>
      <c r="I22" s="78">
        <v>122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9">
        <v>0.24479604999999999</v>
      </c>
      <c r="Q22" s="79">
        <v>1.5525101700000001</v>
      </c>
      <c r="R22" s="80">
        <v>4.5990000000000002</v>
      </c>
      <c r="S22" s="77">
        <v>232.70400000000001</v>
      </c>
      <c r="T22" s="77">
        <v>7.5539000000000005</v>
      </c>
      <c r="U22" s="77">
        <v>24.6</v>
      </c>
      <c r="V22" s="77">
        <v>0</v>
      </c>
      <c r="W22" s="77">
        <v>1066.5742062200002</v>
      </c>
      <c r="X22" s="77">
        <v>-392.86475490341979</v>
      </c>
      <c r="Y22" s="80">
        <v>-31.246110898818603</v>
      </c>
      <c r="Z22" s="81">
        <v>0.38945131658033461</v>
      </c>
      <c r="AA22" s="74">
        <v>8.9097675587097758</v>
      </c>
      <c r="AB22" s="82">
        <v>455.38943248532291</v>
      </c>
      <c r="AC22" s="71">
        <v>200.00000000000003</v>
      </c>
      <c r="AD22" s="84">
        <v>2035</v>
      </c>
      <c r="AE22" s="85">
        <v>0</v>
      </c>
      <c r="AF22" s="85">
        <v>0</v>
      </c>
      <c r="AG22" s="78"/>
      <c r="AH22" s="81"/>
      <c r="AI22" s="81"/>
      <c r="AJ22" s="72"/>
      <c r="AK22" s="76"/>
      <c r="AL22" s="76"/>
      <c r="AM22" s="76"/>
      <c r="AN22" s="86"/>
      <c r="AW22" s="86"/>
      <c r="AX22" s="86"/>
      <c r="AY22" s="86"/>
      <c r="AZ22" s="86"/>
      <c r="BA22" s="86"/>
      <c r="BB22" s="86"/>
      <c r="BC22" s="86"/>
      <c r="BD22" s="86"/>
      <c r="BE22" s="86"/>
    </row>
    <row r="23" spans="1:57" x14ac:dyDescent="0.25">
      <c r="A23" s="71">
        <v>2036</v>
      </c>
      <c r="B23" s="77">
        <v>980.35040309999999</v>
      </c>
      <c r="C23" s="77">
        <v>1067.3074838549701</v>
      </c>
      <c r="D23" s="77">
        <v>673.32</v>
      </c>
      <c r="E23" s="77">
        <v>0</v>
      </c>
      <c r="F23" s="78">
        <v>0</v>
      </c>
      <c r="G23" s="78">
        <v>0</v>
      </c>
      <c r="H23" s="78">
        <v>0</v>
      </c>
      <c r="I23" s="78">
        <v>122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9">
        <v>0.11237424999999999</v>
      </c>
      <c r="Q23" s="79">
        <v>1.94259326</v>
      </c>
      <c r="R23" s="80">
        <v>5.1100000000000003</v>
      </c>
      <c r="S23" s="77">
        <v>232.70400000000001</v>
      </c>
      <c r="T23" s="77">
        <v>7.5539000000000005</v>
      </c>
      <c r="U23" s="77">
        <v>24.6</v>
      </c>
      <c r="V23" s="77">
        <v>0</v>
      </c>
      <c r="W23" s="77">
        <v>1067.3428675100001</v>
      </c>
      <c r="X23" s="77">
        <v>-393.98748385497004</v>
      </c>
      <c r="Y23" s="80">
        <v>-31.318434931951728</v>
      </c>
      <c r="Z23" s="81">
        <v>3.5383655030045702E-2</v>
      </c>
      <c r="AA23" s="74">
        <v>8.8736092865283922</v>
      </c>
      <c r="AB23" s="82">
        <v>455.38943248532291</v>
      </c>
      <c r="AC23" s="71">
        <v>200.00000000000003</v>
      </c>
      <c r="AD23" s="84">
        <v>2036</v>
      </c>
      <c r="AE23" s="85">
        <v>0</v>
      </c>
      <c r="AF23" s="85">
        <v>0</v>
      </c>
      <c r="AG23" s="78"/>
      <c r="AI23" s="72"/>
      <c r="AJ23" s="72"/>
    </row>
    <row r="24" spans="1:57" x14ac:dyDescent="0.25">
      <c r="A24" s="71">
        <v>2037</v>
      </c>
      <c r="B24" s="77">
        <v>980.0781882</v>
      </c>
      <c r="C24" s="77">
        <v>1067.0111234933399</v>
      </c>
      <c r="D24" s="77">
        <v>673.32</v>
      </c>
      <c r="E24" s="77">
        <v>0</v>
      </c>
      <c r="F24" s="78">
        <v>0</v>
      </c>
      <c r="G24" s="78">
        <v>0</v>
      </c>
      <c r="H24" s="78">
        <v>0</v>
      </c>
      <c r="I24" s="78">
        <v>122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9">
        <v>4.9478149999999999E-2</v>
      </c>
      <c r="Q24" s="79">
        <v>1.69398337</v>
      </c>
      <c r="R24" s="80">
        <v>5.1100000000000003</v>
      </c>
      <c r="S24" s="77">
        <v>232.70400000000001</v>
      </c>
      <c r="T24" s="77">
        <v>7.5539000000000005</v>
      </c>
      <c r="U24" s="77">
        <v>24.6</v>
      </c>
      <c r="V24" s="77">
        <v>0</v>
      </c>
      <c r="W24" s="77">
        <v>1067.03136152</v>
      </c>
      <c r="X24" s="77">
        <v>-393.69112349333989</v>
      </c>
      <c r="Y24" s="80">
        <v>-31.299358754569205</v>
      </c>
      <c r="Z24" s="81">
        <v>2.0238026660081232E-2</v>
      </c>
      <c r="AA24" s="74">
        <v>8.8720649400123062</v>
      </c>
      <c r="AB24" s="82">
        <v>455.38943248532291</v>
      </c>
      <c r="AC24" s="71">
        <v>200.00000000000003</v>
      </c>
      <c r="AD24" s="84">
        <v>2037</v>
      </c>
      <c r="AE24" s="85">
        <v>0</v>
      </c>
      <c r="AF24" s="85">
        <v>0</v>
      </c>
      <c r="AG24" s="78"/>
      <c r="AI24" s="72"/>
      <c r="AJ24" s="72"/>
    </row>
    <row r="25" spans="1:57" x14ac:dyDescent="0.25">
      <c r="A25" s="71">
        <v>2038</v>
      </c>
      <c r="B25" s="77">
        <v>980.58980340000005</v>
      </c>
      <c r="C25" s="77">
        <v>1067.56811896158</v>
      </c>
      <c r="D25" s="77">
        <v>673.32</v>
      </c>
      <c r="E25" s="77">
        <v>0</v>
      </c>
      <c r="F25" s="78">
        <v>0</v>
      </c>
      <c r="G25" s="78">
        <v>0</v>
      </c>
      <c r="H25" s="78">
        <v>0</v>
      </c>
      <c r="I25" s="78">
        <v>122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9">
        <v>2.0478449999999999E-2</v>
      </c>
      <c r="Q25" s="79">
        <v>1.2640084300000001</v>
      </c>
      <c r="R25" s="80">
        <v>5.6210000000000004</v>
      </c>
      <c r="S25" s="77">
        <v>232.70400000000001</v>
      </c>
      <c r="T25" s="77">
        <v>7.5539000000000005</v>
      </c>
      <c r="U25" s="77">
        <v>36.9</v>
      </c>
      <c r="V25" s="77">
        <v>0</v>
      </c>
      <c r="W25" s="77">
        <v>1079.38338688</v>
      </c>
      <c r="X25" s="77">
        <v>-394.24811896157996</v>
      </c>
      <c r="Y25" s="80">
        <v>-31.33520278658855</v>
      </c>
      <c r="Z25" s="81">
        <v>11.815267918419977</v>
      </c>
      <c r="AA25" s="74">
        <v>10.074914417573265</v>
      </c>
      <c r="AB25" s="82">
        <v>455.38943248532291</v>
      </c>
      <c r="AC25" s="71">
        <v>300</v>
      </c>
      <c r="AD25" s="84">
        <v>2038</v>
      </c>
      <c r="AE25" s="85">
        <v>0</v>
      </c>
      <c r="AF25" s="85">
        <v>0</v>
      </c>
      <c r="AG25" s="78"/>
      <c r="AI25" s="72"/>
      <c r="AJ25" s="72"/>
    </row>
    <row r="26" spans="1:57" x14ac:dyDescent="0.25">
      <c r="A26" s="71">
        <v>2039</v>
      </c>
      <c r="B26" s="77">
        <v>981.03517420000003</v>
      </c>
      <c r="C26" s="77">
        <v>1068.0529941515401</v>
      </c>
      <c r="D26" s="77">
        <v>673.32</v>
      </c>
      <c r="E26" s="77">
        <v>0</v>
      </c>
      <c r="F26" s="78">
        <v>0</v>
      </c>
      <c r="G26" s="78">
        <v>0</v>
      </c>
      <c r="H26" s="78">
        <v>0</v>
      </c>
      <c r="I26" s="78">
        <v>122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9">
        <v>4.4529000000000001E-3</v>
      </c>
      <c r="Q26" s="79">
        <v>0.87687201999999997</v>
      </c>
      <c r="R26" s="80">
        <v>5.6210000000000004</v>
      </c>
      <c r="S26" s="77">
        <v>232.70400000000001</v>
      </c>
      <c r="T26" s="77">
        <v>3.2841</v>
      </c>
      <c r="U26" s="77">
        <v>36.9</v>
      </c>
      <c r="V26" s="77">
        <v>0</v>
      </c>
      <c r="W26" s="77">
        <v>1074.7104249200002</v>
      </c>
      <c r="X26" s="77">
        <v>-394.73299415154008</v>
      </c>
      <c r="Y26" s="80">
        <v>-31.366375262837131</v>
      </c>
      <c r="Z26" s="81">
        <v>6.6574307684600171</v>
      </c>
      <c r="AA26" s="74">
        <v>9.5486128513576496</v>
      </c>
      <c r="AB26" s="82">
        <v>455.38943248532291</v>
      </c>
      <c r="AC26" s="71">
        <v>300</v>
      </c>
      <c r="AD26" s="84">
        <v>2039</v>
      </c>
      <c r="AE26" s="85">
        <v>0</v>
      </c>
      <c r="AF26" s="85">
        <v>0</v>
      </c>
      <c r="AG26" s="78"/>
      <c r="AI26" s="72"/>
      <c r="AJ26" s="72"/>
    </row>
    <row r="27" spans="1:57" x14ac:dyDescent="0.25">
      <c r="A27" s="71">
        <v>2040</v>
      </c>
      <c r="B27" s="77">
        <v>982.70653419999996</v>
      </c>
      <c r="C27" s="77">
        <v>1069.8726037835399</v>
      </c>
      <c r="D27" s="77">
        <v>673.32</v>
      </c>
      <c r="E27" s="77">
        <v>0</v>
      </c>
      <c r="F27" s="78">
        <v>0</v>
      </c>
      <c r="G27" s="78">
        <v>0</v>
      </c>
      <c r="H27" s="78">
        <v>0</v>
      </c>
      <c r="I27" s="78">
        <v>122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9">
        <v>0</v>
      </c>
      <c r="Q27" s="79">
        <v>0.58653029999999995</v>
      </c>
      <c r="R27" s="80">
        <v>6.1319999999999997</v>
      </c>
      <c r="S27" s="77">
        <v>232.70400000000001</v>
      </c>
      <c r="T27" s="77">
        <v>3.2841</v>
      </c>
      <c r="U27" s="77">
        <v>36.9</v>
      </c>
      <c r="V27" s="77">
        <v>0</v>
      </c>
      <c r="W27" s="77">
        <v>1074.9266302999999</v>
      </c>
      <c r="X27" s="77">
        <v>-396.55260378353989</v>
      </c>
      <c r="Y27" s="80">
        <v>-31.48310542697925</v>
      </c>
      <c r="Z27" s="81">
        <v>5.0540265164599987</v>
      </c>
      <c r="AA27" s="74">
        <v>9.3842966227017452</v>
      </c>
      <c r="AB27" s="82">
        <v>455.38943248532291</v>
      </c>
      <c r="AC27" s="71">
        <v>300</v>
      </c>
      <c r="AD27" s="84">
        <v>2040</v>
      </c>
      <c r="AE27" s="85">
        <v>0</v>
      </c>
      <c r="AF27" s="85">
        <v>0</v>
      </c>
      <c r="AG27" s="78"/>
      <c r="AI27" s="72"/>
      <c r="AJ27" s="72"/>
    </row>
    <row r="28" spans="1:57" x14ac:dyDescent="0.25">
      <c r="A28" s="71">
        <v>2041</v>
      </c>
      <c r="B28" s="77">
        <v>982.87818389999995</v>
      </c>
      <c r="C28" s="77">
        <v>1070.0594788119299</v>
      </c>
      <c r="D28" s="77">
        <v>673.32</v>
      </c>
      <c r="E28" s="77">
        <v>0</v>
      </c>
      <c r="F28" s="78">
        <v>0</v>
      </c>
      <c r="G28" s="78">
        <v>0</v>
      </c>
      <c r="H28" s="78">
        <v>0</v>
      </c>
      <c r="I28" s="78">
        <v>122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9">
        <v>0</v>
      </c>
      <c r="Q28" s="79">
        <v>0.37018020000000001</v>
      </c>
      <c r="R28" s="80">
        <v>6.1319999999999997</v>
      </c>
      <c r="S28" s="77">
        <v>232.70400000000001</v>
      </c>
      <c r="T28" s="77">
        <v>3.2841</v>
      </c>
      <c r="U28" s="77">
        <v>36.9</v>
      </c>
      <c r="V28" s="77">
        <v>0</v>
      </c>
      <c r="W28" s="77">
        <v>1074.7102801999999</v>
      </c>
      <c r="X28" s="77">
        <v>-396.73947881192987</v>
      </c>
      <c r="Y28" s="80">
        <v>-31.495071207267227</v>
      </c>
      <c r="Z28" s="81">
        <v>4.6508013880700219</v>
      </c>
      <c r="AA28" s="74">
        <v>9.3431818717977748</v>
      </c>
      <c r="AB28" s="82">
        <v>455.38943248532291</v>
      </c>
      <c r="AC28" s="71">
        <v>300</v>
      </c>
      <c r="AD28" s="84">
        <v>2041</v>
      </c>
      <c r="AE28" s="85">
        <v>0</v>
      </c>
      <c r="AF28" s="85">
        <v>0</v>
      </c>
      <c r="AG28" s="78"/>
      <c r="AI28" s="72"/>
      <c r="AJ28" s="72"/>
    </row>
    <row r="29" spans="1:57" x14ac:dyDescent="0.25">
      <c r="A29" s="71">
        <v>2042</v>
      </c>
      <c r="B29" s="77">
        <v>983.3314388</v>
      </c>
      <c r="C29" s="77">
        <v>1070.55293742156</v>
      </c>
      <c r="D29" s="77">
        <v>673.32</v>
      </c>
      <c r="E29" s="77">
        <v>0</v>
      </c>
      <c r="F29" s="78">
        <v>0</v>
      </c>
      <c r="G29" s="78">
        <v>0</v>
      </c>
      <c r="H29" s="78">
        <v>0</v>
      </c>
      <c r="I29" s="78">
        <v>122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9">
        <v>0</v>
      </c>
      <c r="Q29" s="79">
        <v>0.20161784999999999</v>
      </c>
      <c r="R29" s="80">
        <v>6.6429999999999998</v>
      </c>
      <c r="S29" s="77">
        <v>232.70400000000001</v>
      </c>
      <c r="T29" s="77">
        <v>3.2841</v>
      </c>
      <c r="U29" s="77">
        <v>36.9</v>
      </c>
      <c r="V29" s="77">
        <v>0</v>
      </c>
      <c r="W29" s="77">
        <v>1075.0527178500001</v>
      </c>
      <c r="X29" s="77">
        <v>-397.23293742156</v>
      </c>
      <c r="Y29" s="80">
        <v>-31.526647737239006</v>
      </c>
      <c r="Z29" s="81">
        <v>4.49978042844009</v>
      </c>
      <c r="AA29" s="74">
        <v>9.3276056709761477</v>
      </c>
      <c r="AB29" s="82">
        <v>455.38943248532291</v>
      </c>
      <c r="AC29" s="71">
        <v>300</v>
      </c>
      <c r="AD29" s="84">
        <v>2042</v>
      </c>
      <c r="AE29" s="85">
        <v>0</v>
      </c>
      <c r="AF29" s="85">
        <v>0</v>
      </c>
      <c r="AG29" s="78"/>
      <c r="AI29" s="72"/>
      <c r="AJ29" s="72"/>
    </row>
    <row r="30" spans="1:57" x14ac:dyDescent="0.25">
      <c r="A30" s="71">
        <v>2043</v>
      </c>
      <c r="B30" s="77">
        <v>983.52926690000004</v>
      </c>
      <c r="C30" s="77">
        <v>1070.76831287403</v>
      </c>
      <c r="D30" s="77">
        <v>673.32</v>
      </c>
      <c r="E30" s="77">
        <v>0</v>
      </c>
      <c r="F30" s="78">
        <v>0</v>
      </c>
      <c r="G30" s="78">
        <v>0</v>
      </c>
      <c r="H30" s="78">
        <v>0</v>
      </c>
      <c r="I30" s="78">
        <v>122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9">
        <v>0</v>
      </c>
      <c r="Q30" s="79">
        <v>8.4368399999999996E-2</v>
      </c>
      <c r="R30" s="80">
        <v>7.1539999999999999</v>
      </c>
      <c r="S30" s="77">
        <v>232.70400000000001</v>
      </c>
      <c r="T30" s="77">
        <v>3.2841</v>
      </c>
      <c r="U30" s="77">
        <v>36.9</v>
      </c>
      <c r="V30" s="77">
        <v>0</v>
      </c>
      <c r="W30" s="77">
        <v>1075.4464684</v>
      </c>
      <c r="X30" s="77">
        <v>-397.44831287402997</v>
      </c>
      <c r="Y30" s="80">
        <v>-31.540420538552251</v>
      </c>
      <c r="Z30" s="81">
        <v>4.6781555259699417</v>
      </c>
      <c r="AA30" s="74">
        <v>9.3456498543978324</v>
      </c>
      <c r="AB30" s="82">
        <v>455.38943248532291</v>
      </c>
      <c r="AC30" s="71">
        <v>300</v>
      </c>
      <c r="AD30" s="84">
        <v>2043</v>
      </c>
      <c r="AE30" s="85">
        <v>0</v>
      </c>
      <c r="AF30" s="85">
        <v>0</v>
      </c>
      <c r="AG30" s="78"/>
      <c r="AI30" s="72"/>
      <c r="AJ30" s="72"/>
    </row>
    <row r="31" spans="1:57" x14ac:dyDescent="0.25">
      <c r="A31" s="71">
        <v>2044</v>
      </c>
      <c r="B31" s="77">
        <v>983.99019680000004</v>
      </c>
      <c r="C31" s="77">
        <v>1071.2701272561601</v>
      </c>
      <c r="D31" s="77">
        <v>673.32</v>
      </c>
      <c r="E31" s="77">
        <v>0</v>
      </c>
      <c r="F31" s="78">
        <v>0</v>
      </c>
      <c r="G31" s="78">
        <v>0</v>
      </c>
      <c r="H31" s="78">
        <v>0</v>
      </c>
      <c r="I31" s="78">
        <v>122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9">
        <v>0</v>
      </c>
      <c r="Q31" s="79">
        <v>1.8329249999999998E-2</v>
      </c>
      <c r="R31" s="80">
        <v>7.1539999999999999</v>
      </c>
      <c r="S31" s="77">
        <v>232.70400000000001</v>
      </c>
      <c r="T31" s="77">
        <v>3.2841</v>
      </c>
      <c r="U31" s="77">
        <v>36.9</v>
      </c>
      <c r="V31" s="77">
        <v>0</v>
      </c>
      <c r="W31" s="77">
        <v>1075.3804292500001</v>
      </c>
      <c r="X31" s="77">
        <v>-397.95012725616004</v>
      </c>
      <c r="Y31" s="80">
        <v>-31.572489015675121</v>
      </c>
      <c r="Z31" s="81">
        <v>4.1103019938400394</v>
      </c>
      <c r="AA31" s="74">
        <v>9.2877177788159937</v>
      </c>
      <c r="AB31" s="82">
        <v>455.38943248532291</v>
      </c>
      <c r="AC31" s="71">
        <v>300</v>
      </c>
      <c r="AD31" s="84">
        <v>2044</v>
      </c>
      <c r="AE31" s="85">
        <v>0</v>
      </c>
      <c r="AF31" s="85">
        <v>0</v>
      </c>
      <c r="AG31" s="78"/>
      <c r="AI31" s="72"/>
      <c r="AJ31" s="72"/>
    </row>
    <row r="32" spans="1:57" x14ac:dyDescent="0.25">
      <c r="A32" s="71">
        <v>2045</v>
      </c>
      <c r="B32" s="77">
        <v>984.63794900000005</v>
      </c>
      <c r="C32" s="77">
        <v>1071.9753350763001</v>
      </c>
      <c r="D32" s="77">
        <v>673.32</v>
      </c>
      <c r="E32" s="77">
        <v>0</v>
      </c>
      <c r="F32" s="78">
        <v>0</v>
      </c>
      <c r="G32" s="78">
        <v>0</v>
      </c>
      <c r="H32" s="78">
        <v>0</v>
      </c>
      <c r="I32" s="78">
        <v>122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9">
        <v>0</v>
      </c>
      <c r="Q32" s="79">
        <v>0</v>
      </c>
      <c r="R32" s="80">
        <v>7.665</v>
      </c>
      <c r="S32" s="77">
        <v>232.70400000000001</v>
      </c>
      <c r="T32" s="77">
        <v>3.2841</v>
      </c>
      <c r="U32" s="77">
        <v>36.9</v>
      </c>
      <c r="V32" s="77">
        <v>0</v>
      </c>
      <c r="W32" s="77">
        <v>1075.8731</v>
      </c>
      <c r="X32" s="77">
        <v>-398.65533507630005</v>
      </c>
      <c r="Y32" s="80">
        <v>-31.617504618441227</v>
      </c>
      <c r="Z32" s="81">
        <v>3.8977649236999241</v>
      </c>
      <c r="AA32" s="74">
        <v>9.2658576782114235</v>
      </c>
      <c r="AB32" s="82">
        <v>455.38943248532291</v>
      </c>
      <c r="AC32" s="71">
        <v>300</v>
      </c>
      <c r="AD32" s="84">
        <v>2045</v>
      </c>
      <c r="AE32" s="85">
        <v>0</v>
      </c>
      <c r="AF32" s="85">
        <v>0</v>
      </c>
      <c r="AG32" s="78"/>
      <c r="AI32" s="72"/>
      <c r="AJ32" s="72"/>
    </row>
    <row r="33" spans="1:36" s="89" customFormat="1" x14ac:dyDescent="0.25">
      <c r="A33" s="89">
        <v>2046</v>
      </c>
      <c r="B33" s="77">
        <v>984.58</v>
      </c>
      <c r="C33" s="77">
        <v>1071.9122460000001</v>
      </c>
      <c r="D33" s="77">
        <v>673.32</v>
      </c>
      <c r="E33" s="77">
        <v>0</v>
      </c>
      <c r="F33" s="78">
        <v>0</v>
      </c>
      <c r="G33" s="78">
        <v>0</v>
      </c>
      <c r="H33" s="78">
        <v>0</v>
      </c>
      <c r="I33" s="78">
        <v>122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9">
        <v>0</v>
      </c>
      <c r="Q33" s="79">
        <v>0</v>
      </c>
      <c r="R33" s="80">
        <v>8.1760000000000002</v>
      </c>
      <c r="S33" s="77">
        <v>232.70400000000001</v>
      </c>
      <c r="T33" s="77">
        <v>0</v>
      </c>
      <c r="U33" s="77">
        <v>36.9</v>
      </c>
      <c r="V33" s="77">
        <v>0</v>
      </c>
      <c r="W33" s="77">
        <v>1073.0999999999999</v>
      </c>
      <c r="X33" s="78">
        <v>-398.59224600000005</v>
      </c>
      <c r="Y33" s="90">
        <v>-31.613479859432449</v>
      </c>
      <c r="Z33" s="91">
        <v>1.1877539999998135</v>
      </c>
      <c r="AA33" s="92">
        <v>8.9906356009668951</v>
      </c>
      <c r="AB33" s="82">
        <v>455.38943248532291</v>
      </c>
      <c r="AC33" s="71">
        <v>300</v>
      </c>
      <c r="AD33" s="84">
        <v>2046</v>
      </c>
      <c r="AE33" s="85">
        <v>0</v>
      </c>
      <c r="AF33" s="85">
        <v>0</v>
      </c>
      <c r="AG33" s="78"/>
    </row>
    <row r="34" spans="1:36" x14ac:dyDescent="0.25">
      <c r="A34" s="71">
        <v>2047</v>
      </c>
      <c r="B34" s="77">
        <v>984.19</v>
      </c>
      <c r="C34" s="77">
        <v>1071.4876530000001</v>
      </c>
      <c r="D34" s="77">
        <v>673.32</v>
      </c>
      <c r="E34" s="77">
        <v>0</v>
      </c>
      <c r="F34" s="78">
        <v>0</v>
      </c>
      <c r="G34" s="78">
        <v>0</v>
      </c>
      <c r="H34" s="78">
        <v>0</v>
      </c>
      <c r="I34" s="78">
        <v>122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9">
        <v>0</v>
      </c>
      <c r="Q34" s="79">
        <v>0</v>
      </c>
      <c r="R34" s="80">
        <v>8.6869999999999994</v>
      </c>
      <c r="S34" s="77">
        <v>232.70400000000001</v>
      </c>
      <c r="T34" s="77">
        <v>0</v>
      </c>
      <c r="U34" s="77">
        <v>36.9</v>
      </c>
      <c r="V34" s="77">
        <v>0</v>
      </c>
      <c r="W34" s="77">
        <v>1073.6110000000001</v>
      </c>
      <c r="X34" s="77">
        <v>-398.16765300000009</v>
      </c>
      <c r="Y34" s="80">
        <v>-31.586380678527519</v>
      </c>
      <c r="Z34" s="81">
        <v>2.123346999999967</v>
      </c>
      <c r="AA34" s="74">
        <v>9.0857456385454078</v>
      </c>
      <c r="AB34" s="82">
        <v>455.38943248532291</v>
      </c>
      <c r="AC34" s="71">
        <v>300</v>
      </c>
      <c r="AD34" s="84">
        <v>2047</v>
      </c>
      <c r="AE34" s="85">
        <v>0</v>
      </c>
      <c r="AF34" s="85">
        <v>0</v>
      </c>
      <c r="AG34" s="78"/>
      <c r="AI34" s="72"/>
      <c r="AJ34" s="72"/>
    </row>
    <row r="35" spans="1:36" x14ac:dyDescent="0.25">
      <c r="A35" s="71">
        <v>2048</v>
      </c>
      <c r="B35" s="77">
        <v>984.04</v>
      </c>
      <c r="C35" s="77">
        <v>1071.3243479999999</v>
      </c>
      <c r="D35" s="77">
        <v>673.32</v>
      </c>
      <c r="E35" s="77">
        <v>0</v>
      </c>
      <c r="F35" s="78">
        <v>0</v>
      </c>
      <c r="G35" s="78">
        <v>0</v>
      </c>
      <c r="H35" s="78">
        <v>0</v>
      </c>
      <c r="I35" s="78">
        <v>122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9">
        <v>0</v>
      </c>
      <c r="Q35" s="79">
        <v>0</v>
      </c>
      <c r="R35" s="80">
        <v>9.1980000000000004</v>
      </c>
      <c r="S35" s="77">
        <v>232.70400000000001</v>
      </c>
      <c r="T35" s="77">
        <v>0</v>
      </c>
      <c r="U35" s="77">
        <v>36.9</v>
      </c>
      <c r="V35" s="77">
        <v>0</v>
      </c>
      <c r="W35" s="77">
        <v>1074.1220000000001</v>
      </c>
      <c r="X35" s="77">
        <v>-398.00434799999982</v>
      </c>
      <c r="Y35" s="80">
        <v>-31.575952197065156</v>
      </c>
      <c r="Z35" s="81">
        <v>2.7976520000001983</v>
      </c>
      <c r="AA35" s="74">
        <v>9.1543026706231565</v>
      </c>
      <c r="AB35" s="82">
        <v>455.38943248532291</v>
      </c>
      <c r="AC35" s="71">
        <v>300</v>
      </c>
      <c r="AD35" s="84">
        <v>2048</v>
      </c>
      <c r="AE35" s="85">
        <v>0</v>
      </c>
      <c r="AF35" s="85">
        <v>0</v>
      </c>
      <c r="AG35" s="78"/>
      <c r="AI35" s="72"/>
      <c r="AJ35" s="72"/>
    </row>
    <row r="36" spans="1:36" x14ac:dyDescent="0.25">
      <c r="A36" s="89">
        <v>2049</v>
      </c>
      <c r="B36" s="77">
        <v>983.28</v>
      </c>
      <c r="C36" s="77">
        <v>1070.496936</v>
      </c>
      <c r="D36" s="77">
        <v>673.32</v>
      </c>
      <c r="E36" s="77">
        <v>0</v>
      </c>
      <c r="F36" s="78">
        <v>0</v>
      </c>
      <c r="G36" s="78">
        <v>0</v>
      </c>
      <c r="H36" s="78">
        <v>0</v>
      </c>
      <c r="I36" s="78">
        <v>122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9">
        <v>0</v>
      </c>
      <c r="Q36" s="79">
        <v>0</v>
      </c>
      <c r="R36" s="80">
        <v>9.1980000000000004</v>
      </c>
      <c r="S36" s="77">
        <v>232.70400000000001</v>
      </c>
      <c r="T36" s="77">
        <v>0</v>
      </c>
      <c r="U36" s="77">
        <v>36.9</v>
      </c>
      <c r="V36" s="77">
        <v>0</v>
      </c>
      <c r="W36" s="77">
        <v>1074.1220000000001</v>
      </c>
      <c r="X36" s="77">
        <v>-397.17693599999996</v>
      </c>
      <c r="Y36" s="80">
        <v>-31.523065657798384</v>
      </c>
      <c r="Z36" s="81">
        <v>3.6250640000000658</v>
      </c>
      <c r="AA36" s="74">
        <v>9.2386705719632349</v>
      </c>
      <c r="AB36" s="82">
        <v>455.38943248532291</v>
      </c>
      <c r="AC36" s="71">
        <v>300</v>
      </c>
      <c r="AD36" s="84">
        <v>2049</v>
      </c>
      <c r="AE36" s="85">
        <v>0</v>
      </c>
      <c r="AF36" s="85">
        <v>0</v>
      </c>
      <c r="AI36" s="72"/>
      <c r="AJ36" s="72"/>
    </row>
    <row r="37" spans="1:36" x14ac:dyDescent="0.25">
      <c r="A37" s="89"/>
      <c r="B37" s="77"/>
      <c r="C37" s="77"/>
      <c r="D37" s="77"/>
      <c r="E37" s="77"/>
      <c r="F37" s="78"/>
      <c r="G37" s="78"/>
      <c r="H37" s="78"/>
      <c r="I37" s="78"/>
      <c r="J37" s="78"/>
      <c r="K37" s="93"/>
      <c r="L37" s="78"/>
      <c r="M37" s="78"/>
      <c r="N37" s="78"/>
      <c r="O37" s="78"/>
      <c r="P37" s="79"/>
      <c r="Q37" s="79"/>
      <c r="R37" s="80"/>
      <c r="S37" s="77"/>
      <c r="T37" s="77"/>
      <c r="U37" s="77"/>
      <c r="V37" s="77"/>
      <c r="W37" s="77"/>
      <c r="X37" s="77"/>
      <c r="Y37" s="80"/>
      <c r="Z37" s="81"/>
      <c r="AA37" s="74"/>
      <c r="AB37" s="82"/>
      <c r="AC37" s="71"/>
      <c r="AD37" s="84"/>
      <c r="AE37" s="94"/>
      <c r="AF37" s="95"/>
    </row>
    <row r="38" spans="1:36" ht="15.75" x14ac:dyDescent="0.25">
      <c r="A38" s="96">
        <v>1</v>
      </c>
      <c r="B38" s="96">
        <v>2</v>
      </c>
      <c r="C38" s="97">
        <v>3</v>
      </c>
      <c r="D38" s="97">
        <v>4</v>
      </c>
      <c r="E38" s="96">
        <v>5</v>
      </c>
      <c r="F38" s="96">
        <v>6</v>
      </c>
      <c r="G38" s="96">
        <v>7</v>
      </c>
      <c r="H38" s="97">
        <v>8</v>
      </c>
      <c r="I38" s="97">
        <v>9</v>
      </c>
      <c r="J38" s="96">
        <v>10</v>
      </c>
      <c r="K38" s="96">
        <v>11</v>
      </c>
      <c r="L38" s="96">
        <v>12</v>
      </c>
      <c r="M38" s="97">
        <v>13</v>
      </c>
      <c r="N38" s="97">
        <v>14</v>
      </c>
      <c r="O38" s="96">
        <v>15</v>
      </c>
      <c r="P38" s="96">
        <v>16</v>
      </c>
      <c r="Q38" s="96">
        <v>17</v>
      </c>
      <c r="R38" s="97">
        <v>18</v>
      </c>
      <c r="S38" s="97">
        <v>19</v>
      </c>
      <c r="T38" s="96">
        <v>20</v>
      </c>
      <c r="U38" s="96">
        <v>21</v>
      </c>
      <c r="V38" s="96">
        <v>22</v>
      </c>
      <c r="W38" s="97">
        <v>23</v>
      </c>
      <c r="X38" s="97">
        <v>24</v>
      </c>
      <c r="Y38" s="96">
        <v>25</v>
      </c>
      <c r="Z38" s="96">
        <v>26</v>
      </c>
      <c r="AA38" s="96">
        <v>27</v>
      </c>
      <c r="AB38" s="97">
        <v>28</v>
      </c>
      <c r="AC38" s="97">
        <v>29</v>
      </c>
      <c r="AD38" s="96">
        <v>30</v>
      </c>
      <c r="AE38" s="97">
        <v>31</v>
      </c>
      <c r="AF38" s="96">
        <v>32</v>
      </c>
    </row>
    <row r="39" spans="1:36" ht="15.75" x14ac:dyDescent="0.25">
      <c r="B39" s="98"/>
      <c r="C39" s="98"/>
      <c r="D39" s="99"/>
      <c r="E39" s="99"/>
      <c r="F39" s="100"/>
      <c r="K39" s="93"/>
      <c r="V39" s="82"/>
      <c r="W39" s="82"/>
      <c r="Z39" s="101"/>
      <c r="AA39" s="102"/>
      <c r="AB39" s="101"/>
    </row>
    <row r="40" spans="1:36" ht="15.75" x14ac:dyDescent="0.25">
      <c r="A40" s="71"/>
      <c r="B40" s="103"/>
      <c r="C40" s="103"/>
      <c r="D40" s="99"/>
      <c r="E40" s="99"/>
      <c r="F40" s="100"/>
      <c r="K40" s="104"/>
      <c r="V40" s="82"/>
      <c r="W40" s="82"/>
      <c r="Z40" s="101"/>
      <c r="AA40" s="102"/>
      <c r="AB40" s="101"/>
    </row>
    <row r="41" spans="1:36" ht="15.75" x14ac:dyDescent="0.25">
      <c r="A41" s="71"/>
      <c r="B41" s="105"/>
      <c r="C41" s="103"/>
      <c r="D41" s="99"/>
      <c r="E41" s="99"/>
      <c r="F41" s="100"/>
      <c r="V41" s="82"/>
      <c r="W41" s="82"/>
      <c r="Z41" s="101"/>
      <c r="AA41" s="102"/>
      <c r="AB41" s="101"/>
    </row>
    <row r="42" spans="1:36" ht="15.75" x14ac:dyDescent="0.25">
      <c r="A42" s="71"/>
      <c r="B42" s="103"/>
      <c r="C42" s="103"/>
      <c r="D42" s="99"/>
      <c r="E42" s="99"/>
      <c r="F42" s="100"/>
      <c r="V42" s="82"/>
      <c r="W42" s="82"/>
      <c r="Z42" s="101"/>
      <c r="AA42" s="102"/>
      <c r="AB42" s="101"/>
    </row>
    <row r="43" spans="1:36" ht="15.75" x14ac:dyDescent="0.25">
      <c r="A43" s="71"/>
      <c r="B43" s="103"/>
      <c r="C43" s="103"/>
      <c r="D43" s="99"/>
      <c r="E43" s="99"/>
      <c r="F43" s="100"/>
      <c r="V43" s="82"/>
      <c r="W43" s="82"/>
      <c r="Z43" s="101"/>
      <c r="AA43" s="102"/>
      <c r="AB43" s="101"/>
    </row>
    <row r="44" spans="1:36" ht="15.75" x14ac:dyDescent="0.25">
      <c r="A44" s="71"/>
      <c r="B44" s="103"/>
      <c r="C44" s="103"/>
      <c r="D44" s="99"/>
      <c r="E44" s="99"/>
      <c r="F44" s="100"/>
      <c r="V44" s="82"/>
      <c r="W44" s="82"/>
      <c r="Z44" s="101"/>
      <c r="AA44" s="102"/>
      <c r="AB44" s="101"/>
    </row>
    <row r="45" spans="1:36" ht="15.75" x14ac:dyDescent="0.25">
      <c r="A45" s="71"/>
      <c r="B45" s="103"/>
      <c r="C45" s="103"/>
      <c r="D45" s="99"/>
      <c r="E45" s="99"/>
      <c r="F45" s="100"/>
      <c r="V45" s="82"/>
      <c r="W45" s="82"/>
      <c r="Z45" s="101"/>
      <c r="AA45" s="102"/>
      <c r="AB45" s="101"/>
    </row>
    <row r="46" spans="1:36" ht="15.75" x14ac:dyDescent="0.25">
      <c r="A46" s="71"/>
      <c r="B46" s="103"/>
      <c r="C46" s="103"/>
      <c r="D46" s="99"/>
      <c r="E46" s="99"/>
      <c r="F46" s="100"/>
      <c r="V46" s="82"/>
      <c r="W46" s="82"/>
      <c r="Z46" s="101"/>
      <c r="AA46" s="102"/>
      <c r="AB46" s="101"/>
    </row>
    <row r="47" spans="1:36" ht="15.75" x14ac:dyDescent="0.25">
      <c r="A47" s="71"/>
      <c r="B47" s="103"/>
      <c r="C47" s="103"/>
      <c r="D47" s="99"/>
      <c r="E47" s="99"/>
      <c r="V47" s="82"/>
      <c r="W47" s="82"/>
      <c r="Z47" s="101"/>
      <c r="AA47" s="102"/>
      <c r="AB47" s="101"/>
    </row>
    <row r="48" spans="1:36" ht="15.75" x14ac:dyDescent="0.25">
      <c r="A48" s="71"/>
      <c r="B48" s="103"/>
      <c r="C48" s="103"/>
      <c r="V48" s="82"/>
      <c r="W48" s="82"/>
      <c r="Z48" s="101"/>
      <c r="AA48" s="102"/>
      <c r="AB48" s="101"/>
    </row>
    <row r="49" spans="1:28" ht="15.75" x14ac:dyDescent="0.25">
      <c r="A49" s="71"/>
      <c r="B49" s="103"/>
      <c r="C49" s="103"/>
      <c r="V49" s="82"/>
      <c r="W49" s="82"/>
      <c r="Z49" s="101"/>
      <c r="AA49" s="102"/>
      <c r="AB49" s="101"/>
    </row>
    <row r="50" spans="1:28" ht="15.75" x14ac:dyDescent="0.25">
      <c r="A50" s="71"/>
      <c r="B50" s="103"/>
      <c r="C50" s="103"/>
      <c r="V50" s="82"/>
      <c r="W50" s="82"/>
      <c r="Z50" s="101"/>
      <c r="AA50" s="102"/>
      <c r="AB50" s="101"/>
    </row>
    <row r="51" spans="1:28" ht="15.75" x14ac:dyDescent="0.25">
      <c r="A51" s="71"/>
      <c r="B51" s="103"/>
      <c r="C51" s="103"/>
      <c r="V51" s="82"/>
      <c r="W51" s="82"/>
      <c r="Z51" s="101"/>
      <c r="AA51" s="102"/>
      <c r="AB51" s="101"/>
    </row>
    <row r="52" spans="1:28" ht="15.75" x14ac:dyDescent="0.25">
      <c r="A52" s="71"/>
      <c r="B52" s="103"/>
      <c r="C52" s="103"/>
      <c r="V52" s="82"/>
      <c r="W52" s="82"/>
      <c r="Z52" s="101"/>
      <c r="AA52" s="102"/>
      <c r="AB52" s="101"/>
    </row>
    <row r="53" spans="1:28" ht="15.75" x14ac:dyDescent="0.25">
      <c r="A53" s="71"/>
      <c r="B53" s="103"/>
      <c r="C53" s="103"/>
      <c r="V53" s="82"/>
      <c r="W53" s="82"/>
      <c r="Z53" s="101"/>
      <c r="AA53" s="102"/>
      <c r="AB53" s="101"/>
    </row>
    <row r="54" spans="1:28" ht="15.75" x14ac:dyDescent="0.25">
      <c r="A54" s="71"/>
      <c r="B54" s="103"/>
      <c r="C54" s="103"/>
      <c r="V54" s="82"/>
      <c r="W54" s="82"/>
      <c r="Z54" s="101"/>
      <c r="AA54" s="102"/>
      <c r="AB54" s="101"/>
    </row>
    <row r="55" spans="1:28" ht="15.75" x14ac:dyDescent="0.25">
      <c r="A55" s="71"/>
      <c r="B55" s="103"/>
      <c r="C55" s="103"/>
      <c r="V55" s="82"/>
      <c r="W55" s="82"/>
      <c r="Z55" s="101"/>
      <c r="AA55" s="102"/>
      <c r="AB55" s="101"/>
    </row>
    <row r="56" spans="1:28" ht="15.75" x14ac:dyDescent="0.25">
      <c r="A56" s="71"/>
      <c r="B56" s="103"/>
      <c r="C56" s="103"/>
      <c r="V56" s="82"/>
      <c r="W56" s="82"/>
      <c r="Z56" s="101"/>
      <c r="AA56" s="102"/>
      <c r="AB56" s="101"/>
    </row>
    <row r="57" spans="1:28" ht="15.75" x14ac:dyDescent="0.25">
      <c r="A57" s="71"/>
      <c r="B57" s="103"/>
      <c r="C57" s="103"/>
      <c r="V57" s="82"/>
      <c r="W57" s="82"/>
      <c r="Z57" s="101"/>
      <c r="AA57" s="102"/>
      <c r="AB57" s="101"/>
    </row>
    <row r="58" spans="1:28" ht="15.75" x14ac:dyDescent="0.25">
      <c r="A58" s="71"/>
      <c r="B58" s="103"/>
      <c r="C58" s="103"/>
      <c r="V58" s="82"/>
      <c r="W58" s="82"/>
      <c r="Z58" s="101"/>
      <c r="AA58" s="102"/>
      <c r="AB58" s="101"/>
    </row>
    <row r="59" spans="1:28" ht="15.75" x14ac:dyDescent="0.25">
      <c r="A59" s="71"/>
      <c r="B59" s="103"/>
      <c r="C59" s="103"/>
      <c r="V59" s="82"/>
      <c r="W59" s="82"/>
      <c r="Z59" s="101"/>
      <c r="AA59" s="102"/>
      <c r="AB59" s="101"/>
    </row>
    <row r="60" spans="1:28" ht="15.75" x14ac:dyDescent="0.25">
      <c r="A60" s="71"/>
      <c r="B60" s="103"/>
      <c r="C60" s="103"/>
      <c r="V60" s="82"/>
      <c r="W60" s="82"/>
      <c r="Z60" s="101"/>
      <c r="AA60" s="102"/>
      <c r="AB60" s="101"/>
    </row>
    <row r="61" spans="1:28" ht="15.75" x14ac:dyDescent="0.25">
      <c r="A61" s="71"/>
      <c r="B61" s="103"/>
      <c r="C61" s="103"/>
      <c r="V61" s="82"/>
      <c r="W61" s="82"/>
      <c r="Z61" s="101"/>
      <c r="AA61" s="102"/>
      <c r="AB61" s="101"/>
    </row>
    <row r="62" spans="1:28" ht="15.75" x14ac:dyDescent="0.25">
      <c r="A62" s="71"/>
      <c r="B62" s="103"/>
      <c r="C62" s="103"/>
      <c r="V62" s="82"/>
      <c r="W62" s="82"/>
      <c r="Z62" s="101"/>
      <c r="AA62" s="102"/>
      <c r="AB62" s="101"/>
    </row>
    <row r="63" spans="1:28" ht="15.75" x14ac:dyDescent="0.25">
      <c r="A63" s="71"/>
      <c r="B63" s="103"/>
      <c r="C63" s="103"/>
      <c r="V63" s="82"/>
      <c r="W63" s="82"/>
      <c r="Z63" s="101"/>
      <c r="AA63" s="102"/>
      <c r="AB63" s="101"/>
    </row>
    <row r="64" spans="1:28" ht="15.75" x14ac:dyDescent="0.25">
      <c r="A64" s="89"/>
      <c r="B64" s="103"/>
      <c r="C64" s="103"/>
      <c r="V64" s="82"/>
      <c r="W64" s="82"/>
      <c r="Z64" s="101"/>
      <c r="AA64" s="102"/>
      <c r="AB64" s="101"/>
    </row>
    <row r="65" spans="1:28" ht="15.75" x14ac:dyDescent="0.25">
      <c r="A65" s="71"/>
      <c r="B65" s="103"/>
      <c r="C65" s="103"/>
      <c r="V65" s="82"/>
      <c r="W65" s="82"/>
      <c r="Z65" s="101"/>
      <c r="AA65" s="102"/>
      <c r="AB65" s="101"/>
    </row>
    <row r="66" spans="1:28" ht="15.75" x14ac:dyDescent="0.25">
      <c r="A66" s="71"/>
      <c r="B66" s="103"/>
      <c r="C66" s="103"/>
      <c r="V66" s="82"/>
      <c r="W66" s="82"/>
      <c r="Z66" s="101"/>
      <c r="AA66" s="102"/>
      <c r="AB66" s="101"/>
    </row>
    <row r="67" spans="1:28" ht="15.75" x14ac:dyDescent="0.25">
      <c r="A67" s="89"/>
      <c r="B67" s="103"/>
      <c r="C67" s="103"/>
      <c r="V67" s="82"/>
      <c r="W67" s="82"/>
      <c r="Z67" s="101"/>
      <c r="AA67" s="102"/>
      <c r="AB67" s="101"/>
    </row>
    <row r="68" spans="1:28" x14ac:dyDescent="0.25">
      <c r="Z68" s="101"/>
      <c r="AA68" s="102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"/>
  <sheetViews>
    <sheetView zoomScale="70" zoomScaleNormal="70" workbookViewId="0">
      <selection activeCell="H22" sqref="H22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8" style="32" bestFit="1" customWidth="1"/>
    <col min="13" max="13" width="13.125" style="32" bestFit="1" customWidth="1"/>
    <col min="14" max="14" width="18.375" style="32" bestFit="1" customWidth="1"/>
    <col min="15" max="15" width="17.75" style="32" bestFit="1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7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7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7" ht="26.25" x14ac:dyDescent="0.25">
      <c r="A4" s="145" t="s">
        <v>44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7" ht="26.25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6" t="s">
        <v>31</v>
      </c>
      <c r="K6" s="66" t="s">
        <v>32</v>
      </c>
      <c r="L6" s="66" t="s">
        <v>33</v>
      </c>
      <c r="M6" s="66" t="s">
        <v>34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/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67">
        <v>2020</v>
      </c>
      <c r="AE7" s="69"/>
      <c r="AF7" s="68"/>
      <c r="AG7" s="37"/>
      <c r="AH7" s="40"/>
      <c r="AI7" s="40"/>
      <c r="AK7" s="35"/>
      <c r="AL7" s="35"/>
      <c r="AM7" s="35"/>
      <c r="AN7" s="44"/>
      <c r="AW7" s="44"/>
      <c r="AX7" s="44"/>
      <c r="AY7" s="44"/>
      <c r="AZ7" s="44"/>
      <c r="BA7" s="44"/>
      <c r="BB7" s="44"/>
      <c r="BC7" s="44"/>
      <c r="BD7" s="44"/>
      <c r="BE7" s="44"/>
    </row>
    <row r="8" spans="1:57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67">
        <v>2021</v>
      </c>
      <c r="AE8" s="69"/>
      <c r="AF8" s="68"/>
      <c r="AG8" s="37"/>
      <c r="AH8" s="40"/>
      <c r="AI8" s="40"/>
      <c r="AK8" s="35"/>
      <c r="AL8" s="35"/>
      <c r="AM8" s="35"/>
      <c r="AN8" s="44"/>
      <c r="AW8" s="44"/>
      <c r="AX8" s="44"/>
      <c r="AY8" s="44"/>
      <c r="AZ8" s="44"/>
      <c r="BA8" s="44"/>
      <c r="BB8" s="44"/>
      <c r="BC8" s="44"/>
      <c r="BD8" s="44"/>
      <c r="BE8" s="44"/>
    </row>
    <row r="9" spans="1:57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4.7352392299999995</v>
      </c>
      <c r="Q9" s="38">
        <v>1.7089880800000001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1091.6642273100001</v>
      </c>
      <c r="X9" s="36">
        <v>-141.19605854639985</v>
      </c>
      <c r="Y9" s="39">
        <v>-5.4107372408630185</v>
      </c>
      <c r="Z9" s="40">
        <v>15.248168763600233</v>
      </c>
      <c r="AA9" s="41">
        <v>10.412217918538781</v>
      </c>
      <c r="AB9" s="53">
        <v>0</v>
      </c>
      <c r="AC9" s="33">
        <v>0</v>
      </c>
      <c r="AD9" s="67">
        <v>2022</v>
      </c>
      <c r="AE9" s="69"/>
      <c r="AF9" s="68"/>
      <c r="AG9" s="37"/>
      <c r="AH9" s="40"/>
      <c r="AI9" s="40"/>
      <c r="AK9" s="35"/>
      <c r="AL9" s="35"/>
      <c r="AM9" s="35"/>
      <c r="AN9" s="44"/>
      <c r="AW9" s="44"/>
      <c r="AX9" s="44"/>
      <c r="AY9" s="44"/>
      <c r="AZ9" s="44"/>
      <c r="BA9" s="44"/>
      <c r="BB9" s="44"/>
      <c r="BC9" s="44"/>
      <c r="BD9" s="44"/>
      <c r="BE9" s="44"/>
    </row>
    <row r="10" spans="1:57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9.3840620999999995</v>
      </c>
      <c r="Q10" s="38">
        <v>3.0536326300000001</v>
      </c>
      <c r="R10" s="39">
        <v>1.022</v>
      </c>
      <c r="S10" s="36">
        <v>0</v>
      </c>
      <c r="T10" s="36">
        <v>4.2698</v>
      </c>
      <c r="U10" s="36">
        <v>24.6</v>
      </c>
      <c r="V10" s="36">
        <v>100</v>
      </c>
      <c r="W10" s="36">
        <v>1077.5494947300001</v>
      </c>
      <c r="X10" s="36">
        <v>-141.43342562999987</v>
      </c>
      <c r="Y10" s="39">
        <v>-5.4315910986658418</v>
      </c>
      <c r="Z10" s="40">
        <v>0.89606910000020434</v>
      </c>
      <c r="AA10" s="41">
        <v>8.9606095133259167</v>
      </c>
      <c r="AB10" s="53">
        <v>0</v>
      </c>
      <c r="AC10" s="33">
        <v>200.00000000000003</v>
      </c>
      <c r="AD10" s="67">
        <v>2023</v>
      </c>
      <c r="AE10" s="69"/>
      <c r="AF10" s="68"/>
      <c r="AG10" s="37"/>
      <c r="AH10" s="40"/>
      <c r="AI10" s="40"/>
      <c r="AK10" s="35"/>
      <c r="AL10" s="35"/>
      <c r="AM10" s="35"/>
      <c r="AN10" s="44"/>
      <c r="AW10" s="44"/>
      <c r="AX10" s="44"/>
      <c r="AY10" s="44"/>
      <c r="AZ10" s="44"/>
      <c r="BA10" s="44"/>
      <c r="BB10" s="44"/>
      <c r="BC10" s="44"/>
      <c r="BD10" s="44"/>
      <c r="BE10" s="44"/>
    </row>
    <row r="11" spans="1:57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13.58551572</v>
      </c>
      <c r="Q11" s="38">
        <v>4.6811204599999998</v>
      </c>
      <c r="R11" s="39">
        <v>1.5329999999999999</v>
      </c>
      <c r="S11" s="36">
        <v>77.567999999999998</v>
      </c>
      <c r="T11" s="36">
        <v>4.2698</v>
      </c>
      <c r="U11" s="36">
        <v>36.900000000000006</v>
      </c>
      <c r="V11" s="36">
        <v>0</v>
      </c>
      <c r="W11" s="36">
        <v>1073.75743618</v>
      </c>
      <c r="X11" s="36">
        <v>-138.49278128138985</v>
      </c>
      <c r="Y11" s="39">
        <v>-5.1725906825015979</v>
      </c>
      <c r="Z11" s="40">
        <v>4.4654898610133387E-2</v>
      </c>
      <c r="AA11" s="41">
        <v>8.8745278205647082</v>
      </c>
      <c r="AB11" s="53">
        <v>151.79647749510764</v>
      </c>
      <c r="AC11" s="33">
        <v>300.00000000000006</v>
      </c>
      <c r="AD11" s="67">
        <v>2024</v>
      </c>
      <c r="AE11" s="69"/>
      <c r="AF11" s="68"/>
      <c r="AG11" s="37"/>
      <c r="AH11" s="40"/>
      <c r="AI11" s="40"/>
      <c r="AK11" s="35"/>
      <c r="AL11" s="35"/>
      <c r="AM11" s="35"/>
      <c r="AN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1:57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12.30327789</v>
      </c>
      <c r="Q12" s="38">
        <v>4.8314424599999999</v>
      </c>
      <c r="R12" s="39">
        <v>1.5329999999999999</v>
      </c>
      <c r="S12" s="36">
        <v>77.567999999999998</v>
      </c>
      <c r="T12" s="36">
        <v>4.2698</v>
      </c>
      <c r="U12" s="36">
        <v>36.900000000000006</v>
      </c>
      <c r="V12" s="36">
        <v>0</v>
      </c>
      <c r="W12" s="36">
        <v>1072.62552035</v>
      </c>
      <c r="X12" s="36">
        <v>-135.67758543864011</v>
      </c>
      <c r="Y12" s="39">
        <v>-4.9233065939769052</v>
      </c>
      <c r="Z12" s="40">
        <v>1.7279349113598528</v>
      </c>
      <c r="AA12" s="41">
        <v>9.0456659799757624</v>
      </c>
      <c r="AB12" s="53">
        <v>151.79647749510764</v>
      </c>
      <c r="AC12" s="33">
        <v>300.00000000000006</v>
      </c>
      <c r="AD12" s="67">
        <v>2025</v>
      </c>
      <c r="AE12" s="69"/>
      <c r="AF12" s="68"/>
      <c r="AG12" s="37"/>
      <c r="AH12" s="40"/>
      <c r="AI12" s="40"/>
      <c r="AK12" s="35"/>
      <c r="AL12" s="35"/>
      <c r="AM12" s="35"/>
      <c r="AN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10.946845159999999</v>
      </c>
      <c r="Q13" s="38">
        <v>4.1350371600000004</v>
      </c>
      <c r="R13" s="39">
        <v>1.5329999999999999</v>
      </c>
      <c r="S13" s="36">
        <v>77.567999999999998</v>
      </c>
      <c r="T13" s="36">
        <v>4.2698</v>
      </c>
      <c r="U13" s="36">
        <v>36.900000000000006</v>
      </c>
      <c r="V13" s="36">
        <v>0</v>
      </c>
      <c r="W13" s="36">
        <v>1070.57268232</v>
      </c>
      <c r="X13" s="36">
        <v>-133.17688301810995</v>
      </c>
      <c r="Y13" s="39">
        <v>-4.7007689573406095</v>
      </c>
      <c r="Z13" s="40">
        <v>2.1757993018900379</v>
      </c>
      <c r="AA13" s="41">
        <v>9.0917146771596755</v>
      </c>
      <c r="AB13" s="53">
        <v>151.79647749510764</v>
      </c>
      <c r="AC13" s="33">
        <v>300.00000000000006</v>
      </c>
      <c r="AD13" s="67">
        <v>2026</v>
      </c>
      <c r="AE13" s="69"/>
      <c r="AF13" s="68"/>
      <c r="AG13" s="37"/>
      <c r="AH13" s="40"/>
      <c r="AI13" s="40"/>
      <c r="AK13" s="35"/>
      <c r="AL13" s="35"/>
      <c r="AM13" s="35"/>
      <c r="AN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9.6430339000000007</v>
      </c>
      <c r="Q14" s="38">
        <v>3.3350603599999999</v>
      </c>
      <c r="R14" s="39">
        <v>2.044</v>
      </c>
      <c r="S14" s="36">
        <v>77.567999999999998</v>
      </c>
      <c r="T14" s="36">
        <v>4.2698</v>
      </c>
      <c r="U14" s="36">
        <v>36.900000000000006</v>
      </c>
      <c r="V14" s="36">
        <v>0</v>
      </c>
      <c r="W14" s="36">
        <v>1068.97989426</v>
      </c>
      <c r="X14" s="36">
        <v>-131.74494726266994</v>
      </c>
      <c r="Y14" s="39">
        <v>-4.5728712445375619</v>
      </c>
      <c r="Z14" s="40">
        <v>2.0149469973300711</v>
      </c>
      <c r="AA14" s="41">
        <v>9.0755993312264955</v>
      </c>
      <c r="AB14" s="53">
        <v>151.79647749510764</v>
      </c>
      <c r="AC14" s="33">
        <v>300.00000000000006</v>
      </c>
      <c r="AD14" s="67">
        <v>2027</v>
      </c>
      <c r="AE14" s="69"/>
      <c r="AF14" s="68"/>
      <c r="AG14" s="37"/>
      <c r="AH14" s="40"/>
      <c r="AI14" s="40"/>
      <c r="AK14" s="35"/>
      <c r="AL14" s="35"/>
      <c r="AM14" s="35"/>
      <c r="AN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8.2031316300000015</v>
      </c>
      <c r="Q15" s="38">
        <v>3.1885429900000002</v>
      </c>
      <c r="R15" s="39">
        <v>2.044</v>
      </c>
      <c r="S15" s="36">
        <v>77.567999999999998</v>
      </c>
      <c r="T15" s="36">
        <v>4.2698</v>
      </c>
      <c r="U15" s="36">
        <v>36.900000000000006</v>
      </c>
      <c r="V15" s="36">
        <v>0</v>
      </c>
      <c r="W15" s="36">
        <v>1067.39347462</v>
      </c>
      <c r="X15" s="36">
        <v>-130.81159234148981</v>
      </c>
      <c r="Y15" s="39">
        <v>-4.4893208311371824</v>
      </c>
      <c r="Z15" s="40">
        <v>1.3618822785101656</v>
      </c>
      <c r="AA15" s="41">
        <v>9.0090841741713543</v>
      </c>
      <c r="AB15" s="53">
        <v>151.79647749510764</v>
      </c>
      <c r="AC15" s="33">
        <v>300.00000000000006</v>
      </c>
      <c r="AD15" s="67">
        <v>2028</v>
      </c>
      <c r="AE15" s="69"/>
      <c r="AF15" s="68"/>
      <c r="AG15" s="37"/>
      <c r="AH15" s="40"/>
      <c r="AI15" s="40"/>
      <c r="AK15" s="35"/>
      <c r="AL15" s="35"/>
      <c r="AM15" s="35"/>
      <c r="AN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spans="1:57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6.6472799799999995</v>
      </c>
      <c r="Q16" s="38">
        <v>2.9970159599999997</v>
      </c>
      <c r="R16" s="39">
        <v>2.5550000000000002</v>
      </c>
      <c r="S16" s="36">
        <v>77.567999999999998</v>
      </c>
      <c r="T16" s="36">
        <v>4.2698</v>
      </c>
      <c r="U16" s="36">
        <v>36.900000000000006</v>
      </c>
      <c r="V16" s="36">
        <v>0</v>
      </c>
      <c r="W16" s="36">
        <v>1066.1570959400001</v>
      </c>
      <c r="X16" s="36">
        <v>-130.93588345038006</v>
      </c>
      <c r="Y16" s="39">
        <v>-4.5004553457133465</v>
      </c>
      <c r="Z16" s="40">
        <v>1.2124896200020885E-3</v>
      </c>
      <c r="AA16" s="41">
        <v>8.8701238127997843</v>
      </c>
      <c r="AB16" s="53">
        <v>151.79647749510764</v>
      </c>
      <c r="AC16" s="33">
        <v>300.00000000000006</v>
      </c>
      <c r="AD16" s="67">
        <v>2029</v>
      </c>
      <c r="AE16" s="69"/>
      <c r="AF16" s="68"/>
      <c r="AG16" s="37"/>
      <c r="AH16" s="40"/>
      <c r="AI16" s="40"/>
      <c r="AK16" s="35"/>
      <c r="AL16" s="35"/>
      <c r="AM16" s="35"/>
      <c r="AN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spans="1:57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5.1758131000000001</v>
      </c>
      <c r="Q17" s="38">
        <v>2.5951568599999999</v>
      </c>
      <c r="R17" s="39">
        <v>3.0659999999999998</v>
      </c>
      <c r="S17" s="36">
        <v>155.136</v>
      </c>
      <c r="T17" s="36">
        <v>4.2698</v>
      </c>
      <c r="U17" s="36">
        <v>36.900000000000006</v>
      </c>
      <c r="V17" s="36">
        <v>0</v>
      </c>
      <c r="W17" s="36">
        <v>1142.3627699600002</v>
      </c>
      <c r="X17" s="36">
        <v>-129.96194429721004</v>
      </c>
      <c r="Y17" s="39">
        <v>-4.4131362298133112</v>
      </c>
      <c r="Z17" s="40">
        <v>77.180825662790085</v>
      </c>
      <c r="AA17" s="41">
        <v>16.758489412437335</v>
      </c>
      <c r="AB17" s="53">
        <v>303.59295499021528</v>
      </c>
      <c r="AC17" s="33">
        <v>300.00000000000006</v>
      </c>
      <c r="AD17" s="67">
        <v>2030</v>
      </c>
      <c r="AE17" s="69"/>
      <c r="AF17" s="68"/>
      <c r="AG17" s="37"/>
      <c r="AH17" s="40"/>
      <c r="AI17" s="40"/>
      <c r="AK17" s="35"/>
      <c r="AL17" s="35"/>
      <c r="AM17" s="35"/>
      <c r="AN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3.85799556</v>
      </c>
      <c r="Q18" s="38">
        <v>1.9118630200000002</v>
      </c>
      <c r="R18" s="39">
        <v>3.577</v>
      </c>
      <c r="S18" s="36">
        <v>232.70400000000001</v>
      </c>
      <c r="T18" s="36">
        <v>4.2698</v>
      </c>
      <c r="U18" s="36">
        <v>36.900000000000006</v>
      </c>
      <c r="V18" s="36">
        <v>0</v>
      </c>
      <c r="W18" s="36">
        <v>1078.5406585800001</v>
      </c>
      <c r="X18" s="36">
        <v>-391.82507209673997</v>
      </c>
      <c r="Y18" s="39">
        <v>-31.179000569659244</v>
      </c>
      <c r="Z18" s="40">
        <v>13.395586483260104</v>
      </c>
      <c r="AA18" s="41">
        <v>10.239182037862422</v>
      </c>
      <c r="AB18" s="53">
        <v>455.38943248532291</v>
      </c>
      <c r="AC18" s="33">
        <v>300.00000000000006</v>
      </c>
      <c r="AD18" s="67">
        <v>2031</v>
      </c>
      <c r="AE18" s="69"/>
      <c r="AF18" s="68"/>
      <c r="AG18" s="37"/>
      <c r="AH18" s="40"/>
      <c r="AI18" s="40"/>
      <c r="AK18" s="35"/>
      <c r="AL18" s="35"/>
      <c r="AM18" s="35"/>
      <c r="AN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2.7227872200000003</v>
      </c>
      <c r="Q19" s="38">
        <v>1.2605486600000002</v>
      </c>
      <c r="R19" s="39">
        <v>3.577</v>
      </c>
      <c r="S19" s="36">
        <v>232.70400000000001</v>
      </c>
      <c r="T19" s="36">
        <v>4.2698</v>
      </c>
      <c r="U19" s="36">
        <v>36.900000000000006</v>
      </c>
      <c r="V19" s="36">
        <v>0</v>
      </c>
      <c r="W19" s="36">
        <v>1076.7541358799999</v>
      </c>
      <c r="X19" s="36">
        <v>-391.85999443550998</v>
      </c>
      <c r="Y19" s="39">
        <v>-31.181256892786934</v>
      </c>
      <c r="Z19" s="40">
        <v>11.574141444489896</v>
      </c>
      <c r="AA19" s="41">
        <v>10.052970752027116</v>
      </c>
      <c r="AB19" s="53">
        <v>455.38943248532291</v>
      </c>
      <c r="AC19" s="33">
        <v>300.00000000000006</v>
      </c>
      <c r="AD19" s="67">
        <v>2032</v>
      </c>
      <c r="AE19" s="69"/>
      <c r="AF19" s="68"/>
      <c r="AG19" s="37"/>
      <c r="AH19" s="40"/>
      <c r="AI19" s="40"/>
      <c r="AK19" s="35"/>
      <c r="AL19" s="35"/>
      <c r="AM19" s="35"/>
      <c r="AN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1.7948384500000001</v>
      </c>
      <c r="Q20" s="38">
        <v>0.78963640000000002</v>
      </c>
      <c r="R20" s="39">
        <v>4.0880000000000001</v>
      </c>
      <c r="S20" s="36">
        <v>232.70400000000001</v>
      </c>
      <c r="T20" s="36">
        <v>4.2698</v>
      </c>
      <c r="U20" s="36">
        <v>36.900000000000006</v>
      </c>
      <c r="V20" s="36">
        <v>0</v>
      </c>
      <c r="W20" s="36">
        <v>1075.8662748500001</v>
      </c>
      <c r="X20" s="36">
        <v>-391.72112400056983</v>
      </c>
      <c r="Y20" s="39">
        <v>-31.172283634785941</v>
      </c>
      <c r="Z20" s="40">
        <v>10.825150849430202</v>
      </c>
      <c r="AA20" s="41">
        <v>9.9765621283716985</v>
      </c>
      <c r="AB20" s="53">
        <v>455.38943248532291</v>
      </c>
      <c r="AC20" s="33">
        <v>300.00000000000006</v>
      </c>
      <c r="AD20" s="67">
        <v>2033</v>
      </c>
      <c r="AE20" s="69"/>
      <c r="AF20" s="68"/>
      <c r="AG20" s="37"/>
      <c r="AH20" s="40"/>
      <c r="AI20" s="40"/>
      <c r="AK20" s="35"/>
      <c r="AL20" s="35"/>
      <c r="AM20" s="35"/>
      <c r="AN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1.0208228400000001</v>
      </c>
      <c r="Q21" s="38">
        <v>0.48867102000000001</v>
      </c>
      <c r="R21" s="39">
        <v>4.5990000000000002</v>
      </c>
      <c r="S21" s="36">
        <v>232.70400000000001</v>
      </c>
      <c r="T21" s="36">
        <v>4.2698</v>
      </c>
      <c r="U21" s="36">
        <v>36.900000000000006</v>
      </c>
      <c r="V21" s="36">
        <v>0</v>
      </c>
      <c r="W21" s="36">
        <v>1075.3022938600002</v>
      </c>
      <c r="X21" s="36">
        <v>-392.4548395390799</v>
      </c>
      <c r="Y21" s="39">
        <v>-31.219666968585752</v>
      </c>
      <c r="Z21" s="40">
        <v>9.527454320920242</v>
      </c>
      <c r="AA21" s="41">
        <v>9.8432392935520685</v>
      </c>
      <c r="AB21" s="53">
        <v>455.38943248532291</v>
      </c>
      <c r="AC21" s="33">
        <v>300.00000000000006</v>
      </c>
      <c r="AD21" s="67">
        <v>2034</v>
      </c>
      <c r="AE21" s="69"/>
      <c r="AF21" s="68"/>
      <c r="AG21" s="37"/>
      <c r="AH21" s="40"/>
      <c r="AI21" s="40"/>
      <c r="AK21" s="35"/>
      <c r="AL21" s="35"/>
      <c r="AM21" s="35"/>
      <c r="AN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0.48406602999999998</v>
      </c>
      <c r="Q22" s="38">
        <v>0.31458595</v>
      </c>
      <c r="R22" s="39">
        <v>4.5990000000000002</v>
      </c>
      <c r="S22" s="36">
        <v>232.70400000000001</v>
      </c>
      <c r="T22" s="36">
        <v>4.2698</v>
      </c>
      <c r="U22" s="36">
        <v>36.900000000000006</v>
      </c>
      <c r="V22" s="36">
        <v>0</v>
      </c>
      <c r="W22" s="36">
        <v>1074.5914519799999</v>
      </c>
      <c r="X22" s="36">
        <v>-392.86475490341979</v>
      </c>
      <c r="Y22" s="39">
        <v>-31.246110898818603</v>
      </c>
      <c r="Z22" s="40">
        <v>8.4066970765800306</v>
      </c>
      <c r="AA22" s="41">
        <v>9.7284226200178257</v>
      </c>
      <c r="AB22" s="53">
        <v>455.38943248532291</v>
      </c>
      <c r="AC22" s="33">
        <v>300.00000000000006</v>
      </c>
      <c r="AD22" s="67">
        <v>2035</v>
      </c>
      <c r="AE22" s="69"/>
      <c r="AF22" s="68"/>
      <c r="AG22" s="37"/>
      <c r="AH22" s="40"/>
      <c r="AI22" s="40"/>
      <c r="AK22" s="35"/>
      <c r="AL22" s="35"/>
      <c r="AM22" s="35"/>
      <c r="AN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0.16471992999999999</v>
      </c>
      <c r="Q23" s="38">
        <v>0.19079813000000001</v>
      </c>
      <c r="R23" s="39">
        <v>5.1100000000000003</v>
      </c>
      <c r="S23" s="36">
        <v>232.70400000000001</v>
      </c>
      <c r="T23" s="36">
        <v>4.2698</v>
      </c>
      <c r="U23" s="36">
        <v>36.900000000000006</v>
      </c>
      <c r="V23" s="36">
        <v>0</v>
      </c>
      <c r="W23" s="36">
        <v>1074.65931806</v>
      </c>
      <c r="X23" s="36">
        <v>-393.98748385497004</v>
      </c>
      <c r="Y23" s="39">
        <v>-31.318434931951728</v>
      </c>
      <c r="Z23" s="40">
        <v>7.3518342050299452</v>
      </c>
      <c r="AA23" s="41">
        <v>9.6199190270930206</v>
      </c>
      <c r="AB23" s="53">
        <v>455.38943248532291</v>
      </c>
      <c r="AC23" s="33">
        <v>300.00000000000006</v>
      </c>
      <c r="AD23" s="67">
        <v>2036</v>
      </c>
      <c r="AE23" s="69"/>
      <c r="AF23" s="68"/>
      <c r="AG23" s="37"/>
    </row>
    <row r="24" spans="1:57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9.8576240000000009E-2</v>
      </c>
      <c r="R24" s="39">
        <v>5.1100000000000003</v>
      </c>
      <c r="S24" s="36">
        <v>232.70400000000001</v>
      </c>
      <c r="T24" s="36">
        <v>4.2698</v>
      </c>
      <c r="U24" s="36">
        <v>36.900000000000006</v>
      </c>
      <c r="V24" s="36">
        <v>0</v>
      </c>
      <c r="W24" s="36">
        <v>1074.4518543899999</v>
      </c>
      <c r="X24" s="36">
        <v>-393.69112349333989</v>
      </c>
      <c r="Y24" s="39">
        <v>-31.299358754569205</v>
      </c>
      <c r="Z24" s="40">
        <v>7.440730896659943</v>
      </c>
      <c r="AA24" s="41">
        <v>9.6291976830262325</v>
      </c>
      <c r="AB24" s="53">
        <v>455.38943248532291</v>
      </c>
      <c r="AC24" s="33">
        <v>300.00000000000006</v>
      </c>
      <c r="AD24" s="67">
        <v>2037</v>
      </c>
      <c r="AE24" s="69"/>
      <c r="AF24" s="68"/>
      <c r="AG24" s="37"/>
    </row>
    <row r="25" spans="1:57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4.0660700000000001E-2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1070.6061391500002</v>
      </c>
      <c r="X25" s="36">
        <v>-394.24811896157996</v>
      </c>
      <c r="Y25" s="39">
        <v>-31.33520278658855</v>
      </c>
      <c r="Z25" s="40">
        <v>3.0380201884202052</v>
      </c>
      <c r="AA25" s="41">
        <v>9.1798156005586051</v>
      </c>
      <c r="AB25" s="53">
        <v>455.38943248532291</v>
      </c>
      <c r="AC25" s="33">
        <v>300.00000000000006</v>
      </c>
      <c r="AD25" s="67">
        <v>2038</v>
      </c>
      <c r="AE25" s="69"/>
      <c r="AF25" s="68"/>
      <c r="AG25" s="37"/>
    </row>
    <row r="26" spans="1:57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8.5654800000000003E-3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1070.55801838</v>
      </c>
      <c r="X26" s="36">
        <v>-394.73299415154008</v>
      </c>
      <c r="Y26" s="39">
        <v>-31.366375262837131</v>
      </c>
      <c r="Z26" s="40">
        <v>2.505024228459888</v>
      </c>
      <c r="AA26" s="41">
        <v>9.1253449962181783</v>
      </c>
      <c r="AB26" s="53">
        <v>455.38943248532291</v>
      </c>
      <c r="AC26" s="33">
        <v>300.00000000000006</v>
      </c>
      <c r="AD26" s="67">
        <v>2039</v>
      </c>
      <c r="AE26" s="69"/>
      <c r="AF26" s="68"/>
      <c r="AG26" s="37"/>
    </row>
    <row r="27" spans="1:57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1071.056</v>
      </c>
      <c r="X27" s="36">
        <v>-396.55260378353989</v>
      </c>
      <c r="Y27" s="39">
        <v>-31.48310542697925</v>
      </c>
      <c r="Z27" s="40">
        <v>1.1833962164600962</v>
      </c>
      <c r="AA27" s="41">
        <v>8.9904221377670464</v>
      </c>
      <c r="AB27" s="53">
        <v>455.38943248532291</v>
      </c>
      <c r="AC27" s="33">
        <v>300.00000000000006</v>
      </c>
      <c r="AD27" s="67">
        <v>2040</v>
      </c>
      <c r="AE27" s="69"/>
      <c r="AF27" s="68"/>
      <c r="AG27" s="37"/>
    </row>
    <row r="28" spans="1:57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1071.056</v>
      </c>
      <c r="X28" s="36">
        <v>-396.73947881192987</v>
      </c>
      <c r="Y28" s="39">
        <v>-31.495071207267227</v>
      </c>
      <c r="Z28" s="40">
        <v>0.99652118807011902</v>
      </c>
      <c r="AA28" s="41">
        <v>8.9713880666387311</v>
      </c>
      <c r="AB28" s="53">
        <v>455.38943248532291</v>
      </c>
      <c r="AC28" s="33">
        <v>300.00000000000006</v>
      </c>
      <c r="AD28" s="67">
        <v>2041</v>
      </c>
      <c r="AE28" s="69"/>
      <c r="AF28" s="68"/>
      <c r="AG28" s="37"/>
    </row>
    <row r="29" spans="1:57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1071.567</v>
      </c>
      <c r="X29" s="36">
        <v>-397.23293742156</v>
      </c>
      <c r="Y29" s="39">
        <v>-31.526647737239006</v>
      </c>
      <c r="Z29" s="40">
        <v>1.0140625784399617</v>
      </c>
      <c r="AA29" s="41">
        <v>8.9731252066625178</v>
      </c>
      <c r="AB29" s="53">
        <v>455.38943248532291</v>
      </c>
      <c r="AC29" s="33">
        <v>300.00000000000006</v>
      </c>
      <c r="AD29" s="67">
        <v>2042</v>
      </c>
      <c r="AE29" s="69"/>
      <c r="AF29" s="68"/>
      <c r="AG29" s="37"/>
    </row>
    <row r="30" spans="1:57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1072.078</v>
      </c>
      <c r="X30" s="36">
        <v>-397.44831287402997</v>
      </c>
      <c r="Y30" s="39">
        <v>-31.540420538552251</v>
      </c>
      <c r="Z30" s="40">
        <v>1.3096871259699583</v>
      </c>
      <c r="AA30" s="41">
        <v>9.0031619881630931</v>
      </c>
      <c r="AB30" s="53">
        <v>455.38943248532291</v>
      </c>
      <c r="AC30" s="33">
        <v>300.00000000000006</v>
      </c>
      <c r="AD30" s="67">
        <v>2043</v>
      </c>
      <c r="AE30" s="69"/>
      <c r="AF30" s="68"/>
      <c r="AG30" s="37"/>
    </row>
    <row r="31" spans="1:57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1072.078</v>
      </c>
      <c r="X31" s="36">
        <v>-397.95012725616004</v>
      </c>
      <c r="Y31" s="39">
        <v>-31.572489015675121</v>
      </c>
      <c r="Z31" s="40">
        <v>0.80787274383988006</v>
      </c>
      <c r="AA31" s="41">
        <v>8.9521017065482145</v>
      </c>
      <c r="AB31" s="53">
        <v>455.38943248532291</v>
      </c>
      <c r="AC31" s="33">
        <v>300.00000000000006</v>
      </c>
      <c r="AD31" s="67">
        <v>2044</v>
      </c>
      <c r="AE31" s="69"/>
      <c r="AF31" s="68"/>
      <c r="AG31" s="37"/>
    </row>
    <row r="32" spans="1:57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1072.5889999999999</v>
      </c>
      <c r="X32" s="36">
        <v>-398.65533507630005</v>
      </c>
      <c r="Y32" s="39">
        <v>-31.617504618441227</v>
      </c>
      <c r="Z32" s="40">
        <v>0.61366492369984371</v>
      </c>
      <c r="AA32" s="41">
        <v>8.9323239155390191</v>
      </c>
      <c r="AB32" s="53">
        <v>455.38943248532291</v>
      </c>
      <c r="AC32" s="33">
        <v>300.00000000000006</v>
      </c>
      <c r="AD32" s="67">
        <v>2045</v>
      </c>
      <c r="AE32" s="69"/>
      <c r="AF32" s="68"/>
      <c r="AG32" s="37"/>
    </row>
    <row r="33" spans="1:33" s="45" customFormat="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1073.0999999999999</v>
      </c>
      <c r="X33" s="37">
        <v>-398.59224600000005</v>
      </c>
      <c r="Y33" s="46">
        <v>-31.613479859432449</v>
      </c>
      <c r="Z33" s="47">
        <v>1.1877539999998135</v>
      </c>
      <c r="AA33" s="48">
        <v>8.9906356009668951</v>
      </c>
      <c r="AB33" s="53">
        <v>455.38943248532291</v>
      </c>
      <c r="AC33" s="33">
        <v>300.00000000000006</v>
      </c>
      <c r="AD33" s="67">
        <v>2046</v>
      </c>
      <c r="AE33" s="69"/>
      <c r="AF33" s="68"/>
      <c r="AG33" s="37"/>
    </row>
    <row r="34" spans="1:33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1073.6110000000001</v>
      </c>
      <c r="X34" s="36">
        <v>-398.16765300000009</v>
      </c>
      <c r="Y34" s="39">
        <v>-31.586380678527519</v>
      </c>
      <c r="Z34" s="40">
        <v>2.123346999999967</v>
      </c>
      <c r="AA34" s="41">
        <v>9.0857456385454078</v>
      </c>
      <c r="AB34" s="53">
        <v>455.38943248532291</v>
      </c>
      <c r="AC34" s="33">
        <v>300.00000000000006</v>
      </c>
      <c r="AD34" s="67">
        <v>2047</v>
      </c>
      <c r="AE34" s="69"/>
      <c r="AF34" s="68"/>
      <c r="AG34" s="37"/>
    </row>
    <row r="35" spans="1:33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1074.1220000000001</v>
      </c>
      <c r="X35" s="36">
        <v>-398.00434799999982</v>
      </c>
      <c r="Y35" s="39">
        <v>-31.575952197065156</v>
      </c>
      <c r="Z35" s="40">
        <v>2.7976520000001983</v>
      </c>
      <c r="AA35" s="41">
        <v>9.1543026706231565</v>
      </c>
      <c r="AB35" s="53">
        <v>455.38943248532291</v>
      </c>
      <c r="AC35" s="33">
        <v>300.00000000000006</v>
      </c>
      <c r="AD35" s="67">
        <v>2048</v>
      </c>
      <c r="AE35" s="69"/>
      <c r="AF35" s="68"/>
      <c r="AG35" s="37"/>
    </row>
    <row r="36" spans="1:33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1074.1220000000001</v>
      </c>
      <c r="X36" s="36">
        <v>-397.17693599999996</v>
      </c>
      <c r="Y36" s="39">
        <v>-31.523065657798384</v>
      </c>
      <c r="Z36" s="40">
        <v>3.6250640000000658</v>
      </c>
      <c r="AA36" s="41">
        <v>9.2386705719632349</v>
      </c>
      <c r="AB36" s="53">
        <v>455.38943248532291</v>
      </c>
      <c r="AC36" s="33">
        <v>300.00000000000006</v>
      </c>
      <c r="AD36" s="67">
        <v>2049</v>
      </c>
      <c r="AE36" s="69"/>
      <c r="AF36" s="68"/>
    </row>
    <row r="37" spans="1:33" x14ac:dyDescent="0.25">
      <c r="A37" s="45"/>
      <c r="B37" s="49"/>
      <c r="C37" s="50"/>
      <c r="D37" s="50"/>
      <c r="E37" s="50"/>
      <c r="F37" s="51"/>
      <c r="V37" s="53"/>
      <c r="W37" s="53"/>
    </row>
    <row r="38" spans="1:33" x14ac:dyDescent="0.25">
      <c r="A38" s="45"/>
      <c r="B38" s="49"/>
      <c r="C38" s="50"/>
      <c r="D38" s="50"/>
      <c r="E38" s="50"/>
      <c r="F38" s="51"/>
      <c r="V38" s="53"/>
      <c r="W38" s="53"/>
    </row>
    <row r="39" spans="1:33" x14ac:dyDescent="0.25">
      <c r="A39" s="45"/>
      <c r="B39" s="49"/>
      <c r="C39" s="50"/>
      <c r="D39" s="50"/>
      <c r="E39" s="50"/>
      <c r="F39" s="51"/>
      <c r="V39" s="53"/>
      <c r="W39" s="53"/>
    </row>
    <row r="40" spans="1:33" x14ac:dyDescent="0.25">
      <c r="A40" s="45"/>
      <c r="B40" s="49"/>
      <c r="C40" s="50"/>
      <c r="D40" s="50"/>
      <c r="E40" s="50"/>
      <c r="F40" s="51"/>
      <c r="V40" s="53"/>
      <c r="W40" s="53"/>
    </row>
    <row r="41" spans="1:33" x14ac:dyDescent="0.25">
      <c r="A41" s="45"/>
      <c r="B41" s="49"/>
      <c r="C41" s="50"/>
      <c r="D41" s="50"/>
      <c r="E41" s="50"/>
      <c r="F41" s="51"/>
      <c r="V41" s="53"/>
      <c r="W41" s="53"/>
    </row>
    <row r="42" spans="1:33" x14ac:dyDescent="0.25">
      <c r="A42" s="45"/>
      <c r="B42" s="49"/>
      <c r="C42" s="50"/>
      <c r="D42" s="50"/>
      <c r="E42" s="50"/>
      <c r="F42" s="51"/>
      <c r="V42" s="53"/>
      <c r="W42" s="53"/>
    </row>
    <row r="43" spans="1:33" x14ac:dyDescent="0.25">
      <c r="A43" s="45"/>
      <c r="B43" s="49"/>
      <c r="C43" s="50"/>
      <c r="D43" s="50"/>
      <c r="E43" s="50"/>
      <c r="F43" s="51"/>
      <c r="V43" s="53"/>
      <c r="W43" s="53"/>
    </row>
    <row r="44" spans="1:33" x14ac:dyDescent="0.25">
      <c r="A44" s="45"/>
      <c r="B44" s="49"/>
      <c r="C44" s="50"/>
      <c r="D44" s="50"/>
      <c r="E44" s="50"/>
      <c r="F44" s="51"/>
      <c r="V44" s="53"/>
      <c r="W44" s="53"/>
    </row>
    <row r="45" spans="1:33" x14ac:dyDescent="0.25">
      <c r="A45" s="45"/>
      <c r="B45" s="49"/>
      <c r="C45" s="50"/>
      <c r="D45" s="50"/>
      <c r="E45" s="50"/>
      <c r="F45" s="51"/>
      <c r="V45" s="53"/>
      <c r="W45" s="53"/>
    </row>
    <row r="46" spans="1:33" x14ac:dyDescent="0.25">
      <c r="A46" s="45"/>
      <c r="B46" s="49"/>
      <c r="C46" s="50"/>
      <c r="D46" s="50"/>
      <c r="E46" s="50"/>
      <c r="V46" s="53"/>
      <c r="W46" s="53"/>
    </row>
    <row r="47" spans="1:33" x14ac:dyDescent="0.25">
      <c r="A47" s="32"/>
      <c r="B47" s="32"/>
      <c r="V47" s="53"/>
      <c r="W47" s="53"/>
    </row>
    <row r="48" spans="1:33" x14ac:dyDescent="0.25">
      <c r="A48" s="32"/>
      <c r="B48" s="32"/>
      <c r="V48" s="53"/>
      <c r="W48" s="53"/>
    </row>
    <row r="49" spans="1:23" x14ac:dyDescent="0.25">
      <c r="A49" s="32"/>
      <c r="B49" s="32"/>
      <c r="V49" s="53"/>
      <c r="W49" s="53"/>
    </row>
    <row r="50" spans="1:23" x14ac:dyDescent="0.25">
      <c r="V50" s="53"/>
      <c r="W50" s="53"/>
    </row>
    <row r="51" spans="1:23" x14ac:dyDescent="0.25">
      <c r="V51" s="53"/>
      <c r="W51" s="53"/>
    </row>
    <row r="52" spans="1:23" x14ac:dyDescent="0.25">
      <c r="V52" s="53"/>
      <c r="W52" s="53"/>
    </row>
    <row r="53" spans="1:23" x14ac:dyDescent="0.25">
      <c r="V53" s="53"/>
      <c r="W53" s="53"/>
    </row>
    <row r="54" spans="1:23" x14ac:dyDescent="0.25">
      <c r="V54" s="53"/>
      <c r="W54" s="53"/>
    </row>
    <row r="55" spans="1:23" x14ac:dyDescent="0.25">
      <c r="V55" s="53"/>
      <c r="W55" s="53"/>
    </row>
    <row r="56" spans="1:23" x14ac:dyDescent="0.25">
      <c r="V56" s="53"/>
      <c r="W56" s="53"/>
    </row>
    <row r="57" spans="1:23" x14ac:dyDescent="0.25">
      <c r="V57" s="53"/>
      <c r="W57" s="53"/>
    </row>
    <row r="58" spans="1:23" x14ac:dyDescent="0.25">
      <c r="V58" s="53"/>
      <c r="W58" s="53"/>
    </row>
    <row r="59" spans="1:23" x14ac:dyDescent="0.25">
      <c r="V59" s="53"/>
      <c r="W59" s="53"/>
    </row>
    <row r="60" spans="1:23" x14ac:dyDescent="0.25">
      <c r="V60" s="53"/>
      <c r="W60" s="53"/>
    </row>
    <row r="61" spans="1:23" x14ac:dyDescent="0.25">
      <c r="V61" s="53"/>
      <c r="W61" s="53"/>
    </row>
    <row r="62" spans="1:23" x14ac:dyDescent="0.25">
      <c r="V62" s="53"/>
      <c r="W62" s="53"/>
    </row>
    <row r="63" spans="1:23" x14ac:dyDescent="0.25">
      <c r="V63" s="53"/>
      <c r="W63" s="53"/>
    </row>
    <row r="64" spans="1:23" x14ac:dyDescent="0.25">
      <c r="V64" s="53"/>
      <c r="W64" s="53"/>
    </row>
    <row r="65" spans="22:23" x14ac:dyDescent="0.25">
      <c r="V65" s="53"/>
      <c r="W65" s="53"/>
    </row>
    <row r="66" spans="22:23" x14ac:dyDescent="0.25">
      <c r="V66" s="53"/>
      <c r="W66" s="53"/>
    </row>
  </sheetData>
  <mergeCells count="5">
    <mergeCell ref="A1:AC1"/>
    <mergeCell ref="A2:AC2"/>
    <mergeCell ref="A3:AC3"/>
    <mergeCell ref="A4:AC4"/>
    <mergeCell ref="A5:A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zoomScale="70" zoomScaleNormal="70" workbookViewId="0">
      <selection activeCell="I10" sqref="I10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8" style="32" bestFit="1" customWidth="1"/>
    <col min="13" max="13" width="13.125" style="32" bestFit="1" customWidth="1"/>
    <col min="14" max="14" width="18.375" style="32" bestFit="1" customWidth="1"/>
    <col min="15" max="15" width="17.75" style="32" bestFit="1" customWidth="1"/>
    <col min="16" max="16" width="9.875" style="32" customWidth="1"/>
    <col min="17" max="17" width="11.5" style="32" customWidth="1"/>
    <col min="18" max="18" width="11.125" style="32" customWidth="1"/>
    <col min="19" max="19" width="11.5" style="32" customWidth="1"/>
    <col min="20" max="20" width="10.25" style="32" customWidth="1"/>
    <col min="21" max="21" width="11.625" style="32" customWidth="1"/>
    <col min="22" max="22" width="12" style="32" bestFit="1" customWidth="1"/>
    <col min="23" max="23" width="12.75" style="32" bestFit="1" customWidth="1"/>
    <col min="24" max="24" width="10.375" style="32" customWidth="1"/>
    <col min="25" max="25" width="11.75" style="32" customWidth="1"/>
    <col min="26" max="26" width="9.875" style="32" customWidth="1"/>
    <col min="27" max="27" width="9.25" style="32" customWidth="1"/>
    <col min="28" max="28" width="9.875" style="32" customWidth="1"/>
    <col min="29" max="29" width="10.25" style="32" customWidth="1"/>
    <col min="30" max="31" width="9.875" style="32" customWidth="1"/>
    <col min="32" max="32" width="11.875" style="32" customWidth="1"/>
    <col min="33" max="36" width="8" style="32" customWidth="1"/>
    <col min="37" max="39" width="9" style="32"/>
    <col min="40" max="40" width="11.125" style="32" bestFit="1" customWidth="1"/>
    <col min="41" max="41" width="10.125" style="32" bestFit="1" customWidth="1"/>
    <col min="42" max="55" width="9" style="32"/>
    <col min="56" max="56" width="9.25" style="32" bestFit="1" customWidth="1"/>
    <col min="57" max="16384" width="9" style="32"/>
  </cols>
  <sheetData>
    <row r="1" spans="1:57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7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7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7" ht="26.25" x14ac:dyDescent="0.25">
      <c r="A4" s="145" t="s">
        <v>65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7" ht="26.25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57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6" t="s">
        <v>31</v>
      </c>
      <c r="K6" s="66" t="s">
        <v>32</v>
      </c>
      <c r="L6" s="66" t="s">
        <v>33</v>
      </c>
      <c r="M6" s="66" t="s">
        <v>34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42"/>
      <c r="AE6" s="33" t="s">
        <v>59</v>
      </c>
      <c r="AF6" s="33"/>
      <c r="AG6" s="33"/>
      <c r="AH6" s="33"/>
      <c r="AK6" s="35"/>
      <c r="AL6" s="35"/>
      <c r="AM6" s="35"/>
      <c r="AN6" s="35"/>
      <c r="AW6" s="35"/>
      <c r="AX6" s="35"/>
      <c r="AY6" s="35"/>
      <c r="AZ6" s="35"/>
      <c r="BA6" s="35"/>
      <c r="BB6" s="35"/>
      <c r="BC6" s="35"/>
      <c r="BD6" s="35"/>
      <c r="BE6" s="35"/>
    </row>
    <row r="7" spans="1:57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67">
        <v>2020</v>
      </c>
      <c r="AE7" s="137">
        <f>SUM(E7:M7)</f>
        <v>0</v>
      </c>
      <c r="AF7" s="68"/>
      <c r="AG7" s="37"/>
      <c r="AH7" s="40"/>
      <c r="AI7" s="40"/>
      <c r="AK7" s="35"/>
      <c r="AL7" s="35"/>
      <c r="AM7" s="35"/>
      <c r="AN7" s="44"/>
      <c r="AW7" s="44"/>
      <c r="AX7" s="44"/>
      <c r="AY7" s="44"/>
      <c r="AZ7" s="44"/>
      <c r="BA7" s="44"/>
      <c r="BB7" s="44"/>
      <c r="BC7" s="44"/>
      <c r="BD7" s="44"/>
      <c r="BE7" s="44"/>
    </row>
    <row r="8" spans="1:57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67">
        <v>2021</v>
      </c>
      <c r="AE8" s="137">
        <f t="shared" ref="AE8:AE36" si="0">SUM(E8:M8)</f>
        <v>0</v>
      </c>
      <c r="AF8" s="68"/>
      <c r="AG8" s="37"/>
      <c r="AH8" s="40"/>
      <c r="AI8" s="40"/>
      <c r="AK8" s="35"/>
      <c r="AL8" s="35"/>
      <c r="AM8" s="35"/>
      <c r="AN8" s="44"/>
      <c r="AW8" s="44"/>
      <c r="AX8" s="44"/>
      <c r="AY8" s="44"/>
      <c r="AZ8" s="44"/>
      <c r="BA8" s="44"/>
      <c r="BB8" s="44"/>
      <c r="BC8" s="44"/>
      <c r="BD8" s="44"/>
      <c r="BE8" s="44"/>
    </row>
    <row r="9" spans="1:57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0</v>
      </c>
      <c r="Q9" s="38">
        <v>0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1085.22</v>
      </c>
      <c r="X9" s="36">
        <v>-141.19605854639985</v>
      </c>
      <c r="Y9" s="39">
        <v>-5.4107372408630185</v>
      </c>
      <c r="Z9" s="40">
        <v>8.8039414536001459</v>
      </c>
      <c r="AA9" s="41">
        <v>9.7604411063392948</v>
      </c>
      <c r="AB9" s="53">
        <v>0</v>
      </c>
      <c r="AC9" s="33">
        <v>0</v>
      </c>
      <c r="AD9" s="67">
        <v>2022</v>
      </c>
      <c r="AE9" s="137">
        <f t="shared" si="0"/>
        <v>0</v>
      </c>
      <c r="AF9" s="68"/>
      <c r="AG9" s="37"/>
      <c r="AH9" s="40"/>
      <c r="AI9" s="40"/>
      <c r="AK9" s="35"/>
      <c r="AL9" s="35"/>
      <c r="AM9" s="35"/>
      <c r="AN9" s="44"/>
      <c r="AW9" s="44"/>
      <c r="AX9" s="44"/>
      <c r="AY9" s="44"/>
      <c r="AZ9" s="44"/>
      <c r="BA9" s="44"/>
      <c r="BB9" s="44"/>
      <c r="BC9" s="44"/>
      <c r="BD9" s="44"/>
      <c r="BE9" s="44"/>
    </row>
    <row r="10" spans="1:57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0</v>
      </c>
      <c r="Q10" s="38">
        <v>0</v>
      </c>
      <c r="R10" s="39">
        <v>1.022</v>
      </c>
      <c r="S10" s="36">
        <v>0</v>
      </c>
      <c r="T10" s="36">
        <v>0</v>
      </c>
      <c r="U10" s="36">
        <v>0</v>
      </c>
      <c r="V10" s="36">
        <v>150</v>
      </c>
      <c r="W10" s="36">
        <v>1086.242</v>
      </c>
      <c r="X10" s="36">
        <v>-141.43342562999987</v>
      </c>
      <c r="Y10" s="39">
        <v>-5.4315910986658418</v>
      </c>
      <c r="Z10" s="40">
        <v>9.5885743700000603</v>
      </c>
      <c r="AA10" s="41">
        <v>9.8395860030827098</v>
      </c>
      <c r="AB10" s="53">
        <v>0</v>
      </c>
      <c r="AC10" s="33">
        <v>0</v>
      </c>
      <c r="AD10" s="67">
        <v>2023</v>
      </c>
      <c r="AE10" s="137">
        <f t="shared" si="0"/>
        <v>0</v>
      </c>
      <c r="AF10" s="68"/>
      <c r="AG10" s="37"/>
      <c r="AH10" s="40"/>
      <c r="AI10" s="40"/>
      <c r="AK10" s="35"/>
      <c r="AL10" s="35"/>
      <c r="AM10" s="35"/>
      <c r="AN10" s="44"/>
      <c r="AW10" s="44"/>
      <c r="AX10" s="44"/>
      <c r="AY10" s="44"/>
      <c r="AZ10" s="44"/>
      <c r="BA10" s="44"/>
      <c r="BB10" s="44"/>
      <c r="BC10" s="44"/>
      <c r="BD10" s="44"/>
      <c r="BE10" s="44"/>
    </row>
    <row r="11" spans="1:57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0</v>
      </c>
      <c r="Q11" s="38">
        <v>0</v>
      </c>
      <c r="R11" s="39">
        <v>1.5329999999999999</v>
      </c>
      <c r="S11" s="36">
        <v>0</v>
      </c>
      <c r="T11" s="36">
        <v>0</v>
      </c>
      <c r="U11" s="36">
        <v>0</v>
      </c>
      <c r="V11" s="36">
        <v>150</v>
      </c>
      <c r="W11" s="36">
        <v>1086.7529999999999</v>
      </c>
      <c r="X11" s="36">
        <v>-138.49278128138985</v>
      </c>
      <c r="Y11" s="39">
        <v>-5.1725906825015979</v>
      </c>
      <c r="Z11" s="40">
        <v>13.040218718610049</v>
      </c>
      <c r="AA11" s="41">
        <v>10.192223816876597</v>
      </c>
      <c r="AB11" s="53">
        <v>0</v>
      </c>
      <c r="AC11" s="33">
        <v>0</v>
      </c>
      <c r="AD11" s="67">
        <v>2024</v>
      </c>
      <c r="AE11" s="137">
        <f t="shared" si="0"/>
        <v>0</v>
      </c>
      <c r="AF11" s="68"/>
      <c r="AG11" s="37"/>
      <c r="AH11" s="40"/>
      <c r="AI11" s="40"/>
      <c r="AK11" s="35"/>
      <c r="AL11" s="35"/>
      <c r="AM11" s="35"/>
      <c r="AN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1:57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0.17807733000000001</v>
      </c>
      <c r="Q12" s="38">
        <v>4.7387453199999996</v>
      </c>
      <c r="R12" s="39">
        <v>1.5329999999999999</v>
      </c>
      <c r="S12" s="36">
        <v>129.28</v>
      </c>
      <c r="T12" s="36">
        <v>0</v>
      </c>
      <c r="U12" s="36">
        <v>0</v>
      </c>
      <c r="V12" s="36">
        <v>0</v>
      </c>
      <c r="W12" s="36">
        <v>1070.94982265</v>
      </c>
      <c r="X12" s="36">
        <v>-135.67758543864011</v>
      </c>
      <c r="Y12" s="39">
        <v>-4.9233065939769052</v>
      </c>
      <c r="Z12" s="40">
        <v>5.2237211359852154E-2</v>
      </c>
      <c r="AA12" s="41">
        <v>8.8753105593644861</v>
      </c>
      <c r="AB12" s="53">
        <v>252.99412915851272</v>
      </c>
      <c r="AC12" s="33">
        <v>0</v>
      </c>
      <c r="AD12" s="67">
        <v>2025</v>
      </c>
      <c r="AE12" s="137">
        <f t="shared" si="0"/>
        <v>0</v>
      </c>
      <c r="AF12" s="68"/>
      <c r="AG12" s="37"/>
      <c r="AH12" s="40"/>
      <c r="AI12" s="40"/>
      <c r="AK12" s="35"/>
      <c r="AL12" s="35"/>
      <c r="AM12" s="35"/>
      <c r="AN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1:57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0.33094820000000003</v>
      </c>
      <c r="Q13" s="38">
        <v>5.1243415500000005</v>
      </c>
      <c r="R13" s="39">
        <v>1.5329999999999999</v>
      </c>
      <c r="S13" s="36">
        <v>129.28</v>
      </c>
      <c r="T13" s="36">
        <v>0</v>
      </c>
      <c r="U13" s="36">
        <v>0</v>
      </c>
      <c r="V13" s="36">
        <v>0</v>
      </c>
      <c r="W13" s="36">
        <v>1071.4882897500001</v>
      </c>
      <c r="X13" s="36">
        <v>-133.17688301810995</v>
      </c>
      <c r="Y13" s="39">
        <v>-4.7007689573406095</v>
      </c>
      <c r="Z13" s="40">
        <v>3.0914067318901743</v>
      </c>
      <c r="AA13" s="41">
        <v>9.185015380754507</v>
      </c>
      <c r="AB13" s="53">
        <v>252.99412915851272</v>
      </c>
      <c r="AC13" s="33">
        <v>0</v>
      </c>
      <c r="AD13" s="67">
        <v>2026</v>
      </c>
      <c r="AE13" s="137">
        <f t="shared" si="0"/>
        <v>0</v>
      </c>
      <c r="AF13" s="68"/>
      <c r="AG13" s="37"/>
      <c r="AH13" s="40"/>
      <c r="AI13" s="40"/>
      <c r="AK13" s="35"/>
      <c r="AL13" s="35"/>
      <c r="AM13" s="35"/>
      <c r="AN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0.45871704000000002</v>
      </c>
      <c r="Q14" s="38">
        <v>4.9429842399999995</v>
      </c>
      <c r="R14" s="39">
        <v>2.044</v>
      </c>
      <c r="S14" s="36">
        <v>129.28</v>
      </c>
      <c r="T14" s="36">
        <v>0</v>
      </c>
      <c r="U14" s="36">
        <v>0</v>
      </c>
      <c r="V14" s="36">
        <v>0</v>
      </c>
      <c r="W14" s="36">
        <v>1071.9457012800001</v>
      </c>
      <c r="X14" s="36">
        <v>-131.74494726266994</v>
      </c>
      <c r="Y14" s="39">
        <v>-4.5728712445375619</v>
      </c>
      <c r="Z14" s="40">
        <v>4.9807540173301277</v>
      </c>
      <c r="AA14" s="41">
        <v>9.3782216536334158</v>
      </c>
      <c r="AB14" s="53">
        <v>252.99412915851272</v>
      </c>
      <c r="AC14" s="33">
        <v>0</v>
      </c>
      <c r="AD14" s="67">
        <v>2027</v>
      </c>
      <c r="AE14" s="137">
        <f t="shared" si="0"/>
        <v>0</v>
      </c>
      <c r="AF14" s="68"/>
      <c r="AG14" s="37"/>
      <c r="AH14" s="40"/>
      <c r="AI14" s="40"/>
      <c r="AK14" s="35"/>
      <c r="AL14" s="35"/>
      <c r="AM14" s="35"/>
      <c r="AN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0.55188607999999995</v>
      </c>
      <c r="Q15" s="38">
        <v>5.4726749899999998</v>
      </c>
      <c r="R15" s="39">
        <v>2.044</v>
      </c>
      <c r="S15" s="36">
        <v>129.28</v>
      </c>
      <c r="T15" s="36">
        <v>0</v>
      </c>
      <c r="U15" s="36">
        <v>0</v>
      </c>
      <c r="V15" s="36">
        <v>0</v>
      </c>
      <c r="W15" s="36">
        <v>1072.56856107</v>
      </c>
      <c r="X15" s="36">
        <v>-130.81159234148981</v>
      </c>
      <c r="Y15" s="39">
        <v>-4.4893208311371824</v>
      </c>
      <c r="Z15" s="40">
        <v>6.5369687285101463</v>
      </c>
      <c r="AA15" s="41">
        <v>9.53759727440133</v>
      </c>
      <c r="AB15" s="53">
        <v>252.99412915851272</v>
      </c>
      <c r="AC15" s="33">
        <v>0</v>
      </c>
      <c r="AD15" s="67">
        <v>2028</v>
      </c>
      <c r="AE15" s="137">
        <f t="shared" si="0"/>
        <v>0</v>
      </c>
      <c r="AF15" s="68"/>
      <c r="AG15" s="37"/>
      <c r="AH15" s="40"/>
      <c r="AI15" s="40"/>
      <c r="AK15" s="35"/>
      <c r="AL15" s="35"/>
      <c r="AM15" s="35"/>
      <c r="AN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spans="1:57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0.5258872</v>
      </c>
      <c r="Q16" s="38">
        <v>5.5352137400000005</v>
      </c>
      <c r="R16" s="39">
        <v>2.5550000000000002</v>
      </c>
      <c r="S16" s="36">
        <v>129.28</v>
      </c>
      <c r="T16" s="36">
        <v>4.2698</v>
      </c>
      <c r="U16" s="36">
        <v>0</v>
      </c>
      <c r="V16" s="36">
        <v>0</v>
      </c>
      <c r="W16" s="36">
        <v>1077.3859009400001</v>
      </c>
      <c r="X16" s="36">
        <v>-130.93588345038006</v>
      </c>
      <c r="Y16" s="39">
        <v>-4.5004553457133465</v>
      </c>
      <c r="Z16" s="40">
        <v>11.230017489619968</v>
      </c>
      <c r="AA16" s="41">
        <v>10.016747884688511</v>
      </c>
      <c r="AB16" s="53">
        <v>252.99412915851272</v>
      </c>
      <c r="AC16" s="33">
        <v>0</v>
      </c>
      <c r="AD16" s="67">
        <v>2029</v>
      </c>
      <c r="AE16" s="137">
        <f t="shared" si="0"/>
        <v>0</v>
      </c>
      <c r="AF16" s="68"/>
      <c r="AG16" s="37"/>
      <c r="AH16" s="40"/>
      <c r="AI16" s="40"/>
      <c r="AK16" s="35"/>
      <c r="AL16" s="35"/>
      <c r="AM16" s="35"/>
      <c r="AN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spans="1:57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0.51815445000000004</v>
      </c>
      <c r="Q17" s="38">
        <v>8.790200050000001</v>
      </c>
      <c r="R17" s="39">
        <v>3.0659999999999998</v>
      </c>
      <c r="S17" s="36">
        <v>155.13600000000002</v>
      </c>
      <c r="T17" s="36">
        <v>7.5539000000000005</v>
      </c>
      <c r="U17" s="36">
        <v>12.3</v>
      </c>
      <c r="V17" s="36">
        <v>0</v>
      </c>
      <c r="W17" s="36">
        <v>1122.5842545</v>
      </c>
      <c r="X17" s="36">
        <v>-129.96194429721004</v>
      </c>
      <c r="Y17" s="39">
        <v>-4.4131362298133112</v>
      </c>
      <c r="Z17" s="40">
        <v>57.402310202789977</v>
      </c>
      <c r="AA17" s="41">
        <v>14.736969061234879</v>
      </c>
      <c r="AB17" s="53">
        <v>303.59295499021533</v>
      </c>
      <c r="AC17" s="33">
        <v>100.00000000000001</v>
      </c>
      <c r="AD17" s="67">
        <v>2030</v>
      </c>
      <c r="AE17" s="137">
        <f t="shared" si="0"/>
        <v>0</v>
      </c>
      <c r="AF17" s="68"/>
      <c r="AG17" s="37"/>
      <c r="AH17" s="40"/>
      <c r="AI17" s="40"/>
      <c r="AK17" s="35"/>
      <c r="AL17" s="35"/>
      <c r="AM17" s="35"/>
      <c r="AN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spans="1:57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0.43540814999999999</v>
      </c>
      <c r="Q18" s="38">
        <v>10.47900497</v>
      </c>
      <c r="R18" s="39">
        <v>3.577</v>
      </c>
      <c r="S18" s="36">
        <v>232.70400000000001</v>
      </c>
      <c r="T18" s="36">
        <v>10.3337</v>
      </c>
      <c r="U18" s="36">
        <v>12.3</v>
      </c>
      <c r="V18" s="36">
        <v>0</v>
      </c>
      <c r="W18" s="36">
        <v>1065.14911312</v>
      </c>
      <c r="X18" s="36">
        <v>-391.82507209673997</v>
      </c>
      <c r="Y18" s="39">
        <v>-31.179000569659244</v>
      </c>
      <c r="Z18" s="40">
        <v>4.0410232600152085E-3</v>
      </c>
      <c r="AA18" s="41">
        <v>8.8704130387623685</v>
      </c>
      <c r="AB18" s="53">
        <v>455.38943248532291</v>
      </c>
      <c r="AC18" s="33">
        <v>100.00000000000001</v>
      </c>
      <c r="AD18" s="67">
        <v>2031</v>
      </c>
      <c r="AE18" s="137">
        <f t="shared" si="0"/>
        <v>122</v>
      </c>
      <c r="AF18" s="68"/>
      <c r="AG18" s="37"/>
      <c r="AH18" s="40"/>
      <c r="AI18" s="40"/>
      <c r="AK18" s="35"/>
      <c r="AL18" s="35"/>
      <c r="AM18" s="35"/>
      <c r="AN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0.35496565000000002</v>
      </c>
      <c r="Q19" s="38">
        <v>10.799637130000001</v>
      </c>
      <c r="R19" s="39">
        <v>3.577</v>
      </c>
      <c r="S19" s="36">
        <v>232.70400000000001</v>
      </c>
      <c r="T19" s="36">
        <v>10.3337</v>
      </c>
      <c r="U19" s="36">
        <v>12.3</v>
      </c>
      <c r="V19" s="36">
        <v>0</v>
      </c>
      <c r="W19" s="36">
        <v>1065.38930278</v>
      </c>
      <c r="X19" s="36">
        <v>-391.85999443550998</v>
      </c>
      <c r="Y19" s="39">
        <v>-31.181256892786934</v>
      </c>
      <c r="Z19" s="40">
        <v>0.20930834448995483</v>
      </c>
      <c r="AA19" s="41">
        <v>8.8913930036084619</v>
      </c>
      <c r="AB19" s="53">
        <v>455.38943248532291</v>
      </c>
      <c r="AC19" s="33">
        <v>100.00000000000001</v>
      </c>
      <c r="AD19" s="67">
        <v>2032</v>
      </c>
      <c r="AE19" s="137">
        <f t="shared" si="0"/>
        <v>122</v>
      </c>
      <c r="AF19" s="68"/>
      <c r="AG19" s="37"/>
      <c r="AH19" s="40"/>
      <c r="AI19" s="40"/>
      <c r="AK19" s="35"/>
      <c r="AL19" s="35"/>
      <c r="AM19" s="35"/>
      <c r="AN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0.27977774999999999</v>
      </c>
      <c r="Q20" s="38">
        <v>10.03028696</v>
      </c>
      <c r="R20" s="39">
        <v>4.0880000000000001</v>
      </c>
      <c r="S20" s="36">
        <v>232.70400000000001</v>
      </c>
      <c r="T20" s="36">
        <v>10.3337</v>
      </c>
      <c r="U20" s="36">
        <v>12.3</v>
      </c>
      <c r="V20" s="36">
        <v>0</v>
      </c>
      <c r="W20" s="36">
        <v>1065.0557647100002</v>
      </c>
      <c r="X20" s="36">
        <v>-391.72112400056983</v>
      </c>
      <c r="Y20" s="39">
        <v>-31.172283634785941</v>
      </c>
      <c r="Z20" s="40">
        <v>1.4640709430295828E-2</v>
      </c>
      <c r="AA20" s="41">
        <v>8.8714965938870805</v>
      </c>
      <c r="AB20" s="53">
        <v>455.38943248532291</v>
      </c>
      <c r="AC20" s="33">
        <v>100.00000000000001</v>
      </c>
      <c r="AD20" s="67">
        <v>2033</v>
      </c>
      <c r="AE20" s="137">
        <f t="shared" si="0"/>
        <v>122</v>
      </c>
      <c r="AF20" s="68"/>
      <c r="AG20" s="37"/>
      <c r="AH20" s="40"/>
      <c r="AI20" s="40"/>
      <c r="AK20" s="35"/>
      <c r="AL20" s="35"/>
      <c r="AM20" s="35"/>
      <c r="AN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0.20560524999999999</v>
      </c>
      <c r="Q21" s="38">
        <v>10.393352309999999</v>
      </c>
      <c r="R21" s="39">
        <v>4.5990000000000002</v>
      </c>
      <c r="S21" s="36">
        <v>232.70400000000001</v>
      </c>
      <c r="T21" s="36">
        <v>10.3337</v>
      </c>
      <c r="U21" s="36">
        <v>12.3</v>
      </c>
      <c r="V21" s="36">
        <v>0</v>
      </c>
      <c r="W21" s="36">
        <v>1065.8556575600001</v>
      </c>
      <c r="X21" s="36">
        <v>-392.4548395390799</v>
      </c>
      <c r="Y21" s="39">
        <v>-31.219666968585752</v>
      </c>
      <c r="Z21" s="40">
        <v>8.0818020920105482E-2</v>
      </c>
      <c r="AA21" s="41">
        <v>8.8782556442610083</v>
      </c>
      <c r="AB21" s="53">
        <v>455.38943248532291</v>
      </c>
      <c r="AC21" s="33">
        <v>100.00000000000001</v>
      </c>
      <c r="AD21" s="67">
        <v>2034</v>
      </c>
      <c r="AE21" s="137">
        <f t="shared" si="0"/>
        <v>122</v>
      </c>
      <c r="AF21" s="68"/>
      <c r="AG21" s="37"/>
      <c r="AH21" s="40"/>
      <c r="AI21" s="40"/>
      <c r="AK21" s="35"/>
      <c r="AL21" s="35"/>
      <c r="AM21" s="35"/>
      <c r="AN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0.14242679999999999</v>
      </c>
      <c r="Q22" s="38">
        <v>10.810154369999999</v>
      </c>
      <c r="R22" s="39">
        <v>4.5990000000000002</v>
      </c>
      <c r="S22" s="36">
        <v>232.70400000000001</v>
      </c>
      <c r="T22" s="36">
        <v>10.3337</v>
      </c>
      <c r="U22" s="36">
        <v>12.3</v>
      </c>
      <c r="V22" s="36">
        <v>0</v>
      </c>
      <c r="W22" s="36">
        <v>1066.2092811700002</v>
      </c>
      <c r="X22" s="36">
        <v>-392.86475490341979</v>
      </c>
      <c r="Y22" s="39">
        <v>-31.246110898818603</v>
      </c>
      <c r="Z22" s="40">
        <v>2.4526266580323863E-2</v>
      </c>
      <c r="AA22" s="41">
        <v>8.8725044202051357</v>
      </c>
      <c r="AB22" s="53">
        <v>455.38943248532291</v>
      </c>
      <c r="AC22" s="33">
        <v>100.00000000000001</v>
      </c>
      <c r="AD22" s="67">
        <v>2035</v>
      </c>
      <c r="AE22" s="137">
        <f t="shared" si="0"/>
        <v>122</v>
      </c>
      <c r="AF22" s="68"/>
      <c r="AG22" s="37"/>
      <c r="AH22" s="40"/>
      <c r="AI22" s="40"/>
      <c r="AK22" s="35"/>
      <c r="AL22" s="35"/>
      <c r="AM22" s="35"/>
      <c r="AN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9.0077749999999998E-2</v>
      </c>
      <c r="Q23" s="38">
        <v>8.3742813500000004</v>
      </c>
      <c r="R23" s="39">
        <v>5.1100000000000003</v>
      </c>
      <c r="S23" s="36">
        <v>232.70400000000001</v>
      </c>
      <c r="T23" s="36">
        <v>10.3337</v>
      </c>
      <c r="U23" s="36">
        <v>24.6</v>
      </c>
      <c r="V23" s="36">
        <v>0</v>
      </c>
      <c r="W23" s="36">
        <v>1076.5320591</v>
      </c>
      <c r="X23" s="36">
        <v>-393.98748385497004</v>
      </c>
      <c r="Y23" s="39">
        <v>-31.318434931951728</v>
      </c>
      <c r="Z23" s="40">
        <v>9.2245752450298824</v>
      </c>
      <c r="AA23" s="41">
        <v>9.8109467488217099</v>
      </c>
      <c r="AB23" s="53">
        <v>455.38943248532291</v>
      </c>
      <c r="AC23" s="33">
        <v>200.00000000000003</v>
      </c>
      <c r="AD23" s="67">
        <v>2036</v>
      </c>
      <c r="AE23" s="137">
        <f t="shared" si="0"/>
        <v>122</v>
      </c>
      <c r="AF23" s="68"/>
      <c r="AG23" s="37"/>
    </row>
    <row r="24" spans="1:57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4.9478149999999999E-2</v>
      </c>
      <c r="Q24" s="38">
        <v>5.9997965400000002</v>
      </c>
      <c r="R24" s="39">
        <v>5.1100000000000003</v>
      </c>
      <c r="S24" s="36">
        <v>232.70400000000001</v>
      </c>
      <c r="T24" s="36">
        <v>10.3337</v>
      </c>
      <c r="U24" s="36">
        <v>24.6</v>
      </c>
      <c r="V24" s="36">
        <v>0</v>
      </c>
      <c r="W24" s="36">
        <v>1074.11697469</v>
      </c>
      <c r="X24" s="36">
        <v>-393.69112349333989</v>
      </c>
      <c r="Y24" s="39">
        <v>-31.299358754569205</v>
      </c>
      <c r="Z24" s="40">
        <v>7.105851196660069</v>
      </c>
      <c r="AA24" s="41">
        <v>9.5950290111761927</v>
      </c>
      <c r="AB24" s="53">
        <v>455.38943248532291</v>
      </c>
      <c r="AC24" s="33">
        <v>200.00000000000003</v>
      </c>
      <c r="AD24" s="67">
        <v>2037</v>
      </c>
      <c r="AE24" s="137">
        <f t="shared" si="0"/>
        <v>122</v>
      </c>
      <c r="AF24" s="68"/>
      <c r="AG24" s="37"/>
    </row>
    <row r="25" spans="1:57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2.0478449999999999E-2</v>
      </c>
      <c r="Q25" s="38">
        <v>4.3677110400000005</v>
      </c>
      <c r="R25" s="39">
        <v>5.6210000000000004</v>
      </c>
      <c r="S25" s="36">
        <v>232.70400000000001</v>
      </c>
      <c r="T25" s="36">
        <v>10.3337</v>
      </c>
      <c r="U25" s="36">
        <v>24.6</v>
      </c>
      <c r="V25" s="36">
        <v>0</v>
      </c>
      <c r="W25" s="36">
        <v>1072.9668894900001</v>
      </c>
      <c r="X25" s="36">
        <v>-394.24811896157996</v>
      </c>
      <c r="Y25" s="39">
        <v>-31.33520278658855</v>
      </c>
      <c r="Z25" s="40">
        <v>5.3987705284200729</v>
      </c>
      <c r="AA25" s="41">
        <v>9.4205636005698672</v>
      </c>
      <c r="AB25" s="53">
        <v>455.38943248532291</v>
      </c>
      <c r="AC25" s="33">
        <v>200.00000000000003</v>
      </c>
      <c r="AD25" s="67">
        <v>2038</v>
      </c>
      <c r="AE25" s="137">
        <f t="shared" si="0"/>
        <v>122</v>
      </c>
      <c r="AF25" s="68"/>
      <c r="AG25" s="37"/>
    </row>
    <row r="26" spans="1:57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4.4529000000000001E-3</v>
      </c>
      <c r="Q26" s="38">
        <v>2.9563680799999998</v>
      </c>
      <c r="R26" s="39">
        <v>5.6210000000000004</v>
      </c>
      <c r="S26" s="36">
        <v>232.70400000000001</v>
      </c>
      <c r="T26" s="36">
        <v>10.3337</v>
      </c>
      <c r="U26" s="36">
        <v>24.6</v>
      </c>
      <c r="V26" s="36">
        <v>0</v>
      </c>
      <c r="W26" s="36">
        <v>1071.5395209800001</v>
      </c>
      <c r="X26" s="36">
        <v>-394.73299415154008</v>
      </c>
      <c r="Y26" s="39">
        <v>-31.366375262837131</v>
      </c>
      <c r="Z26" s="40">
        <v>3.4865268284600006</v>
      </c>
      <c r="AA26" s="41">
        <v>9.2253926423997221</v>
      </c>
      <c r="AB26" s="53">
        <v>455.38943248532291</v>
      </c>
      <c r="AC26" s="33">
        <v>200.00000000000003</v>
      </c>
      <c r="AD26" s="67">
        <v>2039</v>
      </c>
      <c r="AE26" s="137">
        <f t="shared" si="0"/>
        <v>122</v>
      </c>
      <c r="AF26" s="68"/>
      <c r="AG26" s="37"/>
    </row>
    <row r="27" spans="1:57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1.955101</v>
      </c>
      <c r="R27" s="39">
        <v>6.1319999999999997</v>
      </c>
      <c r="S27" s="36">
        <v>232.70400000000001</v>
      </c>
      <c r="T27" s="36">
        <v>10.3337</v>
      </c>
      <c r="U27" s="36">
        <v>24.6</v>
      </c>
      <c r="V27" s="36">
        <v>0</v>
      </c>
      <c r="W27" s="36">
        <v>1071.044801</v>
      </c>
      <c r="X27" s="36">
        <v>-396.55260378353989</v>
      </c>
      <c r="Y27" s="39">
        <v>-31.48310542697925</v>
      </c>
      <c r="Z27" s="40">
        <v>1.1721972164600629</v>
      </c>
      <c r="AA27" s="41">
        <v>8.9892825299990804</v>
      </c>
      <c r="AB27" s="53">
        <v>455.38943248532291</v>
      </c>
      <c r="AC27" s="33">
        <v>200.00000000000003</v>
      </c>
      <c r="AD27" s="67">
        <v>2040</v>
      </c>
      <c r="AE27" s="137">
        <f t="shared" si="0"/>
        <v>122</v>
      </c>
      <c r="AF27" s="68"/>
      <c r="AG27" s="37"/>
    </row>
    <row r="28" spans="1:57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1.2339340000000001</v>
      </c>
      <c r="R28" s="39">
        <v>6.1319999999999997</v>
      </c>
      <c r="S28" s="36">
        <v>232.70400000000001</v>
      </c>
      <c r="T28" s="36">
        <v>10.3337</v>
      </c>
      <c r="U28" s="36">
        <v>24.6</v>
      </c>
      <c r="V28" s="36">
        <v>0</v>
      </c>
      <c r="W28" s="36">
        <v>1070.3236340000001</v>
      </c>
      <c r="X28" s="36">
        <v>-396.73947881192987</v>
      </c>
      <c r="Y28" s="39">
        <v>-31.495071207267227</v>
      </c>
      <c r="Z28" s="40">
        <v>0.26415518807016269</v>
      </c>
      <c r="AA28" s="41">
        <v>8.8968756792446015</v>
      </c>
      <c r="AB28" s="53">
        <v>455.38943248532291</v>
      </c>
      <c r="AC28" s="33">
        <v>200.00000000000003</v>
      </c>
      <c r="AD28" s="67">
        <v>2041</v>
      </c>
      <c r="AE28" s="137">
        <f t="shared" si="0"/>
        <v>122</v>
      </c>
      <c r="AF28" s="68"/>
      <c r="AG28" s="37"/>
    </row>
    <row r="29" spans="1:57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0.67205950000000003</v>
      </c>
      <c r="R29" s="39">
        <v>6.6429999999999998</v>
      </c>
      <c r="S29" s="36">
        <v>232.70400000000001</v>
      </c>
      <c r="T29" s="36">
        <v>10.3337</v>
      </c>
      <c r="U29" s="36">
        <v>36.9</v>
      </c>
      <c r="V29" s="36">
        <v>0</v>
      </c>
      <c r="W29" s="36">
        <v>1082.5727595000001</v>
      </c>
      <c r="X29" s="36">
        <v>-397.23293742156</v>
      </c>
      <c r="Y29" s="39">
        <v>-31.526647737239006</v>
      </c>
      <c r="Z29" s="40">
        <v>12.019822078440029</v>
      </c>
      <c r="AA29" s="41">
        <v>10.092357142685112</v>
      </c>
      <c r="AB29" s="53">
        <v>455.38943248532291</v>
      </c>
      <c r="AC29" s="33">
        <v>300</v>
      </c>
      <c r="AD29" s="67">
        <v>2042</v>
      </c>
      <c r="AE29" s="137">
        <f t="shared" si="0"/>
        <v>122</v>
      </c>
      <c r="AF29" s="68"/>
      <c r="AG29" s="37"/>
    </row>
    <row r="30" spans="1:57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0.28122799999999998</v>
      </c>
      <c r="R30" s="39">
        <v>7.1539999999999999</v>
      </c>
      <c r="S30" s="36">
        <v>232.70400000000001</v>
      </c>
      <c r="T30" s="36">
        <v>10.3337</v>
      </c>
      <c r="U30" s="36">
        <v>36.9</v>
      </c>
      <c r="V30" s="36">
        <v>0</v>
      </c>
      <c r="W30" s="36">
        <v>1082.6929279999999</v>
      </c>
      <c r="X30" s="36">
        <v>-397.44831287402997</v>
      </c>
      <c r="Y30" s="39">
        <v>-31.540420538552251</v>
      </c>
      <c r="Z30" s="40">
        <v>11.924615125969922</v>
      </c>
      <c r="AA30" s="41">
        <v>10.082431142344676</v>
      </c>
      <c r="AB30" s="53">
        <v>455.38943248532291</v>
      </c>
      <c r="AC30" s="33">
        <v>300</v>
      </c>
      <c r="AD30" s="67">
        <v>2043</v>
      </c>
      <c r="AE30" s="137">
        <f t="shared" si="0"/>
        <v>122</v>
      </c>
      <c r="AF30" s="68"/>
      <c r="AG30" s="37"/>
    </row>
    <row r="31" spans="1:57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6.1097499999999999E-2</v>
      </c>
      <c r="R31" s="39">
        <v>7.1539999999999999</v>
      </c>
      <c r="S31" s="36">
        <v>232.70400000000001</v>
      </c>
      <c r="T31" s="36">
        <v>6.0639000000000003</v>
      </c>
      <c r="U31" s="36">
        <v>36.9</v>
      </c>
      <c r="V31" s="36">
        <v>0</v>
      </c>
      <c r="W31" s="36">
        <v>1078.2029975</v>
      </c>
      <c r="X31" s="36">
        <v>-397.95012725616004</v>
      </c>
      <c r="Y31" s="39">
        <v>-31.572489015675121</v>
      </c>
      <c r="Z31" s="40">
        <v>6.9328702438399432</v>
      </c>
      <c r="AA31" s="41">
        <v>9.574567003450456</v>
      </c>
      <c r="AB31" s="53">
        <v>455.38943248532291</v>
      </c>
      <c r="AC31" s="33">
        <v>300</v>
      </c>
      <c r="AD31" s="67">
        <v>2044</v>
      </c>
      <c r="AE31" s="137">
        <f t="shared" si="0"/>
        <v>122</v>
      </c>
      <c r="AF31" s="68"/>
      <c r="AG31" s="37"/>
    </row>
    <row r="32" spans="1:57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2.7797999999999998</v>
      </c>
      <c r="U32" s="36">
        <v>36.9</v>
      </c>
      <c r="V32" s="36">
        <v>0</v>
      </c>
      <c r="W32" s="36">
        <v>1075.3688000000002</v>
      </c>
      <c r="X32" s="36">
        <v>-398.65533507630005</v>
      </c>
      <c r="Y32" s="39">
        <v>-31.617504618441227</v>
      </c>
      <c r="Z32" s="40">
        <v>3.393464923700094</v>
      </c>
      <c r="AA32" s="41">
        <v>9.2146408831943312</v>
      </c>
      <c r="AB32" s="53">
        <v>455.38943248532291</v>
      </c>
      <c r="AC32" s="33">
        <v>300</v>
      </c>
      <c r="AD32" s="67">
        <v>2045</v>
      </c>
      <c r="AE32" s="137">
        <f t="shared" si="0"/>
        <v>122</v>
      </c>
      <c r="AF32" s="68"/>
      <c r="AG32" s="37"/>
    </row>
    <row r="33" spans="1:33" s="45" customFormat="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</v>
      </c>
      <c r="V33" s="36">
        <v>0</v>
      </c>
      <c r="W33" s="36">
        <v>1073.0999999999999</v>
      </c>
      <c r="X33" s="37">
        <v>-398.59224600000005</v>
      </c>
      <c r="Y33" s="46">
        <v>-31.613479859432449</v>
      </c>
      <c r="Z33" s="47">
        <v>1.1877539999998135</v>
      </c>
      <c r="AA33" s="48">
        <v>8.9906356009668951</v>
      </c>
      <c r="AB33" s="53">
        <v>455.38943248532291</v>
      </c>
      <c r="AC33" s="33">
        <v>300</v>
      </c>
      <c r="AD33" s="67">
        <v>2046</v>
      </c>
      <c r="AE33" s="137">
        <f t="shared" si="0"/>
        <v>122</v>
      </c>
      <c r="AF33" s="68"/>
      <c r="AG33" s="37"/>
    </row>
    <row r="34" spans="1:33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</v>
      </c>
      <c r="V34" s="36">
        <v>0</v>
      </c>
      <c r="W34" s="36">
        <v>1073.6110000000001</v>
      </c>
      <c r="X34" s="36">
        <v>-398.16765300000009</v>
      </c>
      <c r="Y34" s="39">
        <v>-31.586380678527519</v>
      </c>
      <c r="Z34" s="40">
        <v>2.123346999999967</v>
      </c>
      <c r="AA34" s="41">
        <v>9.0857456385454078</v>
      </c>
      <c r="AB34" s="53">
        <v>455.38943248532291</v>
      </c>
      <c r="AC34" s="33">
        <v>300</v>
      </c>
      <c r="AD34" s="67">
        <v>2047</v>
      </c>
      <c r="AE34" s="137">
        <f t="shared" si="0"/>
        <v>122</v>
      </c>
      <c r="AF34" s="68"/>
      <c r="AG34" s="37"/>
    </row>
    <row r="35" spans="1:33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</v>
      </c>
      <c r="V35" s="36">
        <v>0</v>
      </c>
      <c r="W35" s="36">
        <v>1074.1220000000001</v>
      </c>
      <c r="X35" s="36">
        <v>-398.00434799999982</v>
      </c>
      <c r="Y35" s="39">
        <v>-31.575952197065156</v>
      </c>
      <c r="Z35" s="40">
        <v>2.7976520000001983</v>
      </c>
      <c r="AA35" s="41">
        <v>9.1543026706231565</v>
      </c>
      <c r="AB35" s="53">
        <v>455.38943248532291</v>
      </c>
      <c r="AC35" s="33">
        <v>300</v>
      </c>
      <c r="AD35" s="67">
        <v>2048</v>
      </c>
      <c r="AE35" s="137">
        <f t="shared" si="0"/>
        <v>122</v>
      </c>
      <c r="AF35" s="68"/>
      <c r="AG35" s="37"/>
    </row>
    <row r="36" spans="1:33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</v>
      </c>
      <c r="V36" s="36">
        <v>0</v>
      </c>
      <c r="W36" s="36">
        <v>1074.1220000000001</v>
      </c>
      <c r="X36" s="36">
        <v>-397.17693599999996</v>
      </c>
      <c r="Y36" s="39">
        <v>-31.523065657798384</v>
      </c>
      <c r="Z36" s="40">
        <v>3.6250640000000658</v>
      </c>
      <c r="AA36" s="41">
        <v>9.2386705719632349</v>
      </c>
      <c r="AB36" s="53">
        <v>455.38943248532291</v>
      </c>
      <c r="AC36" s="33">
        <v>300</v>
      </c>
      <c r="AD36" s="67">
        <v>2049</v>
      </c>
      <c r="AE36" s="137">
        <f t="shared" si="0"/>
        <v>122</v>
      </c>
      <c r="AF36" s="68"/>
    </row>
    <row r="37" spans="1:33" x14ac:dyDescent="0.25">
      <c r="A37" s="45"/>
      <c r="B37" s="49"/>
      <c r="C37" s="50"/>
      <c r="D37" s="50"/>
      <c r="E37" s="50"/>
      <c r="F37" s="51"/>
      <c r="V37" s="53"/>
      <c r="W37" s="53"/>
      <c r="AE37" s="45">
        <v>31</v>
      </c>
    </row>
    <row r="38" spans="1:33" x14ac:dyDescent="0.25">
      <c r="A38" s="45"/>
      <c r="B38" s="49"/>
      <c r="C38" s="50"/>
      <c r="D38" s="50"/>
      <c r="E38" s="50"/>
      <c r="F38" s="51"/>
      <c r="V38" s="53"/>
      <c r="W38" s="53"/>
    </row>
    <row r="39" spans="1:33" x14ac:dyDescent="0.25">
      <c r="A39" s="45"/>
      <c r="B39" s="49"/>
      <c r="C39" s="50"/>
      <c r="D39" s="50"/>
      <c r="E39" s="50"/>
      <c r="F39" s="51"/>
      <c r="V39" s="53"/>
      <c r="W39" s="53"/>
    </row>
    <row r="40" spans="1:33" x14ac:dyDescent="0.25">
      <c r="A40" s="45"/>
      <c r="B40" s="49"/>
      <c r="C40" s="50"/>
      <c r="D40" s="50"/>
      <c r="E40" s="50"/>
      <c r="F40" s="51"/>
      <c r="V40" s="53"/>
      <c r="W40" s="53"/>
    </row>
    <row r="41" spans="1:33" x14ac:dyDescent="0.25">
      <c r="A41" s="45"/>
      <c r="B41" s="49"/>
      <c r="C41" s="50"/>
      <c r="D41" s="50"/>
      <c r="E41" s="50"/>
      <c r="F41" s="51"/>
      <c r="V41" s="53"/>
      <c r="W41" s="53"/>
    </row>
    <row r="42" spans="1:33" x14ac:dyDescent="0.25">
      <c r="A42" s="45"/>
      <c r="B42" s="49"/>
      <c r="C42" s="50"/>
      <c r="D42" s="50"/>
      <c r="E42" s="50"/>
      <c r="F42" s="51"/>
      <c r="V42" s="53"/>
      <c r="W42" s="53"/>
    </row>
    <row r="43" spans="1:33" x14ac:dyDescent="0.25">
      <c r="A43" s="45"/>
      <c r="B43" s="49"/>
      <c r="C43" s="50"/>
      <c r="D43" s="50"/>
      <c r="E43" s="50"/>
      <c r="F43" s="51"/>
      <c r="V43" s="53"/>
      <c r="W43" s="53"/>
    </row>
    <row r="44" spans="1:33" x14ac:dyDescent="0.25">
      <c r="A44" s="45"/>
      <c r="B44" s="49"/>
      <c r="C44" s="50"/>
      <c r="D44" s="50"/>
      <c r="E44" s="50"/>
      <c r="F44" s="51"/>
      <c r="V44" s="53"/>
      <c r="W44" s="53"/>
    </row>
    <row r="45" spans="1:33" x14ac:dyDescent="0.25">
      <c r="A45" s="45"/>
      <c r="B45" s="49"/>
      <c r="C45" s="50"/>
      <c r="D45" s="50"/>
      <c r="E45" s="50"/>
      <c r="F45" s="51"/>
      <c r="V45" s="53"/>
      <c r="W45" s="53"/>
    </row>
    <row r="46" spans="1:33" x14ac:dyDescent="0.25">
      <c r="A46" s="45"/>
      <c r="B46" s="49"/>
      <c r="C46" s="50"/>
      <c r="D46" s="50"/>
      <c r="E46" s="50"/>
      <c r="V46" s="53"/>
      <c r="W46" s="53"/>
    </row>
    <row r="47" spans="1:33" x14ac:dyDescent="0.25">
      <c r="A47" s="32"/>
      <c r="B47" s="32"/>
      <c r="V47" s="53"/>
      <c r="W47" s="53"/>
    </row>
    <row r="48" spans="1:33" x14ac:dyDescent="0.25">
      <c r="A48" s="32"/>
      <c r="B48" s="32"/>
      <c r="V48" s="53"/>
      <c r="W48" s="53"/>
    </row>
    <row r="49" spans="1:23" x14ac:dyDescent="0.25">
      <c r="A49" s="32"/>
      <c r="B49" s="32"/>
      <c r="V49" s="53"/>
      <c r="W49" s="53"/>
    </row>
    <row r="50" spans="1:23" x14ac:dyDescent="0.25">
      <c r="V50" s="53"/>
      <c r="W50" s="53"/>
    </row>
    <row r="51" spans="1:23" x14ac:dyDescent="0.25">
      <c r="V51" s="53"/>
      <c r="W51" s="53"/>
    </row>
    <row r="52" spans="1:23" x14ac:dyDescent="0.25">
      <c r="V52" s="53"/>
      <c r="W52" s="53"/>
    </row>
    <row r="53" spans="1:23" x14ac:dyDescent="0.25">
      <c r="V53" s="53"/>
      <c r="W53" s="53"/>
    </row>
    <row r="54" spans="1:23" x14ac:dyDescent="0.25">
      <c r="V54" s="53"/>
      <c r="W54" s="53"/>
    </row>
    <row r="55" spans="1:23" x14ac:dyDescent="0.25">
      <c r="V55" s="53"/>
      <c r="W55" s="53"/>
    </row>
    <row r="56" spans="1:23" x14ac:dyDescent="0.25">
      <c r="V56" s="53"/>
      <c r="W56" s="53"/>
    </row>
    <row r="57" spans="1:23" x14ac:dyDescent="0.25">
      <c r="V57" s="53"/>
      <c r="W57" s="53"/>
    </row>
    <row r="58" spans="1:23" x14ac:dyDescent="0.25">
      <c r="V58" s="53"/>
      <c r="W58" s="53"/>
    </row>
    <row r="59" spans="1:23" x14ac:dyDescent="0.25">
      <c r="V59" s="53"/>
      <c r="W59" s="53"/>
    </row>
    <row r="60" spans="1:23" x14ac:dyDescent="0.25">
      <c r="V60" s="53"/>
      <c r="W60" s="53"/>
    </row>
    <row r="61" spans="1:23" x14ac:dyDescent="0.25">
      <c r="V61" s="53"/>
      <c r="W61" s="53"/>
    </row>
    <row r="62" spans="1:23" x14ac:dyDescent="0.25">
      <c r="V62" s="53"/>
      <c r="W62" s="53"/>
    </row>
    <row r="63" spans="1:23" x14ac:dyDescent="0.25">
      <c r="V63" s="53"/>
      <c r="W63" s="53"/>
    </row>
    <row r="64" spans="1:23" x14ac:dyDescent="0.25">
      <c r="V64" s="53"/>
      <c r="W64" s="53"/>
    </row>
    <row r="65" spans="22:23" x14ac:dyDescent="0.25">
      <c r="V65" s="53"/>
      <c r="W65" s="53"/>
    </row>
    <row r="66" spans="22:23" x14ac:dyDescent="0.25">
      <c r="V66" s="53"/>
      <c r="W66" s="53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1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7"/>
  <sheetViews>
    <sheetView zoomScale="70" zoomScaleNormal="70" workbookViewId="0">
      <selection activeCell="A2" sqref="A2:AC2"/>
    </sheetView>
  </sheetViews>
  <sheetFormatPr defaultColWidth="9" defaultRowHeight="15.75" x14ac:dyDescent="0.25"/>
  <cols>
    <col min="1" max="1" width="9.5" style="34" customWidth="1"/>
    <col min="2" max="2" width="15.375" style="34" bestFit="1" customWidth="1"/>
    <col min="3" max="3" width="15.625" style="32" bestFit="1" customWidth="1"/>
    <col min="4" max="4" width="17.125" style="32" bestFit="1" customWidth="1"/>
    <col min="5" max="5" width="15.625" style="32" bestFit="1" customWidth="1"/>
    <col min="6" max="6" width="19.25" style="32" bestFit="1" customWidth="1"/>
    <col min="7" max="8" width="20.625" style="32" bestFit="1" customWidth="1"/>
    <col min="9" max="9" width="23.75" style="32" bestFit="1" customWidth="1"/>
    <col min="10" max="10" width="19.25" style="32" bestFit="1" customWidth="1"/>
    <col min="11" max="11" width="24.25" style="32" bestFit="1" customWidth="1"/>
    <col min="12" max="12" width="17" style="32" bestFit="1" customWidth="1"/>
    <col min="13" max="13" width="14.5" style="32" bestFit="1" customWidth="1"/>
    <col min="14" max="14" width="17" style="32" bestFit="1" customWidth="1"/>
    <col min="15" max="15" width="20.75" style="32" bestFit="1" customWidth="1"/>
    <col min="16" max="16" width="10.25" style="32" customWidth="1"/>
    <col min="17" max="17" width="11.625" style="32" customWidth="1"/>
    <col min="18" max="18" width="13" style="32" bestFit="1" customWidth="1"/>
    <col min="19" max="19" width="12.75" style="32" bestFit="1" customWidth="1"/>
    <col min="20" max="20" width="9.75" style="32" customWidth="1"/>
    <col min="21" max="21" width="11.75" style="32" customWidth="1"/>
    <col min="22" max="22" width="9.875" style="32" customWidth="1"/>
    <col min="23" max="23" width="9.25" style="32" customWidth="1"/>
    <col min="24" max="24" width="10.5" style="32" customWidth="1"/>
    <col min="25" max="25" width="10.375" style="32" customWidth="1"/>
    <col min="26" max="26" width="11.5" style="32" customWidth="1"/>
    <col min="27" max="28" width="9.875" style="32" customWidth="1"/>
    <col min="29" max="29" width="11.875" style="32" customWidth="1"/>
    <col min="30" max="33" width="8" style="32" customWidth="1"/>
    <col min="34" max="36" width="9" style="32"/>
    <col min="37" max="37" width="11.125" style="32" bestFit="1" customWidth="1"/>
    <col min="38" max="38" width="10.125" style="32" bestFit="1" customWidth="1"/>
    <col min="39" max="52" width="9" style="32"/>
    <col min="53" max="53" width="9.25" style="32" bestFit="1" customWidth="1"/>
    <col min="54" max="16384" width="9" style="32"/>
  </cols>
  <sheetData>
    <row r="1" spans="1:54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4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4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4" ht="26.25" x14ac:dyDescent="0.25">
      <c r="A4" s="145" t="s">
        <v>41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4" ht="26.25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54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6" t="s">
        <v>31</v>
      </c>
      <c r="K6" s="66" t="s">
        <v>32</v>
      </c>
      <c r="L6" s="66" t="s">
        <v>33</v>
      </c>
      <c r="M6" s="66" t="s">
        <v>34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33"/>
      <c r="AE6" s="33" t="s">
        <v>59</v>
      </c>
      <c r="AH6" s="35"/>
      <c r="AI6" s="35"/>
      <c r="AJ6" s="35"/>
      <c r="AK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43">
        <v>2020</v>
      </c>
      <c r="AE7" s="137">
        <f>SUM(E7:M7)</f>
        <v>0</v>
      </c>
      <c r="AF7" s="40"/>
      <c r="AH7" s="35"/>
      <c r="AI7" s="35"/>
      <c r="AJ7" s="35"/>
      <c r="AK7" s="44"/>
      <c r="AT7" s="44"/>
      <c r="AU7" s="44"/>
      <c r="AV7" s="44"/>
      <c r="AW7" s="44"/>
      <c r="AX7" s="44"/>
      <c r="AY7" s="44"/>
      <c r="AZ7" s="44"/>
      <c r="BA7" s="44"/>
      <c r="BB7" s="44"/>
    </row>
    <row r="8" spans="1:54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43">
        <v>2021</v>
      </c>
      <c r="AE8" s="137">
        <f t="shared" ref="AE8:AE36" si="0">SUM(E8:M8)</f>
        <v>0</v>
      </c>
      <c r="AF8" s="40"/>
      <c r="AH8" s="35"/>
      <c r="AI8" s="35"/>
      <c r="AJ8" s="35"/>
      <c r="AK8" s="44"/>
      <c r="AT8" s="44"/>
      <c r="AU8" s="44"/>
      <c r="AV8" s="44"/>
      <c r="AW8" s="44"/>
      <c r="AX8" s="44"/>
      <c r="AY8" s="44"/>
      <c r="AZ8" s="44"/>
      <c r="BA8" s="44"/>
      <c r="BB8" s="44"/>
    </row>
    <row r="9" spans="1:54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0</v>
      </c>
      <c r="Q9" s="38">
        <v>0</v>
      </c>
      <c r="R9" s="39">
        <v>0</v>
      </c>
      <c r="S9" s="36">
        <v>155.136</v>
      </c>
      <c r="T9" s="36">
        <v>0</v>
      </c>
      <c r="U9" s="36">
        <v>0</v>
      </c>
      <c r="V9" s="36">
        <v>0</v>
      </c>
      <c r="W9" s="36">
        <v>1090.356</v>
      </c>
      <c r="X9" s="36">
        <v>-141.19605854639985</v>
      </c>
      <c r="Y9" s="39">
        <v>-5.4107372408630185</v>
      </c>
      <c r="Z9" s="40">
        <v>13.939941453600113</v>
      </c>
      <c r="AA9" s="41">
        <v>10.279902252947497</v>
      </c>
      <c r="AB9" s="53">
        <v>303.59295499021528</v>
      </c>
      <c r="AC9" s="33">
        <v>0</v>
      </c>
      <c r="AD9" s="43">
        <v>2022</v>
      </c>
      <c r="AE9" s="137">
        <f t="shared" si="0"/>
        <v>0</v>
      </c>
      <c r="AF9" s="40"/>
      <c r="AH9" s="35"/>
      <c r="AI9" s="35"/>
      <c r="AJ9" s="35"/>
      <c r="AK9" s="44"/>
      <c r="AT9" s="44"/>
      <c r="AU9" s="44"/>
      <c r="AV9" s="44"/>
      <c r="AW9" s="44"/>
      <c r="AX9" s="44"/>
      <c r="AY9" s="44"/>
      <c r="AZ9" s="44"/>
      <c r="BA9" s="44"/>
      <c r="BB9" s="44"/>
    </row>
    <row r="10" spans="1:54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0</v>
      </c>
      <c r="Q10" s="38">
        <v>0</v>
      </c>
      <c r="R10" s="39">
        <v>1.022</v>
      </c>
      <c r="S10" s="36">
        <v>155.136</v>
      </c>
      <c r="T10" s="36">
        <v>0</v>
      </c>
      <c r="U10" s="36">
        <v>24.6</v>
      </c>
      <c r="V10" s="36">
        <v>0</v>
      </c>
      <c r="W10" s="36">
        <v>1115.9780000000001</v>
      </c>
      <c r="X10" s="36">
        <v>-141.43342562999987</v>
      </c>
      <c r="Y10" s="39">
        <v>-5.4315910986658418</v>
      </c>
      <c r="Z10" s="40">
        <v>39.324574370000164</v>
      </c>
      <c r="AA10" s="41">
        <v>12.846457335058162</v>
      </c>
      <c r="AB10" s="53">
        <v>303.59295499021528</v>
      </c>
      <c r="AC10" s="33">
        <v>200.00000000000003</v>
      </c>
      <c r="AD10" s="43">
        <v>2023</v>
      </c>
      <c r="AE10" s="137">
        <f t="shared" si="0"/>
        <v>0</v>
      </c>
      <c r="AF10" s="40"/>
      <c r="AH10" s="35"/>
      <c r="AI10" s="35"/>
      <c r="AJ10" s="35"/>
      <c r="AK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0</v>
      </c>
      <c r="Q11" s="38">
        <v>0</v>
      </c>
      <c r="R11" s="39">
        <v>1.5329999999999999</v>
      </c>
      <c r="S11" s="36">
        <v>155.136</v>
      </c>
      <c r="T11" s="36">
        <v>0</v>
      </c>
      <c r="U11" s="36">
        <v>36.900000000000006</v>
      </c>
      <c r="V11" s="36">
        <v>0</v>
      </c>
      <c r="W11" s="36">
        <v>1128.789</v>
      </c>
      <c r="X11" s="36">
        <v>-138.49278128138985</v>
      </c>
      <c r="Y11" s="39">
        <v>-5.1725906825015979</v>
      </c>
      <c r="Z11" s="40">
        <v>55.076218718610107</v>
      </c>
      <c r="AA11" s="41">
        <v>14.454498980015076</v>
      </c>
      <c r="AB11" s="53">
        <v>303.59295499021528</v>
      </c>
      <c r="AC11" s="33">
        <v>300.00000000000006</v>
      </c>
      <c r="AD11" s="43">
        <v>2024</v>
      </c>
      <c r="AE11" s="137">
        <f t="shared" si="0"/>
        <v>0</v>
      </c>
      <c r="AF11" s="40"/>
      <c r="AH11" s="35"/>
      <c r="AI11" s="35"/>
      <c r="AJ11" s="35"/>
      <c r="AK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0</v>
      </c>
      <c r="Q12" s="38">
        <v>0</v>
      </c>
      <c r="R12" s="39">
        <v>1.5329999999999999</v>
      </c>
      <c r="S12" s="36">
        <v>155.136</v>
      </c>
      <c r="T12" s="36">
        <v>0</v>
      </c>
      <c r="U12" s="36">
        <v>36.900000000000006</v>
      </c>
      <c r="V12" s="36">
        <v>0</v>
      </c>
      <c r="W12" s="36">
        <v>1128.789</v>
      </c>
      <c r="X12" s="36">
        <v>-135.67758543864011</v>
      </c>
      <c r="Y12" s="39">
        <v>-4.9233065939769052</v>
      </c>
      <c r="Z12" s="40">
        <v>57.891414561359852</v>
      </c>
      <c r="AA12" s="41">
        <v>14.7553791333498</v>
      </c>
      <c r="AB12" s="53">
        <v>303.59295499021528</v>
      </c>
      <c r="AC12" s="33">
        <v>300.00000000000006</v>
      </c>
      <c r="AD12" s="43">
        <v>2025</v>
      </c>
      <c r="AE12" s="137">
        <f t="shared" si="0"/>
        <v>0</v>
      </c>
      <c r="AF12" s="40"/>
      <c r="AH12" s="35"/>
      <c r="AI12" s="35"/>
      <c r="AJ12" s="35"/>
      <c r="AK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0</v>
      </c>
      <c r="Q13" s="38">
        <v>0</v>
      </c>
      <c r="R13" s="39">
        <v>1.5329999999999999</v>
      </c>
      <c r="S13" s="36">
        <v>155.136</v>
      </c>
      <c r="T13" s="36">
        <v>0</v>
      </c>
      <c r="U13" s="36">
        <v>36.900000000000006</v>
      </c>
      <c r="V13" s="36">
        <v>0</v>
      </c>
      <c r="W13" s="36">
        <v>1128.789</v>
      </c>
      <c r="X13" s="36">
        <v>-133.17688301810995</v>
      </c>
      <c r="Y13" s="39">
        <v>-4.7007689573406095</v>
      </c>
      <c r="Z13" s="40">
        <v>60.392116981890013</v>
      </c>
      <c r="AA13" s="41">
        <v>15.023976935279876</v>
      </c>
      <c r="AB13" s="53">
        <v>303.59295499021528</v>
      </c>
      <c r="AC13" s="33">
        <v>300.00000000000006</v>
      </c>
      <c r="AD13" s="43">
        <v>2026</v>
      </c>
      <c r="AE13" s="137">
        <f t="shared" si="0"/>
        <v>0</v>
      </c>
      <c r="AF13" s="40"/>
      <c r="AH13" s="35"/>
      <c r="AI13" s="35"/>
      <c r="AJ13" s="35"/>
      <c r="AK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0</v>
      </c>
      <c r="Q14" s="38">
        <v>0</v>
      </c>
      <c r="R14" s="39">
        <v>2.044</v>
      </c>
      <c r="S14" s="36">
        <v>155.136</v>
      </c>
      <c r="T14" s="36">
        <v>0</v>
      </c>
      <c r="U14" s="36">
        <v>36.900000000000006</v>
      </c>
      <c r="V14" s="36">
        <v>0</v>
      </c>
      <c r="W14" s="36">
        <v>1129.3</v>
      </c>
      <c r="X14" s="36">
        <v>-131.74494726266994</v>
      </c>
      <c r="Y14" s="39">
        <v>-4.5728712445375619</v>
      </c>
      <c r="Z14" s="40">
        <v>62.335052737329988</v>
      </c>
      <c r="AA14" s="41">
        <v>15.230487482671162</v>
      </c>
      <c r="AB14" s="53">
        <v>303.59295499021528</v>
      </c>
      <c r="AC14" s="33">
        <v>300.00000000000006</v>
      </c>
      <c r="AD14" s="43">
        <v>2027</v>
      </c>
      <c r="AE14" s="137">
        <f t="shared" si="0"/>
        <v>0</v>
      </c>
      <c r="AF14" s="40"/>
      <c r="AH14" s="35"/>
      <c r="AI14" s="35"/>
      <c r="AJ14" s="35"/>
      <c r="AK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0</v>
      </c>
      <c r="Q15" s="38">
        <v>0</v>
      </c>
      <c r="R15" s="39">
        <v>2.044</v>
      </c>
      <c r="S15" s="36">
        <v>155.136</v>
      </c>
      <c r="T15" s="36">
        <v>0</v>
      </c>
      <c r="U15" s="36">
        <v>36.900000000000006</v>
      </c>
      <c r="V15" s="36">
        <v>0</v>
      </c>
      <c r="W15" s="36">
        <v>1129.3</v>
      </c>
      <c r="X15" s="36">
        <v>-130.81159234148981</v>
      </c>
      <c r="Y15" s="39">
        <v>-4.4893208311371824</v>
      </c>
      <c r="Z15" s="40">
        <v>63.268407658510114</v>
      </c>
      <c r="AA15" s="41">
        <v>15.331376558881088</v>
      </c>
      <c r="AB15" s="53">
        <v>303.59295499021528</v>
      </c>
      <c r="AC15" s="33">
        <v>300.00000000000006</v>
      </c>
      <c r="AD15" s="43">
        <v>2028</v>
      </c>
      <c r="AE15" s="137">
        <f t="shared" si="0"/>
        <v>0</v>
      </c>
      <c r="AF15" s="40"/>
      <c r="AH15" s="35"/>
      <c r="AI15" s="35"/>
      <c r="AJ15" s="35"/>
      <c r="AK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0</v>
      </c>
      <c r="Q16" s="38">
        <v>0</v>
      </c>
      <c r="R16" s="39">
        <v>2.5550000000000002</v>
      </c>
      <c r="S16" s="36">
        <v>155.136</v>
      </c>
      <c r="T16" s="36">
        <v>0</v>
      </c>
      <c r="U16" s="36">
        <v>36.900000000000006</v>
      </c>
      <c r="V16" s="36">
        <v>0</v>
      </c>
      <c r="W16" s="36">
        <v>1129.8110000000001</v>
      </c>
      <c r="X16" s="36">
        <v>-130.93588345038006</v>
      </c>
      <c r="Y16" s="39">
        <v>-4.5004553457133465</v>
      </c>
      <c r="Z16" s="40">
        <v>63.655116549620061</v>
      </c>
      <c r="AA16" s="41">
        <v>15.370111893890495</v>
      </c>
      <c r="AB16" s="53">
        <v>303.59295499021528</v>
      </c>
      <c r="AC16" s="33">
        <v>300.00000000000006</v>
      </c>
      <c r="AD16" s="43">
        <v>2029</v>
      </c>
      <c r="AE16" s="137">
        <f t="shared" si="0"/>
        <v>0</v>
      </c>
      <c r="AF16" s="40"/>
      <c r="AH16" s="35"/>
      <c r="AI16" s="35"/>
      <c r="AJ16" s="35"/>
      <c r="AK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0</v>
      </c>
      <c r="Q17" s="38">
        <v>0</v>
      </c>
      <c r="R17" s="39">
        <v>3.0659999999999998</v>
      </c>
      <c r="S17" s="36">
        <v>155.136</v>
      </c>
      <c r="T17" s="36">
        <v>0</v>
      </c>
      <c r="U17" s="36">
        <v>36.900000000000006</v>
      </c>
      <c r="V17" s="36">
        <v>0</v>
      </c>
      <c r="W17" s="36">
        <v>1130.3220000000001</v>
      </c>
      <c r="X17" s="36">
        <v>-129.96194429721004</v>
      </c>
      <c r="Y17" s="39">
        <v>-4.4131362298133112</v>
      </c>
      <c r="Z17" s="40">
        <v>65.14005570279005</v>
      </c>
      <c r="AA17" s="41">
        <v>15.527827709464045</v>
      </c>
      <c r="AB17" s="53">
        <v>303.59295499021528</v>
      </c>
      <c r="AC17" s="33">
        <v>300.00000000000006</v>
      </c>
      <c r="AD17" s="43">
        <v>2030</v>
      </c>
      <c r="AE17" s="137">
        <f t="shared" si="0"/>
        <v>0</v>
      </c>
      <c r="AF17" s="40"/>
      <c r="AH17" s="35"/>
      <c r="AI17" s="35"/>
      <c r="AJ17" s="35"/>
      <c r="AK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0</v>
      </c>
      <c r="I18" s="37">
        <v>122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0</v>
      </c>
      <c r="Q18" s="38">
        <v>0</v>
      </c>
      <c r="R18" s="39">
        <v>3.577</v>
      </c>
      <c r="S18" s="36">
        <v>232.70400000000001</v>
      </c>
      <c r="T18" s="36">
        <v>0</v>
      </c>
      <c r="U18" s="36">
        <v>36.900000000000006</v>
      </c>
      <c r="V18" s="36">
        <v>0</v>
      </c>
      <c r="W18" s="36">
        <v>1068.5010000000002</v>
      </c>
      <c r="X18" s="36">
        <v>-391.82507209673997</v>
      </c>
      <c r="Y18" s="39">
        <v>-31.179000569659244</v>
      </c>
      <c r="Z18" s="40">
        <v>3.3559279032601808</v>
      </c>
      <c r="AA18" s="41">
        <v>9.2130141868926145</v>
      </c>
      <c r="AB18" s="53">
        <v>455.38943248532291</v>
      </c>
      <c r="AC18" s="33">
        <v>300.00000000000006</v>
      </c>
      <c r="AD18" s="43">
        <v>2031</v>
      </c>
      <c r="AE18" s="137">
        <f t="shared" si="0"/>
        <v>122</v>
      </c>
      <c r="AF18" s="40"/>
      <c r="AH18" s="35"/>
      <c r="AI18" s="35"/>
      <c r="AJ18" s="35"/>
      <c r="AK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1:54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0</v>
      </c>
      <c r="I19" s="37">
        <v>122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0</v>
      </c>
      <c r="Q19" s="38">
        <v>0</v>
      </c>
      <c r="R19" s="39">
        <v>3.577</v>
      </c>
      <c r="S19" s="36">
        <v>232.70400000000001</v>
      </c>
      <c r="T19" s="36">
        <v>0</v>
      </c>
      <c r="U19" s="36">
        <v>36.900000000000006</v>
      </c>
      <c r="V19" s="36">
        <v>0</v>
      </c>
      <c r="W19" s="36">
        <v>1068.5010000000002</v>
      </c>
      <c r="X19" s="36">
        <v>-391.85999443550998</v>
      </c>
      <c r="Y19" s="39">
        <v>-31.181256892786934</v>
      </c>
      <c r="Z19" s="40">
        <v>3.3210055644901786</v>
      </c>
      <c r="AA19" s="41">
        <v>9.2094335959131985</v>
      </c>
      <c r="AB19" s="53">
        <v>455.38943248532291</v>
      </c>
      <c r="AC19" s="33">
        <v>300.00000000000006</v>
      </c>
      <c r="AD19" s="43">
        <v>2032</v>
      </c>
      <c r="AE19" s="137">
        <f t="shared" si="0"/>
        <v>122</v>
      </c>
      <c r="AF19" s="40"/>
      <c r="AH19" s="35"/>
      <c r="AI19" s="35"/>
      <c r="AJ19" s="35"/>
      <c r="AK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1:54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0</v>
      </c>
      <c r="I20" s="37">
        <v>122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0</v>
      </c>
      <c r="Q20" s="38">
        <v>0</v>
      </c>
      <c r="R20" s="39">
        <v>4.0880000000000001</v>
      </c>
      <c r="S20" s="36">
        <v>232.70400000000001</v>
      </c>
      <c r="T20" s="36">
        <v>0</v>
      </c>
      <c r="U20" s="36">
        <v>36.900000000000006</v>
      </c>
      <c r="V20" s="36">
        <v>0</v>
      </c>
      <c r="W20" s="36">
        <v>1069.0120000000002</v>
      </c>
      <c r="X20" s="36">
        <v>-391.72112400056983</v>
      </c>
      <c r="Y20" s="39">
        <v>-31.172283634785941</v>
      </c>
      <c r="Z20" s="40">
        <v>3.9708759994302909</v>
      </c>
      <c r="AA20" s="41">
        <v>9.2759085234512852</v>
      </c>
      <c r="AB20" s="53">
        <v>455.38943248532291</v>
      </c>
      <c r="AC20" s="33">
        <v>300.00000000000006</v>
      </c>
      <c r="AD20" s="43">
        <v>2033</v>
      </c>
      <c r="AE20" s="137">
        <f t="shared" si="0"/>
        <v>122</v>
      </c>
      <c r="AF20" s="40"/>
      <c r="AH20" s="35"/>
      <c r="AI20" s="35"/>
      <c r="AJ20" s="35"/>
      <c r="AK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0</v>
      </c>
      <c r="I21" s="37">
        <v>122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</v>
      </c>
      <c r="Q21" s="38">
        <v>0</v>
      </c>
      <c r="R21" s="39">
        <v>4.5990000000000002</v>
      </c>
      <c r="S21" s="36">
        <v>232.70400000000001</v>
      </c>
      <c r="T21" s="36">
        <v>0</v>
      </c>
      <c r="U21" s="36">
        <v>36.900000000000006</v>
      </c>
      <c r="V21" s="36">
        <v>0</v>
      </c>
      <c r="W21" s="36">
        <v>1069.5230000000001</v>
      </c>
      <c r="X21" s="36">
        <v>-392.4548395390799</v>
      </c>
      <c r="Y21" s="39">
        <v>-31.219666968585752</v>
      </c>
      <c r="Z21" s="40">
        <v>3.7481604609201895</v>
      </c>
      <c r="AA21" s="41">
        <v>9.2528784601040623</v>
      </c>
      <c r="AB21" s="53">
        <v>455.38943248532291</v>
      </c>
      <c r="AC21" s="33">
        <v>300.00000000000006</v>
      </c>
      <c r="AD21" s="43">
        <v>2034</v>
      </c>
      <c r="AE21" s="137">
        <f t="shared" si="0"/>
        <v>122</v>
      </c>
      <c r="AF21" s="40"/>
      <c r="AH21" s="35"/>
      <c r="AI21" s="35"/>
      <c r="AJ21" s="35"/>
      <c r="AK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1:54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0</v>
      </c>
      <c r="I22" s="37">
        <v>122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</v>
      </c>
      <c r="Q22" s="38">
        <v>0</v>
      </c>
      <c r="R22" s="39">
        <v>4.5990000000000002</v>
      </c>
      <c r="S22" s="36">
        <v>232.70400000000001</v>
      </c>
      <c r="T22" s="36">
        <v>0</v>
      </c>
      <c r="U22" s="36">
        <v>36.900000000000006</v>
      </c>
      <c r="V22" s="36">
        <v>0</v>
      </c>
      <c r="W22" s="36">
        <v>1069.5230000000001</v>
      </c>
      <c r="X22" s="36">
        <v>-392.86475490341979</v>
      </c>
      <c r="Y22" s="39">
        <v>-31.246110898818603</v>
      </c>
      <c r="Z22" s="40">
        <v>3.3382450965802946</v>
      </c>
      <c r="AA22" s="41">
        <v>9.2108740764611738</v>
      </c>
      <c r="AB22" s="53">
        <v>455.38943248532291</v>
      </c>
      <c r="AC22" s="33">
        <v>300.00000000000006</v>
      </c>
      <c r="AD22" s="43">
        <v>2035</v>
      </c>
      <c r="AE22" s="137">
        <f t="shared" si="0"/>
        <v>122</v>
      </c>
      <c r="AF22" s="40"/>
      <c r="AH22" s="35"/>
      <c r="AI22" s="35"/>
      <c r="AJ22" s="35"/>
      <c r="AK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1:54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0</v>
      </c>
      <c r="I23" s="37">
        <v>122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</v>
      </c>
      <c r="Q23" s="38">
        <v>0</v>
      </c>
      <c r="R23" s="39">
        <v>5.1100000000000003</v>
      </c>
      <c r="S23" s="36">
        <v>232.70400000000001</v>
      </c>
      <c r="T23" s="36">
        <v>0</v>
      </c>
      <c r="U23" s="36">
        <v>36.900000000000006</v>
      </c>
      <c r="V23" s="36">
        <v>0</v>
      </c>
      <c r="W23" s="36">
        <v>1070.0340000000001</v>
      </c>
      <c r="X23" s="36">
        <v>-393.98748385497004</v>
      </c>
      <c r="Y23" s="39">
        <v>-31.318434931951728</v>
      </c>
      <c r="Z23" s="40">
        <v>2.7265161450300184</v>
      </c>
      <c r="AA23" s="41">
        <v>9.1481164914512707</v>
      </c>
      <c r="AB23" s="53">
        <v>455.38943248532291</v>
      </c>
      <c r="AC23" s="33">
        <v>300.00000000000006</v>
      </c>
      <c r="AD23" s="43">
        <v>2036</v>
      </c>
      <c r="AE23" s="137">
        <f t="shared" si="0"/>
        <v>122</v>
      </c>
      <c r="AF23" s="40"/>
      <c r="AH23" s="35"/>
      <c r="AI23" s="35"/>
      <c r="AJ23" s="35"/>
      <c r="AK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1:54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0</v>
      </c>
      <c r="I24" s="37">
        <v>122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0</v>
      </c>
      <c r="Q24" s="38">
        <v>0</v>
      </c>
      <c r="R24" s="39">
        <v>5.1100000000000003</v>
      </c>
      <c r="S24" s="36">
        <v>232.70400000000001</v>
      </c>
      <c r="T24" s="36">
        <v>0</v>
      </c>
      <c r="U24" s="36">
        <v>36.900000000000006</v>
      </c>
      <c r="V24" s="36">
        <v>0</v>
      </c>
      <c r="W24" s="36">
        <v>1070.0340000000001</v>
      </c>
      <c r="X24" s="36">
        <v>-393.69112349333989</v>
      </c>
      <c r="Y24" s="39">
        <v>-31.299358754569205</v>
      </c>
      <c r="Z24" s="40">
        <v>3.0228765066601682</v>
      </c>
      <c r="AA24" s="41">
        <v>9.1784321784787277</v>
      </c>
      <c r="AB24" s="53">
        <v>455.38943248532291</v>
      </c>
      <c r="AC24" s="33">
        <v>300.00000000000006</v>
      </c>
      <c r="AD24" s="32">
        <v>2037</v>
      </c>
      <c r="AE24" s="137">
        <f t="shared" si="0"/>
        <v>122</v>
      </c>
    </row>
    <row r="25" spans="1:54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0</v>
      </c>
      <c r="I25" s="37">
        <v>122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0</v>
      </c>
      <c r="Q25" s="38">
        <v>0</v>
      </c>
      <c r="R25" s="39">
        <v>5.6210000000000004</v>
      </c>
      <c r="S25" s="36">
        <v>232.70400000000001</v>
      </c>
      <c r="T25" s="36">
        <v>0</v>
      </c>
      <c r="U25" s="36">
        <v>36.900000000000006</v>
      </c>
      <c r="V25" s="36">
        <v>0</v>
      </c>
      <c r="W25" s="36">
        <v>1070.5450000000001</v>
      </c>
      <c r="X25" s="36">
        <v>-394.24811896157996</v>
      </c>
      <c r="Y25" s="39">
        <v>-31.33520278658855</v>
      </c>
      <c r="Z25" s="40">
        <v>2.9768810384200606</v>
      </c>
      <c r="AA25" s="41">
        <v>9.1735806642184414</v>
      </c>
      <c r="AB25" s="53">
        <v>455.38943248532291</v>
      </c>
      <c r="AC25" s="33">
        <v>300.00000000000006</v>
      </c>
      <c r="AD25" s="32">
        <v>2038</v>
      </c>
      <c r="AE25" s="137">
        <f t="shared" si="0"/>
        <v>122</v>
      </c>
    </row>
    <row r="26" spans="1:54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0</v>
      </c>
      <c r="I26" s="37">
        <v>122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0</v>
      </c>
      <c r="Q26" s="38">
        <v>0</v>
      </c>
      <c r="R26" s="39">
        <v>5.6210000000000004</v>
      </c>
      <c r="S26" s="36">
        <v>232.70400000000001</v>
      </c>
      <c r="T26" s="36">
        <v>0</v>
      </c>
      <c r="U26" s="36">
        <v>36.900000000000006</v>
      </c>
      <c r="V26" s="36">
        <v>0</v>
      </c>
      <c r="W26" s="36">
        <v>1070.5450000000001</v>
      </c>
      <c r="X26" s="36">
        <v>-394.73299415154008</v>
      </c>
      <c r="Y26" s="39">
        <v>-31.366375262837131</v>
      </c>
      <c r="Z26" s="40">
        <v>2.4920058484599394</v>
      </c>
      <c r="AA26" s="41">
        <v>9.12401799181076</v>
      </c>
      <c r="AB26" s="53">
        <v>455.38943248532291</v>
      </c>
      <c r="AC26" s="33">
        <v>300.00000000000006</v>
      </c>
      <c r="AD26" s="32">
        <v>2039</v>
      </c>
      <c r="AE26" s="137">
        <f t="shared" si="0"/>
        <v>122</v>
      </c>
    </row>
    <row r="27" spans="1:54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0</v>
      </c>
      <c r="I27" s="37">
        <v>122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36.900000000000006</v>
      </c>
      <c r="V27" s="36">
        <v>0</v>
      </c>
      <c r="W27" s="36">
        <v>1071.056</v>
      </c>
      <c r="X27" s="36">
        <v>-396.55260378353989</v>
      </c>
      <c r="Y27" s="39">
        <v>-31.48310542697925</v>
      </c>
      <c r="Z27" s="40">
        <v>1.1833962164600962</v>
      </c>
      <c r="AA27" s="41">
        <v>8.9904221377670464</v>
      </c>
      <c r="AB27" s="53">
        <v>455.38943248532291</v>
      </c>
      <c r="AC27" s="33">
        <v>300.00000000000006</v>
      </c>
      <c r="AD27" s="32">
        <v>2040</v>
      </c>
      <c r="AE27" s="137">
        <f t="shared" si="0"/>
        <v>122</v>
      </c>
    </row>
    <row r="28" spans="1:54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0</v>
      </c>
      <c r="I28" s="37">
        <v>122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36.900000000000006</v>
      </c>
      <c r="V28" s="36">
        <v>0</v>
      </c>
      <c r="W28" s="36">
        <v>1071.056</v>
      </c>
      <c r="X28" s="36">
        <v>-396.73947881192987</v>
      </c>
      <c r="Y28" s="39">
        <v>-31.495071207267227</v>
      </c>
      <c r="Z28" s="40">
        <v>0.99652118807011902</v>
      </c>
      <c r="AA28" s="41">
        <v>8.9713880666387311</v>
      </c>
      <c r="AB28" s="53">
        <v>455.38943248532291</v>
      </c>
      <c r="AC28" s="33">
        <v>300.00000000000006</v>
      </c>
      <c r="AD28" s="32">
        <v>2041</v>
      </c>
      <c r="AE28" s="137">
        <f t="shared" si="0"/>
        <v>122</v>
      </c>
    </row>
    <row r="29" spans="1:54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0</v>
      </c>
      <c r="I29" s="37">
        <v>122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36.900000000000006</v>
      </c>
      <c r="V29" s="36">
        <v>0</v>
      </c>
      <c r="W29" s="36">
        <v>1071.567</v>
      </c>
      <c r="X29" s="36">
        <v>-397.23293742156</v>
      </c>
      <c r="Y29" s="39">
        <v>-31.526647737239006</v>
      </c>
      <c r="Z29" s="40">
        <v>1.0140625784399617</v>
      </c>
      <c r="AA29" s="41">
        <v>8.9731252066625178</v>
      </c>
      <c r="AB29" s="53">
        <v>455.38943248532291</v>
      </c>
      <c r="AC29" s="33">
        <v>300.00000000000006</v>
      </c>
      <c r="AD29" s="32">
        <v>2042</v>
      </c>
      <c r="AE29" s="137">
        <f t="shared" si="0"/>
        <v>122</v>
      </c>
    </row>
    <row r="30" spans="1:54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0</v>
      </c>
      <c r="I30" s="37">
        <v>122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36.900000000000006</v>
      </c>
      <c r="V30" s="36">
        <v>0</v>
      </c>
      <c r="W30" s="36">
        <v>1072.078</v>
      </c>
      <c r="X30" s="36">
        <v>-397.44831287402997</v>
      </c>
      <c r="Y30" s="39">
        <v>-31.540420538552251</v>
      </c>
      <c r="Z30" s="40">
        <v>1.3096871259699583</v>
      </c>
      <c r="AA30" s="41">
        <v>9.0031619881630931</v>
      </c>
      <c r="AB30" s="53">
        <v>455.38943248532291</v>
      </c>
      <c r="AC30" s="33">
        <v>300.00000000000006</v>
      </c>
      <c r="AD30" s="32">
        <v>2043</v>
      </c>
      <c r="AE30" s="137">
        <f t="shared" si="0"/>
        <v>122</v>
      </c>
    </row>
    <row r="31" spans="1:54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0</v>
      </c>
      <c r="I31" s="37">
        <v>122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36.900000000000006</v>
      </c>
      <c r="V31" s="36">
        <v>0</v>
      </c>
      <c r="W31" s="36">
        <v>1072.078</v>
      </c>
      <c r="X31" s="36">
        <v>-397.95012725616004</v>
      </c>
      <c r="Y31" s="39">
        <v>-31.572489015675121</v>
      </c>
      <c r="Z31" s="40">
        <v>0.80787274383988006</v>
      </c>
      <c r="AA31" s="41">
        <v>8.9521017065482145</v>
      </c>
      <c r="AB31" s="53">
        <v>455.38943248532291</v>
      </c>
      <c r="AC31" s="33">
        <v>300.00000000000006</v>
      </c>
      <c r="AD31" s="32">
        <v>2044</v>
      </c>
      <c r="AE31" s="137">
        <f t="shared" si="0"/>
        <v>122</v>
      </c>
    </row>
    <row r="32" spans="1:54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0</v>
      </c>
      <c r="I32" s="37">
        <v>122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36.900000000000006</v>
      </c>
      <c r="V32" s="36">
        <v>0</v>
      </c>
      <c r="W32" s="36">
        <v>1072.5889999999999</v>
      </c>
      <c r="X32" s="36">
        <v>-398.65533507630005</v>
      </c>
      <c r="Y32" s="39">
        <v>-31.617504618441227</v>
      </c>
      <c r="Z32" s="40">
        <v>0.61366492369984371</v>
      </c>
      <c r="AA32" s="41">
        <v>8.9323239155390191</v>
      </c>
      <c r="AB32" s="53">
        <v>455.38943248532291</v>
      </c>
      <c r="AC32" s="33">
        <v>300.00000000000006</v>
      </c>
      <c r="AD32" s="32">
        <v>2045</v>
      </c>
      <c r="AE32" s="137">
        <f t="shared" si="0"/>
        <v>122</v>
      </c>
    </row>
    <row r="33" spans="1:3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0</v>
      </c>
      <c r="I33" s="37">
        <v>122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36.900000000000006</v>
      </c>
      <c r="V33" s="36">
        <v>0</v>
      </c>
      <c r="W33" s="36">
        <v>1073.0999999999999</v>
      </c>
      <c r="X33" s="37">
        <v>-398.59224600000005</v>
      </c>
      <c r="Y33" s="46">
        <v>-31.613479859432449</v>
      </c>
      <c r="Z33" s="47">
        <v>1.1877539999998135</v>
      </c>
      <c r="AA33" s="48">
        <v>8.9906356009668951</v>
      </c>
      <c r="AB33" s="53">
        <v>455.38943248532291</v>
      </c>
      <c r="AC33" s="33">
        <v>300.00000000000006</v>
      </c>
      <c r="AD33" s="32">
        <v>2046</v>
      </c>
      <c r="AE33" s="137">
        <f t="shared" si="0"/>
        <v>122</v>
      </c>
    </row>
    <row r="34" spans="1:31" s="45" customFormat="1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0</v>
      </c>
      <c r="I34" s="37">
        <v>122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36.900000000000006</v>
      </c>
      <c r="V34" s="36">
        <v>0</v>
      </c>
      <c r="W34" s="36">
        <v>1073.6110000000001</v>
      </c>
      <c r="X34" s="36">
        <v>-398.16765300000009</v>
      </c>
      <c r="Y34" s="39">
        <v>-31.586380678527519</v>
      </c>
      <c r="Z34" s="40">
        <v>2.123346999999967</v>
      </c>
      <c r="AA34" s="41">
        <v>9.0857456385454078</v>
      </c>
      <c r="AB34" s="53">
        <v>455.38943248532291</v>
      </c>
      <c r="AC34" s="33">
        <v>300.00000000000006</v>
      </c>
      <c r="AD34" s="45">
        <v>2047</v>
      </c>
      <c r="AE34" s="137">
        <f t="shared" si="0"/>
        <v>122</v>
      </c>
    </row>
    <row r="35" spans="1:31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0</v>
      </c>
      <c r="I35" s="37">
        <v>122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36.900000000000006</v>
      </c>
      <c r="V35" s="36">
        <v>0</v>
      </c>
      <c r="W35" s="36">
        <v>1074.1220000000001</v>
      </c>
      <c r="X35" s="36">
        <v>-398.00434799999982</v>
      </c>
      <c r="Y35" s="39">
        <v>-31.575952197065156</v>
      </c>
      <c r="Z35" s="40">
        <v>2.7976520000001983</v>
      </c>
      <c r="AA35" s="41">
        <v>9.1543026706231565</v>
      </c>
      <c r="AB35" s="53">
        <v>455.38943248532291</v>
      </c>
      <c r="AC35" s="33">
        <v>300.00000000000006</v>
      </c>
      <c r="AD35" s="32">
        <v>2048</v>
      </c>
      <c r="AE35" s="137">
        <f t="shared" si="0"/>
        <v>122</v>
      </c>
    </row>
    <row r="36" spans="1:31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0</v>
      </c>
      <c r="I36" s="37">
        <v>122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36.900000000000006</v>
      </c>
      <c r="V36" s="36">
        <v>0</v>
      </c>
      <c r="W36" s="36">
        <v>1074.1220000000001</v>
      </c>
      <c r="X36" s="36">
        <v>-397.17693599999996</v>
      </c>
      <c r="Y36" s="39">
        <v>-31.523065657798384</v>
      </c>
      <c r="Z36" s="40">
        <v>3.6250640000000658</v>
      </c>
      <c r="AA36" s="41">
        <v>9.2386705719632349</v>
      </c>
      <c r="AB36" s="53">
        <v>455.38943248532291</v>
      </c>
      <c r="AC36" s="33">
        <v>300.00000000000006</v>
      </c>
      <c r="AD36" s="32">
        <v>2049</v>
      </c>
      <c r="AE36" s="137">
        <f t="shared" si="0"/>
        <v>122</v>
      </c>
    </row>
    <row r="37" spans="1:31" x14ac:dyDescent="0.25">
      <c r="A37" s="45"/>
      <c r="B37" s="49"/>
      <c r="C37" s="50"/>
      <c r="D37" s="50"/>
      <c r="E37" s="50"/>
      <c r="F37" s="51"/>
      <c r="AE37" s="45">
        <v>31</v>
      </c>
    </row>
    <row r="38" spans="1:31" x14ac:dyDescent="0.25">
      <c r="A38" s="45"/>
      <c r="B38" s="54"/>
      <c r="C38" s="55"/>
      <c r="D38" s="50"/>
      <c r="E38" s="50"/>
      <c r="F38" s="51"/>
    </row>
    <row r="39" spans="1:31" x14ac:dyDescent="0.25">
      <c r="A39" s="45"/>
      <c r="B39" s="54"/>
      <c r="C39" s="55"/>
      <c r="D39" s="50"/>
      <c r="E39" s="50"/>
      <c r="F39" s="51"/>
    </row>
    <row r="40" spans="1:31" x14ac:dyDescent="0.25">
      <c r="A40" s="45"/>
      <c r="B40" s="54"/>
      <c r="C40" s="55"/>
      <c r="D40" s="50"/>
      <c r="E40" s="50"/>
      <c r="F40" s="51"/>
    </row>
    <row r="41" spans="1:31" x14ac:dyDescent="0.25">
      <c r="A41" s="45"/>
      <c r="B41" s="54"/>
      <c r="C41" s="55"/>
      <c r="D41" s="50"/>
      <c r="E41" s="50"/>
      <c r="F41" s="51"/>
    </row>
    <row r="42" spans="1:31" x14ac:dyDescent="0.25">
      <c r="A42" s="45"/>
      <c r="B42" s="54"/>
      <c r="C42" s="55"/>
      <c r="D42" s="50"/>
      <c r="E42" s="50"/>
      <c r="F42" s="51"/>
    </row>
    <row r="43" spans="1:31" x14ac:dyDescent="0.25">
      <c r="A43" s="45"/>
      <c r="B43" s="54"/>
      <c r="C43" s="55"/>
      <c r="D43" s="50"/>
      <c r="E43" s="50"/>
      <c r="F43" s="51"/>
    </row>
    <row r="44" spans="1:31" x14ac:dyDescent="0.25">
      <c r="A44" s="45"/>
      <c r="B44" s="54"/>
      <c r="C44" s="55"/>
      <c r="D44" s="50"/>
      <c r="E44" s="50"/>
      <c r="F44" s="51"/>
    </row>
    <row r="45" spans="1:31" x14ac:dyDescent="0.25">
      <c r="A45" s="45"/>
      <c r="B45" s="54"/>
      <c r="C45" s="55"/>
      <c r="D45" s="50"/>
      <c r="E45" s="50"/>
      <c r="F45" s="51"/>
    </row>
    <row r="46" spans="1:31" x14ac:dyDescent="0.25">
      <c r="A46" s="45"/>
      <c r="B46" s="54"/>
      <c r="C46" s="55"/>
      <c r="D46" s="50"/>
      <c r="E46" s="50"/>
      <c r="F46" s="51"/>
    </row>
    <row r="47" spans="1:31" x14ac:dyDescent="0.25">
      <c r="A47" s="45"/>
      <c r="B47" s="54"/>
      <c r="C47" s="55"/>
      <c r="D47" s="50"/>
      <c r="E47" s="50"/>
    </row>
    <row r="48" spans="1:31" x14ac:dyDescent="0.25">
      <c r="A48" s="32"/>
      <c r="B48" s="56"/>
      <c r="C48" s="55"/>
    </row>
    <row r="49" spans="1:3" x14ac:dyDescent="0.25">
      <c r="A49" s="32"/>
      <c r="B49" s="56"/>
      <c r="C49" s="55"/>
    </row>
    <row r="50" spans="1:3" x14ac:dyDescent="0.25">
      <c r="A50" s="32"/>
      <c r="B50" s="56"/>
      <c r="C50" s="55"/>
    </row>
    <row r="51" spans="1:3" x14ac:dyDescent="0.25">
      <c r="B51" s="53"/>
      <c r="C51" s="55"/>
    </row>
    <row r="52" spans="1:3" x14ac:dyDescent="0.25">
      <c r="B52" s="53"/>
      <c r="C52" s="55"/>
    </row>
    <row r="53" spans="1:3" x14ac:dyDescent="0.25">
      <c r="B53" s="53"/>
      <c r="C53" s="55"/>
    </row>
    <row r="54" spans="1:3" x14ac:dyDescent="0.25">
      <c r="B54" s="53"/>
      <c r="C54" s="55"/>
    </row>
    <row r="55" spans="1:3" x14ac:dyDescent="0.25">
      <c r="B55" s="53"/>
      <c r="C55" s="55"/>
    </row>
    <row r="56" spans="1:3" x14ac:dyDescent="0.25">
      <c r="B56" s="53"/>
      <c r="C56" s="55"/>
    </row>
    <row r="57" spans="1:3" x14ac:dyDescent="0.25">
      <c r="B57" s="53"/>
      <c r="C57" s="55"/>
    </row>
    <row r="58" spans="1:3" x14ac:dyDescent="0.25">
      <c r="B58" s="53"/>
      <c r="C58" s="55"/>
    </row>
    <row r="59" spans="1:3" x14ac:dyDescent="0.25">
      <c r="B59" s="53"/>
      <c r="C59" s="55"/>
    </row>
    <row r="60" spans="1:3" x14ac:dyDescent="0.25">
      <c r="B60" s="53"/>
      <c r="C60" s="55"/>
    </row>
    <row r="61" spans="1:3" x14ac:dyDescent="0.25">
      <c r="B61" s="53"/>
      <c r="C61" s="55"/>
    </row>
    <row r="62" spans="1:3" x14ac:dyDescent="0.25">
      <c r="B62" s="53"/>
      <c r="C62" s="55"/>
    </row>
    <row r="63" spans="1:3" x14ac:dyDescent="0.25">
      <c r="B63" s="53"/>
      <c r="C63" s="55"/>
    </row>
    <row r="64" spans="1:3" x14ac:dyDescent="0.25">
      <c r="B64" s="53"/>
      <c r="C64" s="55"/>
    </row>
    <row r="65" spans="2:3" x14ac:dyDescent="0.25">
      <c r="B65" s="53"/>
      <c r="C65" s="55"/>
    </row>
    <row r="66" spans="2:3" x14ac:dyDescent="0.25">
      <c r="B66" s="53"/>
      <c r="C66" s="55"/>
    </row>
    <row r="67" spans="2:3" x14ac:dyDescent="0.25">
      <c r="B67" s="53"/>
      <c r="C67" s="55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28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7"/>
  <sheetViews>
    <sheetView zoomScale="70" zoomScaleNormal="70" workbookViewId="0">
      <selection activeCell="A2" sqref="A2:AC2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3.875" style="32" bestFit="1" customWidth="1"/>
    <col min="13" max="13" width="13.125" style="32" bestFit="1" customWidth="1"/>
    <col min="14" max="14" width="14.25" style="32" bestFit="1" customWidth="1"/>
    <col min="15" max="15" width="13.5" style="32" bestFit="1" customWidth="1"/>
    <col min="16" max="16" width="10.25" style="32" customWidth="1"/>
    <col min="17" max="17" width="11.625" style="32" customWidth="1"/>
    <col min="18" max="18" width="13" style="32" bestFit="1" customWidth="1"/>
    <col min="19" max="19" width="12.75" style="32" bestFit="1" customWidth="1"/>
    <col min="20" max="20" width="9.75" style="32" customWidth="1"/>
    <col min="21" max="21" width="11.75" style="32" customWidth="1"/>
    <col min="22" max="22" width="9.875" style="32" customWidth="1"/>
    <col min="23" max="23" width="9.25" style="32" customWidth="1"/>
    <col min="24" max="24" width="10.5" style="34" customWidth="1"/>
    <col min="25" max="25" width="11.375" style="34" customWidth="1"/>
    <col min="26" max="26" width="11.5" style="32" customWidth="1"/>
    <col min="27" max="28" width="9.875" style="32" customWidth="1"/>
    <col min="29" max="29" width="11.875" style="32" customWidth="1"/>
    <col min="30" max="33" width="8" style="32" customWidth="1"/>
    <col min="34" max="36" width="9" style="32"/>
    <col min="37" max="37" width="11.125" style="32" bestFit="1" customWidth="1"/>
    <col min="38" max="38" width="10.125" style="32" bestFit="1" customWidth="1"/>
    <col min="39" max="52" width="9" style="32"/>
    <col min="53" max="53" width="9.25" style="32" bestFit="1" customWidth="1"/>
    <col min="54" max="16384" width="9" style="32"/>
  </cols>
  <sheetData>
    <row r="1" spans="1:54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4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4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4" ht="26.25" x14ac:dyDescent="0.25">
      <c r="A4" s="145" t="s">
        <v>42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4" ht="26.25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54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6" t="s">
        <v>27</v>
      </c>
      <c r="K6" s="66" t="s">
        <v>28</v>
      </c>
      <c r="L6" s="66" t="s">
        <v>29</v>
      </c>
      <c r="M6" s="66" t="s">
        <v>30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33"/>
      <c r="AE6" s="33" t="s">
        <v>59</v>
      </c>
      <c r="AH6" s="35"/>
      <c r="AI6" s="35"/>
      <c r="AJ6" s="35"/>
      <c r="AK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43">
        <v>2020</v>
      </c>
      <c r="AE7" s="137">
        <f>SUM(E7:M7)</f>
        <v>0</v>
      </c>
      <c r="AF7" s="40"/>
      <c r="AH7" s="35"/>
      <c r="AI7" s="35"/>
      <c r="AJ7" s="35"/>
      <c r="AK7" s="44"/>
      <c r="AT7" s="44"/>
      <c r="AU7" s="44"/>
      <c r="AV7" s="44"/>
      <c r="AW7" s="44"/>
      <c r="AX7" s="44"/>
      <c r="AY7" s="44"/>
      <c r="AZ7" s="44"/>
      <c r="BA7" s="44"/>
      <c r="BB7" s="44"/>
    </row>
    <row r="8" spans="1:54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43">
        <v>2021</v>
      </c>
      <c r="AE8" s="137">
        <f t="shared" ref="AE8:AE36" si="0">SUM(E8:M8)</f>
        <v>0</v>
      </c>
      <c r="AF8" s="40"/>
      <c r="AH8" s="35"/>
      <c r="AI8" s="35"/>
      <c r="AJ8" s="35"/>
      <c r="AK8" s="44"/>
      <c r="AT8" s="44"/>
      <c r="AU8" s="44"/>
      <c r="AV8" s="44"/>
      <c r="AW8" s="44"/>
      <c r="AX8" s="44"/>
      <c r="AY8" s="44"/>
      <c r="AZ8" s="44"/>
      <c r="BA8" s="44"/>
      <c r="BB8" s="44"/>
    </row>
    <row r="9" spans="1:54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0</v>
      </c>
      <c r="Q9" s="38">
        <v>0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1085.22</v>
      </c>
      <c r="X9" s="36">
        <v>-141.19605854639985</v>
      </c>
      <c r="Y9" s="39">
        <v>-5.4107372408630185</v>
      </c>
      <c r="Z9" s="40">
        <v>8.8039414536001459</v>
      </c>
      <c r="AA9" s="41">
        <v>9.7604411063392948</v>
      </c>
      <c r="AB9" s="53">
        <v>0</v>
      </c>
      <c r="AC9" s="33">
        <v>0</v>
      </c>
      <c r="AD9" s="43">
        <v>2022</v>
      </c>
      <c r="AE9" s="137">
        <f t="shared" si="0"/>
        <v>0</v>
      </c>
      <c r="AF9" s="40"/>
      <c r="AH9" s="35"/>
      <c r="AI9" s="35"/>
      <c r="AJ9" s="35"/>
      <c r="AK9" s="44"/>
      <c r="AT9" s="44"/>
      <c r="AU9" s="44"/>
      <c r="AV9" s="44"/>
      <c r="AW9" s="44"/>
      <c r="AX9" s="44"/>
      <c r="AY9" s="44"/>
      <c r="AZ9" s="44"/>
      <c r="BA9" s="44"/>
      <c r="BB9" s="44"/>
    </row>
    <row r="10" spans="1:54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248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0</v>
      </c>
      <c r="Q10" s="38">
        <v>0</v>
      </c>
      <c r="R10" s="39">
        <v>1.022</v>
      </c>
      <c r="S10" s="36">
        <v>0</v>
      </c>
      <c r="T10" s="36">
        <v>0</v>
      </c>
      <c r="U10" s="36">
        <v>0</v>
      </c>
      <c r="V10" s="36">
        <v>0</v>
      </c>
      <c r="W10" s="36">
        <v>1184.242</v>
      </c>
      <c r="X10" s="36">
        <v>-141.43342562999987</v>
      </c>
      <c r="Y10" s="39">
        <v>-5.4315910986658418</v>
      </c>
      <c r="Z10" s="40">
        <v>107.58857437000006</v>
      </c>
      <c r="AA10" s="41">
        <v>19.749237285487649</v>
      </c>
      <c r="AB10" s="53">
        <v>0</v>
      </c>
      <c r="AC10" s="33">
        <v>0</v>
      </c>
      <c r="AD10" s="43">
        <v>2023</v>
      </c>
      <c r="AE10" s="137">
        <f t="shared" si="0"/>
        <v>248</v>
      </c>
      <c r="AF10" s="40"/>
      <c r="AH10" s="35"/>
      <c r="AI10" s="35"/>
      <c r="AJ10" s="35"/>
      <c r="AK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248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0</v>
      </c>
      <c r="Q11" s="38">
        <v>0</v>
      </c>
      <c r="R11" s="39">
        <v>1.5329999999999999</v>
      </c>
      <c r="S11" s="36">
        <v>0</v>
      </c>
      <c r="T11" s="36">
        <v>0</v>
      </c>
      <c r="U11" s="36">
        <v>0</v>
      </c>
      <c r="V11" s="36">
        <v>0</v>
      </c>
      <c r="W11" s="36">
        <v>1184.7529999999999</v>
      </c>
      <c r="X11" s="36">
        <v>-138.49278128138985</v>
      </c>
      <c r="Y11" s="39">
        <v>-5.1725906825015979</v>
      </c>
      <c r="Z11" s="40">
        <v>111.04021871861005</v>
      </c>
      <c r="AA11" s="41">
        <v>20.129015281039941</v>
      </c>
      <c r="AB11" s="53">
        <v>0</v>
      </c>
      <c r="AC11" s="33">
        <v>0</v>
      </c>
      <c r="AD11" s="43">
        <v>2024</v>
      </c>
      <c r="AE11" s="137">
        <f t="shared" si="0"/>
        <v>248</v>
      </c>
      <c r="AF11" s="40"/>
      <c r="AH11" s="35"/>
      <c r="AI11" s="35"/>
      <c r="AJ11" s="35"/>
      <c r="AK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248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0</v>
      </c>
      <c r="Q12" s="38">
        <v>0</v>
      </c>
      <c r="R12" s="39">
        <v>1.5329999999999999</v>
      </c>
      <c r="S12" s="36">
        <v>0</v>
      </c>
      <c r="T12" s="36">
        <v>0</v>
      </c>
      <c r="U12" s="36">
        <v>0</v>
      </c>
      <c r="V12" s="36">
        <v>0</v>
      </c>
      <c r="W12" s="36">
        <v>1184.7529999999999</v>
      </c>
      <c r="X12" s="36">
        <v>-135.67758543864011</v>
      </c>
      <c r="Y12" s="39">
        <v>-4.9233065939769052</v>
      </c>
      <c r="Z12" s="40">
        <v>113.85541456135979</v>
      </c>
      <c r="AA12" s="41">
        <v>20.444812710235098</v>
      </c>
      <c r="AB12" s="53">
        <v>0</v>
      </c>
      <c r="AC12" s="33">
        <v>0</v>
      </c>
      <c r="AD12" s="43">
        <v>2025</v>
      </c>
      <c r="AE12" s="137">
        <f t="shared" si="0"/>
        <v>248</v>
      </c>
      <c r="AF12" s="40"/>
      <c r="AH12" s="35"/>
      <c r="AI12" s="35"/>
      <c r="AJ12" s="35"/>
      <c r="AK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248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0</v>
      </c>
      <c r="Q13" s="38">
        <v>0</v>
      </c>
      <c r="R13" s="39">
        <v>1.5329999999999999</v>
      </c>
      <c r="S13" s="36">
        <v>0</v>
      </c>
      <c r="T13" s="36">
        <v>0</v>
      </c>
      <c r="U13" s="36">
        <v>0</v>
      </c>
      <c r="V13" s="36">
        <v>0</v>
      </c>
      <c r="W13" s="36">
        <v>1184.7529999999999</v>
      </c>
      <c r="X13" s="36">
        <v>-133.17688301810995</v>
      </c>
      <c r="Y13" s="39">
        <v>-4.7007689573406095</v>
      </c>
      <c r="Z13" s="40">
        <v>116.35611698188995</v>
      </c>
      <c r="AA13" s="41">
        <v>20.726727267898283</v>
      </c>
      <c r="AB13" s="53">
        <v>0</v>
      </c>
      <c r="AC13" s="33">
        <v>0</v>
      </c>
      <c r="AD13" s="43">
        <v>2026</v>
      </c>
      <c r="AE13" s="137">
        <f t="shared" si="0"/>
        <v>248</v>
      </c>
      <c r="AF13" s="40"/>
      <c r="AH13" s="35"/>
      <c r="AI13" s="35"/>
      <c r="AJ13" s="35"/>
      <c r="AK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248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0</v>
      </c>
      <c r="Q14" s="38">
        <v>0</v>
      </c>
      <c r="R14" s="39">
        <v>2.044</v>
      </c>
      <c r="S14" s="36">
        <v>0</v>
      </c>
      <c r="T14" s="36">
        <v>0</v>
      </c>
      <c r="U14" s="36">
        <v>0</v>
      </c>
      <c r="V14" s="36">
        <v>0</v>
      </c>
      <c r="W14" s="36">
        <v>1185.2640000000001</v>
      </c>
      <c r="X14" s="36">
        <v>-131.74494726266994</v>
      </c>
      <c r="Y14" s="39">
        <v>-4.5728712445375619</v>
      </c>
      <c r="Z14" s="40">
        <v>118.29905273733016</v>
      </c>
      <c r="AA14" s="41">
        <v>20.940891273940291</v>
      </c>
      <c r="AB14" s="53">
        <v>0</v>
      </c>
      <c r="AC14" s="33">
        <v>0</v>
      </c>
      <c r="AD14" s="43">
        <v>2027</v>
      </c>
      <c r="AE14" s="137">
        <f t="shared" si="0"/>
        <v>248</v>
      </c>
      <c r="AF14" s="40"/>
      <c r="AH14" s="35"/>
      <c r="AI14" s="35"/>
      <c r="AJ14" s="35"/>
      <c r="AK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248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0</v>
      </c>
      <c r="Q15" s="38">
        <v>0</v>
      </c>
      <c r="R15" s="39">
        <v>2.044</v>
      </c>
      <c r="S15" s="36">
        <v>0</v>
      </c>
      <c r="T15" s="36">
        <v>0</v>
      </c>
      <c r="U15" s="36">
        <v>0</v>
      </c>
      <c r="V15" s="36">
        <v>0</v>
      </c>
      <c r="W15" s="36">
        <v>1185.2640000000001</v>
      </c>
      <c r="X15" s="36">
        <v>-130.81159234148981</v>
      </c>
      <c r="Y15" s="39">
        <v>-4.4893208311371824</v>
      </c>
      <c r="Z15" s="40">
        <v>119.23240765851028</v>
      </c>
      <c r="AA15" s="41">
        <v>21.046780045767868</v>
      </c>
      <c r="AB15" s="53">
        <v>0</v>
      </c>
      <c r="AC15" s="33">
        <v>0</v>
      </c>
      <c r="AD15" s="43">
        <v>2028</v>
      </c>
      <c r="AE15" s="137">
        <f t="shared" si="0"/>
        <v>248</v>
      </c>
      <c r="AF15" s="40"/>
      <c r="AH15" s="35"/>
      <c r="AI15" s="35"/>
      <c r="AJ15" s="35"/>
      <c r="AK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248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0</v>
      </c>
      <c r="Q16" s="38">
        <v>0</v>
      </c>
      <c r="R16" s="39">
        <v>2.5550000000000002</v>
      </c>
      <c r="S16" s="36">
        <v>0</v>
      </c>
      <c r="T16" s="36">
        <v>0</v>
      </c>
      <c r="U16" s="36">
        <v>0</v>
      </c>
      <c r="V16" s="36">
        <v>0</v>
      </c>
      <c r="W16" s="36">
        <v>1185.7750000000001</v>
      </c>
      <c r="X16" s="36">
        <v>-130.93588345038006</v>
      </c>
      <c r="Y16" s="39">
        <v>-4.5004553457133465</v>
      </c>
      <c r="Z16" s="40">
        <v>119.61911654962</v>
      </c>
      <c r="AA16" s="41">
        <v>21.084849086243622</v>
      </c>
      <c r="AB16" s="53">
        <v>0</v>
      </c>
      <c r="AC16" s="33">
        <v>0</v>
      </c>
      <c r="AD16" s="43">
        <v>2029</v>
      </c>
      <c r="AE16" s="137">
        <f t="shared" si="0"/>
        <v>248</v>
      </c>
      <c r="AF16" s="40"/>
      <c r="AH16" s="35"/>
      <c r="AI16" s="35"/>
      <c r="AJ16" s="35"/>
      <c r="AK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248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0</v>
      </c>
      <c r="Q17" s="38">
        <v>0</v>
      </c>
      <c r="R17" s="39">
        <v>3.0659999999999998</v>
      </c>
      <c r="S17" s="36">
        <v>0</v>
      </c>
      <c r="T17" s="36">
        <v>0</v>
      </c>
      <c r="U17" s="36">
        <v>0</v>
      </c>
      <c r="V17" s="36">
        <v>0</v>
      </c>
      <c r="W17" s="36">
        <v>1186.2860000000001</v>
      </c>
      <c r="X17" s="36">
        <v>-129.96194429721004</v>
      </c>
      <c r="Y17" s="39">
        <v>-4.4131362298133112</v>
      </c>
      <c r="Z17" s="40">
        <v>121.10405570278999</v>
      </c>
      <c r="AA17" s="41">
        <v>21.247790118346153</v>
      </c>
      <c r="AB17" s="53">
        <v>0</v>
      </c>
      <c r="AC17" s="33">
        <v>0</v>
      </c>
      <c r="AD17" s="43">
        <v>2030</v>
      </c>
      <c r="AE17" s="137">
        <f t="shared" si="0"/>
        <v>248</v>
      </c>
      <c r="AF17" s="40"/>
      <c r="AH17" s="35"/>
      <c r="AI17" s="35"/>
      <c r="AJ17" s="35"/>
      <c r="AK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248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0</v>
      </c>
      <c r="Q18" s="38">
        <v>0</v>
      </c>
      <c r="R18" s="39">
        <v>3.577</v>
      </c>
      <c r="S18" s="36">
        <v>155.136</v>
      </c>
      <c r="T18" s="36">
        <v>0</v>
      </c>
      <c r="U18" s="36">
        <v>0</v>
      </c>
      <c r="V18" s="36">
        <v>0</v>
      </c>
      <c r="W18" s="36">
        <v>1080.0329999999999</v>
      </c>
      <c r="X18" s="36">
        <v>-391.82507209673997</v>
      </c>
      <c r="Y18" s="39">
        <v>-31.179000569659244</v>
      </c>
      <c r="Z18" s="40">
        <v>14.887927903259879</v>
      </c>
      <c r="AA18" s="41">
        <v>10.391716387080741</v>
      </c>
      <c r="AB18" s="53">
        <v>303.59295499021528</v>
      </c>
      <c r="AC18" s="33">
        <v>0</v>
      </c>
      <c r="AD18" s="43">
        <v>2031</v>
      </c>
      <c r="AE18" s="137">
        <f t="shared" si="0"/>
        <v>248</v>
      </c>
      <c r="AF18" s="40"/>
      <c r="AH18" s="35"/>
      <c r="AI18" s="35"/>
      <c r="AJ18" s="35"/>
      <c r="AK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1:54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248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0</v>
      </c>
      <c r="Q19" s="38">
        <v>0</v>
      </c>
      <c r="R19" s="39">
        <v>3.577</v>
      </c>
      <c r="S19" s="36">
        <v>232.70400000000001</v>
      </c>
      <c r="T19" s="36">
        <v>0</v>
      </c>
      <c r="U19" s="36">
        <v>0</v>
      </c>
      <c r="V19" s="36">
        <v>0</v>
      </c>
      <c r="W19" s="36">
        <v>1157.6010000000001</v>
      </c>
      <c r="X19" s="36">
        <v>-391.85999443550998</v>
      </c>
      <c r="Y19" s="39">
        <v>-31.181256892786934</v>
      </c>
      <c r="Z19" s="40">
        <v>92.421005564490088</v>
      </c>
      <c r="AA19" s="41">
        <v>18.316173349451898</v>
      </c>
      <c r="AB19" s="53">
        <v>455.38943248532291</v>
      </c>
      <c r="AC19" s="33">
        <v>0</v>
      </c>
      <c r="AD19" s="43">
        <v>2032</v>
      </c>
      <c r="AE19" s="137">
        <f t="shared" si="0"/>
        <v>248</v>
      </c>
      <c r="AF19" s="40"/>
      <c r="AH19" s="35"/>
      <c r="AI19" s="35"/>
      <c r="AJ19" s="35"/>
      <c r="AK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1:54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248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0</v>
      </c>
      <c r="Q20" s="38">
        <v>0</v>
      </c>
      <c r="R20" s="39">
        <v>4.0880000000000001</v>
      </c>
      <c r="S20" s="36">
        <v>232.70400000000001</v>
      </c>
      <c r="T20" s="36">
        <v>0</v>
      </c>
      <c r="U20" s="36">
        <v>0</v>
      </c>
      <c r="V20" s="36">
        <v>0</v>
      </c>
      <c r="W20" s="36">
        <v>1158.1120000000001</v>
      </c>
      <c r="X20" s="36">
        <v>-391.72112400056983</v>
      </c>
      <c r="Y20" s="39">
        <v>-31.172283634785941</v>
      </c>
      <c r="Z20" s="40">
        <v>93.0708759994302</v>
      </c>
      <c r="AA20" s="41">
        <v>18.383835702416064</v>
      </c>
      <c r="AB20" s="53">
        <v>455.38943248532291</v>
      </c>
      <c r="AC20" s="33">
        <v>0</v>
      </c>
      <c r="AD20" s="43">
        <v>2033</v>
      </c>
      <c r="AE20" s="137">
        <f t="shared" si="0"/>
        <v>248</v>
      </c>
      <c r="AF20" s="40"/>
      <c r="AH20" s="35"/>
      <c r="AI20" s="35"/>
      <c r="AJ20" s="35"/>
      <c r="AK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248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</v>
      </c>
      <c r="Q21" s="38">
        <v>0</v>
      </c>
      <c r="R21" s="39">
        <v>4.5990000000000002</v>
      </c>
      <c r="S21" s="36">
        <v>232.70400000000001</v>
      </c>
      <c r="T21" s="36">
        <v>0</v>
      </c>
      <c r="U21" s="36">
        <v>0</v>
      </c>
      <c r="V21" s="36">
        <v>0</v>
      </c>
      <c r="W21" s="36">
        <v>1158.623</v>
      </c>
      <c r="X21" s="36">
        <v>-392.4548395390799</v>
      </c>
      <c r="Y21" s="39">
        <v>-31.219666968585752</v>
      </c>
      <c r="Z21" s="40">
        <v>92.848160460920099</v>
      </c>
      <c r="AA21" s="41">
        <v>18.354535433161452</v>
      </c>
      <c r="AB21" s="53">
        <v>455.38943248532291</v>
      </c>
      <c r="AC21" s="33">
        <v>0</v>
      </c>
      <c r="AD21" s="43">
        <v>2034</v>
      </c>
      <c r="AE21" s="137">
        <f t="shared" si="0"/>
        <v>248</v>
      </c>
      <c r="AF21" s="40"/>
      <c r="AH21" s="35"/>
      <c r="AI21" s="35"/>
      <c r="AJ21" s="35"/>
      <c r="AK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1:54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248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</v>
      </c>
      <c r="Q22" s="38">
        <v>0</v>
      </c>
      <c r="R22" s="39">
        <v>4.5990000000000002</v>
      </c>
      <c r="S22" s="36">
        <v>232.70400000000001</v>
      </c>
      <c r="T22" s="36">
        <v>0</v>
      </c>
      <c r="U22" s="36">
        <v>0</v>
      </c>
      <c r="V22" s="36">
        <v>0</v>
      </c>
      <c r="W22" s="36">
        <v>1158.623</v>
      </c>
      <c r="X22" s="36">
        <v>-392.86475490341979</v>
      </c>
      <c r="Y22" s="39">
        <v>-31.246110898818603</v>
      </c>
      <c r="Z22" s="40">
        <v>92.438245096580204</v>
      </c>
      <c r="AA22" s="41">
        <v>18.309031741338579</v>
      </c>
      <c r="AB22" s="53">
        <v>455.38943248532291</v>
      </c>
      <c r="AC22" s="33">
        <v>0</v>
      </c>
      <c r="AD22" s="43">
        <v>2035</v>
      </c>
      <c r="AE22" s="137">
        <f t="shared" si="0"/>
        <v>248</v>
      </c>
      <c r="AF22" s="40"/>
      <c r="AH22" s="35"/>
      <c r="AI22" s="35"/>
      <c r="AJ22" s="35"/>
      <c r="AK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1:54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248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</v>
      </c>
      <c r="Q23" s="38">
        <v>0</v>
      </c>
      <c r="R23" s="39">
        <v>5.1100000000000003</v>
      </c>
      <c r="S23" s="36">
        <v>232.70400000000001</v>
      </c>
      <c r="T23" s="36">
        <v>0</v>
      </c>
      <c r="U23" s="36">
        <v>0</v>
      </c>
      <c r="V23" s="36">
        <v>0</v>
      </c>
      <c r="W23" s="36">
        <v>1159.134</v>
      </c>
      <c r="X23" s="36">
        <v>-393.98748385497004</v>
      </c>
      <c r="Y23" s="39">
        <v>-31.318434931951728</v>
      </c>
      <c r="Z23" s="40">
        <v>91.826516145029927</v>
      </c>
      <c r="AA23" s="41">
        <v>18.236703563813737</v>
      </c>
      <c r="AB23" s="53">
        <v>455.38943248532291</v>
      </c>
      <c r="AC23" s="33">
        <v>0</v>
      </c>
      <c r="AD23" s="43">
        <v>2036</v>
      </c>
      <c r="AE23" s="137">
        <f t="shared" si="0"/>
        <v>248</v>
      </c>
      <c r="AF23" s="40"/>
      <c r="AH23" s="35"/>
      <c r="AI23" s="35"/>
      <c r="AJ23" s="35"/>
      <c r="AK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1:54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248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0</v>
      </c>
      <c r="Q24" s="38">
        <v>0</v>
      </c>
      <c r="R24" s="39">
        <v>5.1100000000000003</v>
      </c>
      <c r="S24" s="36">
        <v>232.70400000000001</v>
      </c>
      <c r="T24" s="36">
        <v>0</v>
      </c>
      <c r="U24" s="36">
        <v>0</v>
      </c>
      <c r="V24" s="36">
        <v>0</v>
      </c>
      <c r="W24" s="36">
        <v>1159.134</v>
      </c>
      <c r="X24" s="36">
        <v>-393.69112349333989</v>
      </c>
      <c r="Y24" s="39">
        <v>-31.299358754569205</v>
      </c>
      <c r="Z24" s="40">
        <v>92.122876506660077</v>
      </c>
      <c r="AA24" s="41">
        <v>18.269543589053011</v>
      </c>
      <c r="AB24" s="53">
        <v>455.38943248532291</v>
      </c>
      <c r="AC24" s="33">
        <v>0</v>
      </c>
      <c r="AD24" s="32">
        <v>2037</v>
      </c>
      <c r="AE24" s="137">
        <f t="shared" si="0"/>
        <v>248</v>
      </c>
    </row>
    <row r="25" spans="1:54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248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0</v>
      </c>
      <c r="Q25" s="38">
        <v>0</v>
      </c>
      <c r="R25" s="39">
        <v>5.6210000000000004</v>
      </c>
      <c r="S25" s="36">
        <v>232.70400000000001</v>
      </c>
      <c r="T25" s="36">
        <v>0</v>
      </c>
      <c r="U25" s="36">
        <v>0</v>
      </c>
      <c r="V25" s="36">
        <v>0</v>
      </c>
      <c r="W25" s="36">
        <v>1159.645</v>
      </c>
      <c r="X25" s="36">
        <v>-394.24811896157996</v>
      </c>
      <c r="Y25" s="39">
        <v>-31.33520278658855</v>
      </c>
      <c r="Z25" s="40">
        <v>92.07688103841997</v>
      </c>
      <c r="AA25" s="41">
        <v>18.259948857224668</v>
      </c>
      <c r="AB25" s="53">
        <v>455.38943248532291</v>
      </c>
      <c r="AC25" s="33">
        <v>0</v>
      </c>
      <c r="AD25" s="32">
        <v>2038</v>
      </c>
      <c r="AE25" s="137">
        <f t="shared" si="0"/>
        <v>248</v>
      </c>
    </row>
    <row r="26" spans="1:54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248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0</v>
      </c>
      <c r="Q26" s="38">
        <v>0</v>
      </c>
      <c r="R26" s="39">
        <v>5.6210000000000004</v>
      </c>
      <c r="S26" s="36">
        <v>232.70400000000001</v>
      </c>
      <c r="T26" s="36">
        <v>0</v>
      </c>
      <c r="U26" s="36">
        <v>0</v>
      </c>
      <c r="V26" s="36">
        <v>0</v>
      </c>
      <c r="W26" s="36">
        <v>1159.645</v>
      </c>
      <c r="X26" s="36">
        <v>-394.73299415154008</v>
      </c>
      <c r="Y26" s="39">
        <v>-31.366375262837131</v>
      </c>
      <c r="Z26" s="40">
        <v>91.592005848459848</v>
      </c>
      <c r="AA26" s="41">
        <v>18.206261151201844</v>
      </c>
      <c r="AB26" s="53">
        <v>455.38943248532291</v>
      </c>
      <c r="AC26" s="33">
        <v>0</v>
      </c>
      <c r="AD26" s="32">
        <v>2039</v>
      </c>
      <c r="AE26" s="137">
        <f t="shared" si="0"/>
        <v>248</v>
      </c>
    </row>
    <row r="27" spans="1:54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248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0</v>
      </c>
      <c r="V27" s="36">
        <v>0</v>
      </c>
      <c r="W27" s="36">
        <v>1160.1559999999999</v>
      </c>
      <c r="X27" s="36">
        <v>-396.55260378353989</v>
      </c>
      <c r="Y27" s="39">
        <v>-31.48310542697925</v>
      </c>
      <c r="Z27" s="40">
        <v>90.283396216460005</v>
      </c>
      <c r="AA27" s="41">
        <v>18.057218470055027</v>
      </c>
      <c r="AB27" s="53">
        <v>455.38943248532291</v>
      </c>
      <c r="AC27" s="33">
        <v>0</v>
      </c>
      <c r="AD27" s="32">
        <v>2040</v>
      </c>
      <c r="AE27" s="137">
        <f t="shared" si="0"/>
        <v>248</v>
      </c>
    </row>
    <row r="28" spans="1:54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248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0</v>
      </c>
      <c r="V28" s="36">
        <v>0</v>
      </c>
      <c r="W28" s="36">
        <v>1160.1559999999999</v>
      </c>
      <c r="X28" s="36">
        <v>-396.73947881192987</v>
      </c>
      <c r="Y28" s="39">
        <v>-31.495071207267227</v>
      </c>
      <c r="Z28" s="40">
        <v>90.096521188070028</v>
      </c>
      <c r="AA28" s="41">
        <v>18.03660097496239</v>
      </c>
      <c r="AB28" s="53">
        <v>455.38943248532291</v>
      </c>
      <c r="AC28" s="33">
        <v>0</v>
      </c>
      <c r="AD28" s="32">
        <v>2041</v>
      </c>
      <c r="AE28" s="137">
        <f t="shared" si="0"/>
        <v>248</v>
      </c>
    </row>
    <row r="29" spans="1:54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248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0</v>
      </c>
      <c r="V29" s="36">
        <v>0</v>
      </c>
      <c r="W29" s="36">
        <v>1160.6669999999999</v>
      </c>
      <c r="X29" s="36">
        <v>-397.23293742156</v>
      </c>
      <c r="Y29" s="39">
        <v>-31.526647737239006</v>
      </c>
      <c r="Z29" s="40">
        <v>90.114062578439871</v>
      </c>
      <c r="AA29" s="41">
        <v>18.034159613203236</v>
      </c>
      <c r="AB29" s="53">
        <v>455.38943248532291</v>
      </c>
      <c r="AC29" s="33">
        <v>0</v>
      </c>
      <c r="AD29" s="32">
        <v>2042</v>
      </c>
      <c r="AE29" s="137">
        <f t="shared" si="0"/>
        <v>248</v>
      </c>
    </row>
    <row r="30" spans="1:54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248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0</v>
      </c>
      <c r="V30" s="36">
        <v>0</v>
      </c>
      <c r="W30" s="36">
        <v>1161.1780000000001</v>
      </c>
      <c r="X30" s="36">
        <v>-397.44831287402997</v>
      </c>
      <c r="Y30" s="39">
        <v>-31.540420538552251</v>
      </c>
      <c r="Z30" s="40">
        <v>90.409687125970095</v>
      </c>
      <c r="AA30" s="41">
        <v>18.062373848816279</v>
      </c>
      <c r="AB30" s="53">
        <v>455.38943248532291</v>
      </c>
      <c r="AC30" s="33">
        <v>0</v>
      </c>
      <c r="AD30" s="32">
        <v>2043</v>
      </c>
      <c r="AE30" s="137">
        <f t="shared" si="0"/>
        <v>248</v>
      </c>
    </row>
    <row r="31" spans="1:54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248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0</v>
      </c>
      <c r="V31" s="36">
        <v>0</v>
      </c>
      <c r="W31" s="36">
        <v>1161.1780000000001</v>
      </c>
      <c r="X31" s="36">
        <v>-397.95012725616004</v>
      </c>
      <c r="Y31" s="39">
        <v>-31.572489015675121</v>
      </c>
      <c r="Z31" s="40">
        <v>89.907872743840016</v>
      </c>
      <c r="AA31" s="41">
        <v>18.007069966370224</v>
      </c>
      <c r="AB31" s="53">
        <v>455.38943248532291</v>
      </c>
      <c r="AC31" s="33">
        <v>0</v>
      </c>
      <c r="AD31" s="32">
        <v>2044</v>
      </c>
      <c r="AE31" s="137">
        <f t="shared" si="0"/>
        <v>248</v>
      </c>
    </row>
    <row r="32" spans="1:54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248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0</v>
      </c>
      <c r="V32" s="36">
        <v>0</v>
      </c>
      <c r="W32" s="36">
        <v>1161.6890000000001</v>
      </c>
      <c r="X32" s="36">
        <v>-398.65533507630005</v>
      </c>
      <c r="Y32" s="39">
        <v>-31.617504618441227</v>
      </c>
      <c r="Z32" s="40">
        <v>89.71366492369998</v>
      </c>
      <c r="AA32" s="41">
        <v>17.981335289769543</v>
      </c>
      <c r="AB32" s="53">
        <v>455.38943248532291</v>
      </c>
      <c r="AC32" s="33">
        <v>0</v>
      </c>
      <c r="AD32" s="32">
        <v>2045</v>
      </c>
      <c r="AE32" s="137">
        <f t="shared" si="0"/>
        <v>248</v>
      </c>
    </row>
    <row r="33" spans="1:3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248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0</v>
      </c>
      <c r="V33" s="36">
        <v>0</v>
      </c>
      <c r="W33" s="36">
        <v>1162.2</v>
      </c>
      <c r="X33" s="37">
        <v>-398.59224600000005</v>
      </c>
      <c r="Y33" s="46">
        <v>-31.613479859432449</v>
      </c>
      <c r="Z33" s="47">
        <v>90.28775399999995</v>
      </c>
      <c r="AA33" s="48">
        <v>18.04017956895326</v>
      </c>
      <c r="AB33" s="53">
        <v>455.38943248532291</v>
      </c>
      <c r="AC33" s="33">
        <v>0</v>
      </c>
      <c r="AD33" s="32">
        <v>2046</v>
      </c>
      <c r="AE33" s="137">
        <f t="shared" si="0"/>
        <v>248</v>
      </c>
    </row>
    <row r="34" spans="1:31" s="45" customFormat="1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248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0</v>
      </c>
      <c r="V34" s="36">
        <v>0</v>
      </c>
      <c r="W34" s="36">
        <v>1162.711</v>
      </c>
      <c r="X34" s="36">
        <v>-398.16765300000009</v>
      </c>
      <c r="Y34" s="39">
        <v>-31.586380678527519</v>
      </c>
      <c r="Z34" s="40">
        <v>91.223346999999876</v>
      </c>
      <c r="AA34" s="41">
        <v>18.138875623609259</v>
      </c>
      <c r="AB34" s="53">
        <v>455.38943248532291</v>
      </c>
      <c r="AC34" s="33">
        <v>0</v>
      </c>
      <c r="AD34" s="45">
        <v>2047</v>
      </c>
      <c r="AE34" s="137">
        <f t="shared" si="0"/>
        <v>248</v>
      </c>
    </row>
    <row r="35" spans="1:31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248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0</v>
      </c>
      <c r="V35" s="36">
        <v>0</v>
      </c>
      <c r="W35" s="36">
        <v>1163.222</v>
      </c>
      <c r="X35" s="36">
        <v>-398.00434799999982</v>
      </c>
      <c r="Y35" s="39">
        <v>-31.575952197065156</v>
      </c>
      <c r="Z35" s="40">
        <v>91.897652000000107</v>
      </c>
      <c r="AA35" s="41">
        <v>18.208812649892284</v>
      </c>
      <c r="AB35" s="53">
        <v>455.38943248532291</v>
      </c>
      <c r="AC35" s="33">
        <v>0</v>
      </c>
      <c r="AD35" s="32">
        <v>2048</v>
      </c>
      <c r="AE35" s="137">
        <f t="shared" si="0"/>
        <v>248</v>
      </c>
    </row>
    <row r="36" spans="1:31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248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0</v>
      </c>
      <c r="V36" s="36">
        <v>0</v>
      </c>
      <c r="W36" s="36">
        <v>1163.222</v>
      </c>
      <c r="X36" s="36">
        <v>-397.17693599999996</v>
      </c>
      <c r="Y36" s="39">
        <v>-31.523065657798384</v>
      </c>
      <c r="Z36" s="40">
        <v>92.725063999999975</v>
      </c>
      <c r="AA36" s="41">
        <v>18.30017899275893</v>
      </c>
      <c r="AB36" s="53">
        <v>455.38943248532291</v>
      </c>
      <c r="AC36" s="33">
        <v>0</v>
      </c>
      <c r="AD36" s="32">
        <v>2049</v>
      </c>
      <c r="AE36" s="137">
        <f t="shared" si="0"/>
        <v>248</v>
      </c>
    </row>
    <row r="37" spans="1:31" x14ac:dyDescent="0.25">
      <c r="A37" s="45"/>
      <c r="B37" s="49"/>
      <c r="C37" s="50"/>
      <c r="D37" s="50"/>
      <c r="E37" s="50"/>
      <c r="F37" s="51"/>
      <c r="AE37" s="45">
        <v>31</v>
      </c>
    </row>
    <row r="38" spans="1:31" x14ac:dyDescent="0.25">
      <c r="A38" s="45"/>
      <c r="B38" s="49"/>
      <c r="C38" s="50"/>
      <c r="D38" s="50"/>
      <c r="E38" s="50"/>
      <c r="F38" s="51"/>
      <c r="X38" s="41"/>
    </row>
    <row r="39" spans="1:31" x14ac:dyDescent="0.25">
      <c r="A39" s="45"/>
      <c r="B39" s="49"/>
      <c r="C39" s="50"/>
      <c r="D39" s="50"/>
      <c r="E39" s="50"/>
      <c r="F39" s="51"/>
      <c r="X39" s="41"/>
    </row>
    <row r="40" spans="1:31" x14ac:dyDescent="0.25">
      <c r="A40" s="45"/>
      <c r="B40" s="49"/>
      <c r="C40" s="50"/>
      <c r="D40" s="50"/>
      <c r="E40" s="50"/>
      <c r="F40" s="51"/>
      <c r="X40" s="41"/>
    </row>
    <row r="41" spans="1:31" x14ac:dyDescent="0.25">
      <c r="A41" s="45"/>
      <c r="B41" s="49"/>
      <c r="C41" s="50"/>
      <c r="D41" s="50"/>
      <c r="E41" s="50"/>
      <c r="F41" s="51"/>
      <c r="X41" s="41"/>
    </row>
    <row r="42" spans="1:31" x14ac:dyDescent="0.25">
      <c r="A42" s="45"/>
      <c r="B42" s="49"/>
      <c r="C42" s="50"/>
      <c r="D42" s="50"/>
      <c r="E42" s="50"/>
      <c r="F42" s="51"/>
      <c r="X42" s="41"/>
    </row>
    <row r="43" spans="1:31" x14ac:dyDescent="0.25">
      <c r="A43" s="45"/>
      <c r="B43" s="49"/>
      <c r="C43" s="50"/>
      <c r="D43" s="50"/>
      <c r="E43" s="50"/>
      <c r="F43" s="51"/>
      <c r="X43" s="41"/>
    </row>
    <row r="44" spans="1:31" x14ac:dyDescent="0.25">
      <c r="A44" s="45"/>
      <c r="B44" s="49"/>
      <c r="C44" s="50"/>
      <c r="D44" s="50"/>
      <c r="E44" s="50"/>
      <c r="F44" s="51"/>
      <c r="X44" s="41"/>
    </row>
    <row r="45" spans="1:31" x14ac:dyDescent="0.25">
      <c r="A45" s="45"/>
      <c r="B45" s="49"/>
      <c r="C45" s="50"/>
      <c r="D45" s="50"/>
      <c r="E45" s="50"/>
      <c r="F45" s="51"/>
      <c r="X45" s="41"/>
    </row>
    <row r="46" spans="1:31" x14ac:dyDescent="0.25">
      <c r="A46" s="45"/>
      <c r="B46" s="49"/>
      <c r="C46" s="50"/>
      <c r="D46" s="50"/>
      <c r="E46" s="50"/>
      <c r="F46" s="51"/>
      <c r="X46" s="41"/>
    </row>
    <row r="47" spans="1:31" x14ac:dyDescent="0.25">
      <c r="A47" s="45"/>
      <c r="B47" s="49"/>
      <c r="C47" s="50"/>
      <c r="D47" s="50"/>
      <c r="E47" s="50"/>
      <c r="X47" s="41"/>
    </row>
    <row r="48" spans="1:31" x14ac:dyDescent="0.25">
      <c r="A48" s="32"/>
      <c r="B48" s="32"/>
      <c r="X48" s="41"/>
    </row>
    <row r="49" spans="1:24" x14ac:dyDescent="0.25">
      <c r="A49" s="32"/>
      <c r="B49" s="32"/>
      <c r="X49" s="41"/>
    </row>
    <row r="50" spans="1:24" x14ac:dyDescent="0.25">
      <c r="A50" s="32"/>
      <c r="B50" s="32"/>
      <c r="X50" s="41"/>
    </row>
    <row r="51" spans="1:24" x14ac:dyDescent="0.25">
      <c r="X51" s="41"/>
    </row>
    <row r="52" spans="1:24" x14ac:dyDescent="0.25">
      <c r="X52" s="41"/>
    </row>
    <row r="53" spans="1:24" x14ac:dyDescent="0.25">
      <c r="X53" s="41"/>
    </row>
    <row r="54" spans="1:24" x14ac:dyDescent="0.25">
      <c r="X54" s="41"/>
    </row>
    <row r="55" spans="1:24" x14ac:dyDescent="0.25">
      <c r="X55" s="41"/>
    </row>
    <row r="56" spans="1:24" x14ac:dyDescent="0.25">
      <c r="X56" s="41"/>
    </row>
    <row r="57" spans="1:24" x14ac:dyDescent="0.25">
      <c r="X57" s="41"/>
    </row>
    <row r="58" spans="1:24" x14ac:dyDescent="0.25">
      <c r="X58" s="41"/>
    </row>
    <row r="59" spans="1:24" x14ac:dyDescent="0.25">
      <c r="X59" s="41"/>
    </row>
    <row r="60" spans="1:24" x14ac:dyDescent="0.25">
      <c r="X60" s="41"/>
    </row>
    <row r="61" spans="1:24" x14ac:dyDescent="0.25">
      <c r="X61" s="41"/>
    </row>
    <row r="62" spans="1:24" x14ac:dyDescent="0.25">
      <c r="X62" s="41"/>
    </row>
    <row r="63" spans="1:24" x14ac:dyDescent="0.25">
      <c r="X63" s="41"/>
    </row>
    <row r="64" spans="1:24" x14ac:dyDescent="0.25">
      <c r="X64" s="41"/>
    </row>
    <row r="65" spans="24:24" x14ac:dyDescent="0.25">
      <c r="X65" s="41"/>
    </row>
    <row r="66" spans="24:24" x14ac:dyDescent="0.25">
      <c r="X66" s="41"/>
    </row>
    <row r="67" spans="24:24" x14ac:dyDescent="0.25">
      <c r="X67" s="41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2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0"/>
  <sheetViews>
    <sheetView zoomScale="70" zoomScaleNormal="70" workbookViewId="0">
      <selection activeCell="A2" sqref="A2:AC2"/>
    </sheetView>
  </sheetViews>
  <sheetFormatPr defaultColWidth="9" defaultRowHeight="15.75" x14ac:dyDescent="0.25"/>
  <cols>
    <col min="1" max="1" width="9.5" style="34" customWidth="1"/>
    <col min="2" max="2" width="13" style="34" bestFit="1" customWidth="1"/>
    <col min="3" max="3" width="13.375" style="32" bestFit="1" customWidth="1"/>
    <col min="4" max="4" width="15.625" style="32" bestFit="1" customWidth="1"/>
    <col min="5" max="5" width="13.375" style="32" bestFit="1" customWidth="1"/>
    <col min="6" max="6" width="12.625" style="32" bestFit="1" customWidth="1"/>
    <col min="7" max="7" width="16" style="32" bestFit="1" customWidth="1"/>
    <col min="8" max="8" width="13.875" style="32" bestFit="1" customWidth="1"/>
    <col min="9" max="9" width="18.125" style="32" bestFit="1" customWidth="1"/>
    <col min="10" max="10" width="16.375" style="32" bestFit="1" customWidth="1"/>
    <col min="11" max="11" width="18.375" style="32" bestFit="1" customWidth="1"/>
    <col min="12" max="12" width="13.875" style="32" bestFit="1" customWidth="1"/>
    <col min="13" max="13" width="13.125" style="32" bestFit="1" customWidth="1"/>
    <col min="14" max="14" width="14.25" style="32" bestFit="1" customWidth="1"/>
    <col min="15" max="15" width="13.5" style="32" bestFit="1" customWidth="1"/>
    <col min="16" max="16" width="10.25" style="32" customWidth="1"/>
    <col min="17" max="17" width="11.625" style="32" customWidth="1"/>
    <col min="18" max="18" width="12" style="32" bestFit="1" customWidth="1"/>
    <col min="19" max="19" width="12.75" style="32" bestFit="1" customWidth="1"/>
    <col min="20" max="20" width="9.75" style="32" customWidth="1"/>
    <col min="21" max="21" width="11.75" style="32" customWidth="1"/>
    <col min="22" max="22" width="9.875" style="32" customWidth="1"/>
    <col min="23" max="23" width="9.25" style="32" customWidth="1"/>
    <col min="24" max="24" width="10.5" style="32" customWidth="1"/>
    <col min="25" max="25" width="10.625" style="32" bestFit="1" customWidth="1"/>
    <col min="26" max="26" width="11.5" style="32" customWidth="1"/>
    <col min="27" max="28" width="9.875" style="32" customWidth="1"/>
    <col min="29" max="29" width="11.875" style="32" customWidth="1"/>
    <col min="30" max="33" width="8" style="32" customWidth="1"/>
    <col min="34" max="36" width="9" style="32"/>
    <col min="37" max="37" width="11.125" style="32" bestFit="1" customWidth="1"/>
    <col min="38" max="38" width="10.125" style="32" bestFit="1" customWidth="1"/>
    <col min="39" max="52" width="9" style="32"/>
    <col min="53" max="53" width="9.25" style="32" bestFit="1" customWidth="1"/>
    <col min="54" max="16384" width="9" style="32"/>
  </cols>
  <sheetData>
    <row r="1" spans="1:54" ht="18.75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54" ht="26.25" x14ac:dyDescent="0.4">
      <c r="A2" s="144" t="s">
        <v>26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54" ht="26.25" x14ac:dyDescent="0.25">
      <c r="A3" s="145" t="s">
        <v>17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</row>
    <row r="4" spans="1:54" ht="26.25" x14ac:dyDescent="0.25">
      <c r="A4" s="145" t="s">
        <v>43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</row>
    <row r="5" spans="1:54" ht="26.25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</row>
    <row r="6" spans="1:54" s="34" customFormat="1" ht="141.75" x14ac:dyDescent="0.25">
      <c r="A6" s="33"/>
      <c r="B6" s="34" t="s">
        <v>1</v>
      </c>
      <c r="C6" s="34" t="s">
        <v>2</v>
      </c>
      <c r="D6" s="34" t="s">
        <v>3</v>
      </c>
      <c r="E6" s="34" t="s">
        <v>18</v>
      </c>
      <c r="F6" s="34" t="s">
        <v>19</v>
      </c>
      <c r="G6" s="34" t="s">
        <v>20</v>
      </c>
      <c r="H6" s="34" t="s">
        <v>21</v>
      </c>
      <c r="I6" s="34" t="s">
        <v>22</v>
      </c>
      <c r="J6" s="66" t="s">
        <v>27</v>
      </c>
      <c r="K6" s="66" t="s">
        <v>28</v>
      </c>
      <c r="L6" s="66" t="s">
        <v>29</v>
      </c>
      <c r="M6" s="66" t="s">
        <v>30</v>
      </c>
      <c r="N6" s="34" t="s">
        <v>4</v>
      </c>
      <c r="O6" s="34" t="s">
        <v>5</v>
      </c>
      <c r="P6" s="34" t="s">
        <v>6</v>
      </c>
      <c r="Q6" s="34" t="s">
        <v>7</v>
      </c>
      <c r="R6" s="34" t="s">
        <v>8</v>
      </c>
      <c r="S6" s="34" t="s">
        <v>9</v>
      </c>
      <c r="T6" s="34" t="s">
        <v>10</v>
      </c>
      <c r="U6" s="34" t="s">
        <v>11</v>
      </c>
      <c r="V6" s="34" t="s">
        <v>23</v>
      </c>
      <c r="W6" s="34" t="s">
        <v>12</v>
      </c>
      <c r="X6" s="34" t="s">
        <v>13</v>
      </c>
      <c r="Y6" s="34" t="s">
        <v>14</v>
      </c>
      <c r="Z6" s="34" t="s">
        <v>15</v>
      </c>
      <c r="AA6" s="34" t="s">
        <v>16</v>
      </c>
      <c r="AB6" s="41" t="s">
        <v>24</v>
      </c>
      <c r="AC6" s="34" t="s">
        <v>25</v>
      </c>
      <c r="AD6" s="33"/>
      <c r="AE6" s="33" t="s">
        <v>59</v>
      </c>
      <c r="AH6" s="35"/>
      <c r="AI6" s="35"/>
      <c r="AJ6" s="35"/>
      <c r="AK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x14ac:dyDescent="0.25">
      <c r="A7" s="33">
        <v>2020</v>
      </c>
      <c r="B7" s="36">
        <v>978.44832799999995</v>
      </c>
      <c r="C7" s="36">
        <v>1065.530229192</v>
      </c>
      <c r="D7" s="36">
        <v>1302</v>
      </c>
      <c r="E7" s="36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8">
        <v>0</v>
      </c>
      <c r="Q7" s="38">
        <v>0</v>
      </c>
      <c r="R7" s="39">
        <v>0</v>
      </c>
      <c r="S7" s="36">
        <v>0</v>
      </c>
      <c r="T7" s="36">
        <v>0</v>
      </c>
      <c r="U7" s="36">
        <v>0</v>
      </c>
      <c r="V7" s="36">
        <v>0</v>
      </c>
      <c r="W7" s="36">
        <v>1302</v>
      </c>
      <c r="X7" s="36">
        <v>236.46977080800002</v>
      </c>
      <c r="Y7" s="39">
        <v>33.067834318993292</v>
      </c>
      <c r="Z7" s="40">
        <v>236.46977080800002</v>
      </c>
      <c r="AA7" s="41">
        <v>33.067834318993292</v>
      </c>
      <c r="AB7" s="53">
        <v>0</v>
      </c>
      <c r="AC7" s="52">
        <v>0</v>
      </c>
      <c r="AD7" s="43">
        <v>2020</v>
      </c>
      <c r="AE7" s="137">
        <f>SUM(E7:M7)</f>
        <v>0</v>
      </c>
      <c r="AF7" s="40"/>
      <c r="AH7" s="35"/>
      <c r="AI7" s="35"/>
      <c r="AJ7" s="35"/>
      <c r="AK7" s="44"/>
      <c r="AT7" s="44"/>
      <c r="AU7" s="44"/>
      <c r="AV7" s="44"/>
      <c r="AW7" s="44"/>
      <c r="AX7" s="44"/>
      <c r="AY7" s="44"/>
      <c r="AZ7" s="44"/>
      <c r="BA7" s="44"/>
      <c r="BB7" s="44"/>
    </row>
    <row r="8" spans="1:54" x14ac:dyDescent="0.25">
      <c r="A8" s="33">
        <v>2021</v>
      </c>
      <c r="B8" s="36">
        <v>982.75606000000005</v>
      </c>
      <c r="C8" s="36">
        <v>1069.6316957040001</v>
      </c>
      <c r="D8" s="36">
        <v>1302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8">
        <v>0</v>
      </c>
      <c r="Q8" s="38">
        <v>0</v>
      </c>
      <c r="R8" s="39">
        <v>0</v>
      </c>
      <c r="S8" s="36">
        <v>0</v>
      </c>
      <c r="T8" s="36">
        <v>0</v>
      </c>
      <c r="U8" s="36">
        <v>0</v>
      </c>
      <c r="V8" s="36">
        <v>0</v>
      </c>
      <c r="W8" s="36">
        <v>1302</v>
      </c>
      <c r="X8" s="36">
        <v>232.36830429599991</v>
      </c>
      <c r="Y8" s="39">
        <v>32.484555729933625</v>
      </c>
      <c r="Z8" s="40">
        <v>232.36830429599991</v>
      </c>
      <c r="AA8" s="41">
        <v>32.484555729933625</v>
      </c>
      <c r="AB8" s="53">
        <v>0</v>
      </c>
      <c r="AC8" s="53">
        <v>0</v>
      </c>
      <c r="AD8" s="43">
        <v>2021</v>
      </c>
      <c r="AE8" s="137">
        <f t="shared" ref="AE8:AE36" si="0">SUM(E8:M8)</f>
        <v>0</v>
      </c>
      <c r="AF8" s="40"/>
      <c r="AH8" s="35"/>
      <c r="AI8" s="35"/>
      <c r="AJ8" s="35"/>
      <c r="AK8" s="44"/>
      <c r="AT8" s="44"/>
      <c r="AU8" s="44"/>
      <c r="AV8" s="44"/>
      <c r="AW8" s="44"/>
      <c r="AX8" s="44"/>
      <c r="AY8" s="44"/>
      <c r="AZ8" s="44"/>
      <c r="BA8" s="44"/>
      <c r="BB8" s="44"/>
    </row>
    <row r="9" spans="1:54" x14ac:dyDescent="0.25">
      <c r="A9" s="33">
        <v>2022</v>
      </c>
      <c r="B9" s="36">
        <v>988.71687199999997</v>
      </c>
      <c r="C9" s="36">
        <v>1076.4160585463999</v>
      </c>
      <c r="D9" s="36">
        <v>935.22</v>
      </c>
      <c r="E9" s="36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8">
        <v>0</v>
      </c>
      <c r="Q9" s="38">
        <v>0</v>
      </c>
      <c r="R9" s="39">
        <v>0</v>
      </c>
      <c r="S9" s="36">
        <v>0</v>
      </c>
      <c r="T9" s="36">
        <v>0</v>
      </c>
      <c r="U9" s="36">
        <v>0</v>
      </c>
      <c r="V9" s="36">
        <v>150</v>
      </c>
      <c r="W9" s="36">
        <v>1085.22</v>
      </c>
      <c r="X9" s="36">
        <v>-141.19605854639985</v>
      </c>
      <c r="Y9" s="39">
        <v>-5.4107372408630185</v>
      </c>
      <c r="Z9" s="40">
        <v>8.8039414536001459</v>
      </c>
      <c r="AA9" s="41">
        <v>9.7604411063392948</v>
      </c>
      <c r="AB9" s="53">
        <v>0</v>
      </c>
      <c r="AC9" s="33">
        <v>0</v>
      </c>
      <c r="AD9" s="43">
        <v>2022</v>
      </c>
      <c r="AE9" s="137">
        <f t="shared" si="0"/>
        <v>0</v>
      </c>
      <c r="AF9" s="40"/>
      <c r="AH9" s="35"/>
      <c r="AI9" s="35"/>
      <c r="AJ9" s="35"/>
      <c r="AK9" s="44"/>
      <c r="AT9" s="44"/>
      <c r="AU9" s="44"/>
      <c r="AV9" s="44"/>
      <c r="AW9" s="44"/>
      <c r="AX9" s="44"/>
      <c r="AY9" s="44"/>
      <c r="AZ9" s="44"/>
      <c r="BA9" s="44"/>
      <c r="BB9" s="44"/>
    </row>
    <row r="10" spans="1:54" x14ac:dyDescent="0.25">
      <c r="A10" s="33">
        <v>2023</v>
      </c>
      <c r="B10" s="36">
        <v>988.93489999999997</v>
      </c>
      <c r="C10" s="36">
        <v>1076.6534256299999</v>
      </c>
      <c r="D10" s="36">
        <v>935.22</v>
      </c>
      <c r="E10" s="36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8">
        <v>0</v>
      </c>
      <c r="Q10" s="38">
        <v>0</v>
      </c>
      <c r="R10" s="39">
        <v>1.022</v>
      </c>
      <c r="S10" s="36">
        <v>0</v>
      </c>
      <c r="T10" s="36">
        <v>0</v>
      </c>
      <c r="U10" s="36">
        <v>0</v>
      </c>
      <c r="V10" s="36">
        <v>150</v>
      </c>
      <c r="W10" s="36">
        <v>1086.242</v>
      </c>
      <c r="X10" s="36">
        <v>-141.43342562999987</v>
      </c>
      <c r="Y10" s="39">
        <v>-5.4315910986658418</v>
      </c>
      <c r="Z10" s="40">
        <v>9.5885743700000603</v>
      </c>
      <c r="AA10" s="41">
        <v>9.8395860030827098</v>
      </c>
      <c r="AB10" s="53">
        <v>0</v>
      </c>
      <c r="AC10" s="33">
        <v>0</v>
      </c>
      <c r="AD10" s="43">
        <v>2023</v>
      </c>
      <c r="AE10" s="137">
        <f t="shared" si="0"/>
        <v>0</v>
      </c>
      <c r="AF10" s="40"/>
      <c r="AH10" s="35"/>
      <c r="AI10" s="35"/>
      <c r="AJ10" s="35"/>
      <c r="AK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5">
      <c r="A11" s="33">
        <v>2024</v>
      </c>
      <c r="B11" s="36">
        <v>986.23383969999998</v>
      </c>
      <c r="C11" s="36">
        <v>1073.7127812813899</v>
      </c>
      <c r="D11" s="36">
        <v>935.22</v>
      </c>
      <c r="E11" s="36">
        <v>0</v>
      </c>
      <c r="F11" s="37">
        <v>0</v>
      </c>
      <c r="G11" s="37">
        <v>0</v>
      </c>
      <c r="H11" s="37">
        <v>401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8">
        <v>0</v>
      </c>
      <c r="Q11" s="38">
        <v>0</v>
      </c>
      <c r="R11" s="39">
        <v>1.5329999999999999</v>
      </c>
      <c r="S11" s="36">
        <v>0</v>
      </c>
      <c r="T11" s="36">
        <v>0</v>
      </c>
      <c r="U11" s="36">
        <v>0</v>
      </c>
      <c r="V11" s="36">
        <v>0</v>
      </c>
      <c r="W11" s="36">
        <v>1337.7530000000002</v>
      </c>
      <c r="X11" s="36">
        <v>-138.49278128138985</v>
      </c>
      <c r="Y11" s="39">
        <v>-5.1725906825015979</v>
      </c>
      <c r="Z11" s="40">
        <v>264.04021871861028</v>
      </c>
      <c r="AA11" s="41">
        <v>35.64257746488682</v>
      </c>
      <c r="AB11" s="53">
        <v>0</v>
      </c>
      <c r="AC11" s="33">
        <v>0</v>
      </c>
      <c r="AD11" s="43">
        <v>2024</v>
      </c>
      <c r="AE11" s="137">
        <f t="shared" si="0"/>
        <v>401</v>
      </c>
      <c r="AF11" s="40"/>
      <c r="AH11" s="35"/>
      <c r="AI11" s="35"/>
      <c r="AJ11" s="35"/>
      <c r="AK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25">
      <c r="A12" s="33">
        <v>2025</v>
      </c>
      <c r="B12" s="36">
        <v>983.64800720000005</v>
      </c>
      <c r="C12" s="36">
        <v>1070.8975854386401</v>
      </c>
      <c r="D12" s="36">
        <v>935.22</v>
      </c>
      <c r="E12" s="36">
        <v>0</v>
      </c>
      <c r="F12" s="37">
        <v>0</v>
      </c>
      <c r="G12" s="37">
        <v>0</v>
      </c>
      <c r="H12" s="37">
        <v>401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0</v>
      </c>
      <c r="Q12" s="38">
        <v>0</v>
      </c>
      <c r="R12" s="39">
        <v>1.5329999999999999</v>
      </c>
      <c r="S12" s="36">
        <v>0</v>
      </c>
      <c r="T12" s="36">
        <v>0</v>
      </c>
      <c r="U12" s="36">
        <v>0</v>
      </c>
      <c r="V12" s="36">
        <v>0</v>
      </c>
      <c r="W12" s="36">
        <v>1337.7530000000002</v>
      </c>
      <c r="X12" s="36">
        <v>-135.67758543864011</v>
      </c>
      <c r="Y12" s="39">
        <v>-4.9233065939769052</v>
      </c>
      <c r="Z12" s="40">
        <v>266.85541456136002</v>
      </c>
      <c r="AA12" s="41">
        <v>35.999157239994467</v>
      </c>
      <c r="AB12" s="53">
        <v>0</v>
      </c>
      <c r="AC12" s="33">
        <v>0</v>
      </c>
      <c r="AD12" s="43">
        <v>2025</v>
      </c>
      <c r="AE12" s="137">
        <f t="shared" si="0"/>
        <v>401</v>
      </c>
      <c r="AF12" s="40"/>
      <c r="AH12" s="35"/>
      <c r="AI12" s="35"/>
      <c r="AJ12" s="35"/>
      <c r="AK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25">
      <c r="A13" s="33">
        <v>2026</v>
      </c>
      <c r="B13" s="36">
        <v>981.35104530000001</v>
      </c>
      <c r="C13" s="36">
        <v>1068.39688301811</v>
      </c>
      <c r="D13" s="36">
        <v>935.22</v>
      </c>
      <c r="E13" s="36">
        <v>0</v>
      </c>
      <c r="F13" s="37">
        <v>0</v>
      </c>
      <c r="G13" s="37">
        <v>0</v>
      </c>
      <c r="H13" s="37">
        <v>401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8">
        <v>0</v>
      </c>
      <c r="Q13" s="38">
        <v>0</v>
      </c>
      <c r="R13" s="39">
        <v>1.5329999999999999</v>
      </c>
      <c r="S13" s="36">
        <v>0</v>
      </c>
      <c r="T13" s="36">
        <v>0</v>
      </c>
      <c r="U13" s="36">
        <v>0</v>
      </c>
      <c r="V13" s="36">
        <v>0</v>
      </c>
      <c r="W13" s="36">
        <v>1337.7530000000002</v>
      </c>
      <c r="X13" s="36">
        <v>-133.17688301810995</v>
      </c>
      <c r="Y13" s="39">
        <v>-4.7007689573406095</v>
      </c>
      <c r="Z13" s="40">
        <v>269.35611698189018</v>
      </c>
      <c r="AA13" s="41">
        <v>36.317478481010603</v>
      </c>
      <c r="AB13" s="53">
        <v>0</v>
      </c>
      <c r="AC13" s="33">
        <v>0</v>
      </c>
      <c r="AD13" s="43">
        <v>2026</v>
      </c>
      <c r="AE13" s="137">
        <f t="shared" si="0"/>
        <v>401</v>
      </c>
      <c r="AF13" s="40"/>
      <c r="AH13" s="35"/>
      <c r="AI13" s="35"/>
      <c r="AJ13" s="35"/>
      <c r="AK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25">
      <c r="A14" s="33">
        <v>2027</v>
      </c>
      <c r="B14" s="36">
        <v>980.03577410000003</v>
      </c>
      <c r="C14" s="36">
        <v>1066.96494726267</v>
      </c>
      <c r="D14" s="36">
        <v>935.22</v>
      </c>
      <c r="E14" s="36">
        <v>0</v>
      </c>
      <c r="F14" s="37">
        <v>0</v>
      </c>
      <c r="G14" s="37">
        <v>0</v>
      </c>
      <c r="H14" s="37">
        <v>401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0</v>
      </c>
      <c r="Q14" s="38">
        <v>0</v>
      </c>
      <c r="R14" s="39">
        <v>2.044</v>
      </c>
      <c r="S14" s="36">
        <v>0</v>
      </c>
      <c r="T14" s="36">
        <v>0</v>
      </c>
      <c r="U14" s="36">
        <v>0</v>
      </c>
      <c r="V14" s="36">
        <v>0</v>
      </c>
      <c r="W14" s="36">
        <v>1338.2640000000001</v>
      </c>
      <c r="X14" s="36">
        <v>-131.74494726266994</v>
      </c>
      <c r="Y14" s="39">
        <v>-4.5728712445375619</v>
      </c>
      <c r="Z14" s="40">
        <v>271.29905273733016</v>
      </c>
      <c r="AA14" s="41">
        <v>36.552566280447586</v>
      </c>
      <c r="AB14" s="53">
        <v>0</v>
      </c>
      <c r="AC14" s="33">
        <v>0</v>
      </c>
      <c r="AD14" s="43">
        <v>2027</v>
      </c>
      <c r="AE14" s="137">
        <f t="shared" si="0"/>
        <v>401</v>
      </c>
      <c r="AF14" s="40"/>
      <c r="AH14" s="35"/>
      <c r="AI14" s="35"/>
      <c r="AJ14" s="35"/>
      <c r="AK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25">
      <c r="A15" s="33">
        <v>2028</v>
      </c>
      <c r="B15" s="36">
        <v>979.17846269999995</v>
      </c>
      <c r="C15" s="36">
        <v>1066.0315923414898</v>
      </c>
      <c r="D15" s="36">
        <v>935.22</v>
      </c>
      <c r="E15" s="36">
        <v>0</v>
      </c>
      <c r="F15" s="37">
        <v>0</v>
      </c>
      <c r="G15" s="37">
        <v>0</v>
      </c>
      <c r="H15" s="37">
        <v>401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0</v>
      </c>
      <c r="Q15" s="38">
        <v>0</v>
      </c>
      <c r="R15" s="39">
        <v>2.044</v>
      </c>
      <c r="S15" s="36">
        <v>0</v>
      </c>
      <c r="T15" s="36">
        <v>0</v>
      </c>
      <c r="U15" s="36">
        <v>0</v>
      </c>
      <c r="V15" s="36">
        <v>0</v>
      </c>
      <c r="W15" s="36">
        <v>1338.2640000000001</v>
      </c>
      <c r="X15" s="36">
        <v>-130.81159234148981</v>
      </c>
      <c r="Y15" s="39">
        <v>-4.4893208311371824</v>
      </c>
      <c r="Z15" s="40">
        <v>272.23240765851028</v>
      </c>
      <c r="AA15" s="41">
        <v>36.672123721946747</v>
      </c>
      <c r="AB15" s="53">
        <v>0</v>
      </c>
      <c r="AC15" s="33">
        <v>0</v>
      </c>
      <c r="AD15" s="43">
        <v>2028</v>
      </c>
      <c r="AE15" s="137">
        <f t="shared" si="0"/>
        <v>401</v>
      </c>
      <c r="AF15" s="40"/>
      <c r="AH15" s="35"/>
      <c r="AI15" s="35"/>
      <c r="AJ15" s="35"/>
      <c r="AK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33">
        <v>2029</v>
      </c>
      <c r="B16" s="36">
        <v>979.29262740000001</v>
      </c>
      <c r="C16" s="36">
        <v>1066.1558834503801</v>
      </c>
      <c r="D16" s="36">
        <v>935.22</v>
      </c>
      <c r="E16" s="36">
        <v>0</v>
      </c>
      <c r="F16" s="37">
        <v>0</v>
      </c>
      <c r="G16" s="37">
        <v>0</v>
      </c>
      <c r="H16" s="37">
        <v>401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>
        <v>0</v>
      </c>
      <c r="Q16" s="38">
        <v>0</v>
      </c>
      <c r="R16" s="39">
        <v>2.5550000000000002</v>
      </c>
      <c r="S16" s="36">
        <v>0</v>
      </c>
      <c r="T16" s="36">
        <v>0</v>
      </c>
      <c r="U16" s="36">
        <v>0</v>
      </c>
      <c r="V16" s="36">
        <v>0</v>
      </c>
      <c r="W16" s="36">
        <v>1338.7750000000001</v>
      </c>
      <c r="X16" s="36">
        <v>-130.93588345038006</v>
      </c>
      <c r="Y16" s="39">
        <v>-4.5004553457133465</v>
      </c>
      <c r="Z16" s="40">
        <v>272.61911654962</v>
      </c>
      <c r="AA16" s="41">
        <v>36.708371179554135</v>
      </c>
      <c r="AB16" s="53">
        <v>0</v>
      </c>
      <c r="AC16" s="33">
        <v>0</v>
      </c>
      <c r="AD16" s="43">
        <v>2029</v>
      </c>
      <c r="AE16" s="137">
        <f t="shared" si="0"/>
        <v>401</v>
      </c>
      <c r="AF16" s="40"/>
      <c r="AH16" s="35"/>
      <c r="AI16" s="35"/>
      <c r="AJ16" s="35"/>
      <c r="AK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x14ac:dyDescent="0.25">
      <c r="A17" s="33">
        <v>2030</v>
      </c>
      <c r="B17" s="36">
        <v>978.39803830000005</v>
      </c>
      <c r="C17" s="36">
        <v>1065.1819442972101</v>
      </c>
      <c r="D17" s="36">
        <v>935.22</v>
      </c>
      <c r="E17" s="36">
        <v>0</v>
      </c>
      <c r="F17" s="37">
        <v>0</v>
      </c>
      <c r="G17" s="37">
        <v>0</v>
      </c>
      <c r="H17" s="37">
        <v>401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>
        <v>0</v>
      </c>
      <c r="Q17" s="38">
        <v>0</v>
      </c>
      <c r="R17" s="39">
        <v>3.0659999999999998</v>
      </c>
      <c r="S17" s="36">
        <v>0</v>
      </c>
      <c r="T17" s="36">
        <v>0</v>
      </c>
      <c r="U17" s="36">
        <v>0</v>
      </c>
      <c r="V17" s="36">
        <v>0</v>
      </c>
      <c r="W17" s="36">
        <v>1339.2860000000001</v>
      </c>
      <c r="X17" s="36">
        <v>-129.96194429721004</v>
      </c>
      <c r="Y17" s="39">
        <v>-4.4131362298133112</v>
      </c>
      <c r="Z17" s="40">
        <v>274.10405570278999</v>
      </c>
      <c r="AA17" s="41">
        <v>36.885597433029929</v>
      </c>
      <c r="AB17" s="53">
        <v>0</v>
      </c>
      <c r="AC17" s="33">
        <v>0</v>
      </c>
      <c r="AD17" s="43">
        <v>2030</v>
      </c>
      <c r="AE17" s="137">
        <f t="shared" si="0"/>
        <v>401</v>
      </c>
      <c r="AF17" s="40"/>
      <c r="AH17" s="35"/>
      <c r="AI17" s="35"/>
      <c r="AJ17" s="35"/>
      <c r="AK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x14ac:dyDescent="0.25">
      <c r="A18" s="33">
        <v>2031</v>
      </c>
      <c r="B18" s="36">
        <v>978.36417019999999</v>
      </c>
      <c r="C18" s="36">
        <v>1065.14507209674</v>
      </c>
      <c r="D18" s="36">
        <v>673.32</v>
      </c>
      <c r="E18" s="36">
        <v>0</v>
      </c>
      <c r="F18" s="37">
        <v>0</v>
      </c>
      <c r="G18" s="37">
        <v>0</v>
      </c>
      <c r="H18" s="37">
        <v>401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8">
        <v>0</v>
      </c>
      <c r="Q18" s="38">
        <v>0</v>
      </c>
      <c r="R18" s="39">
        <v>3.577</v>
      </c>
      <c r="S18" s="36">
        <v>155.136</v>
      </c>
      <c r="T18" s="36">
        <v>0</v>
      </c>
      <c r="U18" s="36">
        <v>0</v>
      </c>
      <c r="V18" s="36">
        <v>0</v>
      </c>
      <c r="W18" s="36">
        <v>1233.0329999999999</v>
      </c>
      <c r="X18" s="36">
        <v>-391.82507209673997</v>
      </c>
      <c r="Y18" s="39">
        <v>-31.179000569659244</v>
      </c>
      <c r="Z18" s="40">
        <v>167.88792790325988</v>
      </c>
      <c r="AA18" s="41">
        <v>26.030065036819551</v>
      </c>
      <c r="AB18" s="53">
        <v>303.59295499021528</v>
      </c>
      <c r="AC18" s="33">
        <v>0</v>
      </c>
      <c r="AD18" s="43">
        <v>2031</v>
      </c>
      <c r="AE18" s="137">
        <f t="shared" si="0"/>
        <v>401</v>
      </c>
      <c r="AF18" s="40"/>
      <c r="AH18" s="35"/>
      <c r="AI18" s="35"/>
      <c r="AJ18" s="35"/>
      <c r="AK18" s="44"/>
      <c r="AT18" s="44"/>
      <c r="AU18" s="44"/>
      <c r="AV18" s="44"/>
      <c r="AW18" s="44"/>
      <c r="AX18" s="44"/>
      <c r="AY18" s="44"/>
      <c r="AZ18" s="44"/>
      <c r="BA18" s="44"/>
      <c r="BB18" s="44"/>
    </row>
    <row r="19" spans="1:54" x14ac:dyDescent="0.25">
      <c r="A19" s="33">
        <v>2032</v>
      </c>
      <c r="B19" s="36">
        <v>978.39624730000003</v>
      </c>
      <c r="C19" s="36">
        <v>1065.17999443551</v>
      </c>
      <c r="D19" s="36">
        <v>673.32</v>
      </c>
      <c r="E19" s="36">
        <v>0</v>
      </c>
      <c r="F19" s="37">
        <v>0</v>
      </c>
      <c r="G19" s="37">
        <v>0</v>
      </c>
      <c r="H19" s="37">
        <v>401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0</v>
      </c>
      <c r="Q19" s="38">
        <v>0</v>
      </c>
      <c r="R19" s="39">
        <v>3.577</v>
      </c>
      <c r="S19" s="36">
        <v>232.70400000000001</v>
      </c>
      <c r="T19" s="36">
        <v>0</v>
      </c>
      <c r="U19" s="36">
        <v>0</v>
      </c>
      <c r="V19" s="36">
        <v>0</v>
      </c>
      <c r="W19" s="36">
        <v>1310.6010000000001</v>
      </c>
      <c r="X19" s="36">
        <v>-391.85999443550998</v>
      </c>
      <c r="Y19" s="39">
        <v>-31.181256892786934</v>
      </c>
      <c r="Z19" s="40">
        <v>245.42100556449009</v>
      </c>
      <c r="AA19" s="41">
        <v>33.954009289871898</v>
      </c>
      <c r="AB19" s="53">
        <v>455.38943248532291</v>
      </c>
      <c r="AC19" s="33">
        <v>0</v>
      </c>
      <c r="AD19" s="43">
        <v>2032</v>
      </c>
      <c r="AE19" s="137">
        <f t="shared" si="0"/>
        <v>401</v>
      </c>
      <c r="AF19" s="40"/>
      <c r="AH19" s="35"/>
      <c r="AI19" s="35"/>
      <c r="AJ19" s="35"/>
      <c r="AK19" s="44"/>
      <c r="AT19" s="44"/>
      <c r="AU19" s="44"/>
      <c r="AV19" s="44"/>
      <c r="AW19" s="44"/>
      <c r="AX19" s="44"/>
      <c r="AY19" s="44"/>
      <c r="AZ19" s="44"/>
      <c r="BA19" s="44"/>
      <c r="BB19" s="44"/>
    </row>
    <row r="20" spans="1:54" x14ac:dyDescent="0.25">
      <c r="A20" s="33">
        <v>2033</v>
      </c>
      <c r="B20" s="36">
        <v>978.26869109999996</v>
      </c>
      <c r="C20" s="36">
        <v>1065.0411240005699</v>
      </c>
      <c r="D20" s="36">
        <v>673.32</v>
      </c>
      <c r="E20" s="36">
        <v>0</v>
      </c>
      <c r="F20" s="37">
        <v>0</v>
      </c>
      <c r="G20" s="37">
        <v>0</v>
      </c>
      <c r="H20" s="37">
        <v>401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v>0</v>
      </c>
      <c r="Q20" s="38">
        <v>0</v>
      </c>
      <c r="R20" s="39">
        <v>4.0880000000000001</v>
      </c>
      <c r="S20" s="36">
        <v>232.70400000000001</v>
      </c>
      <c r="T20" s="36">
        <v>0</v>
      </c>
      <c r="U20" s="36">
        <v>0</v>
      </c>
      <c r="V20" s="36">
        <v>0</v>
      </c>
      <c r="W20" s="36">
        <v>1311.1120000000001</v>
      </c>
      <c r="X20" s="36">
        <v>-391.72112400056983</v>
      </c>
      <c r="Y20" s="39">
        <v>-31.172283634785941</v>
      </c>
      <c r="Z20" s="40">
        <v>246.0708759994302</v>
      </c>
      <c r="AA20" s="41">
        <v>34.023710656193991</v>
      </c>
      <c r="AB20" s="53">
        <v>455.38943248532291</v>
      </c>
      <c r="AC20" s="33">
        <v>0</v>
      </c>
      <c r="AD20" s="43">
        <v>2033</v>
      </c>
      <c r="AE20" s="137">
        <f t="shared" si="0"/>
        <v>401</v>
      </c>
      <c r="AF20" s="40"/>
      <c r="AH20" s="35"/>
      <c r="AI20" s="35"/>
      <c r="AJ20" s="35"/>
      <c r="AK20" s="44"/>
      <c r="AT20" s="44"/>
      <c r="AU20" s="44"/>
      <c r="AV20" s="44"/>
      <c r="AW20" s="44"/>
      <c r="AX20" s="44"/>
      <c r="AY20" s="44"/>
      <c r="AZ20" s="44"/>
      <c r="BA20" s="44"/>
      <c r="BB20" s="44"/>
    </row>
    <row r="21" spans="1:54" x14ac:dyDescent="0.25">
      <c r="A21" s="33">
        <v>2034</v>
      </c>
      <c r="B21" s="36">
        <v>978.94262839999999</v>
      </c>
      <c r="C21" s="36">
        <v>1065.7748395390799</v>
      </c>
      <c r="D21" s="36">
        <v>673.32</v>
      </c>
      <c r="E21" s="36">
        <v>0</v>
      </c>
      <c r="F21" s="37">
        <v>0</v>
      </c>
      <c r="G21" s="37">
        <v>0</v>
      </c>
      <c r="H21" s="37">
        <v>401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v>0</v>
      </c>
      <c r="Q21" s="38">
        <v>0</v>
      </c>
      <c r="R21" s="39">
        <v>4.5990000000000002</v>
      </c>
      <c r="S21" s="36">
        <v>232.70400000000001</v>
      </c>
      <c r="T21" s="36">
        <v>0</v>
      </c>
      <c r="U21" s="36">
        <v>0</v>
      </c>
      <c r="V21" s="36">
        <v>0</v>
      </c>
      <c r="W21" s="36">
        <v>1311.623</v>
      </c>
      <c r="X21" s="36">
        <v>-392.4548395390799</v>
      </c>
      <c r="Y21" s="39">
        <v>-31.219666968585752</v>
      </c>
      <c r="Z21" s="40">
        <v>245.8481604609201</v>
      </c>
      <c r="AA21" s="41">
        <v>33.983643366694366</v>
      </c>
      <c r="AB21" s="53">
        <v>455.38943248532291</v>
      </c>
      <c r="AC21" s="33">
        <v>0</v>
      </c>
      <c r="AD21" s="43">
        <v>2034</v>
      </c>
      <c r="AE21" s="137">
        <f t="shared" si="0"/>
        <v>401</v>
      </c>
      <c r="AF21" s="40"/>
      <c r="AH21" s="35"/>
      <c r="AI21" s="35"/>
      <c r="AJ21" s="35"/>
      <c r="AK21" s="44"/>
      <c r="AT21" s="44"/>
      <c r="AU21" s="44"/>
      <c r="AV21" s="44"/>
      <c r="AW21" s="44"/>
      <c r="AX21" s="44"/>
      <c r="AY21" s="44"/>
      <c r="AZ21" s="44"/>
      <c r="BA21" s="44"/>
      <c r="BB21" s="44"/>
    </row>
    <row r="22" spans="1:54" x14ac:dyDescent="0.25">
      <c r="A22" s="33">
        <v>2035</v>
      </c>
      <c r="B22" s="36">
        <v>979.31914659999995</v>
      </c>
      <c r="C22" s="36">
        <v>1066.1847549034198</v>
      </c>
      <c r="D22" s="36">
        <v>673.32</v>
      </c>
      <c r="E22" s="36">
        <v>0</v>
      </c>
      <c r="F22" s="37">
        <v>0</v>
      </c>
      <c r="G22" s="37">
        <v>0</v>
      </c>
      <c r="H22" s="37">
        <v>401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8">
        <v>0</v>
      </c>
      <c r="Q22" s="38">
        <v>0</v>
      </c>
      <c r="R22" s="39">
        <v>4.5990000000000002</v>
      </c>
      <c r="S22" s="36">
        <v>232.70400000000001</v>
      </c>
      <c r="T22" s="36">
        <v>0</v>
      </c>
      <c r="U22" s="36">
        <v>0</v>
      </c>
      <c r="V22" s="36">
        <v>0</v>
      </c>
      <c r="W22" s="36">
        <v>1311.623</v>
      </c>
      <c r="X22" s="36">
        <v>-392.86475490341979</v>
      </c>
      <c r="Y22" s="39">
        <v>-31.246110898818603</v>
      </c>
      <c r="Z22" s="40">
        <v>245.4382450965802</v>
      </c>
      <c r="AA22" s="41">
        <v>33.932130761835154</v>
      </c>
      <c r="AB22" s="53">
        <v>455.38943248532291</v>
      </c>
      <c r="AC22" s="33">
        <v>0</v>
      </c>
      <c r="AD22" s="43">
        <v>2035</v>
      </c>
      <c r="AE22" s="137">
        <f t="shared" si="0"/>
        <v>401</v>
      </c>
      <c r="AF22" s="40"/>
      <c r="AH22" s="35"/>
      <c r="AI22" s="35"/>
      <c r="AJ22" s="35"/>
      <c r="AK22" s="44"/>
      <c r="AT22" s="44"/>
      <c r="AU22" s="44"/>
      <c r="AV22" s="44"/>
      <c r="AW22" s="44"/>
      <c r="AX22" s="44"/>
      <c r="AY22" s="44"/>
      <c r="AZ22" s="44"/>
      <c r="BA22" s="44"/>
      <c r="BB22" s="44"/>
    </row>
    <row r="23" spans="1:54" x14ac:dyDescent="0.25">
      <c r="A23" s="33">
        <v>2036</v>
      </c>
      <c r="B23" s="36">
        <v>980.35040309999999</v>
      </c>
      <c r="C23" s="36">
        <v>1067.3074838549701</v>
      </c>
      <c r="D23" s="36">
        <v>673.32</v>
      </c>
      <c r="E23" s="36">
        <v>0</v>
      </c>
      <c r="F23" s="37">
        <v>0</v>
      </c>
      <c r="G23" s="37">
        <v>0</v>
      </c>
      <c r="H23" s="37">
        <v>401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8">
        <v>0</v>
      </c>
      <c r="Q23" s="38">
        <v>0</v>
      </c>
      <c r="R23" s="39">
        <v>5.1100000000000003</v>
      </c>
      <c r="S23" s="36">
        <v>232.70400000000001</v>
      </c>
      <c r="T23" s="36">
        <v>0</v>
      </c>
      <c r="U23" s="36">
        <v>0</v>
      </c>
      <c r="V23" s="36">
        <v>0</v>
      </c>
      <c r="W23" s="36">
        <v>1312.134</v>
      </c>
      <c r="X23" s="36">
        <v>-393.98748385497004</v>
      </c>
      <c r="Y23" s="39">
        <v>-31.318434931951728</v>
      </c>
      <c r="Z23" s="40">
        <v>244.82651614502993</v>
      </c>
      <c r="AA23" s="41">
        <v>33.84336823352708</v>
      </c>
      <c r="AB23" s="53">
        <v>455.38943248532291</v>
      </c>
      <c r="AC23" s="33">
        <v>0</v>
      </c>
      <c r="AD23" s="43">
        <v>2036</v>
      </c>
      <c r="AE23" s="137">
        <f t="shared" si="0"/>
        <v>401</v>
      </c>
      <c r="AF23" s="40"/>
      <c r="AH23" s="35"/>
      <c r="AI23" s="35"/>
      <c r="AJ23" s="35"/>
      <c r="AK23" s="44"/>
      <c r="AT23" s="44"/>
      <c r="AU23" s="44"/>
      <c r="AV23" s="44"/>
      <c r="AW23" s="44"/>
      <c r="AX23" s="44"/>
      <c r="AY23" s="44"/>
      <c r="AZ23" s="44"/>
      <c r="BA23" s="44"/>
      <c r="BB23" s="44"/>
    </row>
    <row r="24" spans="1:54" x14ac:dyDescent="0.25">
      <c r="A24" s="33">
        <v>2037</v>
      </c>
      <c r="B24" s="36">
        <v>980.0781882</v>
      </c>
      <c r="C24" s="36">
        <v>1067.0111234933399</v>
      </c>
      <c r="D24" s="36">
        <v>673.32</v>
      </c>
      <c r="E24" s="36">
        <v>0</v>
      </c>
      <c r="F24" s="37">
        <v>0</v>
      </c>
      <c r="G24" s="37">
        <v>0</v>
      </c>
      <c r="H24" s="37">
        <v>401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8">
        <v>0</v>
      </c>
      <c r="Q24" s="38">
        <v>0</v>
      </c>
      <c r="R24" s="39">
        <v>5.1100000000000003</v>
      </c>
      <c r="S24" s="36">
        <v>232.70400000000001</v>
      </c>
      <c r="T24" s="36">
        <v>0</v>
      </c>
      <c r="U24" s="36">
        <v>0</v>
      </c>
      <c r="V24" s="36">
        <v>0</v>
      </c>
      <c r="W24" s="36">
        <v>1312.134</v>
      </c>
      <c r="X24" s="36">
        <v>-393.69112349333989</v>
      </c>
      <c r="Y24" s="39">
        <v>-31.299358754569205</v>
      </c>
      <c r="Z24" s="40">
        <v>245.12287650666008</v>
      </c>
      <c r="AA24" s="41">
        <v>33.880542980948263</v>
      </c>
      <c r="AB24" s="53">
        <v>455.38943248532291</v>
      </c>
      <c r="AC24" s="33">
        <v>0</v>
      </c>
      <c r="AD24" s="32">
        <v>2037</v>
      </c>
      <c r="AE24" s="137">
        <f t="shared" si="0"/>
        <v>401</v>
      </c>
    </row>
    <row r="25" spans="1:54" x14ac:dyDescent="0.25">
      <c r="A25" s="33">
        <v>2038</v>
      </c>
      <c r="B25" s="36">
        <v>980.58980340000005</v>
      </c>
      <c r="C25" s="36">
        <v>1067.56811896158</v>
      </c>
      <c r="D25" s="36">
        <v>673.32</v>
      </c>
      <c r="E25" s="36">
        <v>0</v>
      </c>
      <c r="F25" s="37">
        <v>0</v>
      </c>
      <c r="G25" s="37">
        <v>0</v>
      </c>
      <c r="H25" s="37">
        <v>401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v>0</v>
      </c>
      <c r="Q25" s="38">
        <v>0</v>
      </c>
      <c r="R25" s="39">
        <v>5.6210000000000004</v>
      </c>
      <c r="S25" s="36">
        <v>232.70400000000001</v>
      </c>
      <c r="T25" s="36">
        <v>0</v>
      </c>
      <c r="U25" s="36">
        <v>0</v>
      </c>
      <c r="V25" s="36">
        <v>0</v>
      </c>
      <c r="W25" s="36">
        <v>1312.645</v>
      </c>
      <c r="X25" s="36">
        <v>-394.24811896157996</v>
      </c>
      <c r="Y25" s="39">
        <v>-31.33520278658855</v>
      </c>
      <c r="Z25" s="40">
        <v>245.07688103841997</v>
      </c>
      <c r="AA25" s="41">
        <v>33.862803330063663</v>
      </c>
      <c r="AB25" s="53">
        <v>455.38943248532291</v>
      </c>
      <c r="AC25" s="33">
        <v>0</v>
      </c>
      <c r="AD25" s="32">
        <v>2038</v>
      </c>
      <c r="AE25" s="137">
        <f t="shared" si="0"/>
        <v>401</v>
      </c>
    </row>
    <row r="26" spans="1:54" x14ac:dyDescent="0.25">
      <c r="A26" s="33">
        <v>2039</v>
      </c>
      <c r="B26" s="36">
        <v>981.03517420000003</v>
      </c>
      <c r="C26" s="36">
        <v>1068.0529941515401</v>
      </c>
      <c r="D26" s="36">
        <v>673.32</v>
      </c>
      <c r="E26" s="36">
        <v>0</v>
      </c>
      <c r="F26" s="37">
        <v>0</v>
      </c>
      <c r="G26" s="37">
        <v>0</v>
      </c>
      <c r="H26" s="37">
        <v>401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v>0</v>
      </c>
      <c r="Q26" s="38">
        <v>0</v>
      </c>
      <c r="R26" s="39">
        <v>5.6210000000000004</v>
      </c>
      <c r="S26" s="36">
        <v>232.70400000000001</v>
      </c>
      <c r="T26" s="36">
        <v>0</v>
      </c>
      <c r="U26" s="36">
        <v>0</v>
      </c>
      <c r="V26" s="36">
        <v>0</v>
      </c>
      <c r="W26" s="36">
        <v>1312.645</v>
      </c>
      <c r="X26" s="36">
        <v>-394.73299415154008</v>
      </c>
      <c r="Y26" s="39">
        <v>-31.366375262837131</v>
      </c>
      <c r="Z26" s="40">
        <v>244.59200584845985</v>
      </c>
      <c r="AA26" s="41">
        <v>33.80203223298453</v>
      </c>
      <c r="AB26" s="53">
        <v>455.38943248532291</v>
      </c>
      <c r="AC26" s="33">
        <v>0</v>
      </c>
      <c r="AD26" s="32">
        <v>2039</v>
      </c>
      <c r="AE26" s="137">
        <f t="shared" si="0"/>
        <v>401</v>
      </c>
    </row>
    <row r="27" spans="1:54" x14ac:dyDescent="0.25">
      <c r="A27" s="33">
        <v>2040</v>
      </c>
      <c r="B27" s="36">
        <v>982.70653419999996</v>
      </c>
      <c r="C27" s="36">
        <v>1069.8726037835399</v>
      </c>
      <c r="D27" s="36">
        <v>673.32</v>
      </c>
      <c r="E27" s="36">
        <v>0</v>
      </c>
      <c r="F27" s="37">
        <v>0</v>
      </c>
      <c r="G27" s="37">
        <v>0</v>
      </c>
      <c r="H27" s="37">
        <v>401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8">
        <v>0</v>
      </c>
      <c r="Q27" s="38">
        <v>0</v>
      </c>
      <c r="R27" s="39">
        <v>6.1319999999999997</v>
      </c>
      <c r="S27" s="36">
        <v>232.70400000000001</v>
      </c>
      <c r="T27" s="36">
        <v>0</v>
      </c>
      <c r="U27" s="36">
        <v>0</v>
      </c>
      <c r="V27" s="36">
        <v>0</v>
      </c>
      <c r="W27" s="36">
        <v>1313.1559999999999</v>
      </c>
      <c r="X27" s="36">
        <v>-396.55260378353989</v>
      </c>
      <c r="Y27" s="39">
        <v>-31.48310542697925</v>
      </c>
      <c r="Z27" s="40">
        <v>243.28339621646001</v>
      </c>
      <c r="AA27" s="41">
        <v>33.626464697216214</v>
      </c>
      <c r="AB27" s="53">
        <v>455.38943248532291</v>
      </c>
      <c r="AC27" s="33">
        <v>0</v>
      </c>
      <c r="AD27" s="32">
        <v>2040</v>
      </c>
      <c r="AE27" s="137">
        <f t="shared" si="0"/>
        <v>401</v>
      </c>
    </row>
    <row r="28" spans="1:54" x14ac:dyDescent="0.25">
      <c r="A28" s="33">
        <v>2041</v>
      </c>
      <c r="B28" s="36">
        <v>982.87818389999995</v>
      </c>
      <c r="C28" s="36">
        <v>1070.0594788119299</v>
      </c>
      <c r="D28" s="36">
        <v>673.32</v>
      </c>
      <c r="E28" s="36">
        <v>0</v>
      </c>
      <c r="F28" s="37">
        <v>0</v>
      </c>
      <c r="G28" s="37">
        <v>0</v>
      </c>
      <c r="H28" s="37">
        <v>401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8">
        <v>0</v>
      </c>
      <c r="Q28" s="38">
        <v>0</v>
      </c>
      <c r="R28" s="39">
        <v>6.1319999999999997</v>
      </c>
      <c r="S28" s="36">
        <v>232.70400000000001</v>
      </c>
      <c r="T28" s="36">
        <v>0</v>
      </c>
      <c r="U28" s="36">
        <v>0</v>
      </c>
      <c r="V28" s="36">
        <v>0</v>
      </c>
      <c r="W28" s="36">
        <v>1313.1559999999999</v>
      </c>
      <c r="X28" s="36">
        <v>-396.73947881192987</v>
      </c>
      <c r="Y28" s="39">
        <v>-31.495071207267227</v>
      </c>
      <c r="Z28" s="40">
        <v>243.09652118807003</v>
      </c>
      <c r="AA28" s="41">
        <v>33.603128191275751</v>
      </c>
      <c r="AB28" s="53">
        <v>455.38943248532291</v>
      </c>
      <c r="AC28" s="33">
        <v>0</v>
      </c>
      <c r="AD28" s="32">
        <v>2041</v>
      </c>
      <c r="AE28" s="137">
        <f t="shared" si="0"/>
        <v>401</v>
      </c>
    </row>
    <row r="29" spans="1:54" x14ac:dyDescent="0.25">
      <c r="A29" s="33">
        <v>2042</v>
      </c>
      <c r="B29" s="36">
        <v>983.3314388</v>
      </c>
      <c r="C29" s="36">
        <v>1070.55293742156</v>
      </c>
      <c r="D29" s="36">
        <v>673.32</v>
      </c>
      <c r="E29" s="36">
        <v>0</v>
      </c>
      <c r="F29" s="37">
        <v>0</v>
      </c>
      <c r="G29" s="37">
        <v>0</v>
      </c>
      <c r="H29" s="37">
        <v>401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v>0</v>
      </c>
      <c r="Q29" s="38">
        <v>0</v>
      </c>
      <c r="R29" s="39">
        <v>6.6429999999999998</v>
      </c>
      <c r="S29" s="36">
        <v>232.70400000000001</v>
      </c>
      <c r="T29" s="36">
        <v>0</v>
      </c>
      <c r="U29" s="36">
        <v>0</v>
      </c>
      <c r="V29" s="36">
        <v>0</v>
      </c>
      <c r="W29" s="36">
        <v>1313.6669999999999</v>
      </c>
      <c r="X29" s="36">
        <v>-397.23293742156</v>
      </c>
      <c r="Y29" s="39">
        <v>-31.526647737239006</v>
      </c>
      <c r="Z29" s="40">
        <v>243.11406257843987</v>
      </c>
      <c r="AA29" s="41">
        <v>33.593511624434797</v>
      </c>
      <c r="AB29" s="53">
        <v>455.38943248532291</v>
      </c>
      <c r="AC29" s="33">
        <v>0</v>
      </c>
      <c r="AD29" s="32">
        <v>2042</v>
      </c>
      <c r="AE29" s="137">
        <f t="shared" si="0"/>
        <v>401</v>
      </c>
    </row>
    <row r="30" spans="1:54" x14ac:dyDescent="0.25">
      <c r="A30" s="33">
        <v>2043</v>
      </c>
      <c r="B30" s="36">
        <v>983.52926690000004</v>
      </c>
      <c r="C30" s="36">
        <v>1070.76831287403</v>
      </c>
      <c r="D30" s="36">
        <v>673.32</v>
      </c>
      <c r="E30" s="36">
        <v>0</v>
      </c>
      <c r="F30" s="37">
        <v>0</v>
      </c>
      <c r="G30" s="37">
        <v>0</v>
      </c>
      <c r="H30" s="37">
        <v>401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8">
        <v>0</v>
      </c>
      <c r="R30" s="39">
        <v>7.1539999999999999</v>
      </c>
      <c r="S30" s="36">
        <v>232.70400000000001</v>
      </c>
      <c r="T30" s="36">
        <v>0</v>
      </c>
      <c r="U30" s="36">
        <v>0</v>
      </c>
      <c r="V30" s="36">
        <v>0</v>
      </c>
      <c r="W30" s="36">
        <v>1314.1779999999999</v>
      </c>
      <c r="X30" s="36">
        <v>-397.44831287402997</v>
      </c>
      <c r="Y30" s="39">
        <v>-31.540420538552251</v>
      </c>
      <c r="Z30" s="40">
        <v>243.40968712596987</v>
      </c>
      <c r="AA30" s="41">
        <v>33.618596235796453</v>
      </c>
      <c r="AB30" s="53">
        <v>455.38943248532291</v>
      </c>
      <c r="AC30" s="33">
        <v>0</v>
      </c>
      <c r="AD30" s="32">
        <v>2043</v>
      </c>
      <c r="AE30" s="137">
        <f t="shared" si="0"/>
        <v>401</v>
      </c>
    </row>
    <row r="31" spans="1:54" x14ac:dyDescent="0.25">
      <c r="A31" s="33">
        <v>2044</v>
      </c>
      <c r="B31" s="36">
        <v>983.99019680000004</v>
      </c>
      <c r="C31" s="36">
        <v>1071.2701272561601</v>
      </c>
      <c r="D31" s="36">
        <v>673.32</v>
      </c>
      <c r="E31" s="36">
        <v>0</v>
      </c>
      <c r="F31" s="37">
        <v>0</v>
      </c>
      <c r="G31" s="37">
        <v>0</v>
      </c>
      <c r="H31" s="37">
        <v>401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8">
        <v>0</v>
      </c>
      <c r="Q31" s="38">
        <v>0</v>
      </c>
      <c r="R31" s="39">
        <v>7.1539999999999999</v>
      </c>
      <c r="S31" s="36">
        <v>232.70400000000001</v>
      </c>
      <c r="T31" s="36">
        <v>0</v>
      </c>
      <c r="U31" s="36">
        <v>0</v>
      </c>
      <c r="V31" s="36">
        <v>0</v>
      </c>
      <c r="W31" s="36">
        <v>1314.1779999999999</v>
      </c>
      <c r="X31" s="36">
        <v>-397.95012725616004</v>
      </c>
      <c r="Y31" s="39">
        <v>-31.572489015675121</v>
      </c>
      <c r="Z31" s="40">
        <v>242.90787274383979</v>
      </c>
      <c r="AA31" s="41">
        <v>33.556005362024131</v>
      </c>
      <c r="AB31" s="53">
        <v>455.38943248532291</v>
      </c>
      <c r="AC31" s="33">
        <v>0</v>
      </c>
      <c r="AD31" s="32">
        <v>2044</v>
      </c>
      <c r="AE31" s="137">
        <f t="shared" si="0"/>
        <v>401</v>
      </c>
    </row>
    <row r="32" spans="1:54" x14ac:dyDescent="0.25">
      <c r="A32" s="33">
        <v>2045</v>
      </c>
      <c r="B32" s="36">
        <v>984.63794900000005</v>
      </c>
      <c r="C32" s="36">
        <v>1071.9753350763001</v>
      </c>
      <c r="D32" s="36">
        <v>673.32</v>
      </c>
      <c r="E32" s="36">
        <v>0</v>
      </c>
      <c r="F32" s="37">
        <v>0</v>
      </c>
      <c r="G32" s="37">
        <v>0</v>
      </c>
      <c r="H32" s="37">
        <v>401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v>0</v>
      </c>
      <c r="Q32" s="38">
        <v>0</v>
      </c>
      <c r="R32" s="39">
        <v>7.665</v>
      </c>
      <c r="S32" s="36">
        <v>232.70400000000001</v>
      </c>
      <c r="T32" s="36">
        <v>0</v>
      </c>
      <c r="U32" s="36">
        <v>0</v>
      </c>
      <c r="V32" s="36">
        <v>0</v>
      </c>
      <c r="W32" s="36">
        <v>1314.6890000000001</v>
      </c>
      <c r="X32" s="36">
        <v>-398.65533507630005</v>
      </c>
      <c r="Y32" s="39">
        <v>-31.617504618441227</v>
      </c>
      <c r="Z32" s="40">
        <v>242.71366492369998</v>
      </c>
      <c r="AA32" s="41">
        <v>33.520041689963342</v>
      </c>
      <c r="AB32" s="53">
        <v>455.38943248532291</v>
      </c>
      <c r="AC32" s="33">
        <v>0</v>
      </c>
      <c r="AD32" s="32">
        <v>2045</v>
      </c>
      <c r="AE32" s="137">
        <f t="shared" si="0"/>
        <v>401</v>
      </c>
    </row>
    <row r="33" spans="1:31" x14ac:dyDescent="0.25">
      <c r="A33" s="45">
        <v>2046</v>
      </c>
      <c r="B33" s="36">
        <v>984.58</v>
      </c>
      <c r="C33" s="36">
        <v>1071.9122460000001</v>
      </c>
      <c r="D33" s="36">
        <v>673.32</v>
      </c>
      <c r="E33" s="36">
        <v>0</v>
      </c>
      <c r="F33" s="37">
        <v>0</v>
      </c>
      <c r="G33" s="37">
        <v>0</v>
      </c>
      <c r="H33" s="37">
        <v>401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v>0</v>
      </c>
      <c r="Q33" s="38">
        <v>0</v>
      </c>
      <c r="R33" s="39">
        <v>8.1760000000000002</v>
      </c>
      <c r="S33" s="36">
        <v>232.70400000000001</v>
      </c>
      <c r="T33" s="36">
        <v>0</v>
      </c>
      <c r="U33" s="36">
        <v>0</v>
      </c>
      <c r="V33" s="36">
        <v>0</v>
      </c>
      <c r="W33" s="36">
        <v>1315.2</v>
      </c>
      <c r="X33" s="37">
        <v>-398.59224600000005</v>
      </c>
      <c r="Y33" s="46">
        <v>-31.613479859432449</v>
      </c>
      <c r="Z33" s="47">
        <v>243.28775399999995</v>
      </c>
      <c r="AA33" s="48">
        <v>33.579800524081335</v>
      </c>
      <c r="AB33" s="53">
        <v>455.38943248532291</v>
      </c>
      <c r="AC33" s="33">
        <v>0</v>
      </c>
      <c r="AD33" s="32">
        <v>2046</v>
      </c>
      <c r="AE33" s="137">
        <f t="shared" si="0"/>
        <v>401</v>
      </c>
    </row>
    <row r="34" spans="1:31" s="45" customFormat="1" x14ac:dyDescent="0.25">
      <c r="A34" s="33">
        <v>2047</v>
      </c>
      <c r="B34" s="36">
        <v>984.19</v>
      </c>
      <c r="C34" s="36">
        <v>1071.4876530000001</v>
      </c>
      <c r="D34" s="36">
        <v>673.32</v>
      </c>
      <c r="E34" s="36">
        <v>0</v>
      </c>
      <c r="F34" s="37">
        <v>0</v>
      </c>
      <c r="G34" s="37">
        <v>0</v>
      </c>
      <c r="H34" s="37">
        <v>401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>
        <v>0</v>
      </c>
      <c r="Q34" s="38">
        <v>0</v>
      </c>
      <c r="R34" s="39">
        <v>8.6869999999999994</v>
      </c>
      <c r="S34" s="36">
        <v>232.70400000000001</v>
      </c>
      <c r="T34" s="36">
        <v>0</v>
      </c>
      <c r="U34" s="36">
        <v>0</v>
      </c>
      <c r="V34" s="36">
        <v>0</v>
      </c>
      <c r="W34" s="36">
        <v>1315.7110000000002</v>
      </c>
      <c r="X34" s="36">
        <v>-398.16765300000009</v>
      </c>
      <c r="Y34" s="39">
        <v>-31.586380678527519</v>
      </c>
      <c r="Z34" s="40">
        <v>244.2233470000001</v>
      </c>
      <c r="AA34" s="41">
        <v>33.684654385840155</v>
      </c>
      <c r="AB34" s="53">
        <v>455.38943248532291</v>
      </c>
      <c r="AC34" s="33">
        <v>0</v>
      </c>
      <c r="AD34" s="45">
        <v>2047</v>
      </c>
      <c r="AE34" s="137">
        <f t="shared" si="0"/>
        <v>401</v>
      </c>
    </row>
    <row r="35" spans="1:31" x14ac:dyDescent="0.25">
      <c r="A35" s="33">
        <v>2048</v>
      </c>
      <c r="B35" s="36">
        <v>984.04</v>
      </c>
      <c r="C35" s="36">
        <v>1071.3243479999999</v>
      </c>
      <c r="D35" s="36">
        <v>673.32</v>
      </c>
      <c r="E35" s="36">
        <v>0</v>
      </c>
      <c r="F35" s="37">
        <v>0</v>
      </c>
      <c r="G35" s="37">
        <v>0</v>
      </c>
      <c r="H35" s="37">
        <v>401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v>0</v>
      </c>
      <c r="Q35" s="38">
        <v>0</v>
      </c>
      <c r="R35" s="39">
        <v>9.1980000000000004</v>
      </c>
      <c r="S35" s="36">
        <v>232.70400000000001</v>
      </c>
      <c r="T35" s="36">
        <v>0</v>
      </c>
      <c r="U35" s="36">
        <v>0</v>
      </c>
      <c r="V35" s="36">
        <v>0</v>
      </c>
      <c r="W35" s="36">
        <v>1316.2220000000002</v>
      </c>
      <c r="X35" s="36">
        <v>-398.00434799999982</v>
      </c>
      <c r="Y35" s="39">
        <v>-31.575952197065156</v>
      </c>
      <c r="Z35" s="40">
        <v>244.89765200000033</v>
      </c>
      <c r="AA35" s="41">
        <v>33.756961099142337</v>
      </c>
      <c r="AB35" s="53">
        <v>455.38943248532291</v>
      </c>
      <c r="AC35" s="33">
        <v>0</v>
      </c>
      <c r="AD35" s="32">
        <v>2048</v>
      </c>
      <c r="AE35" s="137">
        <f t="shared" si="0"/>
        <v>401</v>
      </c>
    </row>
    <row r="36" spans="1:31" x14ac:dyDescent="0.25">
      <c r="A36" s="45">
        <v>2049</v>
      </c>
      <c r="B36" s="36">
        <v>983.28</v>
      </c>
      <c r="C36" s="36">
        <v>1070.496936</v>
      </c>
      <c r="D36" s="36">
        <v>673.32</v>
      </c>
      <c r="E36" s="36">
        <v>0</v>
      </c>
      <c r="F36" s="37">
        <v>0</v>
      </c>
      <c r="G36" s="37">
        <v>0</v>
      </c>
      <c r="H36" s="37">
        <v>401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v>0</v>
      </c>
      <c r="Q36" s="38">
        <v>0</v>
      </c>
      <c r="R36" s="39">
        <v>9.1980000000000004</v>
      </c>
      <c r="S36" s="36">
        <v>232.70400000000001</v>
      </c>
      <c r="T36" s="36">
        <v>0</v>
      </c>
      <c r="U36" s="36">
        <v>0</v>
      </c>
      <c r="V36" s="36">
        <v>0</v>
      </c>
      <c r="W36" s="36">
        <v>1316.2220000000002</v>
      </c>
      <c r="X36" s="36">
        <v>-397.17693599999996</v>
      </c>
      <c r="Y36" s="39">
        <v>-31.523065657798384</v>
      </c>
      <c r="Z36" s="40">
        <v>245.7250640000002</v>
      </c>
      <c r="AA36" s="41">
        <v>33.860344967862687</v>
      </c>
      <c r="AB36" s="53">
        <v>455.38943248532291</v>
      </c>
      <c r="AC36" s="33">
        <v>0</v>
      </c>
      <c r="AD36" s="32">
        <v>2049</v>
      </c>
      <c r="AE36" s="137">
        <f t="shared" si="0"/>
        <v>401</v>
      </c>
    </row>
    <row r="37" spans="1:31" x14ac:dyDescent="0.25">
      <c r="A37" s="45"/>
      <c r="B37" s="49"/>
      <c r="C37" s="50"/>
      <c r="D37" s="50"/>
      <c r="E37" s="50"/>
      <c r="F37" s="51"/>
      <c r="AE37" s="45">
        <v>31</v>
      </c>
    </row>
    <row r="38" spans="1:31" x14ac:dyDescent="0.25">
      <c r="A38" s="45"/>
      <c r="B38" s="49"/>
      <c r="C38" s="50"/>
      <c r="D38" s="50"/>
      <c r="E38" s="50"/>
      <c r="F38" s="51"/>
    </row>
    <row r="39" spans="1:31" x14ac:dyDescent="0.25">
      <c r="A39" s="45"/>
      <c r="B39" s="49"/>
      <c r="C39" s="50"/>
      <c r="D39" s="50"/>
      <c r="E39" s="50"/>
      <c r="F39" s="51"/>
    </row>
    <row r="40" spans="1:31" x14ac:dyDescent="0.25">
      <c r="A40" s="45"/>
      <c r="B40" s="49"/>
      <c r="C40" s="50"/>
      <c r="D40" s="50"/>
      <c r="E40" s="50"/>
      <c r="F40" s="51"/>
    </row>
    <row r="41" spans="1:31" x14ac:dyDescent="0.25">
      <c r="A41" s="45"/>
      <c r="B41" s="49"/>
      <c r="C41" s="50"/>
      <c r="D41" s="50"/>
      <c r="E41" s="50"/>
      <c r="F41" s="51"/>
    </row>
    <row r="42" spans="1:31" x14ac:dyDescent="0.25">
      <c r="A42" s="45"/>
      <c r="B42" s="49"/>
      <c r="C42" s="50"/>
      <c r="D42" s="50"/>
      <c r="E42" s="50"/>
      <c r="F42" s="51"/>
    </row>
    <row r="43" spans="1:31" x14ac:dyDescent="0.25">
      <c r="A43" s="45"/>
      <c r="B43" s="49"/>
      <c r="C43" s="50"/>
      <c r="D43" s="50"/>
      <c r="E43" s="50"/>
      <c r="F43" s="51"/>
    </row>
    <row r="44" spans="1:31" x14ac:dyDescent="0.25">
      <c r="A44" s="45"/>
      <c r="B44" s="49"/>
      <c r="C44" s="50"/>
      <c r="D44" s="50"/>
      <c r="E44" s="50"/>
      <c r="F44" s="51"/>
    </row>
    <row r="45" spans="1:31" x14ac:dyDescent="0.25">
      <c r="A45" s="45"/>
      <c r="B45" s="49"/>
      <c r="C45" s="50"/>
      <c r="D45" s="50"/>
      <c r="E45" s="50"/>
      <c r="F45" s="51"/>
    </row>
    <row r="46" spans="1:31" x14ac:dyDescent="0.25">
      <c r="A46" s="45"/>
      <c r="B46" s="49"/>
      <c r="C46" s="50"/>
      <c r="D46" s="50"/>
      <c r="E46" s="50"/>
      <c r="F46" s="51"/>
    </row>
    <row r="47" spans="1:31" x14ac:dyDescent="0.25">
      <c r="A47" s="45"/>
      <c r="B47" s="49"/>
      <c r="C47" s="50"/>
      <c r="D47" s="50"/>
      <c r="E47" s="50"/>
    </row>
    <row r="48" spans="1:31" x14ac:dyDescent="0.25">
      <c r="A48" s="32"/>
      <c r="B48" s="32"/>
    </row>
    <row r="49" spans="1:2" x14ac:dyDescent="0.25">
      <c r="A49" s="32"/>
      <c r="B49" s="32"/>
    </row>
    <row r="50" spans="1:2" x14ac:dyDescent="0.25">
      <c r="A50" s="32"/>
      <c r="B50" s="32"/>
    </row>
  </sheetData>
  <mergeCells count="5">
    <mergeCell ref="A1:AC1"/>
    <mergeCell ref="A2:AC2"/>
    <mergeCell ref="A3:AC3"/>
    <mergeCell ref="A4:AC4"/>
    <mergeCell ref="A5:AC5"/>
  </mergeCells>
  <pageMargins left="0.45" right="0.45" top="0.75" bottom="0.75" header="0.3" footer="0.3"/>
  <pageSetup scale="32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E50"/>
  <sheetViews>
    <sheetView zoomScaleNormal="100" workbookViewId="0">
      <selection activeCell="S26" sqref="S26"/>
    </sheetView>
  </sheetViews>
  <sheetFormatPr defaultRowHeight="15.75" x14ac:dyDescent="0.25"/>
  <cols>
    <col min="4" max="4" width="8.875" bestFit="1" customWidth="1"/>
    <col min="5" max="5" width="14.875" bestFit="1" customWidth="1"/>
    <col min="6" max="6" width="9.375" bestFit="1" customWidth="1"/>
    <col min="7" max="7" width="9.5" bestFit="1" customWidth="1"/>
    <col min="11" max="11" width="8.875" bestFit="1" customWidth="1"/>
    <col min="12" max="12" width="14.875" bestFit="1" customWidth="1"/>
    <col min="13" max="13" width="9.375" bestFit="1" customWidth="1"/>
    <col min="14" max="14" width="9.5" bestFit="1" customWidth="1"/>
    <col min="27" max="30" width="8" bestFit="1" customWidth="1"/>
    <col min="32" max="35" width="8" bestFit="1" customWidth="1"/>
  </cols>
  <sheetData>
    <row r="1" spans="1:57" ht="18.75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6.25" x14ac:dyDescent="0.4">
      <c r="A2" s="147" t="s">
        <v>35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29"/>
      <c r="P2" s="31" t="s">
        <v>46</v>
      </c>
      <c r="Q2" s="31"/>
      <c r="R2" s="31"/>
      <c r="S2" s="31"/>
      <c r="T2" s="29"/>
      <c r="U2" s="29"/>
      <c r="V2" s="29"/>
      <c r="W2" s="29"/>
      <c r="X2" s="29"/>
      <c r="Y2" s="29"/>
      <c r="Z2" s="29"/>
      <c r="AA2" s="14"/>
      <c r="AB2" s="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26.25" x14ac:dyDescent="0.25">
      <c r="A3" s="21"/>
      <c r="B3" s="30" t="s">
        <v>49</v>
      </c>
      <c r="C3" s="30" t="s">
        <v>45</v>
      </c>
      <c r="D3" s="30" t="s">
        <v>36</v>
      </c>
      <c r="E3" s="30" t="s">
        <v>37</v>
      </c>
      <c r="F3" s="30" t="s">
        <v>38</v>
      </c>
      <c r="G3" s="30" t="s">
        <v>39</v>
      </c>
      <c r="H3" s="30"/>
      <c r="I3" s="30" t="s">
        <v>49</v>
      </c>
      <c r="J3" s="30" t="s">
        <v>45</v>
      </c>
      <c r="K3" s="30" t="s">
        <v>36</v>
      </c>
      <c r="L3" s="30" t="s">
        <v>37</v>
      </c>
      <c r="M3" s="30" t="s">
        <v>38</v>
      </c>
      <c r="N3" s="30" t="s">
        <v>39</v>
      </c>
      <c r="O3" s="21"/>
      <c r="P3" t="str">
        <f ca="1">IF(S2="",source!$E$1,S2)</f>
        <v>Nameplate Solar</v>
      </c>
      <c r="T3" s="21"/>
      <c r="U3" s="21"/>
      <c r="V3" s="21"/>
      <c r="W3" s="21"/>
      <c r="X3" s="21"/>
      <c r="Y3" s="21"/>
      <c r="Z3" s="2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26.25" x14ac:dyDescent="0.25">
      <c r="A4" s="21"/>
      <c r="B4" s="21"/>
      <c r="C4" s="21"/>
      <c r="D4" s="30"/>
      <c r="E4" s="30"/>
      <c r="F4" s="30"/>
      <c r="G4" s="31"/>
      <c r="H4" s="21"/>
      <c r="I4" s="21"/>
      <c r="J4" s="21"/>
      <c r="K4" s="30"/>
      <c r="L4" s="30"/>
      <c r="M4" s="30"/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65"/>
      <c r="AB4" s="65"/>
      <c r="AC4" s="65"/>
      <c r="AD4" s="65"/>
      <c r="AE4" s="58"/>
      <c r="AF4" s="65"/>
      <c r="AG4" s="65"/>
      <c r="AH4" s="65"/>
      <c r="AI4" s="65"/>
      <c r="AJ4" s="58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26.25" customHeight="1" x14ac:dyDescent="0.25">
      <c r="A5" s="21"/>
      <c r="B5" s="21"/>
      <c r="C5" s="21"/>
      <c r="D5" s="30"/>
      <c r="E5" s="30"/>
      <c r="F5" s="30"/>
      <c r="G5" s="31"/>
      <c r="H5" s="21"/>
      <c r="I5" s="149" t="s">
        <v>40</v>
      </c>
      <c r="J5" s="149"/>
      <c r="K5" s="149"/>
      <c r="L5" s="149"/>
      <c r="M5" s="149"/>
      <c r="N5" s="149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59"/>
      <c r="AB5" s="59"/>
      <c r="AC5" s="59"/>
      <c r="AD5" s="59"/>
      <c r="AE5" s="58"/>
      <c r="AF5" s="59"/>
      <c r="AG5" s="59"/>
      <c r="AH5" s="59"/>
      <c r="AI5" s="59"/>
      <c r="AJ5" s="58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x14ac:dyDescent="0.25">
      <c r="A6" s="33">
        <v>2020</v>
      </c>
      <c r="B6" s="28">
        <f ca="1">HLOOKUP(source!$E$1,Prfrd112619!$A$6:$AC$36,2,FALSE)</f>
        <v>0</v>
      </c>
      <c r="C6" s="28">
        <f ca="1">HLOOKUP(source!$E$1,Base!$A$6:$AC$36,2,FALSE)</f>
        <v>0</v>
      </c>
      <c r="D6" s="28">
        <f ca="1">HLOOKUP(source!$E$1,'Market Only'!$A$6:$AC$36,2,FALSE)</f>
        <v>0</v>
      </c>
      <c r="E6" s="28">
        <f ca="1">HLOOKUP(source!$E$1,'Solar + Wind'!$A$6:$AC$36,2,FALSE)</f>
        <v>0</v>
      </c>
      <c r="F6" s="28">
        <f ca="1">HLOOKUP(source!$E$1,'CT Only'!$A$6:$AC$36,2,FALSE)</f>
        <v>0</v>
      </c>
      <c r="G6" s="28">
        <f ca="1">HLOOKUP(source!$E$1,'CC Only'!$A$6:$AC$36,2,FALSE)</f>
        <v>0</v>
      </c>
      <c r="H6" s="4"/>
      <c r="I6" s="11">
        <f t="shared" ref="I6:N6" ca="1" si="0">B6-$D6</f>
        <v>0</v>
      </c>
      <c r="J6" s="11">
        <f t="shared" ca="1" si="0"/>
        <v>0</v>
      </c>
      <c r="K6" s="11">
        <f t="shared" ca="1" si="0"/>
        <v>0</v>
      </c>
      <c r="L6" s="11">
        <f t="shared" ca="1" si="0"/>
        <v>0</v>
      </c>
      <c r="M6" s="11">
        <f t="shared" ca="1" si="0"/>
        <v>0</v>
      </c>
      <c r="N6" s="11">
        <f t="shared" ca="1" si="0"/>
        <v>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60"/>
      <c r="AB6" s="60"/>
      <c r="AC6" s="60"/>
      <c r="AD6" s="60"/>
      <c r="AE6" s="61"/>
      <c r="AF6" s="62"/>
      <c r="AG6" s="62"/>
      <c r="AH6" s="62"/>
      <c r="AI6" s="62"/>
      <c r="AJ6" s="63"/>
      <c r="AK6" s="5"/>
      <c r="AL6" s="5"/>
      <c r="AM6" s="5"/>
      <c r="AN6" s="5"/>
      <c r="AO6" s="4"/>
      <c r="AP6" s="4"/>
      <c r="AQ6" s="4"/>
      <c r="AR6" s="4"/>
      <c r="AS6" s="4"/>
      <c r="AT6" s="4"/>
      <c r="AU6" s="4"/>
      <c r="AV6" s="4"/>
      <c r="AW6" s="5"/>
      <c r="AX6" s="5"/>
      <c r="AY6" s="5"/>
      <c r="AZ6" s="5"/>
      <c r="BA6" s="5"/>
      <c r="BB6" s="5"/>
      <c r="BC6" s="5"/>
      <c r="BD6" s="5"/>
      <c r="BE6" s="5"/>
    </row>
    <row r="7" spans="1:57" x14ac:dyDescent="0.25">
      <c r="A7" s="33">
        <v>2021</v>
      </c>
      <c r="B7" s="28">
        <f ca="1">HLOOKUP(source!$E$1,Prfrd112619!$A$6:$AC$36,3,FALSE)</f>
        <v>0</v>
      </c>
      <c r="C7" s="28">
        <f ca="1">HLOOKUP(source!$E$1,Base!$A$6:$AC$36,3,FALSE)</f>
        <v>0</v>
      </c>
      <c r="D7" s="28">
        <f ca="1">HLOOKUP(source!$E$1,'Market Only'!$A$6:$AC$36,3,FALSE)</f>
        <v>0</v>
      </c>
      <c r="E7" s="28">
        <f ca="1">HLOOKUP(source!$E$1,'Solar + Wind'!$A$6:$AC$36,3,FALSE)</f>
        <v>0</v>
      </c>
      <c r="F7" s="28">
        <f ca="1">HLOOKUP(source!$E$1,'CT Only'!$A$6:$AC$36,3,FALSE)</f>
        <v>0</v>
      </c>
      <c r="G7" s="28">
        <f ca="1">HLOOKUP(source!$E$1,'CC Only'!$A$6:$AC$36,3,FALSE)</f>
        <v>0</v>
      </c>
      <c r="H7" s="11"/>
      <c r="I7" s="11">
        <f t="shared" ref="I7:N35" ca="1" si="1">B7-$D7</f>
        <v>0</v>
      </c>
      <c r="J7" s="11">
        <f t="shared" ca="1" si="1"/>
        <v>0</v>
      </c>
      <c r="K7" s="11">
        <f t="shared" ca="1" si="1"/>
        <v>0</v>
      </c>
      <c r="L7" s="11">
        <f t="shared" ca="1" si="1"/>
        <v>0</v>
      </c>
      <c r="M7" s="11">
        <f t="shared" ca="1" si="1"/>
        <v>0</v>
      </c>
      <c r="N7" s="11">
        <f t="shared" ca="1" si="1"/>
        <v>0</v>
      </c>
      <c r="O7" s="11"/>
      <c r="P7" s="12"/>
      <c r="Q7" s="12"/>
      <c r="R7" s="13"/>
      <c r="S7" s="10"/>
      <c r="T7" s="10"/>
      <c r="U7" s="10"/>
      <c r="V7" s="10"/>
      <c r="W7" s="10"/>
      <c r="X7" s="7"/>
      <c r="Y7" s="6"/>
      <c r="Z7" s="4"/>
      <c r="AA7" s="60"/>
      <c r="AB7" s="60"/>
      <c r="AC7" s="60"/>
      <c r="AD7" s="60"/>
      <c r="AE7" s="64"/>
      <c r="AF7" s="62"/>
      <c r="AG7" s="62"/>
      <c r="AH7" s="62"/>
      <c r="AI7" s="62"/>
      <c r="AJ7" s="58"/>
      <c r="AK7" s="5"/>
      <c r="AL7" s="5"/>
      <c r="AM7" s="5"/>
      <c r="AN7" s="8"/>
      <c r="AO7" s="1"/>
      <c r="AP7" s="1"/>
      <c r="AQ7" s="1"/>
      <c r="AR7" s="1"/>
      <c r="AS7" s="1"/>
      <c r="AT7" s="1"/>
      <c r="AU7" s="1"/>
      <c r="AV7" s="1"/>
      <c r="AW7" s="8"/>
      <c r="AX7" s="8"/>
      <c r="AY7" s="8"/>
      <c r="AZ7" s="8"/>
      <c r="BA7" s="8"/>
      <c r="BB7" s="8"/>
      <c r="BC7" s="8"/>
      <c r="BD7" s="8"/>
      <c r="BE7" s="8"/>
    </row>
    <row r="8" spans="1:57" x14ac:dyDescent="0.25">
      <c r="A8" s="33">
        <v>2022</v>
      </c>
      <c r="B8" s="28">
        <f ca="1">HLOOKUP(source!$E$1,Prfrd112619!$A$6:$AC$36,4,FALSE)</f>
        <v>0</v>
      </c>
      <c r="C8" s="28">
        <f ca="1">HLOOKUP(source!$E$1,Base!$A$6:$AC$36,4,FALSE)</f>
        <v>0</v>
      </c>
      <c r="D8" s="28">
        <f ca="1">HLOOKUP(source!$E$1,'Market Only'!$A$6:$AC$36,4,FALSE)</f>
        <v>0</v>
      </c>
      <c r="E8" s="28">
        <f ca="1">HLOOKUP(source!$E$1,'Solar + Wind'!$A$6:$AC$36,4,FALSE)</f>
        <v>303.59295499021528</v>
      </c>
      <c r="F8" s="28">
        <f ca="1">HLOOKUP(source!$E$1,'CT Only'!$A$6:$AC$36,4,FALSE)</f>
        <v>0</v>
      </c>
      <c r="G8" s="28">
        <f ca="1">HLOOKUP(source!$E$1,'CC Only'!$A$6:$AC$36,4,FALSE)</f>
        <v>0</v>
      </c>
      <c r="H8" s="11"/>
      <c r="I8" s="11">
        <f t="shared" ca="1" si="1"/>
        <v>0</v>
      </c>
      <c r="J8" s="11">
        <f t="shared" ca="1" si="1"/>
        <v>0</v>
      </c>
      <c r="K8" s="11">
        <f t="shared" ca="1" si="1"/>
        <v>0</v>
      </c>
      <c r="L8" s="11">
        <f t="shared" ca="1" si="1"/>
        <v>303.59295499021528</v>
      </c>
      <c r="M8" s="11">
        <f t="shared" ca="1" si="1"/>
        <v>0</v>
      </c>
      <c r="N8" s="11">
        <f t="shared" ca="1" si="1"/>
        <v>0</v>
      </c>
      <c r="O8" s="11"/>
      <c r="P8" s="12"/>
      <c r="Q8" s="12"/>
      <c r="R8" s="13"/>
      <c r="S8" s="10"/>
      <c r="T8" s="10"/>
      <c r="U8" s="10"/>
      <c r="V8" s="10"/>
      <c r="W8" s="10"/>
      <c r="X8" s="7"/>
      <c r="Y8" s="6"/>
      <c r="Z8" s="4"/>
      <c r="AA8" s="57"/>
      <c r="AB8" s="57"/>
      <c r="AC8" s="57"/>
      <c r="AD8" s="57"/>
      <c r="AE8" s="9"/>
      <c r="AF8" s="28"/>
      <c r="AG8" s="28"/>
      <c r="AH8" s="28"/>
      <c r="AI8" s="28"/>
      <c r="AJ8" s="1"/>
      <c r="AK8" s="5"/>
      <c r="AL8" s="5"/>
      <c r="AM8" s="5"/>
      <c r="AN8" s="8"/>
      <c r="AO8" s="1"/>
      <c r="AP8" s="1"/>
      <c r="AQ8" s="1"/>
      <c r="AR8" s="1"/>
      <c r="AS8" s="1"/>
      <c r="AT8" s="1"/>
      <c r="AU8" s="1"/>
      <c r="AV8" s="1"/>
      <c r="AW8" s="8"/>
      <c r="AX8" s="8"/>
      <c r="AY8" s="8"/>
      <c r="AZ8" s="8"/>
      <c r="BA8" s="8"/>
      <c r="BB8" s="8"/>
      <c r="BC8" s="8"/>
      <c r="BD8" s="8"/>
      <c r="BE8" s="8"/>
    </row>
    <row r="9" spans="1:57" x14ac:dyDescent="0.25">
      <c r="A9" s="33">
        <v>2023</v>
      </c>
      <c r="B9" s="28">
        <f ca="1">HLOOKUP(source!$E$1,Prfrd112619!$A$6:$AC$36,5,FALSE)</f>
        <v>101.1976516634051</v>
      </c>
      <c r="C9" s="28">
        <f ca="1">HLOOKUP(source!$E$1,Base!$A$6:$AC$36,5,FALSE)</f>
        <v>0</v>
      </c>
      <c r="D9" s="28">
        <f ca="1">HLOOKUP(source!$E$1,'Market Only'!$A$6:$AC$36,5,FALSE)</f>
        <v>0</v>
      </c>
      <c r="E9" s="28">
        <f ca="1">HLOOKUP(source!$E$1,'Solar + Wind'!$A$6:$AC$36,5,FALSE)</f>
        <v>303.59295499021528</v>
      </c>
      <c r="F9" s="28">
        <f ca="1">HLOOKUP(source!$E$1,'CT Only'!$A$6:$AC$36,5,FALSE)</f>
        <v>0</v>
      </c>
      <c r="G9" s="28">
        <f ca="1">HLOOKUP(source!$E$1,'CC Only'!$A$6:$AC$36,5,FALSE)</f>
        <v>0</v>
      </c>
      <c r="H9" s="11"/>
      <c r="I9" s="11">
        <f t="shared" ca="1" si="1"/>
        <v>101.1976516634051</v>
      </c>
      <c r="J9" s="11">
        <f t="shared" ca="1" si="1"/>
        <v>0</v>
      </c>
      <c r="K9" s="11">
        <f t="shared" ca="1" si="1"/>
        <v>0</v>
      </c>
      <c r="L9" s="11">
        <f t="shared" ca="1" si="1"/>
        <v>303.59295499021528</v>
      </c>
      <c r="M9" s="11">
        <f t="shared" ca="1" si="1"/>
        <v>0</v>
      </c>
      <c r="N9" s="11">
        <f t="shared" ca="1" si="1"/>
        <v>0</v>
      </c>
      <c r="O9" s="11"/>
      <c r="P9" s="12"/>
      <c r="Q9" s="12"/>
      <c r="R9" s="13"/>
      <c r="S9" s="10"/>
      <c r="T9" s="10"/>
      <c r="U9" s="10"/>
      <c r="V9" s="10"/>
      <c r="W9" s="10"/>
      <c r="X9" s="7"/>
      <c r="Y9" s="6"/>
      <c r="Z9" s="4"/>
      <c r="AA9" s="57"/>
      <c r="AB9" s="57"/>
      <c r="AC9" s="57"/>
      <c r="AD9" s="57"/>
      <c r="AE9" s="9"/>
      <c r="AF9" s="28"/>
      <c r="AG9" s="28"/>
      <c r="AH9" s="28"/>
      <c r="AI9" s="28"/>
      <c r="AJ9" s="1"/>
      <c r="AK9" s="5"/>
      <c r="AL9" s="5"/>
      <c r="AM9" s="5"/>
      <c r="AN9" s="8"/>
      <c r="AO9" s="1"/>
      <c r="AP9" s="1"/>
      <c r="AQ9" s="1"/>
      <c r="AR9" s="1"/>
      <c r="AS9" s="1"/>
      <c r="AT9" s="1"/>
      <c r="AU9" s="1"/>
      <c r="AV9" s="1"/>
      <c r="AW9" s="8"/>
      <c r="AX9" s="8"/>
      <c r="AY9" s="8"/>
      <c r="AZ9" s="8"/>
      <c r="BA9" s="8"/>
      <c r="BB9" s="8"/>
      <c r="BC9" s="8"/>
      <c r="BD9" s="8"/>
      <c r="BE9" s="8"/>
    </row>
    <row r="10" spans="1:57" x14ac:dyDescent="0.25">
      <c r="A10" s="33">
        <v>2024</v>
      </c>
      <c r="B10" s="28">
        <f ca="1">HLOOKUP(source!$E$1,Prfrd112619!$A$6:$AC$36,6,FALSE)</f>
        <v>252.99412915851272</v>
      </c>
      <c r="C10" s="28">
        <f ca="1">HLOOKUP(source!$E$1,Base!$A$6:$AC$36,6,FALSE)</f>
        <v>151.79647749510764</v>
      </c>
      <c r="D10" s="28">
        <f ca="1">HLOOKUP(source!$E$1,'Market Only'!$A$6:$AC$36,6,FALSE)</f>
        <v>0</v>
      </c>
      <c r="E10" s="28">
        <f ca="1">HLOOKUP(source!$E$1,'Solar + Wind'!$A$6:$AC$36,6,FALSE)</f>
        <v>303.59295499021528</v>
      </c>
      <c r="F10" s="28">
        <f ca="1">HLOOKUP(source!$E$1,'CT Only'!$A$6:$AC$36,6,FALSE)</f>
        <v>0</v>
      </c>
      <c r="G10" s="28">
        <f ca="1">HLOOKUP(source!$E$1,'CC Only'!$A$6:$AC$36,6,FALSE)</f>
        <v>0</v>
      </c>
      <c r="H10" s="11"/>
      <c r="I10" s="11">
        <f t="shared" ca="1" si="1"/>
        <v>252.99412915851272</v>
      </c>
      <c r="J10" s="11">
        <f t="shared" ca="1" si="1"/>
        <v>151.79647749510764</v>
      </c>
      <c r="K10" s="11">
        <f t="shared" ca="1" si="1"/>
        <v>0</v>
      </c>
      <c r="L10" s="11">
        <f t="shared" ca="1" si="1"/>
        <v>303.59295499021528</v>
      </c>
      <c r="M10" s="11">
        <f t="shared" ca="1" si="1"/>
        <v>0</v>
      </c>
      <c r="N10" s="11">
        <f t="shared" ca="1" si="1"/>
        <v>0</v>
      </c>
      <c r="O10" s="11"/>
      <c r="P10" s="12"/>
      <c r="Q10" s="12"/>
      <c r="R10" s="13"/>
      <c r="S10" s="10"/>
      <c r="T10" s="10"/>
      <c r="U10" s="10"/>
      <c r="V10" s="10"/>
      <c r="W10" s="10"/>
      <c r="X10" s="7"/>
      <c r="Y10" s="6"/>
      <c r="Z10" s="4"/>
      <c r="AA10" s="57"/>
      <c r="AB10" s="57"/>
      <c r="AC10" s="57"/>
      <c r="AD10" s="57"/>
      <c r="AE10" s="9"/>
      <c r="AF10" s="28"/>
      <c r="AG10" s="28"/>
      <c r="AH10" s="28"/>
      <c r="AI10" s="28"/>
      <c r="AJ10" s="1"/>
      <c r="AK10" s="5"/>
      <c r="AL10" s="5"/>
      <c r="AM10" s="5"/>
      <c r="AN10" s="8"/>
      <c r="AO10" s="1"/>
      <c r="AP10" s="1"/>
      <c r="AQ10" s="1"/>
      <c r="AR10" s="1"/>
      <c r="AS10" s="1"/>
      <c r="AT10" s="1"/>
      <c r="AU10" s="1"/>
      <c r="AV10" s="1"/>
      <c r="AW10" s="8"/>
      <c r="AX10" s="8"/>
      <c r="AY10" s="8"/>
      <c r="AZ10" s="8"/>
      <c r="BA10" s="8"/>
      <c r="BB10" s="8"/>
      <c r="BC10" s="8"/>
      <c r="BD10" s="8"/>
      <c r="BE10" s="8"/>
    </row>
    <row r="11" spans="1:57" x14ac:dyDescent="0.25">
      <c r="A11" s="33">
        <v>2025</v>
      </c>
      <c r="B11" s="28">
        <f ca="1">HLOOKUP(source!$E$1,Prfrd112619!$A$6:$AC$36,7,FALSE)</f>
        <v>252.99412915851272</v>
      </c>
      <c r="C11" s="28">
        <f ca="1">HLOOKUP(source!$E$1,Base!$A$6:$AC$36,7,FALSE)</f>
        <v>151.79647749510764</v>
      </c>
      <c r="D11" s="28">
        <f ca="1">HLOOKUP(source!$E$1,'Market Only'!$A$6:$AC$36,7,FALSE)</f>
        <v>252.99412915851272</v>
      </c>
      <c r="E11" s="28">
        <f ca="1">HLOOKUP(source!$E$1,'Solar + Wind'!$A$6:$AC$36,7,FALSE)</f>
        <v>303.59295499021528</v>
      </c>
      <c r="F11" s="28">
        <f ca="1">HLOOKUP(source!$E$1,'CT Only'!$A$6:$AC$36,7,FALSE)</f>
        <v>0</v>
      </c>
      <c r="G11" s="28">
        <f ca="1">HLOOKUP(source!$E$1,'CC Only'!$A$6:$AC$36,7,FALSE)</f>
        <v>0</v>
      </c>
      <c r="H11" s="11"/>
      <c r="I11" s="11">
        <f t="shared" ca="1" si="1"/>
        <v>0</v>
      </c>
      <c r="J11" s="11">
        <f t="shared" ca="1" si="1"/>
        <v>-101.19765166340508</v>
      </c>
      <c r="K11" s="11">
        <f t="shared" ca="1" si="1"/>
        <v>0</v>
      </c>
      <c r="L11" s="11">
        <f t="shared" ca="1" si="1"/>
        <v>50.598825831702555</v>
      </c>
      <c r="M11" s="11">
        <f t="shared" ca="1" si="1"/>
        <v>-252.99412915851272</v>
      </c>
      <c r="N11" s="11">
        <f t="shared" ca="1" si="1"/>
        <v>-252.99412915851272</v>
      </c>
      <c r="O11" s="11"/>
      <c r="P11" s="12"/>
      <c r="Q11" s="12"/>
      <c r="R11" s="13"/>
      <c r="S11" s="10"/>
      <c r="T11" s="10"/>
      <c r="U11" s="10"/>
      <c r="V11" s="10"/>
      <c r="W11" s="10"/>
      <c r="X11" s="7"/>
      <c r="Y11" s="6"/>
      <c r="Z11" s="4"/>
      <c r="AA11" s="57"/>
      <c r="AB11" s="57"/>
      <c r="AC11" s="57"/>
      <c r="AD11" s="57"/>
      <c r="AE11" s="9"/>
      <c r="AF11" s="28"/>
      <c r="AG11" s="28"/>
      <c r="AH11" s="28"/>
      <c r="AI11" s="28"/>
      <c r="AJ11" s="1"/>
      <c r="AK11" s="5"/>
      <c r="AL11" s="5"/>
      <c r="AM11" s="5"/>
      <c r="AN11" s="8"/>
      <c r="AO11" s="1"/>
      <c r="AP11" s="1"/>
      <c r="AQ11" s="1"/>
      <c r="AR11" s="1"/>
      <c r="AS11" s="1"/>
      <c r="AT11" s="1"/>
      <c r="AU11" s="1"/>
      <c r="AV11" s="1"/>
      <c r="AW11" s="8"/>
      <c r="AX11" s="8"/>
      <c r="AY11" s="8"/>
      <c r="AZ11" s="8"/>
      <c r="BA11" s="8"/>
      <c r="BB11" s="8"/>
      <c r="BC11" s="8"/>
      <c r="BD11" s="8"/>
      <c r="BE11" s="8"/>
    </row>
    <row r="12" spans="1:57" x14ac:dyDescent="0.25">
      <c r="A12" s="33">
        <v>2026</v>
      </c>
      <c r="B12" s="28">
        <f ca="1">HLOOKUP(source!$E$1,Prfrd112619!$A$6:$AC$36,8,FALSE)</f>
        <v>252.99412915851272</v>
      </c>
      <c r="C12" s="28">
        <f ca="1">HLOOKUP(source!$E$1,Base!$A$6:$AC$36,8,FALSE)</f>
        <v>151.79647749510764</v>
      </c>
      <c r="D12" s="28">
        <f ca="1">HLOOKUP(source!$E$1,'Market Only'!$A$6:$AC$36,8,FALSE)</f>
        <v>252.99412915851272</v>
      </c>
      <c r="E12" s="28">
        <f ca="1">HLOOKUP(source!$E$1,'Solar + Wind'!$A$6:$AC$36,8,FALSE)</f>
        <v>303.59295499021528</v>
      </c>
      <c r="F12" s="28">
        <f ca="1">HLOOKUP(source!$E$1,'CT Only'!$A$6:$AC$36,8,FALSE)</f>
        <v>0</v>
      </c>
      <c r="G12" s="28">
        <f ca="1">HLOOKUP(source!$E$1,'CC Only'!$A$6:$AC$36,8,FALSE)</f>
        <v>0</v>
      </c>
      <c r="H12" s="11"/>
      <c r="I12" s="11">
        <f t="shared" ca="1" si="1"/>
        <v>0</v>
      </c>
      <c r="J12" s="11">
        <f t="shared" ca="1" si="1"/>
        <v>-101.19765166340508</v>
      </c>
      <c r="K12" s="11">
        <f t="shared" ca="1" si="1"/>
        <v>0</v>
      </c>
      <c r="L12" s="11">
        <f t="shared" ca="1" si="1"/>
        <v>50.598825831702555</v>
      </c>
      <c r="M12" s="11">
        <f t="shared" ca="1" si="1"/>
        <v>-252.99412915851272</v>
      </c>
      <c r="N12" s="11">
        <f t="shared" ca="1" si="1"/>
        <v>-252.99412915851272</v>
      </c>
      <c r="O12" s="11"/>
      <c r="P12" s="12"/>
      <c r="Q12" s="12"/>
      <c r="R12" s="13"/>
      <c r="S12" s="10"/>
      <c r="T12" s="10"/>
      <c r="U12" s="10"/>
      <c r="V12" s="10"/>
      <c r="W12" s="10"/>
      <c r="X12" s="7"/>
      <c r="Y12" s="6"/>
      <c r="Z12" s="4"/>
      <c r="AA12" s="57"/>
      <c r="AB12" s="57"/>
      <c r="AC12" s="57"/>
      <c r="AD12" s="57"/>
      <c r="AE12" s="9"/>
      <c r="AF12" s="28"/>
      <c r="AG12" s="28"/>
      <c r="AH12" s="28"/>
      <c r="AI12" s="28"/>
      <c r="AJ12" s="1"/>
      <c r="AK12" s="5"/>
      <c r="AL12" s="5"/>
      <c r="AM12" s="5"/>
      <c r="AN12" s="8"/>
      <c r="AO12" s="1"/>
      <c r="AP12" s="1"/>
      <c r="AQ12" s="1"/>
      <c r="AR12" s="1"/>
      <c r="AS12" s="1"/>
      <c r="AT12" s="1"/>
      <c r="AU12" s="1"/>
      <c r="AV12" s="1"/>
      <c r="AW12" s="8"/>
      <c r="AX12" s="8"/>
      <c r="AY12" s="8"/>
      <c r="AZ12" s="8"/>
      <c r="BA12" s="8"/>
      <c r="BB12" s="8"/>
      <c r="BC12" s="8"/>
      <c r="BD12" s="8"/>
      <c r="BE12" s="8"/>
    </row>
    <row r="13" spans="1:57" x14ac:dyDescent="0.25">
      <c r="A13" s="33">
        <v>2027</v>
      </c>
      <c r="B13" s="28">
        <f ca="1">HLOOKUP(source!$E$1,Prfrd112619!$A$6:$AC$36,9,FALSE)</f>
        <v>252.99412915851272</v>
      </c>
      <c r="C13" s="28">
        <f ca="1">HLOOKUP(source!$E$1,Base!$A$6:$AC$36,9,FALSE)</f>
        <v>151.79647749510764</v>
      </c>
      <c r="D13" s="28">
        <f ca="1">HLOOKUP(source!$E$1,'Market Only'!$A$6:$AC$36,9,FALSE)</f>
        <v>252.99412915851272</v>
      </c>
      <c r="E13" s="28">
        <f ca="1">HLOOKUP(source!$E$1,'Solar + Wind'!$A$6:$AC$36,9,FALSE)</f>
        <v>303.59295499021528</v>
      </c>
      <c r="F13" s="28">
        <f ca="1">HLOOKUP(source!$E$1,'CT Only'!$A$6:$AC$36,9,FALSE)</f>
        <v>0</v>
      </c>
      <c r="G13" s="28">
        <f ca="1">HLOOKUP(source!$E$1,'CC Only'!$A$6:$AC$36,9,FALSE)</f>
        <v>0</v>
      </c>
      <c r="H13" s="11"/>
      <c r="I13" s="11">
        <f t="shared" ca="1" si="1"/>
        <v>0</v>
      </c>
      <c r="J13" s="11">
        <f t="shared" ca="1" si="1"/>
        <v>-101.19765166340508</v>
      </c>
      <c r="K13" s="11">
        <f t="shared" ca="1" si="1"/>
        <v>0</v>
      </c>
      <c r="L13" s="11">
        <f t="shared" ca="1" si="1"/>
        <v>50.598825831702555</v>
      </c>
      <c r="M13" s="11">
        <f t="shared" ca="1" si="1"/>
        <v>-252.99412915851272</v>
      </c>
      <c r="N13" s="11">
        <f t="shared" ca="1" si="1"/>
        <v>-252.99412915851272</v>
      </c>
      <c r="O13" s="11"/>
      <c r="P13" s="12"/>
      <c r="Q13" s="12"/>
      <c r="R13" s="13"/>
      <c r="S13" s="10"/>
      <c r="T13" s="10"/>
      <c r="U13" s="10"/>
      <c r="V13" s="10"/>
      <c r="W13" s="10"/>
      <c r="X13" s="7"/>
      <c r="Y13" s="6"/>
      <c r="Z13" s="4"/>
      <c r="AA13" s="57"/>
      <c r="AB13" s="57"/>
      <c r="AC13" s="57"/>
      <c r="AD13" s="57"/>
      <c r="AE13" s="9"/>
      <c r="AF13" s="28"/>
      <c r="AG13" s="28"/>
      <c r="AH13" s="28"/>
      <c r="AI13" s="28"/>
      <c r="AJ13" s="1"/>
      <c r="AK13" s="5"/>
      <c r="AL13" s="5"/>
      <c r="AM13" s="5"/>
      <c r="AN13" s="8"/>
      <c r="AO13" s="1"/>
      <c r="AP13" s="1"/>
      <c r="AQ13" s="1"/>
      <c r="AR13" s="1"/>
      <c r="AS13" s="1"/>
      <c r="AT13" s="1"/>
      <c r="AU13" s="1"/>
      <c r="AV13" s="1"/>
      <c r="AW13" s="8"/>
      <c r="AX13" s="8"/>
      <c r="AY13" s="8"/>
      <c r="AZ13" s="8"/>
      <c r="BA13" s="8"/>
      <c r="BB13" s="8"/>
      <c r="BC13" s="8"/>
      <c r="BD13" s="8"/>
      <c r="BE13" s="8"/>
    </row>
    <row r="14" spans="1:57" x14ac:dyDescent="0.25">
      <c r="A14" s="33">
        <v>2028</v>
      </c>
      <c r="B14" s="28">
        <f ca="1">HLOOKUP(source!$E$1,Prfrd112619!$A$6:$AC$36,10,FALSE)</f>
        <v>252.99412915851272</v>
      </c>
      <c r="C14" s="28">
        <f ca="1">HLOOKUP(source!$E$1,Base!$A$6:$AC$36,10,FALSE)</f>
        <v>151.79647749510764</v>
      </c>
      <c r="D14" s="28">
        <f ca="1">HLOOKUP(source!$E$1,'Market Only'!$A$6:$AC$36,10,FALSE)</f>
        <v>252.99412915851272</v>
      </c>
      <c r="E14" s="28">
        <f ca="1">HLOOKUP(source!$E$1,'Solar + Wind'!$A$6:$AC$36,10,FALSE)</f>
        <v>303.59295499021528</v>
      </c>
      <c r="F14" s="28">
        <f ca="1">HLOOKUP(source!$E$1,'CT Only'!$A$6:$AC$36,10,FALSE)</f>
        <v>0</v>
      </c>
      <c r="G14" s="28">
        <f ca="1">HLOOKUP(source!$E$1,'CC Only'!$A$6:$AC$36,10,FALSE)</f>
        <v>0</v>
      </c>
      <c r="H14" s="11"/>
      <c r="I14" s="11">
        <f t="shared" ca="1" si="1"/>
        <v>0</v>
      </c>
      <c r="J14" s="11">
        <f t="shared" ca="1" si="1"/>
        <v>-101.19765166340508</v>
      </c>
      <c r="K14" s="11">
        <f t="shared" ca="1" si="1"/>
        <v>0</v>
      </c>
      <c r="L14" s="11">
        <f t="shared" ca="1" si="1"/>
        <v>50.598825831702555</v>
      </c>
      <c r="M14" s="11">
        <f t="shared" ca="1" si="1"/>
        <v>-252.99412915851272</v>
      </c>
      <c r="N14" s="11">
        <f t="shared" ca="1" si="1"/>
        <v>-252.99412915851272</v>
      </c>
      <c r="O14" s="11"/>
      <c r="P14" s="12"/>
      <c r="Q14" s="12"/>
      <c r="R14" s="13"/>
      <c r="S14" s="10"/>
      <c r="T14" s="10"/>
      <c r="U14" s="10"/>
      <c r="V14" s="10"/>
      <c r="W14" s="10"/>
      <c r="X14" s="7"/>
      <c r="Y14" s="6"/>
      <c r="Z14" s="4"/>
      <c r="AA14" s="57"/>
      <c r="AB14" s="57"/>
      <c r="AC14" s="57"/>
      <c r="AD14" s="57"/>
      <c r="AE14" s="9"/>
      <c r="AF14" s="28"/>
      <c r="AG14" s="28"/>
      <c r="AH14" s="28"/>
      <c r="AI14" s="28"/>
      <c r="AJ14" s="1"/>
      <c r="AK14" s="5"/>
      <c r="AL14" s="5"/>
      <c r="AM14" s="5"/>
      <c r="AN14" s="8"/>
      <c r="AO14" s="1"/>
      <c r="AP14" s="1"/>
      <c r="AQ14" s="1"/>
      <c r="AR14" s="1"/>
      <c r="AS14" s="1"/>
      <c r="AT14" s="1"/>
      <c r="AU14" s="1"/>
      <c r="AV14" s="1"/>
      <c r="AW14" s="8"/>
      <c r="AX14" s="8"/>
      <c r="AY14" s="8"/>
      <c r="AZ14" s="8"/>
      <c r="BA14" s="8"/>
      <c r="BB14" s="8"/>
      <c r="BC14" s="8"/>
      <c r="BD14" s="8"/>
      <c r="BE14" s="8"/>
    </row>
    <row r="15" spans="1:57" x14ac:dyDescent="0.25">
      <c r="A15" s="33">
        <v>2029</v>
      </c>
      <c r="B15" s="28">
        <f ca="1">HLOOKUP(source!$E$1,Prfrd112619!$A$6:$AC$36,11,FALSE)</f>
        <v>252.99412915851272</v>
      </c>
      <c r="C15" s="28">
        <f ca="1">HLOOKUP(source!$E$1,Base!$A$6:$AC$36,11,FALSE)</f>
        <v>151.79647749510764</v>
      </c>
      <c r="D15" s="28">
        <f ca="1">HLOOKUP(source!$E$1,'Market Only'!$A$6:$AC$36,11,FALSE)</f>
        <v>252.99412915851272</v>
      </c>
      <c r="E15" s="28">
        <f ca="1">HLOOKUP(source!$E$1,'Solar + Wind'!$A$6:$AC$36,11,FALSE)</f>
        <v>303.59295499021528</v>
      </c>
      <c r="F15" s="28">
        <f ca="1">HLOOKUP(source!$E$1,'CT Only'!$A$6:$AC$36,11,FALSE)</f>
        <v>0</v>
      </c>
      <c r="G15" s="28">
        <f ca="1">HLOOKUP(source!$E$1,'CC Only'!$A$6:$AC$36,11,FALSE)</f>
        <v>0</v>
      </c>
      <c r="H15" s="11"/>
      <c r="I15" s="11">
        <f t="shared" ca="1" si="1"/>
        <v>0</v>
      </c>
      <c r="J15" s="11">
        <f t="shared" ca="1" si="1"/>
        <v>-101.19765166340508</v>
      </c>
      <c r="K15" s="11">
        <f t="shared" ca="1" si="1"/>
        <v>0</v>
      </c>
      <c r="L15" s="11">
        <f t="shared" ca="1" si="1"/>
        <v>50.598825831702555</v>
      </c>
      <c r="M15" s="11">
        <f t="shared" ca="1" si="1"/>
        <v>-252.99412915851272</v>
      </c>
      <c r="N15" s="11">
        <f t="shared" ca="1" si="1"/>
        <v>-252.99412915851272</v>
      </c>
      <c r="O15" s="11"/>
      <c r="P15" s="12"/>
      <c r="Q15" s="12"/>
      <c r="R15" s="13"/>
      <c r="S15" s="10"/>
      <c r="T15" s="10"/>
      <c r="U15" s="10"/>
      <c r="V15" s="10"/>
      <c r="W15" s="10"/>
      <c r="X15" s="7"/>
      <c r="Y15" s="6"/>
      <c r="Z15" s="4"/>
      <c r="AA15" s="57"/>
      <c r="AB15" s="57"/>
      <c r="AC15" s="57"/>
      <c r="AD15" s="57"/>
      <c r="AE15" s="9"/>
      <c r="AF15" s="28"/>
      <c r="AG15" s="28"/>
      <c r="AH15" s="28"/>
      <c r="AI15" s="28"/>
      <c r="AJ15" s="1"/>
      <c r="AK15" s="5"/>
      <c r="AL15" s="5"/>
      <c r="AM15" s="5"/>
      <c r="AN15" s="8"/>
      <c r="AO15" s="1"/>
      <c r="AP15" s="1"/>
      <c r="AQ15" s="1"/>
      <c r="AR15" s="1"/>
      <c r="AS15" s="1"/>
      <c r="AT15" s="1"/>
      <c r="AU15" s="1"/>
      <c r="AV15" s="1"/>
      <c r="AW15" s="8"/>
      <c r="AX15" s="8"/>
      <c r="AY15" s="8"/>
      <c r="AZ15" s="8"/>
      <c r="BA15" s="8"/>
      <c r="BB15" s="8"/>
      <c r="BC15" s="8"/>
      <c r="BD15" s="8"/>
      <c r="BE15" s="8"/>
    </row>
    <row r="16" spans="1:57" x14ac:dyDescent="0.25">
      <c r="A16" s="33">
        <v>2030</v>
      </c>
      <c r="B16" s="28">
        <f ca="1">HLOOKUP(source!$E$1,Prfrd112619!$A$6:$AC$36,12,FALSE)</f>
        <v>252.99412915851272</v>
      </c>
      <c r="C16" s="28">
        <f ca="1">HLOOKUP(source!$E$1,Base!$A$6:$AC$36,12,FALSE)</f>
        <v>303.59295499021528</v>
      </c>
      <c r="D16" s="28">
        <f ca="1">HLOOKUP(source!$E$1,'Market Only'!$A$6:$AC$36,12,FALSE)</f>
        <v>303.59295499021533</v>
      </c>
      <c r="E16" s="28">
        <f ca="1">HLOOKUP(source!$E$1,'Solar + Wind'!$A$6:$AC$36,12,FALSE)</f>
        <v>303.59295499021528</v>
      </c>
      <c r="F16" s="28">
        <f ca="1">HLOOKUP(source!$E$1,'CT Only'!$A$6:$AC$36,12,FALSE)</f>
        <v>0</v>
      </c>
      <c r="G16" s="28">
        <f ca="1">HLOOKUP(source!$E$1,'CC Only'!$A$6:$AC$36,12,FALSE)</f>
        <v>0</v>
      </c>
      <c r="H16" s="11"/>
      <c r="I16" s="11">
        <f t="shared" ca="1" si="1"/>
        <v>-50.598825831702612</v>
      </c>
      <c r="J16" s="11">
        <f t="shared" ca="1" si="1"/>
        <v>0</v>
      </c>
      <c r="K16" s="11">
        <f t="shared" ca="1" si="1"/>
        <v>0</v>
      </c>
      <c r="L16" s="11">
        <f t="shared" ca="1" si="1"/>
        <v>0</v>
      </c>
      <c r="M16" s="11">
        <f t="shared" ca="1" si="1"/>
        <v>-303.59295499021533</v>
      </c>
      <c r="N16" s="11">
        <f t="shared" ca="1" si="1"/>
        <v>-303.59295499021533</v>
      </c>
      <c r="O16" s="11"/>
      <c r="P16" s="12"/>
      <c r="Q16" s="12"/>
      <c r="R16" s="13"/>
      <c r="S16" s="10"/>
      <c r="T16" s="10"/>
      <c r="U16" s="10"/>
      <c r="V16" s="10"/>
      <c r="W16" s="10"/>
      <c r="X16" s="7"/>
      <c r="Y16" s="6"/>
      <c r="Z16" s="4"/>
      <c r="AA16" s="57"/>
      <c r="AB16" s="57"/>
      <c r="AC16" s="57"/>
      <c r="AD16" s="57"/>
      <c r="AE16" s="9"/>
      <c r="AF16" s="28"/>
      <c r="AG16" s="28"/>
      <c r="AH16" s="28"/>
      <c r="AI16" s="28"/>
      <c r="AJ16" s="1"/>
      <c r="AK16" s="5"/>
      <c r="AL16" s="5"/>
      <c r="AM16" s="5"/>
      <c r="AN16" s="8"/>
      <c r="AO16" s="1"/>
      <c r="AP16" s="1"/>
      <c r="AQ16" s="1"/>
      <c r="AR16" s="1"/>
      <c r="AS16" s="1"/>
      <c r="AT16" s="1"/>
      <c r="AU16" s="1"/>
      <c r="AV16" s="1"/>
      <c r="AW16" s="8"/>
      <c r="AX16" s="8"/>
      <c r="AY16" s="8"/>
      <c r="AZ16" s="8"/>
      <c r="BA16" s="8"/>
      <c r="BB16" s="8"/>
      <c r="BC16" s="8"/>
      <c r="BD16" s="8"/>
      <c r="BE16" s="8"/>
    </row>
    <row r="17" spans="1:57" x14ac:dyDescent="0.25">
      <c r="A17" s="33">
        <v>2031</v>
      </c>
      <c r="B17" s="28">
        <f ca="1">HLOOKUP(source!$E$1,Prfrd112619!$A$6:$AC$36,13,FALSE)</f>
        <v>455.38943248532291</v>
      </c>
      <c r="C17" s="28">
        <f ca="1">HLOOKUP(source!$E$1,Base!$A$6:$AC$36,13,FALSE)</f>
        <v>455.38943248532291</v>
      </c>
      <c r="D17" s="28">
        <f ca="1">HLOOKUP(source!$E$1,'Market Only'!$A$6:$AC$36,13,FALSE)</f>
        <v>455.38943248532291</v>
      </c>
      <c r="E17" s="28">
        <f ca="1">HLOOKUP(source!$E$1,'Solar + Wind'!$A$6:$AC$36,13,FALSE)</f>
        <v>455.38943248532291</v>
      </c>
      <c r="F17" s="28">
        <f ca="1">HLOOKUP(source!$E$1,'CT Only'!$A$6:$AC$36,13,FALSE)</f>
        <v>303.59295499021528</v>
      </c>
      <c r="G17" s="28">
        <f ca="1">HLOOKUP(source!$E$1,'CC Only'!$A$6:$AC$36,13,FALSE)</f>
        <v>303.59295499021528</v>
      </c>
      <c r="H17" s="11"/>
      <c r="I17" s="11">
        <f t="shared" ca="1" si="1"/>
        <v>0</v>
      </c>
      <c r="J17" s="11">
        <f t="shared" ca="1" si="1"/>
        <v>0</v>
      </c>
      <c r="K17" s="11">
        <f t="shared" ca="1" si="1"/>
        <v>0</v>
      </c>
      <c r="L17" s="11">
        <f t="shared" ca="1" si="1"/>
        <v>0</v>
      </c>
      <c r="M17" s="11">
        <f t="shared" ca="1" si="1"/>
        <v>-151.79647749510764</v>
      </c>
      <c r="N17" s="11">
        <f t="shared" ca="1" si="1"/>
        <v>-151.79647749510764</v>
      </c>
      <c r="O17" s="11"/>
      <c r="P17" s="12"/>
      <c r="Q17" s="12"/>
      <c r="R17" s="13"/>
      <c r="S17" s="10"/>
      <c r="T17" s="10"/>
      <c r="U17" s="10"/>
      <c r="V17" s="10"/>
      <c r="W17" s="10"/>
      <c r="X17" s="7"/>
      <c r="Y17" s="6"/>
      <c r="Z17" s="4"/>
      <c r="AA17" s="57"/>
      <c r="AB17" s="57"/>
      <c r="AC17" s="57"/>
      <c r="AD17" s="57"/>
      <c r="AE17" s="9"/>
      <c r="AF17" s="28"/>
      <c r="AG17" s="28"/>
      <c r="AH17" s="28"/>
      <c r="AI17" s="28"/>
      <c r="AJ17" s="1"/>
      <c r="AK17" s="5"/>
      <c r="AL17" s="5"/>
      <c r="AM17" s="5"/>
      <c r="AN17" s="8"/>
      <c r="AO17" s="1"/>
      <c r="AP17" s="1"/>
      <c r="AQ17" s="1"/>
      <c r="AR17" s="1"/>
      <c r="AS17" s="1"/>
      <c r="AT17" s="1"/>
      <c r="AU17" s="1"/>
      <c r="AV17" s="1"/>
      <c r="AW17" s="8"/>
      <c r="AX17" s="8"/>
      <c r="AY17" s="8"/>
      <c r="AZ17" s="8"/>
      <c r="BA17" s="8"/>
      <c r="BB17" s="8"/>
      <c r="BC17" s="8"/>
      <c r="BD17" s="8"/>
      <c r="BE17" s="8"/>
    </row>
    <row r="18" spans="1:57" x14ac:dyDescent="0.25">
      <c r="A18" s="33">
        <v>2032</v>
      </c>
      <c r="B18" s="28">
        <f ca="1">HLOOKUP(source!$E$1,Prfrd112619!$A$6:$AC$36,14,FALSE)</f>
        <v>455.38943248532291</v>
      </c>
      <c r="C18" s="28">
        <f ca="1">HLOOKUP(source!$E$1,Base!$A$6:$AC$36,14,FALSE)</f>
        <v>455.38943248532291</v>
      </c>
      <c r="D18" s="28">
        <f ca="1">HLOOKUP(source!$E$1,'Market Only'!$A$6:$AC$36,14,FALSE)</f>
        <v>455.38943248532291</v>
      </c>
      <c r="E18" s="28">
        <f ca="1">HLOOKUP(source!$E$1,'Solar + Wind'!$A$6:$AC$36,14,FALSE)</f>
        <v>455.38943248532291</v>
      </c>
      <c r="F18" s="28">
        <f ca="1">HLOOKUP(source!$E$1,'CT Only'!$A$6:$AC$36,14,FALSE)</f>
        <v>455.38943248532291</v>
      </c>
      <c r="G18" s="28">
        <f ca="1">HLOOKUP(source!$E$1,'CC Only'!$A$6:$AC$36,14,FALSE)</f>
        <v>455.38943248532291</v>
      </c>
      <c r="H18" s="11"/>
      <c r="I18" s="11">
        <f t="shared" ca="1" si="1"/>
        <v>0</v>
      </c>
      <c r="J18" s="11">
        <f t="shared" ca="1" si="1"/>
        <v>0</v>
      </c>
      <c r="K18" s="11">
        <f t="shared" ca="1" si="1"/>
        <v>0</v>
      </c>
      <c r="L18" s="11">
        <f t="shared" ca="1" si="1"/>
        <v>0</v>
      </c>
      <c r="M18" s="11">
        <f t="shared" ca="1" si="1"/>
        <v>0</v>
      </c>
      <c r="N18" s="11">
        <f t="shared" ca="1" si="1"/>
        <v>0</v>
      </c>
      <c r="O18" s="11"/>
      <c r="P18" s="12"/>
      <c r="Q18" s="12"/>
      <c r="R18" s="13"/>
      <c r="S18" s="10"/>
      <c r="T18" s="10"/>
      <c r="U18" s="10"/>
      <c r="V18" s="10"/>
      <c r="W18" s="10"/>
      <c r="X18" s="7"/>
      <c r="Y18" s="6"/>
      <c r="Z18" s="4"/>
      <c r="AA18" s="57"/>
      <c r="AB18" s="57"/>
      <c r="AC18" s="57"/>
      <c r="AD18" s="57"/>
      <c r="AE18" s="9"/>
      <c r="AF18" s="28"/>
      <c r="AG18" s="28"/>
      <c r="AH18" s="28"/>
      <c r="AI18" s="28"/>
      <c r="AJ18" s="1"/>
      <c r="AK18" s="5"/>
      <c r="AL18" s="5"/>
      <c r="AM18" s="5"/>
      <c r="AN18" s="8"/>
      <c r="AO18" s="1"/>
      <c r="AP18" s="1"/>
      <c r="AQ18" s="1"/>
      <c r="AR18" s="1"/>
      <c r="AS18" s="1"/>
      <c r="AT18" s="1"/>
      <c r="AU18" s="1"/>
      <c r="AV18" s="1"/>
      <c r="AW18" s="8"/>
      <c r="AX18" s="8"/>
      <c r="AY18" s="8"/>
      <c r="AZ18" s="8"/>
      <c r="BA18" s="8"/>
      <c r="BB18" s="8"/>
      <c r="BC18" s="8"/>
      <c r="BD18" s="8"/>
      <c r="BE18" s="8"/>
    </row>
    <row r="19" spans="1:57" x14ac:dyDescent="0.25">
      <c r="A19" s="33">
        <v>2033</v>
      </c>
      <c r="B19" s="28">
        <f ca="1">HLOOKUP(source!$E$1,Prfrd112619!$A$6:$AC$36,15,FALSE)</f>
        <v>455.38943248532291</v>
      </c>
      <c r="C19" s="28">
        <f ca="1">HLOOKUP(source!$E$1,Base!$A$6:$AC$36,15,FALSE)</f>
        <v>455.38943248532291</v>
      </c>
      <c r="D19" s="28">
        <f ca="1">HLOOKUP(source!$E$1,'Market Only'!$A$6:$AC$36,15,FALSE)</f>
        <v>455.38943248532291</v>
      </c>
      <c r="E19" s="28">
        <f ca="1">HLOOKUP(source!$E$1,'Solar + Wind'!$A$6:$AC$36,15,FALSE)</f>
        <v>455.38943248532291</v>
      </c>
      <c r="F19" s="28">
        <f ca="1">HLOOKUP(source!$E$1,'CT Only'!$A$6:$AC$36,15,FALSE)</f>
        <v>455.38943248532291</v>
      </c>
      <c r="G19" s="28">
        <f ca="1">HLOOKUP(source!$E$1,'CC Only'!$A$6:$AC$36,15,FALSE)</f>
        <v>455.38943248532291</v>
      </c>
      <c r="H19" s="11"/>
      <c r="I19" s="11">
        <f t="shared" ca="1" si="1"/>
        <v>0</v>
      </c>
      <c r="J19" s="11">
        <f t="shared" ca="1" si="1"/>
        <v>0</v>
      </c>
      <c r="K19" s="11">
        <f t="shared" ca="1" si="1"/>
        <v>0</v>
      </c>
      <c r="L19" s="11">
        <f t="shared" ca="1" si="1"/>
        <v>0</v>
      </c>
      <c r="M19" s="11">
        <f t="shared" ca="1" si="1"/>
        <v>0</v>
      </c>
      <c r="N19" s="11">
        <f t="shared" ca="1" si="1"/>
        <v>0</v>
      </c>
      <c r="O19" s="11"/>
      <c r="Q19" s="12"/>
      <c r="R19" s="13"/>
      <c r="S19" s="10"/>
      <c r="T19" s="10"/>
      <c r="U19" s="10"/>
      <c r="V19" s="10"/>
      <c r="W19" s="10"/>
      <c r="X19" s="7"/>
      <c r="Y19" s="6"/>
      <c r="Z19" s="4"/>
      <c r="AA19" s="57"/>
      <c r="AB19" s="57"/>
      <c r="AC19" s="57"/>
      <c r="AD19" s="57"/>
      <c r="AE19" s="9"/>
      <c r="AF19" s="28"/>
      <c r="AG19" s="28"/>
      <c r="AH19" s="28"/>
      <c r="AI19" s="28"/>
      <c r="AJ19" s="1"/>
      <c r="AK19" s="5"/>
      <c r="AL19" s="5"/>
      <c r="AM19" s="5"/>
      <c r="AN19" s="8"/>
      <c r="AO19" s="1"/>
      <c r="AP19" s="1"/>
      <c r="AQ19" s="1"/>
      <c r="AR19" s="1"/>
      <c r="AS19" s="1"/>
      <c r="AT19" s="1"/>
      <c r="AU19" s="1"/>
      <c r="AV19" s="1"/>
      <c r="AW19" s="8"/>
      <c r="AX19" s="8"/>
      <c r="AY19" s="8"/>
      <c r="AZ19" s="8"/>
      <c r="BA19" s="8"/>
      <c r="BB19" s="8"/>
      <c r="BC19" s="8"/>
      <c r="BD19" s="8"/>
      <c r="BE19" s="8"/>
    </row>
    <row r="20" spans="1:57" x14ac:dyDescent="0.25">
      <c r="A20" s="33">
        <v>2034</v>
      </c>
      <c r="B20" s="28">
        <f ca="1">HLOOKUP(source!$E$1,Prfrd112619!$A$6:$AC$36,16,FALSE)</f>
        <v>455.38943248532291</v>
      </c>
      <c r="C20" s="28">
        <f ca="1">HLOOKUP(source!$E$1,Base!$A$6:$AC$36,16,FALSE)</f>
        <v>455.38943248532291</v>
      </c>
      <c r="D20" s="28">
        <f ca="1">HLOOKUP(source!$E$1,'Market Only'!$A$6:$AC$36,16,FALSE)</f>
        <v>455.38943248532291</v>
      </c>
      <c r="E20" s="28">
        <f ca="1">HLOOKUP(source!$E$1,'Solar + Wind'!$A$6:$AC$36,16,FALSE)</f>
        <v>455.38943248532291</v>
      </c>
      <c r="F20" s="28">
        <f ca="1">HLOOKUP(source!$E$1,'CT Only'!$A$6:$AC$36,16,FALSE)</f>
        <v>455.38943248532291</v>
      </c>
      <c r="G20" s="28">
        <f ca="1">HLOOKUP(source!$E$1,'CC Only'!$A$6:$AC$36,16,FALSE)</f>
        <v>455.38943248532291</v>
      </c>
      <c r="H20" s="11"/>
      <c r="I20" s="11">
        <f t="shared" ca="1" si="1"/>
        <v>0</v>
      </c>
      <c r="J20" s="11">
        <f t="shared" ca="1" si="1"/>
        <v>0</v>
      </c>
      <c r="K20" s="11">
        <f t="shared" ca="1" si="1"/>
        <v>0</v>
      </c>
      <c r="L20" s="11">
        <f t="shared" ca="1" si="1"/>
        <v>0</v>
      </c>
      <c r="M20" s="11">
        <f t="shared" ca="1" si="1"/>
        <v>0</v>
      </c>
      <c r="N20" s="11">
        <f t="shared" ca="1" si="1"/>
        <v>0</v>
      </c>
      <c r="O20" s="11"/>
      <c r="P20" s="12"/>
      <c r="Q20" s="12"/>
      <c r="R20" s="13"/>
      <c r="S20" s="10"/>
      <c r="T20" s="10"/>
      <c r="U20" s="10"/>
      <c r="V20" s="10"/>
      <c r="W20" s="10"/>
      <c r="X20" s="7"/>
      <c r="Y20" s="6"/>
      <c r="Z20" s="4"/>
      <c r="AA20" s="57"/>
      <c r="AB20" s="57"/>
      <c r="AC20" s="57"/>
      <c r="AD20" s="57"/>
      <c r="AE20" s="9"/>
      <c r="AF20" s="28"/>
      <c r="AG20" s="28"/>
      <c r="AH20" s="28"/>
      <c r="AI20" s="28"/>
      <c r="AJ20" s="1"/>
      <c r="AK20" s="5"/>
      <c r="AL20" s="5"/>
      <c r="AM20" s="5"/>
      <c r="AN20" s="8"/>
      <c r="AO20" s="1"/>
      <c r="AP20" s="1"/>
      <c r="AQ20" s="1"/>
      <c r="AR20" s="1"/>
      <c r="AS20" s="1"/>
      <c r="AT20" s="1"/>
      <c r="AU20" s="1"/>
      <c r="AV20" s="1"/>
      <c r="AW20" s="8"/>
      <c r="AX20" s="8"/>
      <c r="AY20" s="8"/>
      <c r="AZ20" s="8"/>
      <c r="BA20" s="8"/>
      <c r="BB20" s="8"/>
      <c r="BC20" s="8"/>
      <c r="BD20" s="8"/>
      <c r="BE20" s="8"/>
    </row>
    <row r="21" spans="1:57" x14ac:dyDescent="0.25">
      <c r="A21" s="33">
        <v>2035</v>
      </c>
      <c r="B21" s="28">
        <f ca="1">HLOOKUP(source!$E$1,Prfrd112619!$A$6:$AC$36,17,FALSE)</f>
        <v>455.38943248532291</v>
      </c>
      <c r="C21" s="28">
        <f ca="1">HLOOKUP(source!$E$1,Base!$A$6:$AC$36,17,FALSE)</f>
        <v>455.38943248532291</v>
      </c>
      <c r="D21" s="28">
        <f ca="1">HLOOKUP(source!$E$1,'Market Only'!$A$6:$AC$36,17,FALSE)</f>
        <v>455.38943248532291</v>
      </c>
      <c r="E21" s="28">
        <f ca="1">HLOOKUP(source!$E$1,'Solar + Wind'!$A$6:$AC$36,17,FALSE)</f>
        <v>455.38943248532291</v>
      </c>
      <c r="F21" s="28">
        <f ca="1">HLOOKUP(source!$E$1,'CT Only'!$A$6:$AC$36,17,FALSE)</f>
        <v>455.38943248532291</v>
      </c>
      <c r="G21" s="28">
        <f ca="1">HLOOKUP(source!$E$1,'CC Only'!$A$6:$AC$36,17,FALSE)</f>
        <v>455.38943248532291</v>
      </c>
      <c r="H21" s="11"/>
      <c r="I21" s="11">
        <f t="shared" ca="1" si="1"/>
        <v>0</v>
      </c>
      <c r="J21" s="11">
        <f t="shared" ca="1" si="1"/>
        <v>0</v>
      </c>
      <c r="K21" s="11">
        <f t="shared" ca="1" si="1"/>
        <v>0</v>
      </c>
      <c r="L21" s="11">
        <f t="shared" ca="1" si="1"/>
        <v>0</v>
      </c>
      <c r="M21" s="11">
        <f t="shared" ca="1" si="1"/>
        <v>0</v>
      </c>
      <c r="N21" s="11">
        <f t="shared" ca="1" si="1"/>
        <v>0</v>
      </c>
      <c r="O21" s="11"/>
      <c r="P21" s="12"/>
      <c r="Q21" s="12"/>
      <c r="R21" s="13"/>
      <c r="S21" s="10"/>
      <c r="T21" s="10"/>
      <c r="U21" s="10"/>
      <c r="V21" s="10"/>
      <c r="W21" s="10"/>
      <c r="X21" s="7"/>
      <c r="Y21" s="6"/>
      <c r="Z21" s="4"/>
      <c r="AA21" s="57"/>
      <c r="AB21" s="57"/>
      <c r="AC21" s="57"/>
      <c r="AD21" s="57"/>
      <c r="AE21" s="9"/>
      <c r="AF21" s="28"/>
      <c r="AG21" s="28"/>
      <c r="AH21" s="28"/>
      <c r="AI21" s="28"/>
      <c r="AJ21" s="1"/>
      <c r="AK21" s="5"/>
      <c r="AL21" s="5"/>
      <c r="AM21" s="5"/>
      <c r="AN21" s="8"/>
      <c r="AO21" s="1"/>
      <c r="AP21" s="1"/>
      <c r="AQ21" s="1"/>
      <c r="AR21" s="1"/>
      <c r="AS21" s="1"/>
      <c r="AT21" s="1"/>
      <c r="AU21" s="1"/>
      <c r="AV21" s="1"/>
      <c r="AW21" s="8"/>
      <c r="AX21" s="8"/>
      <c r="AY21" s="8"/>
      <c r="AZ21" s="8"/>
      <c r="BA21" s="8"/>
      <c r="BB21" s="8"/>
      <c r="BC21" s="8"/>
      <c r="BD21" s="8"/>
      <c r="BE21" s="8"/>
    </row>
    <row r="22" spans="1:57" x14ac:dyDescent="0.25">
      <c r="A22" s="33">
        <v>2036</v>
      </c>
      <c r="B22" s="28">
        <f ca="1">HLOOKUP(source!$E$1,Prfrd112619!$A$6:$AC$36,18,FALSE)</f>
        <v>455.38943248532291</v>
      </c>
      <c r="C22" s="28">
        <f ca="1">HLOOKUP(source!$E$1,Base!$A$6:$AC$36,18,FALSE)</f>
        <v>455.38943248532291</v>
      </c>
      <c r="D22" s="28">
        <f ca="1">HLOOKUP(source!$E$1,'Market Only'!$A$6:$AC$36,18,FALSE)</f>
        <v>455.38943248532291</v>
      </c>
      <c r="E22" s="28">
        <f ca="1">HLOOKUP(source!$E$1,'Solar + Wind'!$A$6:$AC$36,18,FALSE)</f>
        <v>455.38943248532291</v>
      </c>
      <c r="F22" s="28">
        <f ca="1">HLOOKUP(source!$E$1,'CT Only'!$A$6:$AC$36,18,FALSE)</f>
        <v>455.38943248532291</v>
      </c>
      <c r="G22" s="28">
        <f ca="1">HLOOKUP(source!$E$1,'CC Only'!$A$6:$AC$36,18,FALSE)</f>
        <v>455.38943248532291</v>
      </c>
      <c r="H22" s="11"/>
      <c r="I22" s="11">
        <f t="shared" ca="1" si="1"/>
        <v>0</v>
      </c>
      <c r="J22" s="11">
        <f t="shared" ca="1" si="1"/>
        <v>0</v>
      </c>
      <c r="K22" s="11">
        <f t="shared" ca="1" si="1"/>
        <v>0</v>
      </c>
      <c r="L22" s="11">
        <f t="shared" ca="1" si="1"/>
        <v>0</v>
      </c>
      <c r="M22" s="11">
        <f t="shared" ca="1" si="1"/>
        <v>0</v>
      </c>
      <c r="N22" s="11">
        <f t="shared" ca="1" si="1"/>
        <v>0</v>
      </c>
      <c r="O22" s="11"/>
      <c r="P22" s="12"/>
      <c r="Q22" s="12"/>
      <c r="R22" s="13"/>
      <c r="S22" s="10"/>
      <c r="T22" s="10"/>
      <c r="U22" s="10"/>
      <c r="V22" s="10"/>
      <c r="W22" s="10"/>
      <c r="X22" s="7"/>
      <c r="Y22" s="6"/>
      <c r="Z22" s="4"/>
      <c r="AA22" s="57"/>
      <c r="AB22" s="57"/>
      <c r="AC22" s="57"/>
      <c r="AD22" s="57"/>
      <c r="AE22" s="9"/>
      <c r="AF22" s="28"/>
      <c r="AG22" s="28"/>
      <c r="AH22" s="28"/>
      <c r="AI22" s="28"/>
      <c r="AJ22" s="1"/>
      <c r="AK22" s="5"/>
      <c r="AL22" s="5"/>
      <c r="AM22" s="5"/>
      <c r="AN22" s="8"/>
      <c r="AO22" s="1"/>
      <c r="AP22" s="1"/>
      <c r="AQ22" s="1"/>
      <c r="AR22" s="1"/>
      <c r="AS22" s="1"/>
      <c r="AT22" s="1"/>
      <c r="AU22" s="1"/>
      <c r="AV22" s="1"/>
      <c r="AW22" s="8"/>
      <c r="AX22" s="8"/>
      <c r="AY22" s="8"/>
      <c r="AZ22" s="8"/>
      <c r="BA22" s="8"/>
      <c r="BB22" s="8"/>
      <c r="BC22" s="8"/>
      <c r="BD22" s="8"/>
      <c r="BE22" s="8"/>
    </row>
    <row r="23" spans="1:57" x14ac:dyDescent="0.25">
      <c r="A23" s="33">
        <v>2037</v>
      </c>
      <c r="B23" s="28">
        <f ca="1">HLOOKUP(source!$E$1,Prfrd112619!$A$6:$AC$36,19,FALSE)</f>
        <v>455.38943248532291</v>
      </c>
      <c r="C23" s="28">
        <f ca="1">HLOOKUP(source!$E$1,Base!$A$6:$AC$36,19,FALSE)</f>
        <v>455.38943248532291</v>
      </c>
      <c r="D23" s="28">
        <f ca="1">HLOOKUP(source!$E$1,'Market Only'!$A$6:$AC$36,19,FALSE)</f>
        <v>455.38943248532291</v>
      </c>
      <c r="E23" s="28">
        <f ca="1">HLOOKUP(source!$E$1,'Solar + Wind'!$A$6:$AC$36,19,FALSE)</f>
        <v>455.38943248532291</v>
      </c>
      <c r="F23" s="28">
        <f ca="1">HLOOKUP(source!$E$1,'CT Only'!$A$6:$AC$36,19,FALSE)</f>
        <v>455.38943248532291</v>
      </c>
      <c r="G23" s="28">
        <f ca="1">HLOOKUP(source!$E$1,'CC Only'!$A$6:$AC$36,19,FALSE)</f>
        <v>455.38943248532291</v>
      </c>
      <c r="H23" s="11"/>
      <c r="I23" s="11">
        <f t="shared" ca="1" si="1"/>
        <v>0</v>
      </c>
      <c r="J23" s="11">
        <f t="shared" ca="1" si="1"/>
        <v>0</v>
      </c>
      <c r="K23" s="11">
        <f t="shared" ca="1" si="1"/>
        <v>0</v>
      </c>
      <c r="L23" s="11">
        <f t="shared" ca="1" si="1"/>
        <v>0</v>
      </c>
      <c r="M23" s="11">
        <f t="shared" ca="1" si="1"/>
        <v>0</v>
      </c>
      <c r="N23" s="11">
        <f t="shared" ca="1" si="1"/>
        <v>0</v>
      </c>
      <c r="O23" s="11"/>
      <c r="P23" s="12"/>
      <c r="Q23" s="12"/>
      <c r="R23" s="13"/>
      <c r="S23" s="10"/>
      <c r="T23" s="10"/>
      <c r="U23" s="10"/>
      <c r="V23" s="10"/>
      <c r="W23" s="10"/>
      <c r="X23" s="7"/>
      <c r="Y23" s="6"/>
      <c r="Z23" s="4"/>
      <c r="AA23" s="57"/>
      <c r="AB23" s="57"/>
      <c r="AC23" s="57"/>
      <c r="AD23" s="57"/>
      <c r="AE23" s="9"/>
      <c r="AF23" s="28"/>
      <c r="AG23" s="28"/>
      <c r="AH23" s="28"/>
      <c r="AI23" s="28"/>
      <c r="AJ23" s="1"/>
      <c r="AK23" s="5"/>
      <c r="AL23" s="5"/>
      <c r="AM23" s="5"/>
      <c r="AN23" s="8"/>
      <c r="AO23" s="1"/>
      <c r="AP23" s="1"/>
      <c r="AQ23" s="1"/>
      <c r="AR23" s="1"/>
      <c r="AS23" s="1"/>
      <c r="AT23" s="1"/>
      <c r="AU23" s="1"/>
      <c r="AV23" s="1"/>
      <c r="AW23" s="8"/>
      <c r="AX23" s="8"/>
      <c r="AY23" s="8"/>
      <c r="AZ23" s="8"/>
      <c r="BA23" s="8"/>
      <c r="BB23" s="8"/>
      <c r="BC23" s="8"/>
      <c r="BD23" s="8"/>
      <c r="BE23" s="8"/>
    </row>
    <row r="24" spans="1:57" x14ac:dyDescent="0.25">
      <c r="A24" s="33">
        <v>2038</v>
      </c>
      <c r="B24" s="28">
        <f ca="1">HLOOKUP(source!$E$1,Prfrd112619!$A$6:$AC$36,20,FALSE)</f>
        <v>455.38943248532291</v>
      </c>
      <c r="C24" s="28">
        <f ca="1">HLOOKUP(source!$E$1,Base!$A$6:$AC$36,20,FALSE)</f>
        <v>455.38943248532291</v>
      </c>
      <c r="D24" s="28">
        <f ca="1">HLOOKUP(source!$E$1,'Market Only'!$A$6:$AC$36,20,FALSE)</f>
        <v>455.38943248532291</v>
      </c>
      <c r="E24" s="28">
        <f ca="1">HLOOKUP(source!$E$1,'Solar + Wind'!$A$6:$AC$36,20,FALSE)</f>
        <v>455.38943248532291</v>
      </c>
      <c r="F24" s="28">
        <f ca="1">HLOOKUP(source!$E$1,'CT Only'!$A$6:$AC$36,20,FALSE)</f>
        <v>455.38943248532291</v>
      </c>
      <c r="G24" s="28">
        <f ca="1">HLOOKUP(source!$E$1,'CC Only'!$A$6:$AC$36,20,FALSE)</f>
        <v>455.38943248532291</v>
      </c>
      <c r="H24" s="11"/>
      <c r="I24" s="11">
        <f t="shared" ca="1" si="1"/>
        <v>0</v>
      </c>
      <c r="J24" s="11">
        <f t="shared" ca="1" si="1"/>
        <v>0</v>
      </c>
      <c r="K24" s="11">
        <f t="shared" ca="1" si="1"/>
        <v>0</v>
      </c>
      <c r="L24" s="11">
        <f t="shared" ca="1" si="1"/>
        <v>0</v>
      </c>
      <c r="M24" s="11">
        <f t="shared" ca="1" si="1"/>
        <v>0</v>
      </c>
      <c r="N24" s="11">
        <f t="shared" ca="1" si="1"/>
        <v>0</v>
      </c>
      <c r="O24" s="11"/>
      <c r="P24" s="12"/>
      <c r="Q24" s="12"/>
      <c r="R24" s="13"/>
      <c r="S24" s="10"/>
      <c r="T24" s="10"/>
      <c r="U24" s="10"/>
      <c r="V24" s="10"/>
      <c r="W24" s="10"/>
      <c r="X24" s="7"/>
      <c r="Y24" s="6"/>
      <c r="Z24" s="4"/>
      <c r="AA24" s="57"/>
      <c r="AB24" s="57"/>
      <c r="AC24" s="57"/>
      <c r="AD24" s="57"/>
      <c r="AE24" s="1"/>
      <c r="AF24" s="28"/>
      <c r="AG24" s="28"/>
      <c r="AH24" s="28"/>
      <c r="AI24" s="28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x14ac:dyDescent="0.25">
      <c r="A25" s="33">
        <v>2039</v>
      </c>
      <c r="B25" s="28">
        <f ca="1">HLOOKUP(source!$E$1,Prfrd112619!$A$6:$AC$36,21,FALSE)</f>
        <v>455.38943248532291</v>
      </c>
      <c r="C25" s="28">
        <f ca="1">HLOOKUP(source!$E$1,Base!$A$6:$AC$36,21,FALSE)</f>
        <v>455.38943248532291</v>
      </c>
      <c r="D25" s="28">
        <f ca="1">HLOOKUP(source!$E$1,'Market Only'!$A$6:$AC$36,21,FALSE)</f>
        <v>455.38943248532291</v>
      </c>
      <c r="E25" s="28">
        <f ca="1">HLOOKUP(source!$E$1,'Solar + Wind'!$A$6:$AC$36,21,FALSE)</f>
        <v>455.38943248532291</v>
      </c>
      <c r="F25" s="28">
        <f ca="1">HLOOKUP(source!$E$1,'CT Only'!$A$6:$AC$36,21,FALSE)</f>
        <v>455.38943248532291</v>
      </c>
      <c r="G25" s="28">
        <f ca="1">HLOOKUP(source!$E$1,'CC Only'!$A$6:$AC$36,21,FALSE)</f>
        <v>455.38943248532291</v>
      </c>
      <c r="H25" s="11"/>
      <c r="I25" s="11">
        <f t="shared" ca="1" si="1"/>
        <v>0</v>
      </c>
      <c r="J25" s="11">
        <f t="shared" ca="1" si="1"/>
        <v>0</v>
      </c>
      <c r="K25" s="11">
        <f t="shared" ca="1" si="1"/>
        <v>0</v>
      </c>
      <c r="L25" s="11">
        <f t="shared" ca="1" si="1"/>
        <v>0</v>
      </c>
      <c r="M25" s="11">
        <f t="shared" ca="1" si="1"/>
        <v>0</v>
      </c>
      <c r="N25" s="11">
        <f t="shared" ca="1" si="1"/>
        <v>0</v>
      </c>
      <c r="O25" s="11"/>
      <c r="P25" s="12"/>
      <c r="Q25" s="12"/>
      <c r="R25" s="13"/>
      <c r="S25" s="10"/>
      <c r="T25" s="10"/>
      <c r="U25" s="10"/>
      <c r="V25" s="10"/>
      <c r="W25" s="10"/>
      <c r="X25" s="7"/>
      <c r="Y25" s="6"/>
      <c r="Z25" s="4"/>
      <c r="AA25" s="57"/>
      <c r="AB25" s="57"/>
      <c r="AC25" s="57"/>
      <c r="AD25" s="57"/>
      <c r="AE25" s="1"/>
      <c r="AF25" s="28"/>
      <c r="AG25" s="28"/>
      <c r="AH25" s="28"/>
      <c r="AI25" s="28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25">
      <c r="A26" s="33">
        <v>2040</v>
      </c>
      <c r="B26" s="28">
        <f ca="1">HLOOKUP(source!$E$1,Prfrd112619!$A$6:$AC$36,22,FALSE)</f>
        <v>455.38943248532291</v>
      </c>
      <c r="C26" s="28">
        <f ca="1">HLOOKUP(source!$E$1,Base!$A$6:$AC$36,22,FALSE)</f>
        <v>455.38943248532291</v>
      </c>
      <c r="D26" s="28">
        <f ca="1">HLOOKUP(source!$E$1,'Market Only'!$A$6:$AC$36,22,FALSE)</f>
        <v>455.38943248532291</v>
      </c>
      <c r="E26" s="28">
        <f ca="1">HLOOKUP(source!$E$1,'Solar + Wind'!$A$6:$AC$36,22,FALSE)</f>
        <v>455.38943248532291</v>
      </c>
      <c r="F26" s="28">
        <f ca="1">HLOOKUP(source!$E$1,'CT Only'!$A$6:$AC$36,22,FALSE)</f>
        <v>455.38943248532291</v>
      </c>
      <c r="G26" s="28">
        <f ca="1">HLOOKUP(source!$E$1,'CC Only'!$A$6:$AC$36,22,FALSE)</f>
        <v>455.38943248532291</v>
      </c>
      <c r="H26" s="11"/>
      <c r="I26" s="11">
        <f t="shared" ca="1" si="1"/>
        <v>0</v>
      </c>
      <c r="J26" s="11">
        <f t="shared" ca="1" si="1"/>
        <v>0</v>
      </c>
      <c r="K26" s="11">
        <f t="shared" ca="1" si="1"/>
        <v>0</v>
      </c>
      <c r="L26" s="11">
        <f t="shared" ca="1" si="1"/>
        <v>0</v>
      </c>
      <c r="M26" s="11">
        <f t="shared" ca="1" si="1"/>
        <v>0</v>
      </c>
      <c r="N26" s="11">
        <f t="shared" ca="1" si="1"/>
        <v>0</v>
      </c>
      <c r="O26" s="11"/>
      <c r="P26" s="12"/>
      <c r="Q26" s="12"/>
      <c r="R26" s="13"/>
      <c r="S26" s="10"/>
      <c r="T26" s="10"/>
      <c r="U26" s="10"/>
      <c r="V26" s="10"/>
      <c r="W26" s="10"/>
      <c r="X26" s="7"/>
      <c r="Y26" s="6"/>
      <c r="Z26" s="4"/>
      <c r="AA26" s="57"/>
      <c r="AB26" s="57"/>
      <c r="AC26" s="57"/>
      <c r="AD26" s="57"/>
      <c r="AE26" s="1"/>
      <c r="AF26" s="28"/>
      <c r="AG26" s="28"/>
      <c r="AH26" s="28"/>
      <c r="AI26" s="28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x14ac:dyDescent="0.25">
      <c r="A27" s="33">
        <v>2041</v>
      </c>
      <c r="B27" s="28">
        <f ca="1">HLOOKUP(source!$E$1,Prfrd112619!$A$6:$AC$36,23,FALSE)</f>
        <v>455.38943248532291</v>
      </c>
      <c r="C27" s="28">
        <f ca="1">HLOOKUP(source!$E$1,Base!$A$6:$AC$36,23,FALSE)</f>
        <v>455.38943248532291</v>
      </c>
      <c r="D27" s="28">
        <f ca="1">HLOOKUP(source!$E$1,'Market Only'!$A$6:$AC$36,23,FALSE)</f>
        <v>455.38943248532291</v>
      </c>
      <c r="E27" s="28">
        <f ca="1">HLOOKUP(source!$E$1,'Solar + Wind'!$A$6:$AC$36,23,FALSE)</f>
        <v>455.38943248532291</v>
      </c>
      <c r="F27" s="28">
        <f ca="1">HLOOKUP(source!$E$1,'CT Only'!$A$6:$AC$36,23,FALSE)</f>
        <v>455.38943248532291</v>
      </c>
      <c r="G27" s="28">
        <f ca="1">HLOOKUP(source!$E$1,'CC Only'!$A$6:$AC$36,23,FALSE)</f>
        <v>455.38943248532291</v>
      </c>
      <c r="H27" s="11"/>
      <c r="I27" s="11">
        <f t="shared" ca="1" si="1"/>
        <v>0</v>
      </c>
      <c r="J27" s="11">
        <f t="shared" ca="1" si="1"/>
        <v>0</v>
      </c>
      <c r="K27" s="11">
        <f t="shared" ca="1" si="1"/>
        <v>0</v>
      </c>
      <c r="L27" s="11">
        <f t="shared" ca="1" si="1"/>
        <v>0</v>
      </c>
      <c r="M27" s="11">
        <f t="shared" ca="1" si="1"/>
        <v>0</v>
      </c>
      <c r="N27" s="11">
        <f t="shared" ca="1" si="1"/>
        <v>0</v>
      </c>
      <c r="O27" s="11"/>
      <c r="P27" s="12"/>
      <c r="Q27" s="12"/>
      <c r="R27" s="13"/>
      <c r="S27" s="10"/>
      <c r="T27" s="10"/>
      <c r="U27" s="10"/>
      <c r="V27" s="10"/>
      <c r="W27" s="10"/>
      <c r="X27" s="7"/>
      <c r="Y27" s="6"/>
      <c r="Z27" s="4"/>
      <c r="AA27" s="57"/>
      <c r="AB27" s="57"/>
      <c r="AC27" s="57"/>
      <c r="AD27" s="57"/>
      <c r="AE27" s="1"/>
      <c r="AF27" s="28"/>
      <c r="AG27" s="28"/>
      <c r="AH27" s="28"/>
      <c r="AI27" s="28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x14ac:dyDescent="0.25">
      <c r="A28" s="33">
        <v>2042</v>
      </c>
      <c r="B28" s="28">
        <f ca="1">HLOOKUP(source!$E$1,Prfrd112619!$A$6:$AC$36,24,FALSE)</f>
        <v>455.38943248532291</v>
      </c>
      <c r="C28" s="28">
        <f ca="1">HLOOKUP(source!$E$1,Base!$A$6:$AC$36,24,FALSE)</f>
        <v>455.38943248532291</v>
      </c>
      <c r="D28" s="28">
        <f ca="1">HLOOKUP(source!$E$1,'Market Only'!$A$6:$AC$36,24,FALSE)</f>
        <v>455.38943248532291</v>
      </c>
      <c r="E28" s="28">
        <f ca="1">HLOOKUP(source!$E$1,'Solar + Wind'!$A$6:$AC$36,24,FALSE)</f>
        <v>455.38943248532291</v>
      </c>
      <c r="F28" s="28">
        <f ca="1">HLOOKUP(source!$E$1,'CT Only'!$A$6:$AC$36,24,FALSE)</f>
        <v>455.38943248532291</v>
      </c>
      <c r="G28" s="28">
        <f ca="1">HLOOKUP(source!$E$1,'CC Only'!$A$6:$AC$36,24,FALSE)</f>
        <v>455.38943248532291</v>
      </c>
      <c r="H28" s="11"/>
      <c r="I28" s="11">
        <f t="shared" ca="1" si="1"/>
        <v>0</v>
      </c>
      <c r="J28" s="11">
        <f t="shared" ca="1" si="1"/>
        <v>0</v>
      </c>
      <c r="K28" s="11">
        <f t="shared" ca="1" si="1"/>
        <v>0</v>
      </c>
      <c r="L28" s="11">
        <f t="shared" ca="1" si="1"/>
        <v>0</v>
      </c>
      <c r="M28" s="11">
        <f t="shared" ca="1" si="1"/>
        <v>0</v>
      </c>
      <c r="N28" s="11">
        <f t="shared" ca="1" si="1"/>
        <v>0</v>
      </c>
      <c r="O28" s="11"/>
      <c r="P28" s="12"/>
      <c r="Q28" s="12"/>
      <c r="R28" s="13"/>
      <c r="S28" s="10"/>
      <c r="T28" s="10"/>
      <c r="U28" s="10"/>
      <c r="V28" s="10"/>
      <c r="W28" s="10"/>
      <c r="X28" s="7"/>
      <c r="Y28" s="6"/>
      <c r="Z28" s="4"/>
      <c r="AA28" s="57"/>
      <c r="AB28" s="57"/>
      <c r="AC28" s="57"/>
      <c r="AD28" s="57"/>
      <c r="AE28" s="1"/>
      <c r="AF28" s="28"/>
      <c r="AG28" s="28"/>
      <c r="AH28" s="28"/>
      <c r="AI28" s="28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5">
      <c r="A29" s="33">
        <v>2043</v>
      </c>
      <c r="B29" s="28">
        <f ca="1">HLOOKUP(source!$E$1,Prfrd112619!$A$6:$AC$36,25,FALSE)</f>
        <v>455.38943248532291</v>
      </c>
      <c r="C29" s="28">
        <f ca="1">HLOOKUP(source!$E$1,Base!$A$6:$AC$36,25,FALSE)</f>
        <v>455.38943248532291</v>
      </c>
      <c r="D29" s="28">
        <f ca="1">HLOOKUP(source!$E$1,'Market Only'!$A$6:$AC$36,25,FALSE)</f>
        <v>455.38943248532291</v>
      </c>
      <c r="E29" s="28">
        <f ca="1">HLOOKUP(source!$E$1,'Solar + Wind'!$A$6:$AC$36,25,FALSE)</f>
        <v>455.38943248532291</v>
      </c>
      <c r="F29" s="28">
        <f ca="1">HLOOKUP(source!$E$1,'CT Only'!$A$6:$AC$36,25,FALSE)</f>
        <v>455.38943248532291</v>
      </c>
      <c r="G29" s="28">
        <f ca="1">HLOOKUP(source!$E$1,'CC Only'!$A$6:$AC$36,25,FALSE)</f>
        <v>455.38943248532291</v>
      </c>
      <c r="H29" s="11"/>
      <c r="I29" s="11">
        <f t="shared" ca="1" si="1"/>
        <v>0</v>
      </c>
      <c r="J29" s="11">
        <f t="shared" ca="1" si="1"/>
        <v>0</v>
      </c>
      <c r="K29" s="11">
        <f t="shared" ca="1" si="1"/>
        <v>0</v>
      </c>
      <c r="L29" s="11">
        <f t="shared" ca="1" si="1"/>
        <v>0</v>
      </c>
      <c r="M29" s="11">
        <f t="shared" ca="1" si="1"/>
        <v>0</v>
      </c>
      <c r="N29" s="11">
        <f t="shared" ca="1" si="1"/>
        <v>0</v>
      </c>
      <c r="O29" s="11"/>
      <c r="P29" s="12"/>
      <c r="Q29" s="12"/>
      <c r="R29" s="13"/>
      <c r="S29" s="10"/>
      <c r="T29" s="10"/>
      <c r="U29" s="10"/>
      <c r="V29" s="10"/>
      <c r="W29" s="10"/>
      <c r="X29" s="7"/>
      <c r="Y29" s="6"/>
      <c r="Z29" s="4"/>
      <c r="AA29" s="57"/>
      <c r="AB29" s="57"/>
      <c r="AC29" s="57"/>
      <c r="AD29" s="57"/>
      <c r="AE29" s="1"/>
      <c r="AF29" s="28"/>
      <c r="AG29" s="28"/>
      <c r="AH29" s="28"/>
      <c r="AI29" s="28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25">
      <c r="A30" s="33">
        <v>2044</v>
      </c>
      <c r="B30" s="28">
        <f ca="1">HLOOKUP(source!$E$1,Prfrd112619!$A$6:$AC$36,26,FALSE)</f>
        <v>455.38943248532291</v>
      </c>
      <c r="C30" s="28">
        <f ca="1">HLOOKUP(source!$E$1,Base!$A$6:$AC$36,26,FALSE)</f>
        <v>455.38943248532291</v>
      </c>
      <c r="D30" s="28">
        <f ca="1">HLOOKUP(source!$E$1,'Market Only'!$A$6:$AC$36,26,FALSE)</f>
        <v>455.38943248532291</v>
      </c>
      <c r="E30" s="28">
        <f ca="1">HLOOKUP(source!$E$1,'Solar + Wind'!$A$6:$AC$36,26,FALSE)</f>
        <v>455.38943248532291</v>
      </c>
      <c r="F30" s="28">
        <f ca="1">HLOOKUP(source!$E$1,'CT Only'!$A$6:$AC$36,26,FALSE)</f>
        <v>455.38943248532291</v>
      </c>
      <c r="G30" s="28">
        <f ca="1">HLOOKUP(source!$E$1,'CC Only'!$A$6:$AC$36,26,FALSE)</f>
        <v>455.38943248532291</v>
      </c>
      <c r="H30" s="11"/>
      <c r="I30" s="11">
        <f t="shared" ca="1" si="1"/>
        <v>0</v>
      </c>
      <c r="J30" s="11">
        <f t="shared" ca="1" si="1"/>
        <v>0</v>
      </c>
      <c r="K30" s="11">
        <f t="shared" ca="1" si="1"/>
        <v>0</v>
      </c>
      <c r="L30" s="11">
        <f t="shared" ca="1" si="1"/>
        <v>0</v>
      </c>
      <c r="M30" s="11">
        <f t="shared" ca="1" si="1"/>
        <v>0</v>
      </c>
      <c r="N30" s="11">
        <f t="shared" ca="1" si="1"/>
        <v>0</v>
      </c>
      <c r="O30" s="11"/>
      <c r="P30" s="12"/>
      <c r="Q30" s="12"/>
      <c r="R30" s="13"/>
      <c r="S30" s="10"/>
      <c r="T30" s="10"/>
      <c r="U30" s="10"/>
      <c r="V30" s="10"/>
      <c r="W30" s="10"/>
      <c r="X30" s="7"/>
      <c r="Y30" s="6"/>
      <c r="Z30" s="4"/>
      <c r="AA30" s="57"/>
      <c r="AB30" s="57"/>
      <c r="AC30" s="57"/>
      <c r="AD30" s="57"/>
      <c r="AE30" s="1"/>
      <c r="AF30" s="28"/>
      <c r="AG30" s="28"/>
      <c r="AH30" s="28"/>
      <c r="AI30" s="28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25">
      <c r="A31" s="33">
        <v>2045</v>
      </c>
      <c r="B31" s="28">
        <f ca="1">HLOOKUP(source!$E$1,Prfrd112619!$A$6:$AC$36,27,FALSE)</f>
        <v>455.38943248532291</v>
      </c>
      <c r="C31" s="28">
        <f ca="1">HLOOKUP(source!$E$1,Base!$A$6:$AC$36,27,FALSE)</f>
        <v>455.38943248532291</v>
      </c>
      <c r="D31" s="28">
        <f ca="1">HLOOKUP(source!$E$1,'Market Only'!$A$6:$AC$36,27,FALSE)</f>
        <v>455.38943248532291</v>
      </c>
      <c r="E31" s="28">
        <f ca="1">HLOOKUP(source!$E$1,'Solar + Wind'!$A$6:$AC$36,27,FALSE)</f>
        <v>455.38943248532291</v>
      </c>
      <c r="F31" s="28">
        <f ca="1">HLOOKUP(source!$E$1,'CT Only'!$A$6:$AC$36,27,FALSE)</f>
        <v>455.38943248532291</v>
      </c>
      <c r="G31" s="28">
        <f ca="1">HLOOKUP(source!$E$1,'CC Only'!$A$6:$AC$36,27,FALSE)</f>
        <v>455.38943248532291</v>
      </c>
      <c r="H31" s="11"/>
      <c r="I31" s="11">
        <f t="shared" ca="1" si="1"/>
        <v>0</v>
      </c>
      <c r="J31" s="11">
        <f t="shared" ca="1" si="1"/>
        <v>0</v>
      </c>
      <c r="K31" s="11">
        <f t="shared" ca="1" si="1"/>
        <v>0</v>
      </c>
      <c r="L31" s="11">
        <f t="shared" ca="1" si="1"/>
        <v>0</v>
      </c>
      <c r="M31" s="11">
        <f t="shared" ca="1" si="1"/>
        <v>0</v>
      </c>
      <c r="N31" s="11">
        <f t="shared" ca="1" si="1"/>
        <v>0</v>
      </c>
      <c r="O31" s="11"/>
      <c r="P31" s="12"/>
      <c r="Q31" s="12"/>
      <c r="R31" s="13"/>
      <c r="S31" s="10"/>
      <c r="T31" s="10"/>
      <c r="U31" s="10"/>
      <c r="V31" s="10"/>
      <c r="W31" s="10"/>
      <c r="X31" s="7"/>
      <c r="Y31" s="6"/>
      <c r="Z31" s="4"/>
      <c r="AA31" s="57"/>
      <c r="AB31" s="57"/>
      <c r="AC31" s="57"/>
      <c r="AD31" s="57"/>
      <c r="AE31" s="1"/>
      <c r="AF31" s="28"/>
      <c r="AG31" s="28"/>
      <c r="AH31" s="28"/>
      <c r="AI31" s="28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25">
      <c r="A32" s="45">
        <v>2046</v>
      </c>
      <c r="B32" s="28">
        <f ca="1">HLOOKUP(source!$E$1,Prfrd112619!$A$6:$AC$36,28,FALSE)</f>
        <v>455.38943248532291</v>
      </c>
      <c r="C32" s="28">
        <f ca="1">HLOOKUP(source!$E$1,Base!$A$6:$AC$36,28,FALSE)</f>
        <v>455.38943248532291</v>
      </c>
      <c r="D32" s="28">
        <f ca="1">HLOOKUP(source!$E$1,'Market Only'!$A$6:$AC$36,28,FALSE)</f>
        <v>455.38943248532291</v>
      </c>
      <c r="E32" s="28">
        <f ca="1">HLOOKUP(source!$E$1,'Solar + Wind'!$A$6:$AC$36,28,FALSE)</f>
        <v>455.38943248532291</v>
      </c>
      <c r="F32" s="28">
        <f ca="1">HLOOKUP(source!$E$1,'CT Only'!$A$6:$AC$36,28,FALSE)</f>
        <v>455.38943248532291</v>
      </c>
      <c r="G32" s="28">
        <f ca="1">HLOOKUP(source!$E$1,'CC Only'!$A$6:$AC$36,28,FALSE)</f>
        <v>455.38943248532291</v>
      </c>
      <c r="H32" s="11"/>
      <c r="I32" s="11">
        <f t="shared" ca="1" si="1"/>
        <v>0</v>
      </c>
      <c r="J32" s="11">
        <f t="shared" ca="1" si="1"/>
        <v>0</v>
      </c>
      <c r="K32" s="11">
        <f t="shared" ca="1" si="1"/>
        <v>0</v>
      </c>
      <c r="L32" s="11">
        <f t="shared" ca="1" si="1"/>
        <v>0</v>
      </c>
      <c r="M32" s="11">
        <f t="shared" ca="1" si="1"/>
        <v>0</v>
      </c>
      <c r="N32" s="11">
        <f t="shared" ca="1" si="1"/>
        <v>0</v>
      </c>
      <c r="O32" s="11"/>
      <c r="P32" s="12"/>
      <c r="Q32" s="12"/>
      <c r="R32" s="13"/>
      <c r="S32" s="10"/>
      <c r="T32" s="10"/>
      <c r="U32" s="10"/>
      <c r="V32" s="10"/>
      <c r="W32" s="10"/>
      <c r="X32" s="7"/>
      <c r="Y32" s="6"/>
      <c r="Z32" s="4"/>
      <c r="AA32" s="57"/>
      <c r="AB32" s="57"/>
      <c r="AC32" s="57"/>
      <c r="AD32" s="57"/>
      <c r="AE32" s="1"/>
      <c r="AF32" s="28"/>
      <c r="AG32" s="28"/>
      <c r="AH32" s="28"/>
      <c r="AI32" s="28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35" x14ac:dyDescent="0.25">
      <c r="A33" s="33">
        <v>2047</v>
      </c>
      <c r="B33" s="28">
        <f ca="1">HLOOKUP(source!$E$1,Prfrd112619!$A$6:$AC$36,29,FALSE)</f>
        <v>455.38943248532291</v>
      </c>
      <c r="C33" s="28">
        <f ca="1">HLOOKUP(source!$E$1,Base!$A$6:$AC$36,29,FALSE)</f>
        <v>455.38943248532291</v>
      </c>
      <c r="D33" s="28">
        <f ca="1">HLOOKUP(source!$E$1,'Market Only'!$A$6:$AC$36,29,FALSE)</f>
        <v>455.38943248532291</v>
      </c>
      <c r="E33" s="28">
        <f ca="1">HLOOKUP(source!$E$1,'Solar + Wind'!$A$6:$AC$36,29,FALSE)</f>
        <v>455.38943248532291</v>
      </c>
      <c r="F33" s="28">
        <f ca="1">HLOOKUP(source!$E$1,'CT Only'!$A$6:$AC$36,29,FALSE)</f>
        <v>455.38943248532291</v>
      </c>
      <c r="G33" s="28">
        <f ca="1">HLOOKUP(source!$E$1,'CC Only'!$A$6:$AC$36,29,FALSE)</f>
        <v>455.38943248532291</v>
      </c>
      <c r="H33" s="11"/>
      <c r="I33" s="11">
        <f t="shared" ca="1" si="1"/>
        <v>0</v>
      </c>
      <c r="J33" s="11">
        <f t="shared" ca="1" si="1"/>
        <v>0</v>
      </c>
      <c r="K33" s="11">
        <f t="shared" ca="1" si="1"/>
        <v>0</v>
      </c>
      <c r="L33" s="11">
        <f t="shared" ca="1" si="1"/>
        <v>0</v>
      </c>
      <c r="M33" s="11">
        <f t="shared" ca="1" si="1"/>
        <v>0</v>
      </c>
      <c r="N33" s="11">
        <f t="shared" ca="1" si="1"/>
        <v>0</v>
      </c>
      <c r="O33" s="11"/>
      <c r="P33" s="12"/>
      <c r="Q33" s="12"/>
      <c r="R33" s="13"/>
      <c r="S33" s="10"/>
      <c r="T33" s="10"/>
      <c r="U33" s="10"/>
      <c r="V33" s="10"/>
      <c r="W33" s="10"/>
      <c r="X33" s="7"/>
      <c r="Y33" s="6"/>
      <c r="Z33" s="4"/>
      <c r="AA33" s="57"/>
      <c r="AB33" s="57"/>
      <c r="AC33" s="57"/>
      <c r="AD33" s="57"/>
      <c r="AF33" s="28"/>
      <c r="AG33" s="28"/>
      <c r="AH33" s="28"/>
      <c r="AI33" s="28"/>
    </row>
    <row r="34" spans="1:35" x14ac:dyDescent="0.25">
      <c r="A34" s="33">
        <v>2048</v>
      </c>
      <c r="B34" s="28">
        <f ca="1">HLOOKUP(source!$E$1,Prfrd112619!$A$6:$AC$36,30,FALSE)</f>
        <v>455.38943248532291</v>
      </c>
      <c r="C34" s="28">
        <f ca="1">HLOOKUP(source!$E$1,Base!$A$6:$AC$36,30,FALSE)</f>
        <v>455.38943248532291</v>
      </c>
      <c r="D34" s="28">
        <f ca="1">HLOOKUP(source!$E$1,'Market Only'!$A$6:$AC$36,30,FALSE)</f>
        <v>455.38943248532291</v>
      </c>
      <c r="E34" s="28">
        <f ca="1">HLOOKUP(source!$E$1,'Solar + Wind'!$A$6:$AC$36,30,FALSE)</f>
        <v>455.38943248532291</v>
      </c>
      <c r="F34" s="28">
        <f ca="1">HLOOKUP(source!$E$1,'CT Only'!$A$6:$AC$36,30,FALSE)</f>
        <v>455.38943248532291</v>
      </c>
      <c r="G34" s="28">
        <f ca="1">HLOOKUP(source!$E$1,'CC Only'!$A$6:$AC$36,30,FALSE)</f>
        <v>455.38943248532291</v>
      </c>
      <c r="H34" s="11"/>
      <c r="I34" s="11">
        <f t="shared" ca="1" si="1"/>
        <v>0</v>
      </c>
      <c r="J34" s="11">
        <f t="shared" ca="1" si="1"/>
        <v>0</v>
      </c>
      <c r="K34" s="11">
        <f t="shared" ca="1" si="1"/>
        <v>0</v>
      </c>
      <c r="L34" s="11">
        <f t="shared" ca="1" si="1"/>
        <v>0</v>
      </c>
      <c r="M34" s="11">
        <f t="shared" ca="1" si="1"/>
        <v>0</v>
      </c>
      <c r="N34" s="11">
        <f t="shared" ca="1" si="1"/>
        <v>0</v>
      </c>
      <c r="O34" s="11"/>
      <c r="P34" s="12"/>
      <c r="Q34" s="12"/>
      <c r="R34" s="23"/>
      <c r="S34" s="11"/>
      <c r="T34" s="11"/>
      <c r="U34" s="11"/>
      <c r="V34" s="11"/>
      <c r="W34" s="11"/>
      <c r="X34" s="24"/>
      <c r="Y34" s="22"/>
      <c r="Z34" s="4"/>
      <c r="AA34" s="57"/>
      <c r="AB34" s="57"/>
      <c r="AC34" s="57"/>
      <c r="AD34" s="57"/>
      <c r="AF34" s="28"/>
      <c r="AG34" s="28"/>
      <c r="AH34" s="28"/>
      <c r="AI34" s="28"/>
    </row>
    <row r="35" spans="1:35" x14ac:dyDescent="0.25">
      <c r="A35" s="45">
        <v>2049</v>
      </c>
      <c r="B35" s="28">
        <f ca="1">HLOOKUP(source!$E$1,Prfrd112619!$A$6:$AC$36,31,FALSE)</f>
        <v>455.38943248532291</v>
      </c>
      <c r="C35" s="28">
        <f ca="1">HLOOKUP(source!$E$1,Base!$A$6:$AC$36,31,FALSE)</f>
        <v>455.38943248532291</v>
      </c>
      <c r="D35" s="28">
        <f ca="1">HLOOKUP(source!$E$1,'Market Only'!$A$6:$AC$36,31,FALSE)</f>
        <v>455.38943248532291</v>
      </c>
      <c r="E35" s="28">
        <f ca="1">HLOOKUP(source!$E$1,'Solar + Wind'!$A$6:$AC$36,31,FALSE)</f>
        <v>455.38943248532291</v>
      </c>
      <c r="F35" s="28">
        <f ca="1">HLOOKUP(source!$E$1,'CT Only'!$A$6:$AC$36,31,FALSE)</f>
        <v>455.38943248532291</v>
      </c>
      <c r="G35" s="28">
        <f ca="1">HLOOKUP(source!$E$1,'CC Only'!$A$6:$AC$36,31,FALSE)</f>
        <v>455.38943248532291</v>
      </c>
      <c r="H35" s="11"/>
      <c r="I35" s="11">
        <f t="shared" ca="1" si="1"/>
        <v>0</v>
      </c>
      <c r="J35" s="11">
        <f t="shared" ca="1" si="1"/>
        <v>0</v>
      </c>
      <c r="K35" s="11">
        <f t="shared" ca="1" si="1"/>
        <v>0</v>
      </c>
      <c r="L35" s="11">
        <f t="shared" ca="1" si="1"/>
        <v>0</v>
      </c>
      <c r="M35" s="11">
        <f t="shared" ca="1" si="1"/>
        <v>0</v>
      </c>
      <c r="N35" s="11">
        <f t="shared" ca="1" si="1"/>
        <v>0</v>
      </c>
      <c r="O35" s="11"/>
      <c r="P35" s="12"/>
      <c r="Q35" s="12"/>
      <c r="R35" s="13"/>
      <c r="S35" s="10"/>
      <c r="T35" s="10"/>
      <c r="U35" s="10"/>
      <c r="V35" s="10"/>
      <c r="W35" s="10"/>
      <c r="X35" s="7"/>
      <c r="Y35" s="6"/>
      <c r="Z35" s="4"/>
      <c r="AA35" s="57"/>
      <c r="AB35" s="57"/>
      <c r="AC35" s="57"/>
      <c r="AD35" s="57"/>
      <c r="AF35" s="28"/>
      <c r="AG35" s="28"/>
      <c r="AH35" s="28"/>
      <c r="AI35" s="28"/>
    </row>
    <row r="36" spans="1:35" x14ac:dyDescent="0.25">
      <c r="A36" s="15"/>
      <c r="B36" s="15"/>
      <c r="C36" s="15"/>
      <c r="D36" s="17"/>
      <c r="E36" s="18"/>
      <c r="F36" s="18"/>
      <c r="G36" s="18"/>
      <c r="H36" s="11"/>
      <c r="I36" s="11"/>
      <c r="J36" s="11"/>
      <c r="K36" s="2"/>
      <c r="L36" s="1"/>
      <c r="M36" s="2"/>
      <c r="N36" s="1"/>
      <c r="O36" s="11"/>
      <c r="P36" s="12"/>
      <c r="Q36" s="12"/>
      <c r="R36" s="13"/>
      <c r="S36" s="10"/>
      <c r="T36" s="10"/>
      <c r="U36" s="10"/>
      <c r="V36" s="10"/>
      <c r="W36" s="10"/>
      <c r="X36" s="7"/>
      <c r="Y36" s="6"/>
      <c r="Z36" s="19"/>
      <c r="AA36" s="19"/>
      <c r="AB36" s="25"/>
    </row>
    <row r="37" spans="1:35" x14ac:dyDescent="0.25">
      <c r="A37" s="3"/>
      <c r="B37" s="3"/>
      <c r="C37" s="3"/>
      <c r="D37" s="4"/>
      <c r="E37" s="4"/>
      <c r="F37" s="4"/>
      <c r="G37" s="4"/>
      <c r="H37" s="16"/>
      <c r="I37" s="16"/>
      <c r="J37" s="16"/>
      <c r="K37" s="4"/>
      <c r="L37" s="4"/>
      <c r="M37" s="4"/>
      <c r="N37" s="4"/>
      <c r="O37" s="1"/>
      <c r="P37" s="1"/>
      <c r="Q37" s="1"/>
      <c r="R37" s="2"/>
      <c r="S37" s="2"/>
      <c r="T37" s="1"/>
      <c r="U37" s="1"/>
      <c r="V37" s="1"/>
      <c r="W37" s="1"/>
      <c r="X37" s="1"/>
      <c r="Y37" s="1"/>
      <c r="Z37" s="1"/>
      <c r="AA37" s="1"/>
      <c r="AB37" s="1"/>
    </row>
    <row r="38" spans="1:35" x14ac:dyDescent="0.25">
      <c r="A38" s="15"/>
      <c r="B38" s="15"/>
      <c r="C38" s="15"/>
      <c r="D38" s="17"/>
      <c r="E38" s="18"/>
      <c r="F38" s="18"/>
      <c r="G38" s="18"/>
      <c r="K38" s="2"/>
      <c r="L38" s="1"/>
      <c r="M38" s="2"/>
      <c r="N38" s="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35" x14ac:dyDescent="0.25">
      <c r="A39" s="15"/>
      <c r="B39" s="15"/>
      <c r="C39" s="15"/>
      <c r="D39" s="17"/>
      <c r="E39" s="18"/>
      <c r="F39" s="18"/>
      <c r="G39" s="18"/>
      <c r="H39" s="16"/>
      <c r="I39" s="16"/>
      <c r="J39" s="16"/>
      <c r="K39" s="2"/>
      <c r="L39" s="1"/>
      <c r="M39" s="2"/>
      <c r="N39" s="1"/>
      <c r="O39" s="1"/>
      <c r="P39" s="1"/>
      <c r="Q39" s="1"/>
      <c r="R39" s="2"/>
      <c r="S39" s="2"/>
      <c r="T39" s="1"/>
      <c r="U39" s="1"/>
      <c r="V39" s="1"/>
      <c r="W39" s="1"/>
      <c r="X39" s="1"/>
      <c r="Y39" s="1"/>
      <c r="Z39" s="1"/>
      <c r="AA39" s="1"/>
      <c r="AB39" s="1"/>
    </row>
    <row r="40" spans="1:35" x14ac:dyDescent="0.25">
      <c r="A40" s="15"/>
      <c r="B40" s="15"/>
      <c r="C40" s="15"/>
      <c r="D40" s="17"/>
      <c r="E40" s="18"/>
      <c r="F40" s="18"/>
      <c r="G40" s="18"/>
      <c r="H40" s="16"/>
      <c r="I40" s="16"/>
      <c r="J40" s="16"/>
      <c r="K40" s="2"/>
      <c r="L40" s="1"/>
      <c r="M40" s="2"/>
      <c r="N40" s="1"/>
      <c r="O40" s="1"/>
      <c r="P40" s="1"/>
      <c r="Q40" s="1"/>
      <c r="R40" s="2"/>
      <c r="S40" s="2"/>
      <c r="T40" s="1"/>
      <c r="U40" s="1"/>
      <c r="V40" s="1"/>
      <c r="W40" s="1"/>
      <c r="X40" s="1"/>
      <c r="Y40" s="1"/>
      <c r="Z40" s="1"/>
      <c r="AA40" s="1"/>
      <c r="AB40" s="1"/>
    </row>
    <row r="41" spans="1:35" x14ac:dyDescent="0.25">
      <c r="A41" s="15"/>
      <c r="B41" s="15"/>
      <c r="C41" s="15"/>
      <c r="D41" s="17"/>
      <c r="E41" s="18"/>
      <c r="F41" s="18"/>
      <c r="G41" s="18"/>
      <c r="H41" s="16"/>
      <c r="I41" s="16"/>
      <c r="J41" s="16"/>
      <c r="K41" s="2"/>
      <c r="L41" s="1"/>
      <c r="M41" s="2"/>
      <c r="N41" s="1"/>
      <c r="O41" s="1"/>
      <c r="P41" s="1"/>
      <c r="Q41" s="1"/>
      <c r="R41" s="2"/>
      <c r="S41" s="2"/>
      <c r="T41" s="1"/>
      <c r="U41" s="1"/>
      <c r="V41" s="1"/>
      <c r="W41" s="1"/>
      <c r="X41" s="1"/>
      <c r="Y41" s="1"/>
      <c r="Z41" s="1"/>
      <c r="AA41" s="1"/>
      <c r="AB41" s="1"/>
    </row>
    <row r="42" spans="1:35" x14ac:dyDescent="0.25">
      <c r="A42" s="15"/>
      <c r="B42" s="15"/>
      <c r="C42" s="15"/>
      <c r="D42" s="17"/>
      <c r="E42" s="18"/>
      <c r="F42" s="18"/>
      <c r="G42" s="18"/>
      <c r="H42" s="16"/>
      <c r="I42" s="16"/>
      <c r="J42" s="16"/>
      <c r="K42" s="2"/>
      <c r="L42" s="1"/>
      <c r="M42" s="2"/>
      <c r="N42" s="1"/>
      <c r="O42" s="1"/>
      <c r="P42" s="1"/>
      <c r="Q42" s="1"/>
      <c r="R42" s="2"/>
      <c r="S42" s="2"/>
      <c r="T42" s="1"/>
      <c r="U42" s="1"/>
      <c r="V42" s="1"/>
      <c r="W42" s="1"/>
      <c r="X42" s="1"/>
      <c r="Y42" s="1"/>
      <c r="Z42" s="1"/>
      <c r="AA42" s="1"/>
      <c r="AB42" s="1"/>
    </row>
    <row r="43" spans="1:35" x14ac:dyDescent="0.25">
      <c r="A43" s="15"/>
      <c r="B43" s="15"/>
      <c r="C43" s="15"/>
      <c r="D43" s="17"/>
      <c r="E43" s="18"/>
      <c r="F43" s="18"/>
      <c r="G43" s="18"/>
      <c r="H43" s="16"/>
      <c r="I43" s="16"/>
      <c r="J43" s="16"/>
      <c r="K43" s="2"/>
      <c r="L43" s="1"/>
      <c r="M43" s="2"/>
      <c r="N43" s="1"/>
      <c r="O43" s="1"/>
      <c r="P43" s="1"/>
      <c r="Q43" s="1"/>
      <c r="R43" s="2"/>
      <c r="S43" s="2"/>
      <c r="T43" s="1"/>
      <c r="U43" s="1"/>
      <c r="V43" s="1"/>
      <c r="W43" s="1"/>
      <c r="X43" s="1"/>
      <c r="Y43" s="1"/>
      <c r="Z43" s="1"/>
      <c r="AA43" s="1"/>
      <c r="AB43" s="1"/>
    </row>
    <row r="44" spans="1:35" x14ac:dyDescent="0.25">
      <c r="A44" s="15"/>
      <c r="B44" s="15"/>
      <c r="C44" s="15"/>
      <c r="D44" s="17"/>
      <c r="E44" s="18"/>
      <c r="F44" s="18"/>
      <c r="G44" s="18"/>
      <c r="H44" s="16"/>
      <c r="I44" s="16"/>
      <c r="J44" s="16"/>
      <c r="K44" s="2"/>
      <c r="L44" s="1"/>
      <c r="M44" s="2"/>
      <c r="N44" s="1"/>
      <c r="O44" s="1"/>
      <c r="P44" s="1"/>
      <c r="Q44" s="1"/>
      <c r="R44" s="2"/>
      <c r="S44" s="2"/>
      <c r="T44" s="1"/>
      <c r="U44" s="1"/>
      <c r="V44" s="1"/>
      <c r="W44" s="1"/>
      <c r="X44" s="1"/>
      <c r="Y44" s="1"/>
      <c r="Z44" s="1"/>
      <c r="AA44" s="1"/>
      <c r="AB44" s="1"/>
    </row>
    <row r="45" spans="1:35" x14ac:dyDescent="0.25">
      <c r="A45" s="15"/>
      <c r="B45" s="15"/>
      <c r="C45" s="15"/>
      <c r="D45" s="17"/>
      <c r="E45" s="18"/>
      <c r="F45" s="18"/>
      <c r="G45" s="18"/>
      <c r="H45" s="16"/>
      <c r="I45" s="16"/>
      <c r="J45" s="16"/>
      <c r="K45" s="2"/>
      <c r="L45" s="1"/>
      <c r="M45" s="2"/>
      <c r="N45" s="1"/>
      <c r="O45" s="1"/>
      <c r="P45" s="1"/>
      <c r="Q45" s="1"/>
      <c r="R45" s="2"/>
      <c r="S45" s="2"/>
      <c r="T45" s="1"/>
      <c r="U45" s="1"/>
      <c r="V45" s="1"/>
      <c r="W45" s="1"/>
      <c r="X45" s="1"/>
      <c r="Y45" s="1"/>
      <c r="Z45" s="1"/>
      <c r="AA45" s="1"/>
      <c r="AB45" s="1"/>
    </row>
    <row r="46" spans="1:35" x14ac:dyDescent="0.25">
      <c r="A46" s="15"/>
      <c r="B46" s="15"/>
      <c r="C46" s="15"/>
      <c r="D46" s="17"/>
      <c r="E46" s="18"/>
      <c r="F46" s="18"/>
      <c r="G46" s="18"/>
      <c r="H46" s="16"/>
      <c r="I46" s="16"/>
      <c r="J46" s="16"/>
      <c r="K46" s="2"/>
      <c r="L46" s="1"/>
      <c r="M46" s="2"/>
      <c r="N46" s="1"/>
      <c r="O46" s="1"/>
      <c r="P46" s="1"/>
      <c r="Q46" s="1"/>
      <c r="R46" s="2"/>
      <c r="S46" s="2"/>
      <c r="T46" s="1"/>
      <c r="U46" s="1"/>
      <c r="V46" s="1"/>
      <c r="W46" s="1"/>
      <c r="X46" s="1"/>
      <c r="Y46" s="1"/>
      <c r="Z46" s="1"/>
      <c r="AA46" s="1"/>
      <c r="AB46" s="1"/>
    </row>
    <row r="47" spans="1:35" x14ac:dyDescent="0.25">
      <c r="A47" s="2"/>
      <c r="B47" s="2"/>
      <c r="C47" s="2"/>
      <c r="D47" s="2"/>
      <c r="E47" s="1"/>
      <c r="F47" s="1"/>
      <c r="G47" s="1"/>
      <c r="H47" s="2"/>
      <c r="I47" s="2"/>
      <c r="J47" s="2"/>
      <c r="K47" s="2"/>
      <c r="L47" s="1"/>
      <c r="M47" s="2"/>
      <c r="N47" s="1"/>
      <c r="O47" s="1"/>
      <c r="P47" s="1"/>
      <c r="Q47" s="1"/>
      <c r="R47" s="2"/>
      <c r="S47" s="2"/>
      <c r="T47" s="1"/>
      <c r="U47" s="1"/>
      <c r="V47" s="1"/>
      <c r="W47" s="1"/>
      <c r="X47" s="1"/>
      <c r="Y47" s="1"/>
      <c r="Z47" s="1"/>
      <c r="AA47" s="1"/>
      <c r="AB47" s="1"/>
    </row>
    <row r="48" spans="1:35" x14ac:dyDescent="0.25">
      <c r="A48" s="2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1"/>
      <c r="U48" s="1"/>
      <c r="V48" s="1"/>
      <c r="W48" s="1"/>
      <c r="X48" s="1"/>
      <c r="Y48" s="1"/>
      <c r="Z48" s="1"/>
      <c r="AA48" s="1"/>
      <c r="AB48" s="1"/>
    </row>
    <row r="49" spans="1:19" x14ac:dyDescent="0.25">
      <c r="A49" s="2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</row>
    <row r="50" spans="1:19" x14ac:dyDescent="0.25">
      <c r="H50" s="1"/>
      <c r="I50" s="1"/>
      <c r="J50" s="1"/>
      <c r="O50" s="1"/>
      <c r="P50" s="1"/>
      <c r="Q50" s="1"/>
      <c r="R50" s="2"/>
      <c r="S50" s="2"/>
    </row>
  </sheetData>
  <mergeCells count="3">
    <mergeCell ref="A2:N2"/>
    <mergeCell ref="A1:N1"/>
    <mergeCell ref="I5:N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276225</xdr:colOff>
                    <xdr:row>3</xdr:row>
                    <xdr:rowOff>180975</xdr:rowOff>
                  </from>
                  <to>
                    <xdr:col>6</xdr:col>
                    <xdr:colOff>133350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68"/>
  <sheetViews>
    <sheetView showZeros="0" tabSelected="1" zoomScale="86" zoomScaleNormal="86" workbookViewId="0">
      <selection activeCell="J25" sqref="J25"/>
    </sheetView>
  </sheetViews>
  <sheetFormatPr defaultRowHeight="15.75" x14ac:dyDescent="0.25"/>
  <cols>
    <col min="1" max="1" width="9.25" customWidth="1"/>
    <col min="2" max="2" width="18.375" customWidth="1"/>
    <col min="3" max="22" width="6" customWidth="1"/>
  </cols>
  <sheetData>
    <row r="1" spans="1:22" ht="16.5" thickBot="1" x14ac:dyDescent="0.3"/>
    <row r="2" spans="1:22" ht="30.75" customHeight="1" thickBot="1" x14ac:dyDescent="0.3">
      <c r="A2" s="154" t="s">
        <v>70</v>
      </c>
      <c r="B2" s="155"/>
      <c r="C2" s="106">
        <v>2020</v>
      </c>
      <c r="D2" s="106">
        <v>2021</v>
      </c>
      <c r="E2" s="106">
        <v>2022</v>
      </c>
      <c r="F2" s="106">
        <v>2023</v>
      </c>
      <c r="G2" s="106">
        <v>2024</v>
      </c>
      <c r="H2" s="106">
        <v>2025</v>
      </c>
      <c r="I2" s="106">
        <v>2026</v>
      </c>
      <c r="J2" s="106">
        <v>2027</v>
      </c>
      <c r="K2" s="106">
        <v>2028</v>
      </c>
      <c r="L2" s="106">
        <v>2029</v>
      </c>
      <c r="M2" s="106">
        <v>2030</v>
      </c>
      <c r="N2" s="106">
        <v>2031</v>
      </c>
      <c r="O2" s="106">
        <v>2032</v>
      </c>
      <c r="P2" s="106">
        <v>2033</v>
      </c>
      <c r="Q2" s="106">
        <v>2034</v>
      </c>
      <c r="R2" s="106">
        <v>2035</v>
      </c>
      <c r="S2" s="106">
        <v>2036</v>
      </c>
      <c r="T2" s="106">
        <v>2037</v>
      </c>
      <c r="U2" s="107">
        <v>2038</v>
      </c>
      <c r="V2" s="108">
        <v>2039</v>
      </c>
    </row>
    <row r="3" spans="1:22" hidden="1" x14ac:dyDescent="0.25">
      <c r="A3" s="156" t="s">
        <v>60</v>
      </c>
      <c r="B3" s="109" t="s">
        <v>50</v>
      </c>
      <c r="C3" s="110">
        <f>VLOOKUP(C$2,Base!$A$7:$AE$36,31,FALSE)</f>
        <v>0</v>
      </c>
      <c r="D3" s="110">
        <f>VLOOKUP(D$2,Base!$A$7:$AE$36,31,FALSE)</f>
        <v>0</v>
      </c>
      <c r="E3" s="110">
        <f>VLOOKUP(E$2,Base!$A$7:$AE$36,31,FALSE)</f>
        <v>0</v>
      </c>
      <c r="F3" s="110">
        <f>VLOOKUP(F$2,Base!$A$7:$AE$36,31,FALSE)</f>
        <v>0</v>
      </c>
      <c r="G3" s="110">
        <f>VLOOKUP(G$2,Base!$A$7:$AE$36,31,FALSE)</f>
        <v>0</v>
      </c>
      <c r="H3" s="110">
        <f>VLOOKUP(H$2,Base!$A$7:$AE$36,31,FALSE)</f>
        <v>0</v>
      </c>
      <c r="I3" s="110">
        <f>VLOOKUP(I$2,Base!$A$7:$AE$36,31,FALSE)</f>
        <v>0</v>
      </c>
      <c r="J3" s="110">
        <f>VLOOKUP(J$2,Base!$A$7:$AE$36,31,FALSE)</f>
        <v>0</v>
      </c>
      <c r="K3" s="110">
        <f>VLOOKUP(K$2,Base!$A$7:$AE$36,31,FALSE)</f>
        <v>0</v>
      </c>
      <c r="L3" s="110">
        <f>VLOOKUP(L$2,Base!$A$7:$AE$36,31,FALSE)</f>
        <v>0</v>
      </c>
      <c r="M3" s="110">
        <f>VLOOKUP(M$2,Base!$A$7:$AE$36,31,FALSE)</f>
        <v>0</v>
      </c>
      <c r="N3" s="110">
        <f>VLOOKUP(N$2,Base!$A$7:$AE$36,31,FALSE)</f>
        <v>0</v>
      </c>
      <c r="O3" s="110">
        <f>VLOOKUP(O$2,Base!$A$7:$AE$36,31,FALSE)</f>
        <v>0</v>
      </c>
      <c r="P3" s="110">
        <f>VLOOKUP(P$2,Base!$A$7:$AE$36,31,FALSE)</f>
        <v>0</v>
      </c>
      <c r="Q3" s="110">
        <f>VLOOKUP(Q$2,Base!$A$7:$AE$36,31,FALSE)</f>
        <v>0</v>
      </c>
      <c r="R3" s="110">
        <f>VLOOKUP(R$2,Base!$A$7:$AE$36,31,FALSE)</f>
        <v>0</v>
      </c>
      <c r="S3" s="110">
        <f>VLOOKUP(S$2,Base!$A$7:$AE$36,31,FALSE)</f>
        <v>0</v>
      </c>
      <c r="T3" s="110">
        <f>VLOOKUP(T$2,Base!$A$7:$AE$36,31,FALSE)</f>
        <v>0</v>
      </c>
      <c r="U3" s="110">
        <f>VLOOKUP(U$2,Base!$A$7:$AE$36,31,FALSE)</f>
        <v>0</v>
      </c>
      <c r="V3" s="111">
        <f>VLOOKUP(V$2,Base!$A$7:$AE$36,31,FALSE)</f>
        <v>0</v>
      </c>
    </row>
    <row r="4" spans="1:22" hidden="1" x14ac:dyDescent="0.25">
      <c r="A4" s="157"/>
      <c r="B4" s="112" t="s">
        <v>51</v>
      </c>
      <c r="C4" s="113">
        <f>VLOOKUP(C$2,Base!$A$7:$AE$36,28,FALSE)</f>
        <v>0</v>
      </c>
      <c r="D4" s="113">
        <f>VLOOKUP(D$2,Base!$A$7:$AE$36,28,FALSE)</f>
        <v>0</v>
      </c>
      <c r="E4" s="113">
        <f>VLOOKUP(E$2,Base!$A$7:$AE$36,28,FALSE)</f>
        <v>0</v>
      </c>
      <c r="F4" s="113">
        <f>VLOOKUP(F$2,Base!$A$7:$AE$36,28,FALSE)</f>
        <v>0</v>
      </c>
      <c r="G4" s="113">
        <f>VLOOKUP(G$2,Base!$A$7:$AE$36,28,FALSE)</f>
        <v>151.79647749510764</v>
      </c>
      <c r="H4" s="113">
        <f>VLOOKUP(H$2,Base!$A$7:$AE$36,28,FALSE)</f>
        <v>151.79647749510764</v>
      </c>
      <c r="I4" s="113">
        <f>VLOOKUP(I$2,Base!$A$7:$AE$36,28,FALSE)</f>
        <v>151.79647749510764</v>
      </c>
      <c r="J4" s="113">
        <f>VLOOKUP(J$2,Base!$A$7:$AE$36,28,FALSE)</f>
        <v>151.79647749510764</v>
      </c>
      <c r="K4" s="113">
        <f>VLOOKUP(K$2,Base!$A$7:$AE$36,28,FALSE)</f>
        <v>151.79647749510764</v>
      </c>
      <c r="L4" s="113">
        <f>VLOOKUP(L$2,Base!$A$7:$AE$36,28,FALSE)</f>
        <v>151.79647749510764</v>
      </c>
      <c r="M4" s="113">
        <f>VLOOKUP(M$2,Base!$A$7:$AE$36,28,FALSE)</f>
        <v>303.59295499021528</v>
      </c>
      <c r="N4" s="113">
        <f>VLOOKUP(N$2,Base!$A$7:$AE$36,28,FALSE)</f>
        <v>455.38943248532291</v>
      </c>
      <c r="O4" s="113">
        <f>VLOOKUP(O$2,Base!$A$7:$AE$36,28,FALSE)</f>
        <v>455.38943248532291</v>
      </c>
      <c r="P4" s="113">
        <f>VLOOKUP(P$2,Base!$A$7:$AE$36,28,FALSE)</f>
        <v>455.38943248532291</v>
      </c>
      <c r="Q4" s="113">
        <f>VLOOKUP(Q$2,Base!$A$7:$AE$36,28,FALSE)</f>
        <v>455.38943248532291</v>
      </c>
      <c r="R4" s="113">
        <f>VLOOKUP(R$2,Base!$A$7:$AE$36,28,FALSE)</f>
        <v>455.38943248532291</v>
      </c>
      <c r="S4" s="113">
        <f>VLOOKUP(S$2,Base!$A$7:$AE$36,28,FALSE)</f>
        <v>455.38943248532291</v>
      </c>
      <c r="T4" s="113">
        <f>VLOOKUP(T$2,Base!$A$7:$AE$36,28,FALSE)</f>
        <v>455.38943248532291</v>
      </c>
      <c r="U4" s="113">
        <f>VLOOKUP(U$2,Base!$A$7:$AE$36,28,FALSE)</f>
        <v>455.38943248532291</v>
      </c>
      <c r="V4" s="114">
        <f>VLOOKUP(V$2,Base!$A$7:$AE$36,28,FALSE)</f>
        <v>455.38943248532291</v>
      </c>
    </row>
    <row r="5" spans="1:22" hidden="1" x14ac:dyDescent="0.25">
      <c r="A5" s="157"/>
      <c r="B5" s="112" t="s">
        <v>52</v>
      </c>
      <c r="C5" s="113">
        <f>VLOOKUP(C$2,Base!$A$7:$W$36,19,FALSE)</f>
        <v>0</v>
      </c>
      <c r="D5" s="113">
        <f>VLOOKUP(D$2,Base!$A$7:$W$36,19,FALSE)</f>
        <v>0</v>
      </c>
      <c r="E5" s="113">
        <f>VLOOKUP(E$2,Base!$A$7:$W$36,19,FALSE)</f>
        <v>0</v>
      </c>
      <c r="F5" s="113">
        <f>VLOOKUP(F$2,Base!$A$7:$W$36,19,FALSE)</f>
        <v>0</v>
      </c>
      <c r="G5" s="113">
        <f>VLOOKUP(G$2,Base!$A$7:$W$36,19,FALSE)</f>
        <v>77.567999999999998</v>
      </c>
      <c r="H5" s="113">
        <f>VLOOKUP(H$2,Base!$A$7:$W$36,19,FALSE)</f>
        <v>77.567999999999998</v>
      </c>
      <c r="I5" s="113">
        <f>VLOOKUP(I$2,Base!$A$7:$W$36,19,FALSE)</f>
        <v>77.567999999999998</v>
      </c>
      <c r="J5" s="113">
        <f>VLOOKUP(J$2,Base!$A$7:$W$36,19,FALSE)</f>
        <v>77.567999999999998</v>
      </c>
      <c r="K5" s="113">
        <f>VLOOKUP(K$2,Base!$A$7:$W$36,19,FALSE)</f>
        <v>77.567999999999998</v>
      </c>
      <c r="L5" s="113">
        <f>VLOOKUP(L$2,Base!$A$7:$W$36,19,FALSE)</f>
        <v>77.567999999999998</v>
      </c>
      <c r="M5" s="113">
        <f>VLOOKUP(M$2,Base!$A$7:$W$36,19,FALSE)</f>
        <v>155.136</v>
      </c>
      <c r="N5" s="113">
        <f>VLOOKUP(N$2,Base!$A$7:$W$36,19,FALSE)</f>
        <v>232.70400000000001</v>
      </c>
      <c r="O5" s="113">
        <f>VLOOKUP(O$2,Base!$A$7:$W$36,19,FALSE)</f>
        <v>232.70400000000001</v>
      </c>
      <c r="P5" s="113">
        <f>VLOOKUP(P$2,Base!$A$7:$W$36,19,FALSE)</f>
        <v>232.70400000000001</v>
      </c>
      <c r="Q5" s="113">
        <f>VLOOKUP(Q$2,Base!$A$7:$W$36,19,FALSE)</f>
        <v>232.70400000000001</v>
      </c>
      <c r="R5" s="113">
        <f>VLOOKUP(R$2,Base!$A$7:$W$36,19,FALSE)</f>
        <v>232.70400000000001</v>
      </c>
      <c r="S5" s="113">
        <f>VLOOKUP(S$2,Base!$A$7:$W$36,19,FALSE)</f>
        <v>232.70400000000001</v>
      </c>
      <c r="T5" s="113">
        <f>VLOOKUP(T$2,Base!$A$7:$W$36,19,FALSE)</f>
        <v>232.70400000000001</v>
      </c>
      <c r="U5" s="113">
        <f>VLOOKUP(U$2,Base!$A$7:$W$36,19,FALSE)</f>
        <v>232.70400000000001</v>
      </c>
      <c r="V5" s="114">
        <f>VLOOKUP(V$2,Base!$A$7:$W$36,19,FALSE)</f>
        <v>232.70400000000001</v>
      </c>
    </row>
    <row r="6" spans="1:22" hidden="1" x14ac:dyDescent="0.25">
      <c r="A6" s="157"/>
      <c r="B6" s="112" t="s">
        <v>53</v>
      </c>
      <c r="C6" s="113">
        <f>VLOOKUP(C$2,Base!$A$7:$AE$36,29,FALSE)</f>
        <v>0</v>
      </c>
      <c r="D6" s="113">
        <f>VLOOKUP(D$2,Base!$A$7:$AE$36,29,FALSE)</f>
        <v>0</v>
      </c>
      <c r="E6" s="113">
        <f>VLOOKUP(E$2,Base!$A$7:$AE$36,29,FALSE)</f>
        <v>0</v>
      </c>
      <c r="F6" s="113">
        <f>VLOOKUP(F$2,Base!$A$7:$AE$36,29,FALSE)</f>
        <v>200.00000000000003</v>
      </c>
      <c r="G6" s="113">
        <f>VLOOKUP(G$2,Base!$A$7:$AE$36,29,FALSE)</f>
        <v>300.00000000000006</v>
      </c>
      <c r="H6" s="113">
        <f>VLOOKUP(H$2,Base!$A$7:$AE$36,29,FALSE)</f>
        <v>300.00000000000006</v>
      </c>
      <c r="I6" s="113">
        <f>VLOOKUP(I$2,Base!$A$7:$AE$36,29,FALSE)</f>
        <v>300.00000000000006</v>
      </c>
      <c r="J6" s="113">
        <f>VLOOKUP(J$2,Base!$A$7:$AE$36,29,FALSE)</f>
        <v>300.00000000000006</v>
      </c>
      <c r="K6" s="113">
        <f>VLOOKUP(K$2,Base!$A$7:$AE$36,29,FALSE)</f>
        <v>300.00000000000006</v>
      </c>
      <c r="L6" s="113">
        <f>VLOOKUP(L$2,Base!$A$7:$AE$36,29,FALSE)</f>
        <v>300.00000000000006</v>
      </c>
      <c r="M6" s="113">
        <f>VLOOKUP(M$2,Base!$A$7:$AE$36,29,FALSE)</f>
        <v>300.00000000000006</v>
      </c>
      <c r="N6" s="113">
        <f>VLOOKUP(N$2,Base!$A$7:$AE$36,29,FALSE)</f>
        <v>300.00000000000006</v>
      </c>
      <c r="O6" s="113">
        <f>VLOOKUP(O$2,Base!$A$7:$AE$36,29,FALSE)</f>
        <v>300.00000000000006</v>
      </c>
      <c r="P6" s="113">
        <f>VLOOKUP(P$2,Base!$A$7:$AE$36,29,FALSE)</f>
        <v>300.00000000000006</v>
      </c>
      <c r="Q6" s="113">
        <f>VLOOKUP(Q$2,Base!$A$7:$AE$36,29,FALSE)</f>
        <v>300.00000000000006</v>
      </c>
      <c r="R6" s="113">
        <f>VLOOKUP(R$2,Base!$A$7:$AE$36,29,FALSE)</f>
        <v>300.00000000000006</v>
      </c>
      <c r="S6" s="113">
        <f>VLOOKUP(S$2,Base!$A$7:$AE$36,29,FALSE)</f>
        <v>300.00000000000006</v>
      </c>
      <c r="T6" s="113">
        <f>VLOOKUP(T$2,Base!$A$7:$AE$36,29,FALSE)</f>
        <v>300.00000000000006</v>
      </c>
      <c r="U6" s="113">
        <f>VLOOKUP(U$2,Base!$A$7:$AE$36,29,FALSE)</f>
        <v>300.00000000000006</v>
      </c>
      <c r="V6" s="114">
        <f>VLOOKUP(V$2,Base!$A$7:$AE$36,29,FALSE)</f>
        <v>300.00000000000006</v>
      </c>
    </row>
    <row r="7" spans="1:22" hidden="1" x14ac:dyDescent="0.25">
      <c r="A7" s="157"/>
      <c r="B7" s="112" t="s">
        <v>54</v>
      </c>
      <c r="C7" s="113">
        <f>VLOOKUP(C$2,Base!$A$7:$AE$36,21,FALSE)</f>
        <v>0</v>
      </c>
      <c r="D7" s="113">
        <f>VLOOKUP(D$2,Base!$A$7:$AE$36,21,FALSE)</f>
        <v>0</v>
      </c>
      <c r="E7" s="113">
        <f>VLOOKUP(E$2,Base!$A$7:$AE$36,21,FALSE)</f>
        <v>0</v>
      </c>
      <c r="F7" s="113">
        <f>VLOOKUP(F$2,Base!$A$7:$AE$36,21,FALSE)</f>
        <v>24.6</v>
      </c>
      <c r="G7" s="113">
        <f>VLOOKUP(G$2,Base!$A$7:$AE$36,21,FALSE)</f>
        <v>36.900000000000006</v>
      </c>
      <c r="H7" s="113">
        <f>VLOOKUP(H$2,Base!$A$7:$AE$36,21,FALSE)</f>
        <v>36.900000000000006</v>
      </c>
      <c r="I7" s="113">
        <f>VLOOKUP(I$2,Base!$A$7:$AE$36,21,FALSE)</f>
        <v>36.900000000000006</v>
      </c>
      <c r="J7" s="113">
        <f>VLOOKUP(J$2,Base!$A$7:$AE$36,21,FALSE)</f>
        <v>36.900000000000006</v>
      </c>
      <c r="K7" s="113">
        <f>VLOOKUP(K$2,Base!$A$7:$AE$36,21,FALSE)</f>
        <v>36.900000000000006</v>
      </c>
      <c r="L7" s="113">
        <f>VLOOKUP(L$2,Base!$A$7:$AE$36,21,FALSE)</f>
        <v>36.900000000000006</v>
      </c>
      <c r="M7" s="113">
        <f>VLOOKUP(M$2,Base!$A$7:$AE$36,21,FALSE)</f>
        <v>36.900000000000006</v>
      </c>
      <c r="N7" s="113">
        <f>VLOOKUP(N$2,Base!$A$7:$AE$36,21,FALSE)</f>
        <v>36.900000000000006</v>
      </c>
      <c r="O7" s="113">
        <f>VLOOKUP(O$2,Base!$A$7:$AE$36,21,FALSE)</f>
        <v>36.900000000000006</v>
      </c>
      <c r="P7" s="113">
        <f>VLOOKUP(P$2,Base!$A$7:$AE$36,21,FALSE)</f>
        <v>36.900000000000006</v>
      </c>
      <c r="Q7" s="113">
        <f>VLOOKUP(Q$2,Base!$A$7:$AE$36,21,FALSE)</f>
        <v>36.900000000000006</v>
      </c>
      <c r="R7" s="113">
        <f>VLOOKUP(R$2,Base!$A$7:$AE$36,21,FALSE)</f>
        <v>36.900000000000006</v>
      </c>
      <c r="S7" s="113">
        <f>VLOOKUP(S$2,Base!$A$7:$AE$36,21,FALSE)</f>
        <v>36.900000000000006</v>
      </c>
      <c r="T7" s="113">
        <f>VLOOKUP(T$2,Base!$A$7:$AE$36,21,FALSE)</f>
        <v>36.900000000000006</v>
      </c>
      <c r="U7" s="113">
        <f>VLOOKUP(U$2,Base!$A$7:$AE$36,21,FALSE)</f>
        <v>36.900000000000006</v>
      </c>
      <c r="V7" s="114">
        <f>VLOOKUP(V$2,Base!$A$7:$AE$36,21,FALSE)</f>
        <v>36.900000000000006</v>
      </c>
    </row>
    <row r="8" spans="1:22" hidden="1" x14ac:dyDescent="0.25">
      <c r="A8" s="157"/>
      <c r="B8" s="112" t="s">
        <v>55</v>
      </c>
      <c r="C8" s="115">
        <f>VLOOKUP(C$2,Base!$A$7:$AE$36,16,FALSE)+VLOOKUP(C$2,Base!$A$7:$AE$36,17,FALSE)</f>
        <v>0</v>
      </c>
      <c r="D8" s="115">
        <f>VLOOKUP(D$2,Base!$A$7:$AE$36,16,FALSE)+VLOOKUP(D$2,Base!$A$7:$AE$36,17,FALSE)</f>
        <v>0</v>
      </c>
      <c r="E8" s="115">
        <f>VLOOKUP(E$2,Base!$A$7:$AE$36,16,FALSE)+VLOOKUP(E$2,Base!$A$7:$AE$36,17,FALSE)</f>
        <v>6.4442273099999996</v>
      </c>
      <c r="F8" s="115">
        <f>VLOOKUP(F$2,Base!$A$7:$AE$36,16,FALSE)+VLOOKUP(F$2,Base!$A$7:$AE$36,17,FALSE)</f>
        <v>12.43769473</v>
      </c>
      <c r="G8" s="115">
        <f>VLOOKUP(G$2,Base!$A$7:$AE$36,16,FALSE)+VLOOKUP(G$2,Base!$A$7:$AE$36,17,FALSE)</f>
        <v>18.266636179999999</v>
      </c>
      <c r="H8" s="115">
        <f>VLOOKUP(H$2,Base!$A$7:$AE$36,16,FALSE)+VLOOKUP(H$2,Base!$A$7:$AE$36,17,FALSE)</f>
        <v>17.134720350000002</v>
      </c>
      <c r="I8" s="115">
        <f>VLOOKUP(I$2,Base!$A$7:$AE$36,16,FALSE)+VLOOKUP(I$2,Base!$A$7:$AE$36,17,FALSE)</f>
        <v>15.081882319999998</v>
      </c>
      <c r="J8" s="115">
        <f>VLOOKUP(J$2,Base!$A$7:$AE$36,16,FALSE)+VLOOKUP(J$2,Base!$A$7:$AE$36,17,FALSE)</f>
        <v>12.978094260000001</v>
      </c>
      <c r="K8" s="115">
        <f>VLOOKUP(K$2,Base!$A$7:$AE$36,16,FALSE)+VLOOKUP(K$2,Base!$A$7:$AE$36,17,FALSE)</f>
        <v>11.391674620000002</v>
      </c>
      <c r="L8" s="115">
        <f>VLOOKUP(L$2,Base!$A$7:$AE$36,16,FALSE)+VLOOKUP(L$2,Base!$A$7:$AE$36,17,FALSE)</f>
        <v>9.6442959399999992</v>
      </c>
      <c r="M8" s="115">
        <f>VLOOKUP(M$2,Base!$A$7:$AE$36,16,FALSE)+VLOOKUP(M$2,Base!$A$7:$AE$36,17,FALSE)</f>
        <v>7.7709699600000004</v>
      </c>
      <c r="N8" s="115">
        <f>VLOOKUP(N$2,Base!$A$7:$AE$36,16,FALSE)+VLOOKUP(N$2,Base!$A$7:$AE$36,17,FALSE)</f>
        <v>5.7698585800000002</v>
      </c>
      <c r="O8" s="115">
        <f>VLOOKUP(O$2,Base!$A$7:$AE$36,16,FALSE)+VLOOKUP(O$2,Base!$A$7:$AE$36,17,FALSE)</f>
        <v>3.9833358800000003</v>
      </c>
      <c r="P8" s="115">
        <f>VLOOKUP(P$2,Base!$A$7:$AE$36,16,FALSE)+VLOOKUP(P$2,Base!$A$7:$AE$36,17,FALSE)</f>
        <v>2.5844748500000003</v>
      </c>
      <c r="Q8" s="115">
        <f>VLOOKUP(Q$2,Base!$A$7:$AE$36,16,FALSE)+VLOOKUP(Q$2,Base!$A$7:$AE$36,17,FALSE)</f>
        <v>1.5094938600000001</v>
      </c>
      <c r="R8" s="115">
        <f>VLOOKUP(R$2,Base!$A$7:$AE$36,16,FALSE)+VLOOKUP(R$2,Base!$A$7:$AE$36,17,FALSE)</f>
        <v>0.79865198000000004</v>
      </c>
      <c r="S8" s="115">
        <f>VLOOKUP(S$2,Base!$A$7:$AE$36,16,FALSE)+VLOOKUP(S$2,Base!$A$7:$AE$36,17,FALSE)</f>
        <v>0.35551805999999997</v>
      </c>
      <c r="T8" s="115">
        <f>VLOOKUP(T$2,Base!$A$7:$AE$36,16,FALSE)+VLOOKUP(T$2,Base!$A$7:$AE$36,17,FALSE)</f>
        <v>0.14805439000000001</v>
      </c>
      <c r="U8" s="115">
        <f>VLOOKUP(U$2,Base!$A$7:$AE$36,16,FALSE)+VLOOKUP(U$2,Base!$A$7:$AE$36,17,FALSE)</f>
        <v>6.1139150000000003E-2</v>
      </c>
      <c r="V8" s="116">
        <f>VLOOKUP(V$2,Base!$A$7:$AE$36,16,FALSE)+VLOOKUP(V$2,Base!$A$7:$AE$36,17,FALSE)</f>
        <v>1.301838E-2</v>
      </c>
    </row>
    <row r="9" spans="1:22" hidden="1" x14ac:dyDescent="0.25">
      <c r="A9" s="157"/>
      <c r="B9" s="112" t="s">
        <v>56</v>
      </c>
      <c r="C9" s="113">
        <f>VLOOKUP(C$2,Base!$A$7:$AE$36,20,FALSE)</f>
        <v>0</v>
      </c>
      <c r="D9" s="113">
        <f>VLOOKUP(D$2,Base!$A$7:$AE$36,20,FALSE)</f>
        <v>0</v>
      </c>
      <c r="E9" s="113">
        <f>VLOOKUP(E$2,Base!$A$7:$AE$36,20,FALSE)</f>
        <v>0</v>
      </c>
      <c r="F9" s="113">
        <f>VLOOKUP(F$2,Base!$A$7:$AE$36,20,FALSE)</f>
        <v>4.2698</v>
      </c>
      <c r="G9" s="113">
        <f>VLOOKUP(G$2,Base!$A$7:$AE$36,20,FALSE)</f>
        <v>4.2698</v>
      </c>
      <c r="H9" s="113">
        <f>VLOOKUP(H$2,Base!$A$7:$AE$36,20,FALSE)</f>
        <v>4.2698</v>
      </c>
      <c r="I9" s="113">
        <f>VLOOKUP(I$2,Base!$A$7:$AE$36,20,FALSE)</f>
        <v>4.2698</v>
      </c>
      <c r="J9" s="113">
        <f>VLOOKUP(J$2,Base!$A$7:$AE$36,20,FALSE)</f>
        <v>4.2698</v>
      </c>
      <c r="K9" s="113">
        <f>VLOOKUP(K$2,Base!$A$7:$AE$36,20,FALSE)</f>
        <v>4.2698</v>
      </c>
      <c r="L9" s="113">
        <f>VLOOKUP(L$2,Base!$A$7:$AE$36,20,FALSE)</f>
        <v>4.2698</v>
      </c>
      <c r="M9" s="113">
        <f>VLOOKUP(M$2,Base!$A$7:$AE$36,20,FALSE)</f>
        <v>4.2698</v>
      </c>
      <c r="N9" s="113">
        <f>VLOOKUP(N$2,Base!$A$7:$AE$36,20,FALSE)</f>
        <v>4.2698</v>
      </c>
      <c r="O9" s="113">
        <f>VLOOKUP(O$2,Base!$A$7:$AE$36,20,FALSE)</f>
        <v>4.2698</v>
      </c>
      <c r="P9" s="113">
        <f>VLOOKUP(P$2,Base!$A$7:$AE$36,20,FALSE)</f>
        <v>4.2698</v>
      </c>
      <c r="Q9" s="113">
        <f>VLOOKUP(Q$2,Base!$A$7:$AE$36,20,FALSE)</f>
        <v>4.2698</v>
      </c>
      <c r="R9" s="113">
        <f>VLOOKUP(R$2,Base!$A$7:$AE$36,20,FALSE)</f>
        <v>4.2698</v>
      </c>
      <c r="S9" s="113">
        <f>VLOOKUP(S$2,Base!$A$7:$AE$36,20,FALSE)</f>
        <v>4.2698</v>
      </c>
      <c r="T9" s="113">
        <f>VLOOKUP(T$2,Base!$A$7:$AE$36,20,FALSE)</f>
        <v>4.2698</v>
      </c>
      <c r="U9" s="113">
        <f>VLOOKUP(U$2,Base!$A$7:$AE$36,20,FALSE)</f>
        <v>0</v>
      </c>
      <c r="V9" s="114">
        <f>VLOOKUP(V$2,Base!$A$7:$AE$36,20,FALSE)</f>
        <v>0</v>
      </c>
    </row>
    <row r="10" spans="1:22" hidden="1" x14ac:dyDescent="0.25">
      <c r="A10" s="157"/>
      <c r="B10" s="112" t="s">
        <v>57</v>
      </c>
      <c r="C10" s="113">
        <f>VLOOKUP(C$2,Base!$A$7:$AE$36,18,FALSE)</f>
        <v>0</v>
      </c>
      <c r="D10" s="113">
        <f>VLOOKUP(D$2,Base!$A$7:$AE$36,18,FALSE)</f>
        <v>0</v>
      </c>
      <c r="E10" s="113">
        <f>VLOOKUP(E$2,Base!$A$7:$AE$36,18,FALSE)</f>
        <v>0</v>
      </c>
      <c r="F10" s="113">
        <f>VLOOKUP(F$2,Base!$A$7:$AE$36,18,FALSE)</f>
        <v>1.022</v>
      </c>
      <c r="G10" s="113">
        <f>VLOOKUP(G$2,Base!$A$7:$AE$36,18,FALSE)</f>
        <v>1.5329999999999999</v>
      </c>
      <c r="H10" s="113">
        <f>VLOOKUP(H$2,Base!$A$7:$AE$36,18,FALSE)</f>
        <v>1.5329999999999999</v>
      </c>
      <c r="I10" s="113">
        <f>VLOOKUP(I$2,Base!$A$7:$AE$36,18,FALSE)</f>
        <v>1.5329999999999999</v>
      </c>
      <c r="J10" s="113">
        <f>VLOOKUP(J$2,Base!$A$7:$AE$36,18,FALSE)</f>
        <v>2.044</v>
      </c>
      <c r="K10" s="113">
        <f>VLOOKUP(K$2,Base!$A$7:$AE$36,18,FALSE)</f>
        <v>2.044</v>
      </c>
      <c r="L10" s="113">
        <f>VLOOKUP(L$2,Base!$A$7:$AE$36,18,FALSE)</f>
        <v>2.5550000000000002</v>
      </c>
      <c r="M10" s="113">
        <f>VLOOKUP(M$2,Base!$A$7:$AE$36,18,FALSE)</f>
        <v>3.0659999999999998</v>
      </c>
      <c r="N10" s="113">
        <f>VLOOKUP(N$2,Base!$A$7:$AE$36,18,FALSE)</f>
        <v>3.577</v>
      </c>
      <c r="O10" s="113">
        <f>VLOOKUP(O$2,Base!$A$7:$AE$36,18,FALSE)</f>
        <v>3.577</v>
      </c>
      <c r="P10" s="113">
        <f>VLOOKUP(P$2,Base!$A$7:$AE$36,18,FALSE)</f>
        <v>4.0880000000000001</v>
      </c>
      <c r="Q10" s="113">
        <f>VLOOKUP(Q$2,Base!$A$7:$AE$36,18,FALSE)</f>
        <v>4.5990000000000002</v>
      </c>
      <c r="R10" s="113">
        <f>VLOOKUP(R$2,Base!$A$7:$AE$36,18,FALSE)</f>
        <v>4.5990000000000002</v>
      </c>
      <c r="S10" s="113">
        <f>VLOOKUP(S$2,Base!$A$7:$AE$36,18,FALSE)</f>
        <v>5.1100000000000003</v>
      </c>
      <c r="T10" s="113">
        <f>VLOOKUP(T$2,Base!$A$7:$AE$36,18,FALSE)</f>
        <v>5.1100000000000003</v>
      </c>
      <c r="U10" s="113">
        <f>VLOOKUP(U$2,Base!$A$7:$AE$36,18,FALSE)</f>
        <v>5.6210000000000004</v>
      </c>
      <c r="V10" s="114">
        <f>VLOOKUP(V$2,Base!$A$7:$AE$36,18,FALSE)</f>
        <v>5.6210000000000004</v>
      </c>
    </row>
    <row r="11" spans="1:22" ht="16.5" hidden="1" thickBot="1" x14ac:dyDescent="0.3">
      <c r="A11" s="158"/>
      <c r="B11" s="117" t="s">
        <v>58</v>
      </c>
      <c r="C11" s="118">
        <f>VLOOKUP(C$2,Base!$A$7:$AE$36,22,FALSE)</f>
        <v>0</v>
      </c>
      <c r="D11" s="118">
        <f>VLOOKUP(D$2,Base!$A$7:$AE$36,22,FALSE)</f>
        <v>0</v>
      </c>
      <c r="E11" s="118">
        <f>VLOOKUP(E$2,Base!$A$7:$AE$36,22,FALSE)</f>
        <v>150</v>
      </c>
      <c r="F11" s="118">
        <f>VLOOKUP(F$2,Base!$A$7:$AE$36,22,FALSE)</f>
        <v>100</v>
      </c>
      <c r="G11" s="118">
        <f>VLOOKUP(G$2,Base!$A$7:$AE$36,22,FALSE)</f>
        <v>0</v>
      </c>
      <c r="H11" s="118">
        <f>VLOOKUP(H$2,Base!$A$7:$AE$36,22,FALSE)</f>
        <v>0</v>
      </c>
      <c r="I11" s="118">
        <f>VLOOKUP(I$2,Base!$A$7:$AE$36,22,FALSE)</f>
        <v>0</v>
      </c>
      <c r="J11" s="118">
        <f>VLOOKUP(J$2,Base!$A$7:$AE$36,22,FALSE)</f>
        <v>0</v>
      </c>
      <c r="K11" s="118">
        <f>VLOOKUP(K$2,Base!$A$7:$AE$36,22,FALSE)</f>
        <v>0</v>
      </c>
      <c r="L11" s="118">
        <f>VLOOKUP(L$2,Base!$A$7:$AE$36,22,FALSE)</f>
        <v>0</v>
      </c>
      <c r="M11" s="118">
        <f>VLOOKUP(M$2,Base!$A$7:$AE$36,22,FALSE)</f>
        <v>0</v>
      </c>
      <c r="N11" s="118">
        <f>VLOOKUP(N$2,Base!$A$7:$AE$36,22,FALSE)</f>
        <v>0</v>
      </c>
      <c r="O11" s="118">
        <f>VLOOKUP(O$2,Base!$A$7:$AE$36,22,FALSE)</f>
        <v>0</v>
      </c>
      <c r="P11" s="118">
        <f>VLOOKUP(P$2,Base!$A$7:$AE$36,22,FALSE)</f>
        <v>0</v>
      </c>
      <c r="Q11" s="118">
        <f>VLOOKUP(Q$2,Base!$A$7:$AE$36,22,FALSE)</f>
        <v>0</v>
      </c>
      <c r="R11" s="118">
        <f>VLOOKUP(R$2,Base!$A$7:$AE$36,22,FALSE)</f>
        <v>0</v>
      </c>
      <c r="S11" s="118">
        <f>VLOOKUP(S$2,Base!$A$7:$AE$36,22,FALSE)</f>
        <v>0</v>
      </c>
      <c r="T11" s="118">
        <f>VLOOKUP(T$2,Base!$A$7:$AE$36,22,FALSE)</f>
        <v>0</v>
      </c>
      <c r="U11" s="118">
        <f>VLOOKUP(U$2,Base!$A$7:$AE$36,22,FALSE)</f>
        <v>0</v>
      </c>
      <c r="V11" s="119">
        <f>VLOOKUP(V$2,Base!$A$7:$AE$36,22,FALSE)</f>
        <v>0</v>
      </c>
    </row>
    <row r="12" spans="1:22" ht="28.5" hidden="1" customHeight="1" x14ac:dyDescent="0.25">
      <c r="A12" s="150" t="s">
        <v>68</v>
      </c>
      <c r="B12" s="151"/>
      <c r="C12" s="134">
        <f>VLOOKUP(C$2,Base!$A$7:$AC$36,24,FALSE)</f>
        <v>236.46977080800002</v>
      </c>
      <c r="D12" s="134">
        <f>VLOOKUP(D$2,Base!$A$7:$AC$36,24,FALSE)</f>
        <v>232.36830429599991</v>
      </c>
      <c r="E12" s="134">
        <f>VLOOKUP(E$2,Base!$A$7:$AC$36,24,FALSE)</f>
        <v>-141.19605854639985</v>
      </c>
      <c r="F12" s="134">
        <f>VLOOKUP(F$2,Base!$A$7:$AC$36,24,FALSE)</f>
        <v>-141.43342562999987</v>
      </c>
      <c r="G12" s="134">
        <f>VLOOKUP(G$2,Base!$A$7:$AC$36,24,FALSE)</f>
        <v>-138.49278128138985</v>
      </c>
      <c r="H12" s="134">
        <f>VLOOKUP(H$2,Base!$A$7:$AC$36,24,FALSE)</f>
        <v>-135.67758543864011</v>
      </c>
      <c r="I12" s="134">
        <f>VLOOKUP(I$2,Base!$A$7:$AC$36,24,FALSE)</f>
        <v>-133.17688301810995</v>
      </c>
      <c r="J12" s="134">
        <f>VLOOKUP(J$2,Base!$A$7:$AC$36,24,FALSE)</f>
        <v>-131.74494726266994</v>
      </c>
      <c r="K12" s="134">
        <f>VLOOKUP(K$2,Base!$A$7:$AC$36,24,FALSE)</f>
        <v>-130.81159234148981</v>
      </c>
      <c r="L12" s="134">
        <f>VLOOKUP(L$2,Base!$A$7:$AC$36,24,FALSE)</f>
        <v>-130.93588345038006</v>
      </c>
      <c r="M12" s="134">
        <f>VLOOKUP(M$2,Base!$A$7:$AC$36,24,FALSE)</f>
        <v>-129.96194429721004</v>
      </c>
      <c r="N12" s="134">
        <f>VLOOKUP(N$2,Base!$A$7:$AC$36,24,FALSE)</f>
        <v>-391.82507209673997</v>
      </c>
      <c r="O12" s="134">
        <f>VLOOKUP(O$2,Base!$A$7:$AC$36,24,FALSE)</f>
        <v>-391.85999443550998</v>
      </c>
      <c r="P12" s="134">
        <f>VLOOKUP(P$2,Base!$A$7:$AC$36,24,FALSE)</f>
        <v>-391.72112400056983</v>
      </c>
      <c r="Q12" s="134">
        <f>VLOOKUP(Q$2,Base!$A$7:$AC$36,24,FALSE)</f>
        <v>-392.4548395390799</v>
      </c>
      <c r="R12" s="134">
        <f>VLOOKUP(R$2,Base!$A$7:$AC$36,24,FALSE)</f>
        <v>-392.86475490341979</v>
      </c>
      <c r="S12" s="134">
        <f>VLOOKUP(S$2,Base!$A$7:$AC$36,24,FALSE)</f>
        <v>-393.98748385497004</v>
      </c>
      <c r="T12" s="134">
        <f>VLOOKUP(T$2,Base!$A$7:$AC$36,24,FALSE)</f>
        <v>-393.69112349333989</v>
      </c>
      <c r="U12" s="134">
        <f>VLOOKUP(U$2,Base!$A$7:$AC$36,24,FALSE)</f>
        <v>-394.24811896157996</v>
      </c>
      <c r="V12" s="134">
        <f>VLOOKUP(V$2,Base!$A$7:$AC$36,24,FALSE)</f>
        <v>-394.73299415154008</v>
      </c>
    </row>
    <row r="13" spans="1:22" ht="28.5" hidden="1" customHeight="1" thickBot="1" x14ac:dyDescent="0.3">
      <c r="A13" s="152" t="s">
        <v>69</v>
      </c>
      <c r="B13" s="153"/>
      <c r="C13" s="134">
        <f>VLOOKUP(C$2,Base!$A$7:$AC$36,26,FALSE)</f>
        <v>236.46977080800002</v>
      </c>
      <c r="D13" s="134">
        <f>VLOOKUP(D$2,Base!$A$7:$AC$36,26,FALSE)</f>
        <v>232.36830429599991</v>
      </c>
      <c r="E13" s="134">
        <f>VLOOKUP(E$2,Base!$A$7:$AC$36,26,FALSE)</f>
        <v>15.248168763600233</v>
      </c>
      <c r="F13" s="134">
        <f>VLOOKUP(F$2,Base!$A$7:$AC$36,26,FALSE)</f>
        <v>0.89606910000020434</v>
      </c>
      <c r="G13" s="134">
        <f>VLOOKUP(G$2,Base!$A$7:$AC$36,26,FALSE)</f>
        <v>4.4654898610133387E-2</v>
      </c>
      <c r="H13" s="134">
        <f>VLOOKUP(H$2,Base!$A$7:$AC$36,26,FALSE)</f>
        <v>1.7279349113598528</v>
      </c>
      <c r="I13" s="134">
        <f>VLOOKUP(I$2,Base!$A$7:$AC$36,26,FALSE)</f>
        <v>2.1757993018900379</v>
      </c>
      <c r="J13" s="134">
        <f>VLOOKUP(J$2,Base!$A$7:$AC$36,26,FALSE)</f>
        <v>2.0149469973300711</v>
      </c>
      <c r="K13" s="134">
        <f>VLOOKUP(K$2,Base!$A$7:$AC$36,26,FALSE)</f>
        <v>1.3618822785101656</v>
      </c>
      <c r="L13" s="134">
        <f>VLOOKUP(L$2,Base!$A$7:$AC$36,26,FALSE)</f>
        <v>1.2124896200020885E-3</v>
      </c>
      <c r="M13" s="134">
        <f>VLOOKUP(M$2,Base!$A$7:$AC$36,26,FALSE)</f>
        <v>77.180825662790085</v>
      </c>
      <c r="N13" s="134">
        <f>VLOOKUP(N$2,Base!$A$7:$AC$36,26,FALSE)</f>
        <v>13.395586483260104</v>
      </c>
      <c r="O13" s="134">
        <f>VLOOKUP(O$2,Base!$A$7:$AC$36,26,FALSE)</f>
        <v>11.574141444489896</v>
      </c>
      <c r="P13" s="134">
        <f>VLOOKUP(P$2,Base!$A$7:$AC$36,26,FALSE)</f>
        <v>10.825150849430202</v>
      </c>
      <c r="Q13" s="134">
        <f>VLOOKUP(Q$2,Base!$A$7:$AC$36,26,FALSE)</f>
        <v>9.527454320920242</v>
      </c>
      <c r="R13" s="134">
        <f>VLOOKUP(R$2,Base!$A$7:$AC$36,26,FALSE)</f>
        <v>8.4066970765800306</v>
      </c>
      <c r="S13" s="134">
        <f>VLOOKUP(S$2,Base!$A$7:$AC$36,26,FALSE)</f>
        <v>7.3518342050299452</v>
      </c>
      <c r="T13" s="134">
        <f>VLOOKUP(T$2,Base!$A$7:$AC$36,26,FALSE)</f>
        <v>7.440730896659943</v>
      </c>
      <c r="U13" s="134">
        <f>VLOOKUP(U$2,Base!$A$7:$AC$36,26,FALSE)</f>
        <v>3.0380201884202052</v>
      </c>
      <c r="V13" s="134">
        <f>VLOOKUP(V$2,Base!$A$7:$AC$36,26,FALSE)</f>
        <v>2.505024228459888</v>
      </c>
    </row>
    <row r="14" spans="1:22" x14ac:dyDescent="0.25">
      <c r="A14" s="159" t="s">
        <v>66</v>
      </c>
      <c r="B14" s="120" t="s">
        <v>50</v>
      </c>
      <c r="C14" s="121">
        <f>VLOOKUP(C$2,'Market Only'!$A$7:$AE$36,31,FALSE)</f>
        <v>0</v>
      </c>
      <c r="D14" s="121">
        <f>VLOOKUP(D$2,'Market Only'!$A$7:$AE$36,31,FALSE)</f>
        <v>0</v>
      </c>
      <c r="E14" s="121">
        <f>VLOOKUP(E$2,'Market Only'!$A$7:$AE$36,31,FALSE)</f>
        <v>0</v>
      </c>
      <c r="F14" s="121">
        <f>VLOOKUP(F$2,'Market Only'!$A$7:$AE$36,31,FALSE)</f>
        <v>0</v>
      </c>
      <c r="G14" s="121">
        <f>VLOOKUP(G$2,'Market Only'!$A$7:$AE$36,31,FALSE)</f>
        <v>0</v>
      </c>
      <c r="H14" s="121">
        <f>VLOOKUP(H$2,'Market Only'!$A$7:$AE$36,31,FALSE)</f>
        <v>0</v>
      </c>
      <c r="I14" s="121">
        <f>VLOOKUP(I$2,'Market Only'!$A$7:$AE$36,31,FALSE)</f>
        <v>0</v>
      </c>
      <c r="J14" s="121">
        <f>VLOOKUP(J$2,'Market Only'!$A$7:$AE$36,31,FALSE)</f>
        <v>0</v>
      </c>
      <c r="K14" s="121">
        <f>VLOOKUP(K$2,'Market Only'!$A$7:$AE$36,31,FALSE)</f>
        <v>0</v>
      </c>
      <c r="L14" s="121">
        <f>VLOOKUP(L$2,'Market Only'!$A$7:$AE$36,31,FALSE)</f>
        <v>0</v>
      </c>
      <c r="M14" s="121">
        <f>VLOOKUP(M$2,'Market Only'!$A$7:$AE$36,31,FALSE)</f>
        <v>0</v>
      </c>
      <c r="N14" s="121">
        <f>VLOOKUP(N$2,'Market Only'!$A$7:$AE$36,31,FALSE)</f>
        <v>122</v>
      </c>
      <c r="O14" s="121">
        <f>VLOOKUP(O$2,'Market Only'!$A$7:$AE$36,31,FALSE)</f>
        <v>122</v>
      </c>
      <c r="P14" s="121">
        <f>VLOOKUP(P$2,'Market Only'!$A$7:$AE$36,31,FALSE)</f>
        <v>122</v>
      </c>
      <c r="Q14" s="121">
        <f>VLOOKUP(Q$2,'Market Only'!$A$7:$AE$36,31,FALSE)</f>
        <v>122</v>
      </c>
      <c r="R14" s="121">
        <f>VLOOKUP(R$2,'Market Only'!$A$7:$AE$36,31,FALSE)</f>
        <v>122</v>
      </c>
      <c r="S14" s="121">
        <f>VLOOKUP(S$2,'Market Only'!$A$7:$AE$36,31,FALSE)</f>
        <v>122</v>
      </c>
      <c r="T14" s="121">
        <f>VLOOKUP(T$2,'Market Only'!$A$7:$AE$36,31,FALSE)</f>
        <v>122</v>
      </c>
      <c r="U14" s="121">
        <f>VLOOKUP(U$2,'Market Only'!$A$7:$AE$36,31,FALSE)</f>
        <v>122</v>
      </c>
      <c r="V14" s="122">
        <f>VLOOKUP(V$2,'Market Only'!$A$7:$AE$36,31,FALSE)</f>
        <v>122</v>
      </c>
    </row>
    <row r="15" spans="1:22" x14ac:dyDescent="0.25">
      <c r="A15" s="160"/>
      <c r="B15" s="123" t="s">
        <v>51</v>
      </c>
      <c r="C15" s="124">
        <f>VLOOKUP(C$2,'Market Only'!$A$7:$AE$36,28,FALSE)</f>
        <v>0</v>
      </c>
      <c r="D15" s="124">
        <f>VLOOKUP(D$2,'Market Only'!$A$7:$AE$36,28,FALSE)</f>
        <v>0</v>
      </c>
      <c r="E15" s="124">
        <f>VLOOKUP(E$2,'Market Only'!$A$7:$AE$36,28,FALSE)</f>
        <v>0</v>
      </c>
      <c r="F15" s="124">
        <f>VLOOKUP(F$2,'Market Only'!$A$7:$AE$36,28,FALSE)</f>
        <v>0</v>
      </c>
      <c r="G15" s="124">
        <f>VLOOKUP(G$2,'Market Only'!$A$7:$AE$36,28,FALSE)</f>
        <v>0</v>
      </c>
      <c r="H15" s="124">
        <f>VLOOKUP(H$2,'Market Only'!$A$7:$AE$36,28,FALSE)</f>
        <v>252.99412915851272</v>
      </c>
      <c r="I15" s="124">
        <f>VLOOKUP(I$2,'Market Only'!$A$7:$AE$36,28,FALSE)</f>
        <v>252.99412915851272</v>
      </c>
      <c r="J15" s="124">
        <f>VLOOKUP(J$2,'Market Only'!$A$7:$AE$36,28,FALSE)</f>
        <v>252.99412915851272</v>
      </c>
      <c r="K15" s="124">
        <f>VLOOKUP(K$2,'Market Only'!$A$7:$AE$36,28,FALSE)</f>
        <v>252.99412915851272</v>
      </c>
      <c r="L15" s="124">
        <f>VLOOKUP(L$2,'Market Only'!$A$7:$AE$36,28,FALSE)</f>
        <v>252.99412915851272</v>
      </c>
      <c r="M15" s="124">
        <f>VLOOKUP(M$2,'Market Only'!$A$7:$AE$36,28,FALSE)</f>
        <v>303.59295499021533</v>
      </c>
      <c r="N15" s="124">
        <f>VLOOKUP(N$2,'Market Only'!$A$7:$AE$36,28,FALSE)</f>
        <v>455.38943248532291</v>
      </c>
      <c r="O15" s="124">
        <f>VLOOKUP(O$2,'Market Only'!$A$7:$AE$36,28,FALSE)</f>
        <v>455.38943248532291</v>
      </c>
      <c r="P15" s="124">
        <f>VLOOKUP(P$2,'Market Only'!$A$7:$AE$36,28,FALSE)</f>
        <v>455.38943248532291</v>
      </c>
      <c r="Q15" s="124">
        <f>VLOOKUP(Q$2,'Market Only'!$A$7:$AE$36,28,FALSE)</f>
        <v>455.38943248532291</v>
      </c>
      <c r="R15" s="124">
        <f>VLOOKUP(R$2,'Market Only'!$A$7:$AE$36,28,FALSE)</f>
        <v>455.38943248532291</v>
      </c>
      <c r="S15" s="124">
        <f>VLOOKUP(S$2,'Market Only'!$A$7:$AE$36,28,FALSE)</f>
        <v>455.38943248532291</v>
      </c>
      <c r="T15" s="124">
        <f>VLOOKUP(T$2,'Market Only'!$A$7:$AE$36,28,FALSE)</f>
        <v>455.38943248532291</v>
      </c>
      <c r="U15" s="124">
        <f>VLOOKUP(U$2,'Market Only'!$A$7:$AE$36,28,FALSE)</f>
        <v>455.38943248532291</v>
      </c>
      <c r="V15" s="125">
        <f>VLOOKUP(V$2,'Market Only'!$A$7:$AE$36,28,FALSE)</f>
        <v>455.38943248532291</v>
      </c>
    </row>
    <row r="16" spans="1:22" x14ac:dyDescent="0.25">
      <c r="A16" s="160"/>
      <c r="B16" s="123" t="s">
        <v>52</v>
      </c>
      <c r="C16" s="124">
        <f>VLOOKUP(C$2,'Market Only'!$A$7:$W$36,19,FALSE)</f>
        <v>0</v>
      </c>
      <c r="D16" s="124">
        <f>VLOOKUP(D$2,'Market Only'!$A$7:$W$36,19,FALSE)</f>
        <v>0</v>
      </c>
      <c r="E16" s="124">
        <f>VLOOKUP(E$2,'Market Only'!$A$7:$W$36,19,FALSE)</f>
        <v>0</v>
      </c>
      <c r="F16" s="124">
        <f>VLOOKUP(F$2,'Market Only'!$A$7:$W$36,19,FALSE)</f>
        <v>0</v>
      </c>
      <c r="G16" s="124">
        <f>VLOOKUP(G$2,'Market Only'!$A$7:$W$36,19,FALSE)</f>
        <v>0</v>
      </c>
      <c r="H16" s="124">
        <f>VLOOKUP(H$2,'Market Only'!$A$7:$W$36,19,FALSE)</f>
        <v>129.28</v>
      </c>
      <c r="I16" s="124">
        <f>VLOOKUP(I$2,'Market Only'!$A$7:$W$36,19,FALSE)</f>
        <v>129.28</v>
      </c>
      <c r="J16" s="124">
        <f>VLOOKUP(J$2,'Market Only'!$A$7:$W$36,19,FALSE)</f>
        <v>129.28</v>
      </c>
      <c r="K16" s="124">
        <f>VLOOKUP(K$2,'Market Only'!$A$7:$W$36,19,FALSE)</f>
        <v>129.28</v>
      </c>
      <c r="L16" s="124">
        <f>VLOOKUP(L$2,'Market Only'!$A$7:$W$36,19,FALSE)</f>
        <v>129.28</v>
      </c>
      <c r="M16" s="124">
        <f>VLOOKUP(M$2,'Market Only'!$A$7:$W$36,19,FALSE)</f>
        <v>155.13600000000002</v>
      </c>
      <c r="N16" s="124">
        <f>VLOOKUP(N$2,'Market Only'!$A$7:$W$36,19,FALSE)</f>
        <v>232.70400000000001</v>
      </c>
      <c r="O16" s="124">
        <f>VLOOKUP(O$2,'Market Only'!$A$7:$W$36,19,FALSE)</f>
        <v>232.70400000000001</v>
      </c>
      <c r="P16" s="124">
        <f>VLOOKUP(P$2,'Market Only'!$A$7:$W$36,19,FALSE)</f>
        <v>232.70400000000001</v>
      </c>
      <c r="Q16" s="124">
        <f>VLOOKUP(Q$2,'Market Only'!$A$7:$W$36,19,FALSE)</f>
        <v>232.70400000000001</v>
      </c>
      <c r="R16" s="124">
        <f>VLOOKUP(R$2,'Market Only'!$A$7:$W$36,19,FALSE)</f>
        <v>232.70400000000001</v>
      </c>
      <c r="S16" s="124">
        <f>VLOOKUP(S$2,'Market Only'!$A$7:$W$36,19,FALSE)</f>
        <v>232.70400000000001</v>
      </c>
      <c r="T16" s="124">
        <f>VLOOKUP(T$2,'Market Only'!$A$7:$W$36,19,FALSE)</f>
        <v>232.70400000000001</v>
      </c>
      <c r="U16" s="124">
        <f>VLOOKUP(U$2,'Market Only'!$A$7:$W$36,19,FALSE)</f>
        <v>232.70400000000001</v>
      </c>
      <c r="V16" s="125">
        <f>VLOOKUP(V$2,'Market Only'!$A$7:$W$36,19,FALSE)</f>
        <v>232.70400000000001</v>
      </c>
    </row>
    <row r="17" spans="1:22" x14ac:dyDescent="0.25">
      <c r="A17" s="160"/>
      <c r="B17" s="123" t="s">
        <v>53</v>
      </c>
      <c r="C17" s="124">
        <f>VLOOKUP(C$2,'Market Only'!$A$7:$AE$36,29,FALSE)</f>
        <v>0</v>
      </c>
      <c r="D17" s="124">
        <f>VLOOKUP(D$2,'Market Only'!$A$7:$AE$36,29,FALSE)</f>
        <v>0</v>
      </c>
      <c r="E17" s="124">
        <f>VLOOKUP(E$2,'Market Only'!$A$7:$AE$36,29,FALSE)</f>
        <v>0</v>
      </c>
      <c r="F17" s="124">
        <f>VLOOKUP(F$2,'Market Only'!$A$7:$AE$36,29,FALSE)</f>
        <v>0</v>
      </c>
      <c r="G17" s="124">
        <f>VLOOKUP(G$2,'Market Only'!$A$7:$AE$36,29,FALSE)</f>
        <v>0</v>
      </c>
      <c r="H17" s="124">
        <f>VLOOKUP(H$2,'Market Only'!$A$7:$AE$36,29,FALSE)</f>
        <v>0</v>
      </c>
      <c r="I17" s="124">
        <f>VLOOKUP(I$2,'Market Only'!$A$7:$AE$36,29,FALSE)</f>
        <v>0</v>
      </c>
      <c r="J17" s="124">
        <f>VLOOKUP(J$2,'Market Only'!$A$7:$AE$36,29,FALSE)</f>
        <v>0</v>
      </c>
      <c r="K17" s="124">
        <f>VLOOKUP(K$2,'Market Only'!$A$7:$AE$36,29,FALSE)</f>
        <v>0</v>
      </c>
      <c r="L17" s="124">
        <f>VLOOKUP(L$2,'Market Only'!$A$7:$AE$36,29,FALSE)</f>
        <v>0</v>
      </c>
      <c r="M17" s="124">
        <f>VLOOKUP(M$2,'Market Only'!$A$7:$AE$36,29,FALSE)</f>
        <v>100.00000000000001</v>
      </c>
      <c r="N17" s="124">
        <f>VLOOKUP(N$2,'Market Only'!$A$7:$AE$36,29,FALSE)</f>
        <v>100.00000000000001</v>
      </c>
      <c r="O17" s="124">
        <f>VLOOKUP(O$2,'Market Only'!$A$7:$AE$36,29,FALSE)</f>
        <v>100.00000000000001</v>
      </c>
      <c r="P17" s="124">
        <f>VLOOKUP(P$2,'Market Only'!$A$7:$AE$36,29,FALSE)</f>
        <v>100.00000000000001</v>
      </c>
      <c r="Q17" s="124">
        <f>VLOOKUP(Q$2,'Market Only'!$A$7:$AE$36,29,FALSE)</f>
        <v>100.00000000000001</v>
      </c>
      <c r="R17" s="124">
        <f>VLOOKUP(R$2,'Market Only'!$A$7:$AE$36,29,FALSE)</f>
        <v>100.00000000000001</v>
      </c>
      <c r="S17" s="124">
        <f>VLOOKUP(S$2,'Market Only'!$A$7:$AE$36,29,FALSE)</f>
        <v>200.00000000000003</v>
      </c>
      <c r="T17" s="124">
        <f>VLOOKUP(T$2,'Market Only'!$A$7:$AE$36,29,FALSE)</f>
        <v>200.00000000000003</v>
      </c>
      <c r="U17" s="124">
        <f>VLOOKUP(U$2,'Market Only'!$A$7:$AE$36,29,FALSE)</f>
        <v>200.00000000000003</v>
      </c>
      <c r="V17" s="125">
        <f>VLOOKUP(V$2,'Market Only'!$A$7:$AE$36,29,FALSE)</f>
        <v>200.00000000000003</v>
      </c>
    </row>
    <row r="18" spans="1:22" x14ac:dyDescent="0.25">
      <c r="A18" s="160"/>
      <c r="B18" s="123" t="s">
        <v>54</v>
      </c>
      <c r="C18" s="124">
        <f>VLOOKUP(C$2,'Market Only'!$A$7:$AE$36,21,FALSE)</f>
        <v>0</v>
      </c>
      <c r="D18" s="124">
        <f>VLOOKUP(D$2,'Market Only'!$A$7:$AE$36,21,FALSE)</f>
        <v>0</v>
      </c>
      <c r="E18" s="124">
        <f>VLOOKUP(E$2,'Market Only'!$A$7:$AE$36,21,FALSE)</f>
        <v>0</v>
      </c>
      <c r="F18" s="124">
        <f>VLOOKUP(F$2,'Market Only'!$A$7:$AE$36,21,FALSE)</f>
        <v>0</v>
      </c>
      <c r="G18" s="124">
        <f>VLOOKUP(G$2,'Market Only'!$A$7:$AE$36,21,FALSE)</f>
        <v>0</v>
      </c>
      <c r="H18" s="124">
        <f>VLOOKUP(H$2,'Market Only'!$A$7:$AE$36,21,FALSE)</f>
        <v>0</v>
      </c>
      <c r="I18" s="124">
        <f>VLOOKUP(I$2,'Market Only'!$A$7:$AE$36,21,FALSE)</f>
        <v>0</v>
      </c>
      <c r="J18" s="124">
        <f>VLOOKUP(J$2,'Market Only'!$A$7:$AE$36,21,FALSE)</f>
        <v>0</v>
      </c>
      <c r="K18" s="124">
        <f>VLOOKUP(K$2,'Market Only'!$A$7:$AE$36,21,FALSE)</f>
        <v>0</v>
      </c>
      <c r="L18" s="124">
        <f>VLOOKUP(L$2,'Market Only'!$A$7:$AE$36,21,FALSE)</f>
        <v>0</v>
      </c>
      <c r="M18" s="124">
        <f>VLOOKUP(M$2,'Market Only'!$A$7:$AE$36,21,FALSE)</f>
        <v>12.3</v>
      </c>
      <c r="N18" s="124">
        <f>VLOOKUP(N$2,'Market Only'!$A$7:$AE$36,21,FALSE)</f>
        <v>12.3</v>
      </c>
      <c r="O18" s="124">
        <f>VLOOKUP(O$2,'Market Only'!$A$7:$AE$36,21,FALSE)</f>
        <v>12.3</v>
      </c>
      <c r="P18" s="124">
        <f>VLOOKUP(P$2,'Market Only'!$A$7:$AE$36,21,FALSE)</f>
        <v>12.3</v>
      </c>
      <c r="Q18" s="124">
        <f>VLOOKUP(Q$2,'Market Only'!$A$7:$AE$36,21,FALSE)</f>
        <v>12.3</v>
      </c>
      <c r="R18" s="124">
        <f>VLOOKUP(R$2,'Market Only'!$A$7:$AE$36,21,FALSE)</f>
        <v>12.3</v>
      </c>
      <c r="S18" s="124">
        <f>VLOOKUP(S$2,'Market Only'!$A$7:$AE$36,21,FALSE)</f>
        <v>24.6</v>
      </c>
      <c r="T18" s="124">
        <f>VLOOKUP(T$2,'Market Only'!$A$7:$AE$36,21,FALSE)</f>
        <v>24.6</v>
      </c>
      <c r="U18" s="124">
        <f>VLOOKUP(U$2,'Market Only'!$A$7:$AE$36,21,FALSE)</f>
        <v>24.6</v>
      </c>
      <c r="V18" s="125">
        <f>VLOOKUP(V$2,'Market Only'!$A$7:$AE$36,21,FALSE)</f>
        <v>24.6</v>
      </c>
    </row>
    <row r="19" spans="1:22" x14ac:dyDescent="0.25">
      <c r="A19" s="160"/>
      <c r="B19" s="123" t="s">
        <v>55</v>
      </c>
      <c r="C19" s="126">
        <f>VLOOKUP(C$2,'Market Only'!$A$7:$AE$36,16,FALSE)+VLOOKUP(C$2,'Market Only'!$A$7:$AE$36,17,FALSE)</f>
        <v>0</v>
      </c>
      <c r="D19" s="126">
        <f>VLOOKUP(D$2,'Market Only'!$A$7:$AE$36,16,FALSE)+VLOOKUP(D$2,'Market Only'!$A$7:$AE$36,17,FALSE)</f>
        <v>0</v>
      </c>
      <c r="E19" s="126">
        <f>VLOOKUP(E$2,'Market Only'!$A$7:$AE$36,16,FALSE)+VLOOKUP(E$2,'Market Only'!$A$7:$AE$36,17,FALSE)</f>
        <v>0</v>
      </c>
      <c r="F19" s="126">
        <f>VLOOKUP(F$2,'Market Only'!$A$7:$AE$36,16,FALSE)+VLOOKUP(F$2,'Market Only'!$A$7:$AE$36,17,FALSE)</f>
        <v>0</v>
      </c>
      <c r="G19" s="126">
        <f>VLOOKUP(G$2,'Market Only'!$A$7:$AE$36,16,FALSE)+VLOOKUP(G$2,'Market Only'!$A$7:$AE$36,17,FALSE)</f>
        <v>0</v>
      </c>
      <c r="H19" s="126">
        <f>VLOOKUP(H$2,'Market Only'!$A$7:$AE$36,16,FALSE)+VLOOKUP(H$2,'Market Only'!$A$7:$AE$36,17,FALSE)</f>
        <v>4.9168226499999994</v>
      </c>
      <c r="I19" s="126">
        <f>VLOOKUP(I$2,'Market Only'!$A$7:$AE$36,16,FALSE)+VLOOKUP(I$2,'Market Only'!$A$7:$AE$36,17,FALSE)</f>
        <v>5.4552897500000004</v>
      </c>
      <c r="J19" s="126">
        <f>VLOOKUP(J$2,'Market Only'!$A$7:$AE$36,16,FALSE)+VLOOKUP(J$2,'Market Only'!$A$7:$AE$36,17,FALSE)</f>
        <v>5.4017012799999993</v>
      </c>
      <c r="K19" s="126">
        <f>VLOOKUP(K$2,'Market Only'!$A$7:$AE$36,16,FALSE)+VLOOKUP(K$2,'Market Only'!$A$7:$AE$36,17,FALSE)</f>
        <v>6.0245610699999999</v>
      </c>
      <c r="L19" s="126">
        <f>VLOOKUP(L$2,'Market Only'!$A$7:$AE$36,16,FALSE)+VLOOKUP(L$2,'Market Only'!$A$7:$AE$36,17,FALSE)</f>
        <v>6.0611009400000002</v>
      </c>
      <c r="M19" s="126">
        <f>VLOOKUP(M$2,'Market Only'!$A$7:$AE$36,16,FALSE)+VLOOKUP(M$2,'Market Only'!$A$7:$AE$36,17,FALSE)</f>
        <v>9.3083545000000019</v>
      </c>
      <c r="N19" s="126">
        <f>VLOOKUP(N$2,'Market Only'!$A$7:$AE$36,16,FALSE)+VLOOKUP(N$2,'Market Only'!$A$7:$AE$36,17,FALSE)</f>
        <v>10.914413120000001</v>
      </c>
      <c r="O19" s="126">
        <f>VLOOKUP(O$2,'Market Only'!$A$7:$AE$36,16,FALSE)+VLOOKUP(O$2,'Market Only'!$A$7:$AE$36,17,FALSE)</f>
        <v>11.154602780000001</v>
      </c>
      <c r="P19" s="126">
        <f>VLOOKUP(P$2,'Market Only'!$A$7:$AE$36,16,FALSE)+VLOOKUP(P$2,'Market Only'!$A$7:$AE$36,17,FALSE)</f>
        <v>10.310064709999999</v>
      </c>
      <c r="Q19" s="126">
        <f>VLOOKUP(Q$2,'Market Only'!$A$7:$AE$36,16,FALSE)+VLOOKUP(Q$2,'Market Only'!$A$7:$AE$36,17,FALSE)</f>
        <v>10.598957559999999</v>
      </c>
      <c r="R19" s="126">
        <f>VLOOKUP(R$2,'Market Only'!$A$7:$AE$36,16,FALSE)+VLOOKUP(R$2,'Market Only'!$A$7:$AE$36,17,FALSE)</f>
        <v>10.95258117</v>
      </c>
      <c r="S19" s="126">
        <f>VLOOKUP(S$2,'Market Only'!$A$7:$AE$36,16,FALSE)+VLOOKUP(S$2,'Market Only'!$A$7:$AE$36,17,FALSE)</f>
        <v>8.4643591000000011</v>
      </c>
      <c r="T19" s="126">
        <f>VLOOKUP(T$2,'Market Only'!$A$7:$AE$36,16,FALSE)+VLOOKUP(T$2,'Market Only'!$A$7:$AE$36,17,FALSE)</f>
        <v>6.0492746899999998</v>
      </c>
      <c r="U19" s="126">
        <f>VLOOKUP(U$2,'Market Only'!$A$7:$AE$36,16,FALSE)+VLOOKUP(U$2,'Market Only'!$A$7:$AE$36,17,FALSE)</f>
        <v>4.3881894900000002</v>
      </c>
      <c r="V19" s="127">
        <f>VLOOKUP(V$2,'Market Only'!$A$7:$AE$36,16,FALSE)+VLOOKUP(V$2,'Market Only'!$A$7:$AE$36,17,FALSE)</f>
        <v>2.9608209799999998</v>
      </c>
    </row>
    <row r="20" spans="1:22" x14ac:dyDescent="0.25">
      <c r="A20" s="160"/>
      <c r="B20" s="123" t="s">
        <v>56</v>
      </c>
      <c r="C20" s="124">
        <f>VLOOKUP(C$2,'Market Only'!$A$7:$AE$36,20,FALSE)</f>
        <v>0</v>
      </c>
      <c r="D20" s="124">
        <f>VLOOKUP(D$2,'Market Only'!$A$7:$AE$36,20,FALSE)</f>
        <v>0</v>
      </c>
      <c r="E20" s="124">
        <f>VLOOKUP(E$2,'Market Only'!$A$7:$AE$36,20,FALSE)</f>
        <v>0</v>
      </c>
      <c r="F20" s="124">
        <f>VLOOKUP(F$2,'Market Only'!$A$7:$AE$36,20,FALSE)</f>
        <v>0</v>
      </c>
      <c r="G20" s="124">
        <f>VLOOKUP(G$2,'Market Only'!$A$7:$AE$36,20,FALSE)</f>
        <v>0</v>
      </c>
      <c r="H20" s="124">
        <f>VLOOKUP(H$2,'Market Only'!$A$7:$AE$36,20,FALSE)</f>
        <v>0</v>
      </c>
      <c r="I20" s="124">
        <f>VLOOKUP(I$2,'Market Only'!$A$7:$AE$36,20,FALSE)</f>
        <v>0</v>
      </c>
      <c r="J20" s="124">
        <f>VLOOKUP(J$2,'Market Only'!$A$7:$AE$36,20,FALSE)</f>
        <v>0</v>
      </c>
      <c r="K20" s="124">
        <f>VLOOKUP(K$2,'Market Only'!$A$7:$AE$36,20,FALSE)</f>
        <v>0</v>
      </c>
      <c r="L20" s="124">
        <f>VLOOKUP(L$2,'Market Only'!$A$7:$AE$36,20,FALSE)</f>
        <v>4.2698</v>
      </c>
      <c r="M20" s="124">
        <f>VLOOKUP(M$2,'Market Only'!$A$7:$AE$36,20,FALSE)</f>
        <v>7.5539000000000005</v>
      </c>
      <c r="N20" s="124">
        <f>VLOOKUP(N$2,'Market Only'!$A$7:$AE$36,20,FALSE)</f>
        <v>10.3337</v>
      </c>
      <c r="O20" s="124">
        <f>VLOOKUP(O$2,'Market Only'!$A$7:$AE$36,20,FALSE)</f>
        <v>10.3337</v>
      </c>
      <c r="P20" s="124">
        <f>VLOOKUP(P$2,'Market Only'!$A$7:$AE$36,20,FALSE)</f>
        <v>10.3337</v>
      </c>
      <c r="Q20" s="124">
        <f>VLOOKUP(Q$2,'Market Only'!$A$7:$AE$36,20,FALSE)</f>
        <v>10.3337</v>
      </c>
      <c r="R20" s="124">
        <f>VLOOKUP(R$2,'Market Only'!$A$7:$AE$36,20,FALSE)</f>
        <v>10.3337</v>
      </c>
      <c r="S20" s="124">
        <f>VLOOKUP(S$2,'Market Only'!$A$7:$AE$36,20,FALSE)</f>
        <v>10.3337</v>
      </c>
      <c r="T20" s="124">
        <f>VLOOKUP(T$2,'Market Only'!$A$7:$AE$36,20,FALSE)</f>
        <v>10.3337</v>
      </c>
      <c r="U20" s="124">
        <f>VLOOKUP(U$2,'Market Only'!$A$7:$AE$36,20,FALSE)</f>
        <v>10.3337</v>
      </c>
      <c r="V20" s="125">
        <f>VLOOKUP(V$2,'Market Only'!$A$7:$AE$36,20,FALSE)</f>
        <v>10.3337</v>
      </c>
    </row>
    <row r="21" spans="1:22" x14ac:dyDescent="0.25">
      <c r="A21" s="160"/>
      <c r="B21" s="123" t="s">
        <v>57</v>
      </c>
      <c r="C21" s="124">
        <f>VLOOKUP(C$2,'Market Only'!$A$7:$AE$36,18,FALSE)</f>
        <v>0</v>
      </c>
      <c r="D21" s="124">
        <f>VLOOKUP(D$2,'Market Only'!$A$7:$AE$36,18,FALSE)</f>
        <v>0</v>
      </c>
      <c r="E21" s="124">
        <f>VLOOKUP(E$2,'Market Only'!$A$7:$AE$36,18,FALSE)</f>
        <v>0</v>
      </c>
      <c r="F21" s="124">
        <f>VLOOKUP(F$2,'Market Only'!$A$7:$AE$36,18,FALSE)</f>
        <v>1.022</v>
      </c>
      <c r="G21" s="124">
        <f>VLOOKUP(G$2,'Market Only'!$A$7:$AE$36,18,FALSE)</f>
        <v>1.5329999999999999</v>
      </c>
      <c r="H21" s="124">
        <f>VLOOKUP(H$2,'Market Only'!$A$7:$AE$36,18,FALSE)</f>
        <v>1.5329999999999999</v>
      </c>
      <c r="I21" s="124">
        <f>VLOOKUP(I$2,'Market Only'!$A$7:$AE$36,18,FALSE)</f>
        <v>1.5329999999999999</v>
      </c>
      <c r="J21" s="124">
        <f>VLOOKUP(J$2,'Market Only'!$A$7:$AE$36,18,FALSE)</f>
        <v>2.044</v>
      </c>
      <c r="K21" s="124">
        <f>VLOOKUP(K$2,'Market Only'!$A$7:$AE$36,18,FALSE)</f>
        <v>2.044</v>
      </c>
      <c r="L21" s="124">
        <f>VLOOKUP(L$2,'Market Only'!$A$7:$AE$36,18,FALSE)</f>
        <v>2.5550000000000002</v>
      </c>
      <c r="M21" s="124">
        <f>VLOOKUP(M$2,'Market Only'!$A$7:$AE$36,18,FALSE)</f>
        <v>3.0659999999999998</v>
      </c>
      <c r="N21" s="124">
        <f>VLOOKUP(N$2,'Market Only'!$A$7:$AE$36,18,FALSE)</f>
        <v>3.577</v>
      </c>
      <c r="O21" s="124">
        <f>VLOOKUP(O$2,'Market Only'!$A$7:$AE$36,18,FALSE)</f>
        <v>3.577</v>
      </c>
      <c r="P21" s="124">
        <f>VLOOKUP(P$2,'Market Only'!$A$7:$AE$36,18,FALSE)</f>
        <v>4.0880000000000001</v>
      </c>
      <c r="Q21" s="124">
        <f>VLOOKUP(Q$2,'Market Only'!$A$7:$AE$36,18,FALSE)</f>
        <v>4.5990000000000002</v>
      </c>
      <c r="R21" s="124">
        <f>VLOOKUP(R$2,'Market Only'!$A$7:$AE$36,18,FALSE)</f>
        <v>4.5990000000000002</v>
      </c>
      <c r="S21" s="124">
        <f>VLOOKUP(S$2,'Market Only'!$A$7:$AE$36,18,FALSE)</f>
        <v>5.1100000000000003</v>
      </c>
      <c r="T21" s="124">
        <f>VLOOKUP(T$2,'Market Only'!$A$7:$AE$36,18,FALSE)</f>
        <v>5.1100000000000003</v>
      </c>
      <c r="U21" s="124">
        <f>VLOOKUP(U$2,'Market Only'!$A$7:$AE$36,18,FALSE)</f>
        <v>5.6210000000000004</v>
      </c>
      <c r="V21" s="125">
        <f>VLOOKUP(V$2,'Market Only'!$A$7:$AE$36,18,FALSE)</f>
        <v>5.6210000000000004</v>
      </c>
    </row>
    <row r="22" spans="1:22" ht="16.5" thickBot="1" x14ac:dyDescent="0.3">
      <c r="A22" s="161"/>
      <c r="B22" s="128" t="s">
        <v>58</v>
      </c>
      <c r="C22" s="129">
        <f>VLOOKUP(C$2,'Market Only'!$A$7:$AE$36,22,FALSE)</f>
        <v>0</v>
      </c>
      <c r="D22" s="129">
        <f>VLOOKUP(D$2,'Market Only'!$A$7:$AE$36,22,FALSE)</f>
        <v>0</v>
      </c>
      <c r="E22" s="129">
        <f>VLOOKUP(E$2,'Market Only'!$A$7:$AE$36,22,FALSE)</f>
        <v>150</v>
      </c>
      <c r="F22" s="129">
        <f>VLOOKUP(F$2,'Market Only'!$A$7:$AE$36,22,FALSE)</f>
        <v>150</v>
      </c>
      <c r="G22" s="129">
        <f>VLOOKUP(G$2,'Market Only'!$A$7:$AE$36,22,FALSE)</f>
        <v>150</v>
      </c>
      <c r="H22" s="129">
        <f>VLOOKUP(H$2,'Market Only'!$A$7:$AE$36,22,FALSE)</f>
        <v>0</v>
      </c>
      <c r="I22" s="129">
        <f>VLOOKUP(I$2,'Market Only'!$A$7:$AE$36,22,FALSE)</f>
        <v>0</v>
      </c>
      <c r="J22" s="129">
        <f>VLOOKUP(J$2,'Market Only'!$A$7:$AE$36,22,FALSE)</f>
        <v>0</v>
      </c>
      <c r="K22" s="129">
        <f>VLOOKUP(K$2,'Market Only'!$A$7:$AE$36,22,FALSE)</f>
        <v>0</v>
      </c>
      <c r="L22" s="129">
        <f>VLOOKUP(L$2,'Market Only'!$A$7:$AE$36,22,FALSE)</f>
        <v>0</v>
      </c>
      <c r="M22" s="129">
        <f>VLOOKUP(M$2,'Market Only'!$A$7:$AE$36,22,FALSE)</f>
        <v>0</v>
      </c>
      <c r="N22" s="129">
        <f>VLOOKUP(N$2,'Market Only'!$A$7:$AE$36,22,FALSE)</f>
        <v>0</v>
      </c>
      <c r="O22" s="129">
        <f>VLOOKUP(O$2,'Market Only'!$A$7:$AE$36,22,FALSE)</f>
        <v>0</v>
      </c>
      <c r="P22" s="129">
        <f>VLOOKUP(P$2,'Market Only'!$A$7:$AE$36,22,FALSE)</f>
        <v>0</v>
      </c>
      <c r="Q22" s="129">
        <f>VLOOKUP(Q$2,'Market Only'!$A$7:$AE$36,22,FALSE)</f>
        <v>0</v>
      </c>
      <c r="R22" s="129">
        <f>VLOOKUP(R$2,'Market Only'!$A$7:$AE$36,22,FALSE)</f>
        <v>0</v>
      </c>
      <c r="S22" s="129">
        <f>VLOOKUP(S$2,'Market Only'!$A$7:$AE$36,22,FALSE)</f>
        <v>0</v>
      </c>
      <c r="T22" s="129">
        <f>VLOOKUP(T$2,'Market Only'!$A$7:$AE$36,22,FALSE)</f>
        <v>0</v>
      </c>
      <c r="U22" s="129">
        <f>VLOOKUP(U$2,'Market Only'!$A$7:$AE$36,22,FALSE)</f>
        <v>0</v>
      </c>
      <c r="V22" s="130">
        <f>VLOOKUP(V$2,'Market Only'!$A$7:$AE$36,22,FALSE)</f>
        <v>0</v>
      </c>
    </row>
    <row r="23" spans="1:22" ht="28.5" customHeight="1" x14ac:dyDescent="0.25">
      <c r="A23" s="150" t="s">
        <v>68</v>
      </c>
      <c r="B23" s="151"/>
      <c r="C23" s="134">
        <f>VLOOKUP(C$2,'Market Only'!$A$7:$AC$36,24,FALSE)</f>
        <v>236.46977080800002</v>
      </c>
      <c r="D23" s="134">
        <f>VLOOKUP(D$2,'Market Only'!$A$7:$AC$36,24,FALSE)</f>
        <v>232.36830429599991</v>
      </c>
      <c r="E23" s="134">
        <f>VLOOKUP(E$2,'Market Only'!$A$7:$AC$36,24,FALSE)</f>
        <v>-141.19605854639985</v>
      </c>
      <c r="F23" s="134">
        <f>VLOOKUP(F$2,'Market Only'!$A$7:$AC$36,24,FALSE)</f>
        <v>-141.43342562999987</v>
      </c>
      <c r="G23" s="134">
        <f>VLOOKUP(G$2,'Market Only'!$A$7:$AC$36,24,FALSE)</f>
        <v>-138.49278128138985</v>
      </c>
      <c r="H23" s="134">
        <f>VLOOKUP(H$2,'Market Only'!$A$7:$AC$36,24,FALSE)</f>
        <v>-135.67758543864011</v>
      </c>
      <c r="I23" s="134">
        <f>VLOOKUP(I$2,'Market Only'!$A$7:$AC$36,24,FALSE)</f>
        <v>-133.17688301810995</v>
      </c>
      <c r="J23" s="134">
        <f>VLOOKUP(J$2,'Market Only'!$A$7:$AC$36,24,FALSE)</f>
        <v>-131.74494726266994</v>
      </c>
      <c r="K23" s="134">
        <f>VLOOKUP(K$2,'Market Only'!$A$7:$AC$36,24,FALSE)</f>
        <v>-130.81159234148981</v>
      </c>
      <c r="L23" s="134">
        <f>VLOOKUP(L$2,'Market Only'!$A$7:$AC$36,24,FALSE)</f>
        <v>-130.93588345038006</v>
      </c>
      <c r="M23" s="134">
        <f>VLOOKUP(M$2,'Market Only'!$A$7:$AC$36,24,FALSE)</f>
        <v>-129.96194429721004</v>
      </c>
      <c r="N23" s="134">
        <f>VLOOKUP(N$2,'Market Only'!$A$7:$AC$36,24,FALSE)</f>
        <v>-391.82507209673997</v>
      </c>
      <c r="O23" s="134">
        <f>VLOOKUP(O$2,'Market Only'!$A$7:$AC$36,24,FALSE)</f>
        <v>-391.85999443550998</v>
      </c>
      <c r="P23" s="134">
        <f>VLOOKUP(P$2,'Market Only'!$A$7:$AC$36,24,FALSE)</f>
        <v>-391.72112400056983</v>
      </c>
      <c r="Q23" s="134">
        <f>VLOOKUP(Q$2,'Market Only'!$A$7:$AC$36,24,FALSE)</f>
        <v>-392.4548395390799</v>
      </c>
      <c r="R23" s="134">
        <f>VLOOKUP(R$2,'Market Only'!$A$7:$AC$36,24,FALSE)</f>
        <v>-392.86475490341979</v>
      </c>
      <c r="S23" s="134">
        <f>VLOOKUP(S$2,'Market Only'!$A$7:$AC$36,24,FALSE)</f>
        <v>-393.98748385497004</v>
      </c>
      <c r="T23" s="134">
        <f>VLOOKUP(T$2,'Market Only'!$A$7:$AC$36,24,FALSE)</f>
        <v>-393.69112349333989</v>
      </c>
      <c r="U23" s="134">
        <f>VLOOKUP(U$2,'Market Only'!$A$7:$AC$36,24,FALSE)</f>
        <v>-394.24811896157996</v>
      </c>
      <c r="V23" s="134">
        <f>VLOOKUP(V$2,'Market Only'!$A$7:$AC$36,24,FALSE)</f>
        <v>-394.73299415154008</v>
      </c>
    </row>
    <row r="24" spans="1:22" ht="28.5" customHeight="1" thickBot="1" x14ac:dyDescent="0.3">
      <c r="A24" s="152" t="s">
        <v>69</v>
      </c>
      <c r="B24" s="153"/>
      <c r="C24" s="134">
        <f>VLOOKUP(C$2,'Market Only'!$A$7:$AC$36,26,FALSE)</f>
        <v>236.46977080800002</v>
      </c>
      <c r="D24" s="134">
        <f>VLOOKUP(D$2,'Market Only'!$A$7:$AC$36,26,FALSE)</f>
        <v>232.36830429599991</v>
      </c>
      <c r="E24" s="134">
        <f>VLOOKUP(E$2,'Market Only'!$A$7:$AC$36,26,FALSE)</f>
        <v>8.8039414536001459</v>
      </c>
      <c r="F24" s="134">
        <f>VLOOKUP(F$2,'Market Only'!$A$7:$AC$36,26,FALSE)</f>
        <v>9.5885743700000603</v>
      </c>
      <c r="G24" s="134">
        <f>VLOOKUP(G$2,'Market Only'!$A$7:$AC$36,26,FALSE)</f>
        <v>13.040218718610049</v>
      </c>
      <c r="H24" s="134">
        <f>VLOOKUP(H$2,'Market Only'!$A$7:$AC$36,26,FALSE)</f>
        <v>5.2237211359852154E-2</v>
      </c>
      <c r="I24" s="134">
        <f>VLOOKUP(I$2,'Market Only'!$A$7:$AC$36,26,FALSE)</f>
        <v>3.0914067318901743</v>
      </c>
      <c r="J24" s="134">
        <f>VLOOKUP(J$2,'Market Only'!$A$7:$AC$36,26,FALSE)</f>
        <v>4.9807540173301277</v>
      </c>
      <c r="K24" s="134">
        <f>VLOOKUP(K$2,'Market Only'!$A$7:$AC$36,26,FALSE)</f>
        <v>6.5369687285101463</v>
      </c>
      <c r="L24" s="134">
        <f>VLOOKUP(L$2,'Market Only'!$A$7:$AC$36,26,FALSE)</f>
        <v>11.230017489619968</v>
      </c>
      <c r="M24" s="134">
        <f>VLOOKUP(M$2,'Market Only'!$A$7:$AC$36,26,FALSE)</f>
        <v>57.402310202789977</v>
      </c>
      <c r="N24" s="134">
        <f>VLOOKUP(N$2,'Market Only'!$A$7:$AC$36,26,FALSE)</f>
        <v>4.0410232600152085E-3</v>
      </c>
      <c r="O24" s="134">
        <f>VLOOKUP(O$2,'Market Only'!$A$7:$AC$36,26,FALSE)</f>
        <v>0.20930834448995483</v>
      </c>
      <c r="P24" s="134">
        <f>VLOOKUP(P$2,'Market Only'!$A$7:$AC$36,26,FALSE)</f>
        <v>1.4640709430295828E-2</v>
      </c>
      <c r="Q24" s="134">
        <f>VLOOKUP(Q$2,'Market Only'!$A$7:$AC$36,26,FALSE)</f>
        <v>8.0818020920105482E-2</v>
      </c>
      <c r="R24" s="134">
        <f>VLOOKUP(R$2,'Market Only'!$A$7:$AC$36,26,FALSE)</f>
        <v>2.4526266580323863E-2</v>
      </c>
      <c r="S24" s="134">
        <f>VLOOKUP(S$2,'Market Only'!$A$7:$AC$36,26,FALSE)</f>
        <v>9.2245752450298824</v>
      </c>
      <c r="T24" s="134">
        <f>VLOOKUP(T$2,'Market Only'!$A$7:$AC$36,26,FALSE)</f>
        <v>7.105851196660069</v>
      </c>
      <c r="U24" s="134">
        <f>VLOOKUP(U$2,'Market Only'!$A$7:$AC$36,26,FALSE)</f>
        <v>5.3987705284200729</v>
      </c>
      <c r="V24" s="134">
        <f>VLOOKUP(V$2,'Market Only'!$A$7:$AC$36,26,FALSE)</f>
        <v>3.4865268284600006</v>
      </c>
    </row>
    <row r="25" spans="1:22" x14ac:dyDescent="0.25">
      <c r="A25" s="156" t="s">
        <v>61</v>
      </c>
      <c r="B25" s="109" t="s">
        <v>50</v>
      </c>
      <c r="C25" s="110">
        <f>VLOOKUP(C$2,'Solar + Wind'!$A$7:$AE$36,31,FALSE)</f>
        <v>0</v>
      </c>
      <c r="D25" s="110">
        <f>VLOOKUP(D$2,'Solar + Wind'!$A$7:$AE$36,31,FALSE)</f>
        <v>0</v>
      </c>
      <c r="E25" s="110">
        <f>VLOOKUP(E$2,'Solar + Wind'!$A$7:$AE$36,31,FALSE)</f>
        <v>0</v>
      </c>
      <c r="F25" s="110">
        <f>VLOOKUP(F$2,'Solar + Wind'!$A$7:$AE$36,31,FALSE)</f>
        <v>0</v>
      </c>
      <c r="G25" s="110">
        <f>VLOOKUP(G$2,'Solar + Wind'!$A$7:$AE$36,31,FALSE)</f>
        <v>0</v>
      </c>
      <c r="H25" s="110">
        <f>VLOOKUP(H$2,'Solar + Wind'!$A$7:$AE$36,31,FALSE)</f>
        <v>0</v>
      </c>
      <c r="I25" s="110">
        <f>VLOOKUP(I$2,'Solar + Wind'!$A$7:$AE$36,31,FALSE)</f>
        <v>0</v>
      </c>
      <c r="J25" s="110">
        <f>VLOOKUP(J$2,'Solar + Wind'!$A$7:$AE$36,31,FALSE)</f>
        <v>0</v>
      </c>
      <c r="K25" s="110">
        <f>VLOOKUP(K$2,'Solar + Wind'!$A$7:$AE$36,31,FALSE)</f>
        <v>0</v>
      </c>
      <c r="L25" s="110">
        <f>VLOOKUP(L$2,'Solar + Wind'!$A$7:$AE$36,31,FALSE)</f>
        <v>0</v>
      </c>
      <c r="M25" s="110">
        <f>VLOOKUP(M$2,'Solar + Wind'!$A$7:$AE$36,31,FALSE)</f>
        <v>0</v>
      </c>
      <c r="N25" s="110">
        <f>VLOOKUP(N$2,'Solar + Wind'!$A$7:$AE$36,31,FALSE)</f>
        <v>122</v>
      </c>
      <c r="O25" s="110">
        <f>VLOOKUP(O$2,'Solar + Wind'!$A$7:$AE$36,31,FALSE)</f>
        <v>122</v>
      </c>
      <c r="P25" s="110">
        <f>VLOOKUP(P$2,'Solar + Wind'!$A$7:$AE$36,31,FALSE)</f>
        <v>122</v>
      </c>
      <c r="Q25" s="110">
        <f>VLOOKUP(Q$2,'Solar + Wind'!$A$7:$AE$36,31,FALSE)</f>
        <v>122</v>
      </c>
      <c r="R25" s="110">
        <f>VLOOKUP(R$2,'Solar + Wind'!$A$7:$AE$36,31,FALSE)</f>
        <v>122</v>
      </c>
      <c r="S25" s="110">
        <f>VLOOKUP(S$2,'Solar + Wind'!$A$7:$AE$36,31,FALSE)</f>
        <v>122</v>
      </c>
      <c r="T25" s="110">
        <f>VLOOKUP(T$2,'Solar + Wind'!$A$7:$AE$36,31,FALSE)</f>
        <v>122</v>
      </c>
      <c r="U25" s="110">
        <f>VLOOKUP(U$2,'Solar + Wind'!$A$7:$AE$36,31,FALSE)</f>
        <v>122</v>
      </c>
      <c r="V25" s="111">
        <f>VLOOKUP(V$2,'Solar + Wind'!$A$7:$AE$36,31,FALSE)</f>
        <v>122</v>
      </c>
    </row>
    <row r="26" spans="1:22" x14ac:dyDescent="0.25">
      <c r="A26" s="157"/>
      <c r="B26" s="112" t="s">
        <v>51</v>
      </c>
      <c r="C26" s="113">
        <f>VLOOKUP(C$2,'Solar + Wind'!$A$7:$AE$36,28,FALSE)</f>
        <v>0</v>
      </c>
      <c r="D26" s="113">
        <f>VLOOKUP(D$2,'Solar + Wind'!$A$7:$AE$36,28,FALSE)</f>
        <v>0</v>
      </c>
      <c r="E26" s="113">
        <f>VLOOKUP(E$2,'Solar + Wind'!$A$7:$AE$36,28,FALSE)</f>
        <v>303.59295499021528</v>
      </c>
      <c r="F26" s="113">
        <f>VLOOKUP(F$2,'Solar + Wind'!$A$7:$AE$36,28,FALSE)</f>
        <v>303.59295499021528</v>
      </c>
      <c r="G26" s="113">
        <f>VLOOKUP(G$2,'Solar + Wind'!$A$7:$AE$36,28,FALSE)</f>
        <v>303.59295499021528</v>
      </c>
      <c r="H26" s="113">
        <f>VLOOKUP(H$2,'Solar + Wind'!$A$7:$AE$36,28,FALSE)</f>
        <v>303.59295499021528</v>
      </c>
      <c r="I26" s="113">
        <f>VLOOKUP(I$2,'Solar + Wind'!$A$7:$AE$36,28,FALSE)</f>
        <v>303.59295499021528</v>
      </c>
      <c r="J26" s="113">
        <f>VLOOKUP(J$2,'Solar + Wind'!$A$7:$AE$36,28,FALSE)</f>
        <v>303.59295499021528</v>
      </c>
      <c r="K26" s="113">
        <f>VLOOKUP(K$2,'Solar + Wind'!$A$7:$AE$36,28,FALSE)</f>
        <v>303.59295499021528</v>
      </c>
      <c r="L26" s="113">
        <f>VLOOKUP(L$2,'Solar + Wind'!$A$7:$AE$36,28,FALSE)</f>
        <v>303.59295499021528</v>
      </c>
      <c r="M26" s="113">
        <f>VLOOKUP(M$2,'Solar + Wind'!$A$7:$AE$36,28,FALSE)</f>
        <v>303.59295499021528</v>
      </c>
      <c r="N26" s="113">
        <f>VLOOKUP(N$2,'Solar + Wind'!$A$7:$AE$36,28,FALSE)</f>
        <v>455.38943248532291</v>
      </c>
      <c r="O26" s="113">
        <f>VLOOKUP(O$2,'Solar + Wind'!$A$7:$AE$36,28,FALSE)</f>
        <v>455.38943248532291</v>
      </c>
      <c r="P26" s="113">
        <f>VLOOKUP(P$2,'Solar + Wind'!$A$7:$AE$36,28,FALSE)</f>
        <v>455.38943248532291</v>
      </c>
      <c r="Q26" s="113">
        <f>VLOOKUP(Q$2,'Solar + Wind'!$A$7:$AE$36,28,FALSE)</f>
        <v>455.38943248532291</v>
      </c>
      <c r="R26" s="113">
        <f>VLOOKUP(R$2,'Solar + Wind'!$A$7:$AE$36,28,FALSE)</f>
        <v>455.38943248532291</v>
      </c>
      <c r="S26" s="113">
        <f>VLOOKUP(S$2,'Solar + Wind'!$A$7:$AE$36,28,FALSE)</f>
        <v>455.38943248532291</v>
      </c>
      <c r="T26" s="113">
        <f>VLOOKUP(T$2,'Solar + Wind'!$A$7:$AE$36,28,FALSE)</f>
        <v>455.38943248532291</v>
      </c>
      <c r="U26" s="113">
        <f>VLOOKUP(U$2,'Solar + Wind'!$A$7:$AE$36,28,FALSE)</f>
        <v>455.38943248532291</v>
      </c>
      <c r="V26" s="114">
        <f>VLOOKUP(V$2,'Solar + Wind'!$A$7:$AE$36,28,FALSE)</f>
        <v>455.38943248532291</v>
      </c>
    </row>
    <row r="27" spans="1:22" x14ac:dyDescent="0.25">
      <c r="A27" s="157"/>
      <c r="B27" s="112" t="s">
        <v>52</v>
      </c>
      <c r="C27" s="113">
        <f>VLOOKUP(C$2,'Solar + Wind'!$A$7:$W$36,19,FALSE)</f>
        <v>0</v>
      </c>
      <c r="D27" s="113">
        <f>VLOOKUP(D$2,'Solar + Wind'!$A$7:$W$36,19,FALSE)</f>
        <v>0</v>
      </c>
      <c r="E27" s="113">
        <f>VLOOKUP(E$2,'Solar + Wind'!$A$7:$W$36,19,FALSE)</f>
        <v>155.136</v>
      </c>
      <c r="F27" s="113">
        <f>VLOOKUP(F$2,'Solar + Wind'!$A$7:$W$36,19,FALSE)</f>
        <v>155.136</v>
      </c>
      <c r="G27" s="113">
        <f>VLOOKUP(G$2,'Solar + Wind'!$A$7:$W$36,19,FALSE)</f>
        <v>155.136</v>
      </c>
      <c r="H27" s="113">
        <f>VLOOKUP(H$2,'Solar + Wind'!$A$7:$W$36,19,FALSE)</f>
        <v>155.136</v>
      </c>
      <c r="I27" s="113">
        <f>VLOOKUP(I$2,'Solar + Wind'!$A$7:$W$36,19,FALSE)</f>
        <v>155.136</v>
      </c>
      <c r="J27" s="113">
        <f>VLOOKUP(J$2,'Solar + Wind'!$A$7:$W$36,19,FALSE)</f>
        <v>155.136</v>
      </c>
      <c r="K27" s="113">
        <f>VLOOKUP(K$2,'Solar + Wind'!$A$7:$W$36,19,FALSE)</f>
        <v>155.136</v>
      </c>
      <c r="L27" s="113">
        <f>VLOOKUP(L$2,'Solar + Wind'!$A$7:$W$36,19,FALSE)</f>
        <v>155.136</v>
      </c>
      <c r="M27" s="113">
        <f>VLOOKUP(M$2,'Solar + Wind'!$A$7:$W$36,19,FALSE)</f>
        <v>155.136</v>
      </c>
      <c r="N27" s="113">
        <f>VLOOKUP(N$2,'Solar + Wind'!$A$7:$W$36,19,FALSE)</f>
        <v>232.70400000000001</v>
      </c>
      <c r="O27" s="113">
        <f>VLOOKUP(O$2,'Solar + Wind'!$A$7:$W$36,19,FALSE)</f>
        <v>232.70400000000001</v>
      </c>
      <c r="P27" s="113">
        <f>VLOOKUP(P$2,'Solar + Wind'!$A$7:$W$36,19,FALSE)</f>
        <v>232.70400000000001</v>
      </c>
      <c r="Q27" s="113">
        <f>VLOOKUP(Q$2,'Solar + Wind'!$A$7:$W$36,19,FALSE)</f>
        <v>232.70400000000001</v>
      </c>
      <c r="R27" s="113">
        <f>VLOOKUP(R$2,'Solar + Wind'!$A$7:$W$36,19,FALSE)</f>
        <v>232.70400000000001</v>
      </c>
      <c r="S27" s="113">
        <f>VLOOKUP(S$2,'Solar + Wind'!$A$7:$W$36,19,FALSE)</f>
        <v>232.70400000000001</v>
      </c>
      <c r="T27" s="113">
        <f>VLOOKUP(T$2,'Solar + Wind'!$A$7:$W$36,19,FALSE)</f>
        <v>232.70400000000001</v>
      </c>
      <c r="U27" s="113">
        <f>VLOOKUP(U$2,'Solar + Wind'!$A$7:$W$36,19,FALSE)</f>
        <v>232.70400000000001</v>
      </c>
      <c r="V27" s="114">
        <f>VLOOKUP(V$2,'Solar + Wind'!$A$7:$W$36,19,FALSE)</f>
        <v>232.70400000000001</v>
      </c>
    </row>
    <row r="28" spans="1:22" x14ac:dyDescent="0.25">
      <c r="A28" s="157"/>
      <c r="B28" s="112" t="s">
        <v>53</v>
      </c>
      <c r="C28" s="113">
        <f>VLOOKUP(C$2,'Solar + Wind'!$A$7:$AE$36,29,FALSE)</f>
        <v>0</v>
      </c>
      <c r="D28" s="113">
        <f>VLOOKUP(D$2,'Solar + Wind'!$A$7:$AE$36,29,FALSE)</f>
        <v>0</v>
      </c>
      <c r="E28" s="113">
        <f>VLOOKUP(E$2,'Solar + Wind'!$A$7:$AE$36,29,FALSE)</f>
        <v>0</v>
      </c>
      <c r="F28" s="113">
        <f>VLOOKUP(F$2,'Solar + Wind'!$A$7:$AE$36,29,FALSE)</f>
        <v>200.00000000000003</v>
      </c>
      <c r="G28" s="113">
        <f>VLOOKUP(G$2,'Solar + Wind'!$A$7:$AE$36,29,FALSE)</f>
        <v>300.00000000000006</v>
      </c>
      <c r="H28" s="113">
        <f>VLOOKUP(H$2,'Solar + Wind'!$A$7:$AE$36,29,FALSE)</f>
        <v>300.00000000000006</v>
      </c>
      <c r="I28" s="113">
        <f>VLOOKUP(I$2,'Solar + Wind'!$A$7:$AE$36,29,FALSE)</f>
        <v>300.00000000000006</v>
      </c>
      <c r="J28" s="113">
        <f>VLOOKUP(J$2,'Solar + Wind'!$A$7:$AE$36,29,FALSE)</f>
        <v>300.00000000000006</v>
      </c>
      <c r="K28" s="113">
        <f>VLOOKUP(K$2,'Solar + Wind'!$A$7:$AE$36,29,FALSE)</f>
        <v>300.00000000000006</v>
      </c>
      <c r="L28" s="113">
        <f>VLOOKUP(L$2,'Solar + Wind'!$A$7:$AE$36,29,FALSE)</f>
        <v>300.00000000000006</v>
      </c>
      <c r="M28" s="113">
        <f>VLOOKUP(M$2,'Solar + Wind'!$A$7:$AE$36,29,FALSE)</f>
        <v>300.00000000000006</v>
      </c>
      <c r="N28" s="113">
        <f>VLOOKUP(N$2,'Solar + Wind'!$A$7:$AE$36,29,FALSE)</f>
        <v>300.00000000000006</v>
      </c>
      <c r="O28" s="113">
        <f>VLOOKUP(O$2,'Solar + Wind'!$A$7:$AE$36,29,FALSE)</f>
        <v>300.00000000000006</v>
      </c>
      <c r="P28" s="113">
        <f>VLOOKUP(P$2,'Solar + Wind'!$A$7:$AE$36,29,FALSE)</f>
        <v>300.00000000000006</v>
      </c>
      <c r="Q28" s="113">
        <f>VLOOKUP(Q$2,'Solar + Wind'!$A$7:$AE$36,29,FALSE)</f>
        <v>300.00000000000006</v>
      </c>
      <c r="R28" s="113">
        <f>VLOOKUP(R$2,'Solar + Wind'!$A$7:$AE$36,29,FALSE)</f>
        <v>300.00000000000006</v>
      </c>
      <c r="S28" s="113">
        <f>VLOOKUP(S$2,'Solar + Wind'!$A$7:$AE$36,29,FALSE)</f>
        <v>300.00000000000006</v>
      </c>
      <c r="T28" s="113">
        <f>VLOOKUP(T$2,'Solar + Wind'!$A$7:$AE$36,29,FALSE)</f>
        <v>300.00000000000006</v>
      </c>
      <c r="U28" s="113">
        <f>VLOOKUP(U$2,'Solar + Wind'!$A$7:$AE$36,29,FALSE)</f>
        <v>300.00000000000006</v>
      </c>
      <c r="V28" s="114">
        <f>VLOOKUP(V$2,'Solar + Wind'!$A$7:$AE$36,29,FALSE)</f>
        <v>300.00000000000006</v>
      </c>
    </row>
    <row r="29" spans="1:22" x14ac:dyDescent="0.25">
      <c r="A29" s="157"/>
      <c r="B29" s="112" t="s">
        <v>54</v>
      </c>
      <c r="C29" s="113">
        <f>VLOOKUP(C$2,'Solar + Wind'!$A$7:$AE$36,21,FALSE)</f>
        <v>0</v>
      </c>
      <c r="D29" s="113">
        <f>VLOOKUP(D$2,'Solar + Wind'!$A$7:$AE$36,21,FALSE)</f>
        <v>0</v>
      </c>
      <c r="E29" s="113">
        <f>VLOOKUP(E$2,'Solar + Wind'!$A$7:$AE$36,21,FALSE)</f>
        <v>0</v>
      </c>
      <c r="F29" s="113">
        <f>VLOOKUP(F$2,'Solar + Wind'!$A$7:$AE$36,21,FALSE)</f>
        <v>24.6</v>
      </c>
      <c r="G29" s="113">
        <f>VLOOKUP(G$2,'Solar + Wind'!$A$7:$AE$36,21,FALSE)</f>
        <v>36.900000000000006</v>
      </c>
      <c r="H29" s="113">
        <f>VLOOKUP(H$2,'Solar + Wind'!$A$7:$AE$36,21,FALSE)</f>
        <v>36.900000000000006</v>
      </c>
      <c r="I29" s="113">
        <f>VLOOKUP(I$2,'Solar + Wind'!$A$7:$AE$36,21,FALSE)</f>
        <v>36.900000000000006</v>
      </c>
      <c r="J29" s="113">
        <f>VLOOKUP(J$2,'Solar + Wind'!$A$7:$AE$36,21,FALSE)</f>
        <v>36.900000000000006</v>
      </c>
      <c r="K29" s="113">
        <f>VLOOKUP(K$2,'Solar + Wind'!$A$7:$AE$36,21,FALSE)</f>
        <v>36.900000000000006</v>
      </c>
      <c r="L29" s="113">
        <f>VLOOKUP(L$2,'Solar + Wind'!$A$7:$AE$36,21,FALSE)</f>
        <v>36.900000000000006</v>
      </c>
      <c r="M29" s="113">
        <f>VLOOKUP(M$2,'Solar + Wind'!$A$7:$AE$36,21,FALSE)</f>
        <v>36.900000000000006</v>
      </c>
      <c r="N29" s="113">
        <f>VLOOKUP(N$2,'Solar + Wind'!$A$7:$AE$36,21,FALSE)</f>
        <v>36.900000000000006</v>
      </c>
      <c r="O29" s="113">
        <f>VLOOKUP(O$2,'Solar + Wind'!$A$7:$AE$36,21,FALSE)</f>
        <v>36.900000000000006</v>
      </c>
      <c r="P29" s="113">
        <f>VLOOKUP(P$2,'Solar + Wind'!$A$7:$AE$36,21,FALSE)</f>
        <v>36.900000000000006</v>
      </c>
      <c r="Q29" s="113">
        <f>VLOOKUP(Q$2,'Solar + Wind'!$A$7:$AE$36,21,FALSE)</f>
        <v>36.900000000000006</v>
      </c>
      <c r="R29" s="113">
        <f>VLOOKUP(R$2,'Solar + Wind'!$A$7:$AE$36,21,FALSE)</f>
        <v>36.900000000000006</v>
      </c>
      <c r="S29" s="113">
        <f>VLOOKUP(S$2,'Solar + Wind'!$A$7:$AE$36,21,FALSE)</f>
        <v>36.900000000000006</v>
      </c>
      <c r="T29" s="113">
        <f>VLOOKUP(T$2,'Solar + Wind'!$A$7:$AE$36,21,FALSE)</f>
        <v>36.900000000000006</v>
      </c>
      <c r="U29" s="113">
        <f>VLOOKUP(U$2,'Solar + Wind'!$A$7:$AE$36,21,FALSE)</f>
        <v>36.900000000000006</v>
      </c>
      <c r="V29" s="114">
        <f>VLOOKUP(V$2,'Solar + Wind'!$A$7:$AE$36,21,FALSE)</f>
        <v>36.900000000000006</v>
      </c>
    </row>
    <row r="30" spans="1:22" x14ac:dyDescent="0.25">
      <c r="A30" s="157"/>
      <c r="B30" s="112" t="s">
        <v>55</v>
      </c>
      <c r="C30" s="115">
        <f>VLOOKUP(C$2,'Solar + Wind'!$A$7:$AE$36,16,FALSE)+VLOOKUP(C$2,'Solar + Wind'!$A$7:$AE$36,17,FALSE)</f>
        <v>0</v>
      </c>
      <c r="D30" s="115">
        <f>VLOOKUP(D$2,'Solar + Wind'!$A$7:$AE$36,16,FALSE)+VLOOKUP(D$2,'Solar + Wind'!$A$7:$AE$36,17,FALSE)</f>
        <v>0</v>
      </c>
      <c r="E30" s="115">
        <f>VLOOKUP(E$2,'Solar + Wind'!$A$7:$AE$36,16,FALSE)+VLOOKUP(E$2,'Solar + Wind'!$A$7:$AE$36,17,FALSE)</f>
        <v>0</v>
      </c>
      <c r="F30" s="115">
        <f>VLOOKUP(F$2,'Solar + Wind'!$A$7:$AE$36,16,FALSE)+VLOOKUP(F$2,'Solar + Wind'!$A$7:$AE$36,17,FALSE)</f>
        <v>0</v>
      </c>
      <c r="G30" s="115">
        <f>VLOOKUP(G$2,'Solar + Wind'!$A$7:$AE$36,16,FALSE)+VLOOKUP(G$2,'Solar + Wind'!$A$7:$AE$36,17,FALSE)</f>
        <v>0</v>
      </c>
      <c r="H30" s="115">
        <f>VLOOKUP(H$2,'Solar + Wind'!$A$7:$AE$36,16,FALSE)+VLOOKUP(H$2,'Solar + Wind'!$A$7:$AE$36,17,FALSE)</f>
        <v>0</v>
      </c>
      <c r="I30" s="115">
        <f>VLOOKUP(I$2,'Solar + Wind'!$A$7:$AE$36,16,FALSE)+VLOOKUP(I$2,'Solar + Wind'!$A$7:$AE$36,17,FALSE)</f>
        <v>0</v>
      </c>
      <c r="J30" s="115">
        <f>VLOOKUP(J$2,'Solar + Wind'!$A$7:$AE$36,16,FALSE)+VLOOKUP(J$2,'Solar + Wind'!$A$7:$AE$36,17,FALSE)</f>
        <v>0</v>
      </c>
      <c r="K30" s="115">
        <f>VLOOKUP(K$2,'Solar + Wind'!$A$7:$AE$36,16,FALSE)+VLOOKUP(K$2,'Solar + Wind'!$A$7:$AE$36,17,FALSE)</f>
        <v>0</v>
      </c>
      <c r="L30" s="115">
        <f>VLOOKUP(L$2,'Solar + Wind'!$A$7:$AE$36,16,FALSE)+VLOOKUP(L$2,'Solar + Wind'!$A$7:$AE$36,17,FALSE)</f>
        <v>0</v>
      </c>
      <c r="M30" s="115">
        <f>VLOOKUP(M$2,'Solar + Wind'!$A$7:$AE$36,16,FALSE)+VLOOKUP(M$2,'Solar + Wind'!$A$7:$AE$36,17,FALSE)</f>
        <v>0</v>
      </c>
      <c r="N30" s="115">
        <f>VLOOKUP(N$2,'Solar + Wind'!$A$7:$AE$36,16,FALSE)+VLOOKUP(N$2,'Solar + Wind'!$A$7:$AE$36,17,FALSE)</f>
        <v>0</v>
      </c>
      <c r="O30" s="115">
        <f>VLOOKUP(O$2,'Solar + Wind'!$A$7:$AE$36,16,FALSE)+VLOOKUP(O$2,'Solar + Wind'!$A$7:$AE$36,17,FALSE)</f>
        <v>0</v>
      </c>
      <c r="P30" s="115">
        <f>VLOOKUP(P$2,'Solar + Wind'!$A$7:$AE$36,16,FALSE)+VLOOKUP(P$2,'Solar + Wind'!$A$7:$AE$36,17,FALSE)</f>
        <v>0</v>
      </c>
      <c r="Q30" s="115">
        <f>VLOOKUP(Q$2,'Solar + Wind'!$A$7:$AE$36,16,FALSE)+VLOOKUP(Q$2,'Solar + Wind'!$A$7:$AE$36,17,FALSE)</f>
        <v>0</v>
      </c>
      <c r="R30" s="115">
        <f>VLOOKUP(R$2,'Solar + Wind'!$A$7:$AE$36,16,FALSE)+VLOOKUP(R$2,'Solar + Wind'!$A$7:$AE$36,17,FALSE)</f>
        <v>0</v>
      </c>
      <c r="S30" s="115">
        <f>VLOOKUP(S$2,'Solar + Wind'!$A$7:$AE$36,16,FALSE)+VLOOKUP(S$2,'Solar + Wind'!$A$7:$AE$36,17,FALSE)</f>
        <v>0</v>
      </c>
      <c r="T30" s="115">
        <f>VLOOKUP(T$2,'Solar + Wind'!$A$7:$AE$36,16,FALSE)+VLOOKUP(T$2,'Solar + Wind'!$A$7:$AE$36,17,FALSE)</f>
        <v>0</v>
      </c>
      <c r="U30" s="115">
        <f>VLOOKUP(U$2,'Solar + Wind'!$A$7:$AE$36,16,FALSE)+VLOOKUP(U$2,'Solar + Wind'!$A$7:$AE$36,17,FALSE)</f>
        <v>0</v>
      </c>
      <c r="V30" s="116">
        <f>VLOOKUP(V$2,'Solar + Wind'!$A$7:$AE$36,16,FALSE)+VLOOKUP(V$2,'Solar + Wind'!$A$7:$AE$36,17,FALSE)</f>
        <v>0</v>
      </c>
    </row>
    <row r="31" spans="1:22" x14ac:dyDescent="0.25">
      <c r="A31" s="157"/>
      <c r="B31" s="112" t="s">
        <v>56</v>
      </c>
      <c r="C31" s="113">
        <f>VLOOKUP(C$2,'Solar + Wind'!$A$7:$AE$36,20,FALSE)</f>
        <v>0</v>
      </c>
      <c r="D31" s="113">
        <f>VLOOKUP(D$2,'Solar + Wind'!$A$7:$AE$36,20,FALSE)</f>
        <v>0</v>
      </c>
      <c r="E31" s="113">
        <f>VLOOKUP(E$2,'Solar + Wind'!$A$7:$AE$36,20,FALSE)</f>
        <v>0</v>
      </c>
      <c r="F31" s="113">
        <f>VLOOKUP(F$2,'Solar + Wind'!$A$7:$AE$36,20,FALSE)</f>
        <v>0</v>
      </c>
      <c r="G31" s="113">
        <f>VLOOKUP(G$2,'Solar + Wind'!$A$7:$AE$36,20,FALSE)</f>
        <v>0</v>
      </c>
      <c r="H31" s="113">
        <f>VLOOKUP(H$2,'Solar + Wind'!$A$7:$AE$36,20,FALSE)</f>
        <v>0</v>
      </c>
      <c r="I31" s="113">
        <f>VLOOKUP(I$2,'Solar + Wind'!$A$7:$AE$36,20,FALSE)</f>
        <v>0</v>
      </c>
      <c r="J31" s="113">
        <f>VLOOKUP(J$2,'Solar + Wind'!$A$7:$AE$36,20,FALSE)</f>
        <v>0</v>
      </c>
      <c r="K31" s="113">
        <f>VLOOKUP(K$2,'Solar + Wind'!$A$7:$AE$36,20,FALSE)</f>
        <v>0</v>
      </c>
      <c r="L31" s="113">
        <f>VLOOKUP(L$2,'Solar + Wind'!$A$7:$AE$36,20,FALSE)</f>
        <v>0</v>
      </c>
      <c r="M31" s="113">
        <f>VLOOKUP(M$2,'Solar + Wind'!$A$7:$AE$36,20,FALSE)</f>
        <v>0</v>
      </c>
      <c r="N31" s="113">
        <f>VLOOKUP(N$2,'Solar + Wind'!$A$7:$AE$36,20,FALSE)</f>
        <v>0</v>
      </c>
      <c r="O31" s="113">
        <f>VLOOKUP(O$2,'Solar + Wind'!$A$7:$AE$36,20,FALSE)</f>
        <v>0</v>
      </c>
      <c r="P31" s="113">
        <f>VLOOKUP(P$2,'Solar + Wind'!$A$7:$AE$36,20,FALSE)</f>
        <v>0</v>
      </c>
      <c r="Q31" s="113">
        <f>VLOOKUP(Q$2,'Solar + Wind'!$A$7:$AE$36,20,FALSE)</f>
        <v>0</v>
      </c>
      <c r="R31" s="113">
        <f>VLOOKUP(R$2,'Solar + Wind'!$A$7:$AE$36,20,FALSE)</f>
        <v>0</v>
      </c>
      <c r="S31" s="113">
        <f>VLOOKUP(S$2,'Solar + Wind'!$A$7:$AE$36,20,FALSE)</f>
        <v>0</v>
      </c>
      <c r="T31" s="113">
        <f>VLOOKUP(T$2,'Solar + Wind'!$A$7:$AE$36,20,FALSE)</f>
        <v>0</v>
      </c>
      <c r="U31" s="113">
        <f>VLOOKUP(U$2,'Solar + Wind'!$A$7:$AE$36,20,FALSE)</f>
        <v>0</v>
      </c>
      <c r="V31" s="114">
        <f>VLOOKUP(V$2,'Solar + Wind'!$A$7:$AE$36,20,FALSE)</f>
        <v>0</v>
      </c>
    </row>
    <row r="32" spans="1:22" x14ac:dyDescent="0.25">
      <c r="A32" s="157"/>
      <c r="B32" s="112" t="s">
        <v>57</v>
      </c>
      <c r="C32" s="113">
        <f>VLOOKUP(C$2,'Solar + Wind'!$A$7:$AE$36,18,FALSE)</f>
        <v>0</v>
      </c>
      <c r="D32" s="113">
        <f>VLOOKUP(D$2,'Solar + Wind'!$A$7:$AE$36,18,FALSE)</f>
        <v>0</v>
      </c>
      <c r="E32" s="113">
        <f>VLOOKUP(E$2,'Solar + Wind'!$A$7:$AE$36,18,FALSE)</f>
        <v>0</v>
      </c>
      <c r="F32" s="113">
        <f>VLOOKUP(F$2,'Solar + Wind'!$A$7:$AE$36,18,FALSE)</f>
        <v>1.022</v>
      </c>
      <c r="G32" s="113">
        <f>VLOOKUP(G$2,'Solar + Wind'!$A$7:$AE$36,18,FALSE)</f>
        <v>1.5329999999999999</v>
      </c>
      <c r="H32" s="113">
        <f>VLOOKUP(H$2,'Solar + Wind'!$A$7:$AE$36,18,FALSE)</f>
        <v>1.5329999999999999</v>
      </c>
      <c r="I32" s="113">
        <f>VLOOKUP(I$2,'Solar + Wind'!$A$7:$AE$36,18,FALSE)</f>
        <v>1.5329999999999999</v>
      </c>
      <c r="J32" s="113">
        <f>VLOOKUP(J$2,'Solar + Wind'!$A$7:$AE$36,18,FALSE)</f>
        <v>2.044</v>
      </c>
      <c r="K32" s="113">
        <f>VLOOKUP(K$2,'Solar + Wind'!$A$7:$AE$36,18,FALSE)</f>
        <v>2.044</v>
      </c>
      <c r="L32" s="113">
        <f>VLOOKUP(L$2,'Solar + Wind'!$A$7:$AE$36,18,FALSE)</f>
        <v>2.5550000000000002</v>
      </c>
      <c r="M32" s="113">
        <f>VLOOKUP(M$2,'Solar + Wind'!$A$7:$AE$36,18,FALSE)</f>
        <v>3.0659999999999998</v>
      </c>
      <c r="N32" s="113">
        <f>VLOOKUP(N$2,'Solar + Wind'!$A$7:$AE$36,18,FALSE)</f>
        <v>3.577</v>
      </c>
      <c r="O32" s="113">
        <f>VLOOKUP(O$2,'Solar + Wind'!$A$7:$AE$36,18,FALSE)</f>
        <v>3.577</v>
      </c>
      <c r="P32" s="113">
        <f>VLOOKUP(P$2,'Solar + Wind'!$A$7:$AE$36,18,FALSE)</f>
        <v>4.0880000000000001</v>
      </c>
      <c r="Q32" s="113">
        <f>VLOOKUP(Q$2,'Solar + Wind'!$A$7:$AE$36,18,FALSE)</f>
        <v>4.5990000000000002</v>
      </c>
      <c r="R32" s="113">
        <f>VLOOKUP(R$2,'Solar + Wind'!$A$7:$AE$36,18,FALSE)</f>
        <v>4.5990000000000002</v>
      </c>
      <c r="S32" s="113">
        <f>VLOOKUP(S$2,'Solar + Wind'!$A$7:$AE$36,18,FALSE)</f>
        <v>5.1100000000000003</v>
      </c>
      <c r="T32" s="113">
        <f>VLOOKUP(T$2,'Solar + Wind'!$A$7:$AE$36,18,FALSE)</f>
        <v>5.1100000000000003</v>
      </c>
      <c r="U32" s="113">
        <f>VLOOKUP(U$2,'Solar + Wind'!$A$7:$AE$36,18,FALSE)</f>
        <v>5.6210000000000004</v>
      </c>
      <c r="V32" s="114">
        <f>VLOOKUP(V$2,'Solar + Wind'!$A$7:$AE$36,18,FALSE)</f>
        <v>5.6210000000000004</v>
      </c>
    </row>
    <row r="33" spans="1:22" ht="16.5" thickBot="1" x14ac:dyDescent="0.3">
      <c r="A33" s="158"/>
      <c r="B33" s="117" t="s">
        <v>58</v>
      </c>
      <c r="C33" s="118">
        <f>VLOOKUP(C$2,'Solar + Wind'!$A$7:$AE$36,22,FALSE)</f>
        <v>0</v>
      </c>
      <c r="D33" s="118">
        <f>VLOOKUP(D$2,'Solar + Wind'!$A$7:$AE$36,22,FALSE)</f>
        <v>0</v>
      </c>
      <c r="E33" s="118">
        <f>VLOOKUP(E$2,'Solar + Wind'!$A$7:$AE$36,22,FALSE)</f>
        <v>0</v>
      </c>
      <c r="F33" s="118">
        <f>VLOOKUP(F$2,'Solar + Wind'!$A$7:$AE$36,22,FALSE)</f>
        <v>0</v>
      </c>
      <c r="G33" s="118">
        <f>VLOOKUP(G$2,'Solar + Wind'!$A$7:$AE$36,22,FALSE)</f>
        <v>0</v>
      </c>
      <c r="H33" s="118">
        <f>VLOOKUP(H$2,'Solar + Wind'!$A$7:$AE$36,22,FALSE)</f>
        <v>0</v>
      </c>
      <c r="I33" s="118">
        <f>VLOOKUP(I$2,'Solar + Wind'!$A$7:$AE$36,22,FALSE)</f>
        <v>0</v>
      </c>
      <c r="J33" s="118">
        <f>VLOOKUP(J$2,'Solar + Wind'!$A$7:$AE$36,22,FALSE)</f>
        <v>0</v>
      </c>
      <c r="K33" s="118">
        <f>VLOOKUP(K$2,'Solar + Wind'!$A$7:$AE$36,22,FALSE)</f>
        <v>0</v>
      </c>
      <c r="L33" s="118">
        <f>VLOOKUP(L$2,'Solar + Wind'!$A$7:$AE$36,22,FALSE)</f>
        <v>0</v>
      </c>
      <c r="M33" s="118">
        <f>VLOOKUP(M$2,'Solar + Wind'!$A$7:$AE$36,22,FALSE)</f>
        <v>0</v>
      </c>
      <c r="N33" s="118">
        <f>VLOOKUP(N$2,'Solar + Wind'!$A$7:$AE$36,22,FALSE)</f>
        <v>0</v>
      </c>
      <c r="O33" s="118">
        <f>VLOOKUP(O$2,'Solar + Wind'!$A$7:$AE$36,22,FALSE)</f>
        <v>0</v>
      </c>
      <c r="P33" s="118">
        <f>VLOOKUP(P$2,'Solar + Wind'!$A$7:$AE$36,22,FALSE)</f>
        <v>0</v>
      </c>
      <c r="Q33" s="118">
        <f>VLOOKUP(Q$2,'Solar + Wind'!$A$7:$AE$36,22,FALSE)</f>
        <v>0</v>
      </c>
      <c r="R33" s="118">
        <f>VLOOKUP(R$2,'Solar + Wind'!$A$7:$AE$36,22,FALSE)</f>
        <v>0</v>
      </c>
      <c r="S33" s="118">
        <f>VLOOKUP(S$2,'Solar + Wind'!$A$7:$AE$36,22,FALSE)</f>
        <v>0</v>
      </c>
      <c r="T33" s="118">
        <f>VLOOKUP(T$2,'Solar + Wind'!$A$7:$AE$36,22,FALSE)</f>
        <v>0</v>
      </c>
      <c r="U33" s="118">
        <f>VLOOKUP(U$2,'Solar + Wind'!$A$7:$AE$36,22,FALSE)</f>
        <v>0</v>
      </c>
      <c r="V33" s="119">
        <f>VLOOKUP(V$2,'Solar + Wind'!$A$7:$AE$36,22,FALSE)</f>
        <v>0</v>
      </c>
    </row>
    <row r="34" spans="1:22" ht="28.5" customHeight="1" x14ac:dyDescent="0.25">
      <c r="A34" s="150" t="s">
        <v>68</v>
      </c>
      <c r="B34" s="151"/>
      <c r="C34" s="134">
        <f>VLOOKUP(C$2,'Solar + Wind'!$A$7:$AC$36,24,FALSE)</f>
        <v>236.46977080800002</v>
      </c>
      <c r="D34" s="134">
        <f>VLOOKUP(D$2,'Solar + Wind'!$A$7:$AC$36,24,FALSE)</f>
        <v>232.36830429599991</v>
      </c>
      <c r="E34" s="134">
        <f>VLOOKUP(E$2,'Solar + Wind'!$A$7:$AC$36,24,FALSE)</f>
        <v>-141.19605854639985</v>
      </c>
      <c r="F34" s="134">
        <f>VLOOKUP(F$2,'Solar + Wind'!$A$7:$AC$36,24,FALSE)</f>
        <v>-141.43342562999987</v>
      </c>
      <c r="G34" s="134">
        <f>VLOOKUP(G$2,'Solar + Wind'!$A$7:$AC$36,24,FALSE)</f>
        <v>-138.49278128138985</v>
      </c>
      <c r="H34" s="134">
        <f>VLOOKUP(H$2,'Solar + Wind'!$A$7:$AC$36,24,FALSE)</f>
        <v>-135.67758543864011</v>
      </c>
      <c r="I34" s="134">
        <f>VLOOKUP(I$2,'Solar + Wind'!$A$7:$AC$36,24,FALSE)</f>
        <v>-133.17688301810995</v>
      </c>
      <c r="J34" s="134">
        <f>VLOOKUP(J$2,'Solar + Wind'!$A$7:$AC$36,24,FALSE)</f>
        <v>-131.74494726266994</v>
      </c>
      <c r="K34" s="134">
        <f>VLOOKUP(K$2,'Solar + Wind'!$A$7:$AC$36,24,FALSE)</f>
        <v>-130.81159234148981</v>
      </c>
      <c r="L34" s="134">
        <f>VLOOKUP(L$2,'Solar + Wind'!$A$7:$AC$36,24,FALSE)</f>
        <v>-130.93588345038006</v>
      </c>
      <c r="M34" s="134">
        <f>VLOOKUP(M$2,'Solar + Wind'!$A$7:$AC$36,24,FALSE)</f>
        <v>-129.96194429721004</v>
      </c>
      <c r="N34" s="134">
        <f>VLOOKUP(N$2,'Solar + Wind'!$A$7:$AC$36,24,FALSE)</f>
        <v>-391.82507209673997</v>
      </c>
      <c r="O34" s="134">
        <f>VLOOKUP(O$2,'Solar + Wind'!$A$7:$AC$36,24,FALSE)</f>
        <v>-391.85999443550998</v>
      </c>
      <c r="P34" s="134">
        <f>VLOOKUP(P$2,'Solar + Wind'!$A$7:$AC$36,24,FALSE)</f>
        <v>-391.72112400056983</v>
      </c>
      <c r="Q34" s="134">
        <f>VLOOKUP(Q$2,'Solar + Wind'!$A$7:$AC$36,24,FALSE)</f>
        <v>-392.4548395390799</v>
      </c>
      <c r="R34" s="134">
        <f>VLOOKUP(R$2,'Solar + Wind'!$A$7:$AC$36,24,FALSE)</f>
        <v>-392.86475490341979</v>
      </c>
      <c r="S34" s="134">
        <f>VLOOKUP(S$2,'Solar + Wind'!$A$7:$AC$36,24,FALSE)</f>
        <v>-393.98748385497004</v>
      </c>
      <c r="T34" s="134">
        <f>VLOOKUP(T$2,'Solar + Wind'!$A$7:$AC$36,24,FALSE)</f>
        <v>-393.69112349333989</v>
      </c>
      <c r="U34" s="134">
        <f>VLOOKUP(U$2,'Solar + Wind'!$A$7:$AC$36,24,FALSE)</f>
        <v>-394.24811896157996</v>
      </c>
      <c r="V34" s="134">
        <f>VLOOKUP(V$2,'Solar + Wind'!$A$7:$AC$36,24,FALSE)</f>
        <v>-394.73299415154008</v>
      </c>
    </row>
    <row r="35" spans="1:22" ht="28.5" customHeight="1" thickBot="1" x14ac:dyDescent="0.3">
      <c r="A35" s="152" t="s">
        <v>69</v>
      </c>
      <c r="B35" s="153"/>
      <c r="C35" s="134">
        <f>VLOOKUP(C$2,'Solar + Wind'!$A$7:$AC$36,26,FALSE)</f>
        <v>236.46977080800002</v>
      </c>
      <c r="D35" s="134">
        <f>VLOOKUP(D$2,'Solar + Wind'!$A$7:$AC$36,26,FALSE)</f>
        <v>232.36830429599991</v>
      </c>
      <c r="E35" s="134">
        <f>VLOOKUP(E$2,'Solar + Wind'!$A$7:$AC$36,26,FALSE)</f>
        <v>13.939941453600113</v>
      </c>
      <c r="F35" s="134">
        <f>VLOOKUP(F$2,'Solar + Wind'!$A$7:$AC$36,26,FALSE)</f>
        <v>39.324574370000164</v>
      </c>
      <c r="G35" s="134">
        <f>VLOOKUP(G$2,'Solar + Wind'!$A$7:$AC$36,26,FALSE)</f>
        <v>55.076218718610107</v>
      </c>
      <c r="H35" s="134">
        <f>VLOOKUP(H$2,'Solar + Wind'!$A$7:$AC$36,26,FALSE)</f>
        <v>57.891414561359852</v>
      </c>
      <c r="I35" s="134">
        <f>VLOOKUP(I$2,'Solar + Wind'!$A$7:$AC$36,26,FALSE)</f>
        <v>60.392116981890013</v>
      </c>
      <c r="J35" s="134">
        <f>VLOOKUP(J$2,'Solar + Wind'!$A$7:$AC$36,26,FALSE)</f>
        <v>62.335052737329988</v>
      </c>
      <c r="K35" s="134">
        <f>VLOOKUP(K$2,'Solar + Wind'!$A$7:$AC$36,26,FALSE)</f>
        <v>63.268407658510114</v>
      </c>
      <c r="L35" s="134">
        <f>VLOOKUP(L$2,'Solar + Wind'!$A$7:$AC$36,26,FALSE)</f>
        <v>63.655116549620061</v>
      </c>
      <c r="M35" s="134">
        <f>VLOOKUP(M$2,'Solar + Wind'!$A$7:$AC$36,26,FALSE)</f>
        <v>65.14005570279005</v>
      </c>
      <c r="N35" s="134">
        <f>VLOOKUP(N$2,'Solar + Wind'!$A$7:$AC$36,26,FALSE)</f>
        <v>3.3559279032601808</v>
      </c>
      <c r="O35" s="134">
        <f>VLOOKUP(O$2,'Solar + Wind'!$A$7:$AC$36,26,FALSE)</f>
        <v>3.3210055644901786</v>
      </c>
      <c r="P35" s="134">
        <f>VLOOKUP(P$2,'Solar + Wind'!$A$7:$AC$36,26,FALSE)</f>
        <v>3.9708759994302909</v>
      </c>
      <c r="Q35" s="134">
        <f>VLOOKUP(Q$2,'Solar + Wind'!$A$7:$AC$36,26,FALSE)</f>
        <v>3.7481604609201895</v>
      </c>
      <c r="R35" s="134">
        <f>VLOOKUP(R$2,'Solar + Wind'!$A$7:$AC$36,26,FALSE)</f>
        <v>3.3382450965802946</v>
      </c>
      <c r="S35" s="134">
        <f>VLOOKUP(S$2,'Solar + Wind'!$A$7:$AC$36,26,FALSE)</f>
        <v>2.7265161450300184</v>
      </c>
      <c r="T35" s="134">
        <f>VLOOKUP(T$2,'Solar + Wind'!$A$7:$AC$36,26,FALSE)</f>
        <v>3.0228765066601682</v>
      </c>
      <c r="U35" s="134">
        <f>VLOOKUP(U$2,'Solar + Wind'!$A$7:$AC$36,26,FALSE)</f>
        <v>2.9768810384200606</v>
      </c>
      <c r="V35" s="134">
        <f>VLOOKUP(V$2,'Solar + Wind'!$A$7:$AC$36,26,FALSE)</f>
        <v>2.4920058484599394</v>
      </c>
    </row>
    <row r="36" spans="1:22" x14ac:dyDescent="0.25">
      <c r="A36" s="159" t="s">
        <v>62</v>
      </c>
      <c r="B36" s="131" t="s">
        <v>50</v>
      </c>
      <c r="C36" s="132">
        <f>VLOOKUP(C$2,'CT Only'!$A$7:$AE$36,31,FALSE)</f>
        <v>0</v>
      </c>
      <c r="D36" s="132">
        <f>VLOOKUP(D$2,'CT Only'!$A$7:$AE$36,31,FALSE)</f>
        <v>0</v>
      </c>
      <c r="E36" s="132">
        <f>VLOOKUP(E$2,'CT Only'!$A$7:$AE$36,31,FALSE)</f>
        <v>0</v>
      </c>
      <c r="F36" s="132">
        <f>VLOOKUP(F$2,'CT Only'!$A$7:$AE$36,31,FALSE)</f>
        <v>248</v>
      </c>
      <c r="G36" s="132">
        <f>VLOOKUP(G$2,'CT Only'!$A$7:$AE$36,31,FALSE)</f>
        <v>248</v>
      </c>
      <c r="H36" s="132">
        <f>VLOOKUP(H$2,'CT Only'!$A$7:$AE$36,31,FALSE)</f>
        <v>248</v>
      </c>
      <c r="I36" s="132">
        <f>VLOOKUP(I$2,'CT Only'!$A$7:$AE$36,31,FALSE)</f>
        <v>248</v>
      </c>
      <c r="J36" s="132">
        <f>VLOOKUP(J$2,'CT Only'!$A$7:$AE$36,31,FALSE)</f>
        <v>248</v>
      </c>
      <c r="K36" s="132">
        <f>VLOOKUP(K$2,'CT Only'!$A$7:$AE$36,31,FALSE)</f>
        <v>248</v>
      </c>
      <c r="L36" s="132">
        <f>VLOOKUP(L$2,'CT Only'!$A$7:$AE$36,31,FALSE)</f>
        <v>248</v>
      </c>
      <c r="M36" s="132">
        <f>VLOOKUP(M$2,'CT Only'!$A$7:$AE$36,31,FALSE)</f>
        <v>248</v>
      </c>
      <c r="N36" s="132">
        <f>VLOOKUP(N$2,'CT Only'!$A$7:$AE$36,31,FALSE)</f>
        <v>248</v>
      </c>
      <c r="O36" s="132">
        <f>VLOOKUP(O$2,'CT Only'!$A$7:$AE$36,31,FALSE)</f>
        <v>248</v>
      </c>
      <c r="P36" s="132">
        <f>VLOOKUP(P$2,'CT Only'!$A$7:$AE$36,31,FALSE)</f>
        <v>248</v>
      </c>
      <c r="Q36" s="132">
        <f>VLOOKUP(Q$2,'CT Only'!$A$7:$AE$36,31,FALSE)</f>
        <v>248</v>
      </c>
      <c r="R36" s="132">
        <f>VLOOKUP(R$2,'CT Only'!$A$7:$AE$36,31,FALSE)</f>
        <v>248</v>
      </c>
      <c r="S36" s="132">
        <f>VLOOKUP(S$2,'CT Only'!$A$7:$AE$36,31,FALSE)</f>
        <v>248</v>
      </c>
      <c r="T36" s="132">
        <f>VLOOKUP(T$2,'CT Only'!$A$7:$AE$36,31,FALSE)</f>
        <v>248</v>
      </c>
      <c r="U36" s="132">
        <f>VLOOKUP(U$2,'CT Only'!$A$7:$AE$36,31,FALSE)</f>
        <v>248</v>
      </c>
      <c r="V36" s="138">
        <f>VLOOKUP(V$2,'CT Only'!$A$7:$AE$36,31,FALSE)</f>
        <v>248</v>
      </c>
    </row>
    <row r="37" spans="1:22" x14ac:dyDescent="0.25">
      <c r="A37" s="160"/>
      <c r="B37" s="133" t="s">
        <v>51</v>
      </c>
      <c r="C37" s="134">
        <f>VLOOKUP(C$2,'CT Only'!$A$7:$AE$36,28,FALSE)</f>
        <v>0</v>
      </c>
      <c r="D37" s="134">
        <f>VLOOKUP(D$2,'CT Only'!$A$7:$AE$36,28,FALSE)</f>
        <v>0</v>
      </c>
      <c r="E37" s="134">
        <f>VLOOKUP(E$2,'CT Only'!$A$7:$AE$36,28,FALSE)</f>
        <v>0</v>
      </c>
      <c r="F37" s="134">
        <f>VLOOKUP(F$2,'CT Only'!$A$7:$AE$36,28,FALSE)</f>
        <v>0</v>
      </c>
      <c r="G37" s="134">
        <f>VLOOKUP(G$2,'CT Only'!$A$7:$AE$36,28,FALSE)</f>
        <v>0</v>
      </c>
      <c r="H37" s="134">
        <f>VLOOKUP(H$2,'CT Only'!$A$7:$AE$36,28,FALSE)</f>
        <v>0</v>
      </c>
      <c r="I37" s="134">
        <f>VLOOKUP(I$2,'CT Only'!$A$7:$AE$36,28,FALSE)</f>
        <v>0</v>
      </c>
      <c r="J37" s="134">
        <f>VLOOKUP(J$2,'CT Only'!$A$7:$AE$36,28,FALSE)</f>
        <v>0</v>
      </c>
      <c r="K37" s="134">
        <f>VLOOKUP(K$2,'CT Only'!$A$7:$AE$36,28,FALSE)</f>
        <v>0</v>
      </c>
      <c r="L37" s="134">
        <f>VLOOKUP(L$2,'CT Only'!$A$7:$AE$36,28,FALSE)</f>
        <v>0</v>
      </c>
      <c r="M37" s="134">
        <f>VLOOKUP(M$2,'CT Only'!$A$7:$AE$36,28,FALSE)</f>
        <v>0</v>
      </c>
      <c r="N37" s="134">
        <f>VLOOKUP(N$2,'CT Only'!$A$7:$AE$36,28,FALSE)</f>
        <v>303.59295499021528</v>
      </c>
      <c r="O37" s="134">
        <f>VLOOKUP(O$2,'CT Only'!$A$7:$AE$36,28,FALSE)</f>
        <v>455.38943248532291</v>
      </c>
      <c r="P37" s="134">
        <f>VLOOKUP(P$2,'CT Only'!$A$7:$AE$36,28,FALSE)</f>
        <v>455.38943248532291</v>
      </c>
      <c r="Q37" s="134">
        <f>VLOOKUP(Q$2,'CT Only'!$A$7:$AE$36,28,FALSE)</f>
        <v>455.38943248532291</v>
      </c>
      <c r="R37" s="134">
        <f>VLOOKUP(R$2,'CT Only'!$A$7:$AE$36,28,FALSE)</f>
        <v>455.38943248532291</v>
      </c>
      <c r="S37" s="134">
        <f>VLOOKUP(S$2,'CT Only'!$A$7:$AE$36,28,FALSE)</f>
        <v>455.38943248532291</v>
      </c>
      <c r="T37" s="134">
        <f>VLOOKUP(T$2,'CT Only'!$A$7:$AE$36,28,FALSE)</f>
        <v>455.38943248532291</v>
      </c>
      <c r="U37" s="134">
        <f>VLOOKUP(U$2,'CT Only'!$A$7:$AE$36,28,FALSE)</f>
        <v>455.38943248532291</v>
      </c>
      <c r="V37" s="139">
        <f>VLOOKUP(V$2,'CT Only'!$A$7:$AE$36,28,FALSE)</f>
        <v>455.38943248532291</v>
      </c>
    </row>
    <row r="38" spans="1:22" x14ac:dyDescent="0.25">
      <c r="A38" s="160"/>
      <c r="B38" s="133" t="s">
        <v>52</v>
      </c>
      <c r="C38" s="134">
        <f>VLOOKUP(C$2,'CT Only'!$A$7:$W$36,19,FALSE)</f>
        <v>0</v>
      </c>
      <c r="D38" s="134">
        <f>VLOOKUP(D$2,'CT Only'!$A$7:$W$36,19,FALSE)</f>
        <v>0</v>
      </c>
      <c r="E38" s="134">
        <f>VLOOKUP(E$2,'CT Only'!$A$7:$W$36,19,FALSE)</f>
        <v>0</v>
      </c>
      <c r="F38" s="134">
        <f>VLOOKUP(F$2,'CT Only'!$A$7:$W$36,19,FALSE)</f>
        <v>0</v>
      </c>
      <c r="G38" s="134">
        <f>VLOOKUP(G$2,'CT Only'!$A$7:$W$36,19,FALSE)</f>
        <v>0</v>
      </c>
      <c r="H38" s="134">
        <f>VLOOKUP(H$2,'CT Only'!$A$7:$W$36,19,FALSE)</f>
        <v>0</v>
      </c>
      <c r="I38" s="134">
        <f>VLOOKUP(I$2,'CT Only'!$A$7:$W$36,19,FALSE)</f>
        <v>0</v>
      </c>
      <c r="J38" s="134">
        <f>VLOOKUP(J$2,'CT Only'!$A$7:$W$36,19,FALSE)</f>
        <v>0</v>
      </c>
      <c r="K38" s="134">
        <f>VLOOKUP(K$2,'CT Only'!$A$7:$W$36,19,FALSE)</f>
        <v>0</v>
      </c>
      <c r="L38" s="134">
        <f>VLOOKUP(L$2,'CT Only'!$A$7:$W$36,19,FALSE)</f>
        <v>0</v>
      </c>
      <c r="M38" s="134">
        <f>VLOOKUP(M$2,'CT Only'!$A$7:$W$36,19,FALSE)</f>
        <v>0</v>
      </c>
      <c r="N38" s="134">
        <f>VLOOKUP(N$2,'CT Only'!$A$7:$W$36,19,FALSE)</f>
        <v>155.136</v>
      </c>
      <c r="O38" s="134">
        <f>VLOOKUP(O$2,'CT Only'!$A$7:$W$36,19,FALSE)</f>
        <v>232.70400000000001</v>
      </c>
      <c r="P38" s="134">
        <f>VLOOKUP(P$2,'CT Only'!$A$7:$W$36,19,FALSE)</f>
        <v>232.70400000000001</v>
      </c>
      <c r="Q38" s="134">
        <f>VLOOKUP(Q$2,'CT Only'!$A$7:$W$36,19,FALSE)</f>
        <v>232.70400000000001</v>
      </c>
      <c r="R38" s="134">
        <f>VLOOKUP(R$2,'CT Only'!$A$7:$W$36,19,FALSE)</f>
        <v>232.70400000000001</v>
      </c>
      <c r="S38" s="134">
        <f>VLOOKUP(S$2,'CT Only'!$A$7:$W$36,19,FALSE)</f>
        <v>232.70400000000001</v>
      </c>
      <c r="T38" s="134">
        <f>VLOOKUP(T$2,'CT Only'!$A$7:$W$36,19,FALSE)</f>
        <v>232.70400000000001</v>
      </c>
      <c r="U38" s="134">
        <f>VLOOKUP(U$2,'CT Only'!$A$7:$W$36,19,FALSE)</f>
        <v>232.70400000000001</v>
      </c>
      <c r="V38" s="139">
        <f>VLOOKUP(V$2,'CT Only'!$A$7:$W$36,19,FALSE)</f>
        <v>232.70400000000001</v>
      </c>
    </row>
    <row r="39" spans="1:22" x14ac:dyDescent="0.25">
      <c r="A39" s="160"/>
      <c r="B39" s="133" t="s">
        <v>53</v>
      </c>
      <c r="C39" s="134">
        <f>VLOOKUP(C$2,'CT Only'!$A$7:$AE$36,29,FALSE)</f>
        <v>0</v>
      </c>
      <c r="D39" s="134">
        <f>VLOOKUP(D$2,'CT Only'!$A$7:$AE$36,29,FALSE)</f>
        <v>0</v>
      </c>
      <c r="E39" s="134">
        <f>VLOOKUP(E$2,'CT Only'!$A$7:$AE$36,29,FALSE)</f>
        <v>0</v>
      </c>
      <c r="F39" s="134">
        <f>VLOOKUP(F$2,'CT Only'!$A$7:$AE$36,29,FALSE)</f>
        <v>0</v>
      </c>
      <c r="G39" s="134">
        <f>VLOOKUP(G$2,'CT Only'!$A$7:$AE$36,29,FALSE)</f>
        <v>0</v>
      </c>
      <c r="H39" s="134">
        <f>VLOOKUP(H$2,'CT Only'!$A$7:$AE$36,29,FALSE)</f>
        <v>0</v>
      </c>
      <c r="I39" s="134">
        <f>VLOOKUP(I$2,'CT Only'!$A$7:$AE$36,29,FALSE)</f>
        <v>0</v>
      </c>
      <c r="J39" s="134">
        <f>VLOOKUP(J$2,'CT Only'!$A$7:$AE$36,29,FALSE)</f>
        <v>0</v>
      </c>
      <c r="K39" s="134">
        <f>VLOOKUP(K$2,'CT Only'!$A$7:$AE$36,29,FALSE)</f>
        <v>0</v>
      </c>
      <c r="L39" s="134">
        <f>VLOOKUP(L$2,'CT Only'!$A$7:$AE$36,29,FALSE)</f>
        <v>0</v>
      </c>
      <c r="M39" s="134">
        <f>VLOOKUP(M$2,'CT Only'!$A$7:$AE$36,29,FALSE)</f>
        <v>0</v>
      </c>
      <c r="N39" s="134">
        <f>VLOOKUP(N$2,'CT Only'!$A$7:$AE$36,29,FALSE)</f>
        <v>0</v>
      </c>
      <c r="O39" s="134">
        <f>VLOOKUP(O$2,'CT Only'!$A$7:$AE$36,29,FALSE)</f>
        <v>0</v>
      </c>
      <c r="P39" s="134">
        <f>VLOOKUP(P$2,'CT Only'!$A$7:$AE$36,29,FALSE)</f>
        <v>0</v>
      </c>
      <c r="Q39" s="134">
        <f>VLOOKUP(Q$2,'CT Only'!$A$7:$AE$36,29,FALSE)</f>
        <v>0</v>
      </c>
      <c r="R39" s="134">
        <f>VLOOKUP(R$2,'CT Only'!$A$7:$AE$36,29,FALSE)</f>
        <v>0</v>
      </c>
      <c r="S39" s="134">
        <f>VLOOKUP(S$2,'CT Only'!$A$7:$AE$36,29,FALSE)</f>
        <v>0</v>
      </c>
      <c r="T39" s="134">
        <f>VLOOKUP(T$2,'CT Only'!$A$7:$AE$36,29,FALSE)</f>
        <v>0</v>
      </c>
      <c r="U39" s="134">
        <f>VLOOKUP(U$2,'CT Only'!$A$7:$AE$36,29,FALSE)</f>
        <v>0</v>
      </c>
      <c r="V39" s="139">
        <f>VLOOKUP(V$2,'CT Only'!$A$7:$AE$36,29,FALSE)</f>
        <v>0</v>
      </c>
    </row>
    <row r="40" spans="1:22" x14ac:dyDescent="0.25">
      <c r="A40" s="160"/>
      <c r="B40" s="133" t="s">
        <v>54</v>
      </c>
      <c r="C40" s="134">
        <f>VLOOKUP(C$2,'CT Only'!$A$7:$AE$36,21,FALSE)</f>
        <v>0</v>
      </c>
      <c r="D40" s="134">
        <f>VLOOKUP(D$2,'CT Only'!$A$7:$AE$36,21,FALSE)</f>
        <v>0</v>
      </c>
      <c r="E40" s="134">
        <f>VLOOKUP(E$2,'CT Only'!$A$7:$AE$36,21,FALSE)</f>
        <v>0</v>
      </c>
      <c r="F40" s="134">
        <f>VLOOKUP(F$2,'CT Only'!$A$7:$AE$36,21,FALSE)</f>
        <v>0</v>
      </c>
      <c r="G40" s="134">
        <f>VLOOKUP(G$2,'CT Only'!$A$7:$AE$36,21,FALSE)</f>
        <v>0</v>
      </c>
      <c r="H40" s="134">
        <f>VLOOKUP(H$2,'CT Only'!$A$7:$AE$36,21,FALSE)</f>
        <v>0</v>
      </c>
      <c r="I40" s="134">
        <f>VLOOKUP(I$2,'CT Only'!$A$7:$AE$36,21,FALSE)</f>
        <v>0</v>
      </c>
      <c r="J40" s="134">
        <f>VLOOKUP(J$2,'CT Only'!$A$7:$AE$36,21,FALSE)</f>
        <v>0</v>
      </c>
      <c r="K40" s="134">
        <f>VLOOKUP(K$2,'CT Only'!$A$7:$AE$36,21,FALSE)</f>
        <v>0</v>
      </c>
      <c r="L40" s="134">
        <f>VLOOKUP(L$2,'CT Only'!$A$7:$AE$36,21,FALSE)</f>
        <v>0</v>
      </c>
      <c r="M40" s="134">
        <f>VLOOKUP(M$2,'CT Only'!$A$7:$AE$36,21,FALSE)</f>
        <v>0</v>
      </c>
      <c r="N40" s="134">
        <f>VLOOKUP(N$2,'CT Only'!$A$7:$AE$36,21,FALSE)</f>
        <v>0</v>
      </c>
      <c r="O40" s="134">
        <f>VLOOKUP(O$2,'CT Only'!$A$7:$AE$36,21,FALSE)</f>
        <v>0</v>
      </c>
      <c r="P40" s="134">
        <f>VLOOKUP(P$2,'CT Only'!$A$7:$AE$36,21,FALSE)</f>
        <v>0</v>
      </c>
      <c r="Q40" s="134">
        <f>VLOOKUP(Q$2,'CT Only'!$A$7:$AE$36,21,FALSE)</f>
        <v>0</v>
      </c>
      <c r="R40" s="134">
        <f>VLOOKUP(R$2,'CT Only'!$A$7:$AE$36,21,FALSE)</f>
        <v>0</v>
      </c>
      <c r="S40" s="134">
        <f>VLOOKUP(S$2,'CT Only'!$A$7:$AE$36,21,FALSE)</f>
        <v>0</v>
      </c>
      <c r="T40" s="134">
        <f>VLOOKUP(T$2,'CT Only'!$A$7:$AE$36,21,FALSE)</f>
        <v>0</v>
      </c>
      <c r="U40" s="134">
        <f>VLOOKUP(U$2,'CT Only'!$A$7:$AE$36,21,FALSE)</f>
        <v>0</v>
      </c>
      <c r="V40" s="139">
        <f>VLOOKUP(V$2,'CT Only'!$A$7:$AE$36,21,FALSE)</f>
        <v>0</v>
      </c>
    </row>
    <row r="41" spans="1:22" x14ac:dyDescent="0.25">
      <c r="A41" s="160"/>
      <c r="B41" s="133" t="s">
        <v>55</v>
      </c>
      <c r="C41" s="135">
        <f>VLOOKUP(C$2,'CT Only'!$A$7:$AE$36,16,FALSE)+VLOOKUP(C$2,'CT Only'!$A$7:$AE$36,17,FALSE)</f>
        <v>0</v>
      </c>
      <c r="D41" s="135">
        <f>VLOOKUP(D$2,'CT Only'!$A$7:$AE$36,16,FALSE)+VLOOKUP(D$2,'CT Only'!$A$7:$AE$36,17,FALSE)</f>
        <v>0</v>
      </c>
      <c r="E41" s="135">
        <f>VLOOKUP(E$2,'CT Only'!$A$7:$AE$36,16,FALSE)+VLOOKUP(E$2,'CT Only'!$A$7:$AE$36,17,FALSE)</f>
        <v>0</v>
      </c>
      <c r="F41" s="135">
        <f>VLOOKUP(F$2,'CT Only'!$A$7:$AE$36,16,FALSE)+VLOOKUP(F$2,'CT Only'!$A$7:$AE$36,17,FALSE)</f>
        <v>0</v>
      </c>
      <c r="G41" s="135">
        <f>VLOOKUP(G$2,'CT Only'!$A$7:$AE$36,16,FALSE)+VLOOKUP(G$2,'CT Only'!$A$7:$AE$36,17,FALSE)</f>
        <v>0</v>
      </c>
      <c r="H41" s="135">
        <f>VLOOKUP(H$2,'CT Only'!$A$7:$AE$36,16,FALSE)+VLOOKUP(H$2,'CT Only'!$A$7:$AE$36,17,FALSE)</f>
        <v>0</v>
      </c>
      <c r="I41" s="135">
        <f>VLOOKUP(I$2,'CT Only'!$A$7:$AE$36,16,FALSE)+VLOOKUP(I$2,'CT Only'!$A$7:$AE$36,17,FALSE)</f>
        <v>0</v>
      </c>
      <c r="J41" s="135">
        <f>VLOOKUP(J$2,'CT Only'!$A$7:$AE$36,16,FALSE)+VLOOKUP(J$2,'CT Only'!$A$7:$AE$36,17,FALSE)</f>
        <v>0</v>
      </c>
      <c r="K41" s="135">
        <f>VLOOKUP(K$2,'CT Only'!$A$7:$AE$36,16,FALSE)+VLOOKUP(K$2,'CT Only'!$A$7:$AE$36,17,FALSE)</f>
        <v>0</v>
      </c>
      <c r="L41" s="135">
        <f>VLOOKUP(L$2,'CT Only'!$A$7:$AE$36,16,FALSE)+VLOOKUP(L$2,'CT Only'!$A$7:$AE$36,17,FALSE)</f>
        <v>0</v>
      </c>
      <c r="M41" s="135">
        <f>VLOOKUP(M$2,'CT Only'!$A$7:$AE$36,16,FALSE)+VLOOKUP(M$2,'CT Only'!$A$7:$AE$36,17,FALSE)</f>
        <v>0</v>
      </c>
      <c r="N41" s="135">
        <f>VLOOKUP(N$2,'CT Only'!$A$7:$AE$36,16,FALSE)+VLOOKUP(N$2,'CT Only'!$A$7:$AE$36,17,FALSE)</f>
        <v>0</v>
      </c>
      <c r="O41" s="135">
        <f>VLOOKUP(O$2,'CT Only'!$A$7:$AE$36,16,FALSE)+VLOOKUP(O$2,'CT Only'!$A$7:$AE$36,17,FALSE)</f>
        <v>0</v>
      </c>
      <c r="P41" s="135">
        <f>VLOOKUP(P$2,'CT Only'!$A$7:$AE$36,16,FALSE)+VLOOKUP(P$2,'CT Only'!$A$7:$AE$36,17,FALSE)</f>
        <v>0</v>
      </c>
      <c r="Q41" s="135">
        <f>VLOOKUP(Q$2,'CT Only'!$A$7:$AE$36,16,FALSE)+VLOOKUP(Q$2,'CT Only'!$A$7:$AE$36,17,FALSE)</f>
        <v>0</v>
      </c>
      <c r="R41" s="135">
        <f>VLOOKUP(R$2,'CT Only'!$A$7:$AE$36,16,FALSE)+VLOOKUP(R$2,'CT Only'!$A$7:$AE$36,17,FALSE)</f>
        <v>0</v>
      </c>
      <c r="S41" s="135">
        <f>VLOOKUP(S$2,'CT Only'!$A$7:$AE$36,16,FALSE)+VLOOKUP(S$2,'CT Only'!$A$7:$AE$36,17,FALSE)</f>
        <v>0</v>
      </c>
      <c r="T41" s="135">
        <f>VLOOKUP(T$2,'CT Only'!$A$7:$AE$36,16,FALSE)+VLOOKUP(T$2,'CT Only'!$A$7:$AE$36,17,FALSE)</f>
        <v>0</v>
      </c>
      <c r="U41" s="135">
        <f>VLOOKUP(U$2,'CT Only'!$A$7:$AE$36,16,FALSE)+VLOOKUP(U$2,'CT Only'!$A$7:$AE$36,17,FALSE)</f>
        <v>0</v>
      </c>
      <c r="V41" s="140">
        <f>VLOOKUP(V$2,'CT Only'!$A$7:$AE$36,16,FALSE)+VLOOKUP(V$2,'CT Only'!$A$7:$AE$36,17,FALSE)</f>
        <v>0</v>
      </c>
    </row>
    <row r="42" spans="1:22" x14ac:dyDescent="0.25">
      <c r="A42" s="160"/>
      <c r="B42" s="133" t="s">
        <v>56</v>
      </c>
      <c r="C42" s="134">
        <f>VLOOKUP(C$2,'CT Only'!$A$7:$AE$36,20,FALSE)</f>
        <v>0</v>
      </c>
      <c r="D42" s="134">
        <f>VLOOKUP(D$2,'CT Only'!$A$7:$AE$36,20,FALSE)</f>
        <v>0</v>
      </c>
      <c r="E42" s="134">
        <f>VLOOKUP(E$2,'CT Only'!$A$7:$AE$36,20,FALSE)</f>
        <v>0</v>
      </c>
      <c r="F42" s="134">
        <f>VLOOKUP(F$2,'CT Only'!$A$7:$AE$36,20,FALSE)</f>
        <v>0</v>
      </c>
      <c r="G42" s="134">
        <f>VLOOKUP(G$2,'CT Only'!$A$7:$AE$36,20,FALSE)</f>
        <v>0</v>
      </c>
      <c r="H42" s="134">
        <f>VLOOKUP(H$2,'CT Only'!$A$7:$AE$36,20,FALSE)</f>
        <v>0</v>
      </c>
      <c r="I42" s="134">
        <f>VLOOKUP(I$2,'CT Only'!$A$7:$AE$36,20,FALSE)</f>
        <v>0</v>
      </c>
      <c r="J42" s="134">
        <f>VLOOKUP(J$2,'CT Only'!$A$7:$AE$36,20,FALSE)</f>
        <v>0</v>
      </c>
      <c r="K42" s="134">
        <f>VLOOKUP(K$2,'CT Only'!$A$7:$AE$36,20,FALSE)</f>
        <v>0</v>
      </c>
      <c r="L42" s="134">
        <f>VLOOKUP(L$2,'CT Only'!$A$7:$AE$36,20,FALSE)</f>
        <v>0</v>
      </c>
      <c r="M42" s="134">
        <f>VLOOKUP(M$2,'CT Only'!$A$7:$AE$36,20,FALSE)</f>
        <v>0</v>
      </c>
      <c r="N42" s="134">
        <f>VLOOKUP(N$2,'CT Only'!$A$7:$AE$36,20,FALSE)</f>
        <v>0</v>
      </c>
      <c r="O42" s="134">
        <f>VLOOKUP(O$2,'CT Only'!$A$7:$AE$36,20,FALSE)</f>
        <v>0</v>
      </c>
      <c r="P42" s="134">
        <f>VLOOKUP(P$2,'CT Only'!$A$7:$AE$36,20,FALSE)</f>
        <v>0</v>
      </c>
      <c r="Q42" s="134">
        <f>VLOOKUP(Q$2,'CT Only'!$A$7:$AE$36,20,FALSE)</f>
        <v>0</v>
      </c>
      <c r="R42" s="134">
        <f>VLOOKUP(R$2,'CT Only'!$A$7:$AE$36,20,FALSE)</f>
        <v>0</v>
      </c>
      <c r="S42" s="134">
        <f>VLOOKUP(S$2,'CT Only'!$A$7:$AE$36,20,FALSE)</f>
        <v>0</v>
      </c>
      <c r="T42" s="134">
        <f>VLOOKUP(T$2,'CT Only'!$A$7:$AE$36,20,FALSE)</f>
        <v>0</v>
      </c>
      <c r="U42" s="134">
        <f>VLOOKUP(U$2,'CT Only'!$A$7:$AE$36,20,FALSE)</f>
        <v>0</v>
      </c>
      <c r="V42" s="139">
        <f>VLOOKUP(V$2,'CT Only'!$A$7:$AE$36,20,FALSE)</f>
        <v>0</v>
      </c>
    </row>
    <row r="43" spans="1:22" x14ac:dyDescent="0.25">
      <c r="A43" s="160"/>
      <c r="B43" s="133" t="s">
        <v>57</v>
      </c>
      <c r="C43" s="134">
        <f>VLOOKUP(C$2,'CT Only'!$A$7:$AE$36,18,FALSE)</f>
        <v>0</v>
      </c>
      <c r="D43" s="134">
        <f>VLOOKUP(D$2,'CT Only'!$A$7:$AE$36,18,FALSE)</f>
        <v>0</v>
      </c>
      <c r="E43" s="134">
        <f>VLOOKUP(E$2,'CT Only'!$A$7:$AE$36,18,FALSE)</f>
        <v>0</v>
      </c>
      <c r="F43" s="134">
        <f>VLOOKUP(F$2,'CT Only'!$A$7:$AE$36,18,FALSE)</f>
        <v>1.022</v>
      </c>
      <c r="G43" s="134">
        <f>VLOOKUP(G$2,'CT Only'!$A$7:$AE$36,18,FALSE)</f>
        <v>1.5329999999999999</v>
      </c>
      <c r="H43" s="134">
        <f>VLOOKUP(H$2,'CT Only'!$A$7:$AE$36,18,FALSE)</f>
        <v>1.5329999999999999</v>
      </c>
      <c r="I43" s="134">
        <f>VLOOKUP(I$2,'CT Only'!$A$7:$AE$36,18,FALSE)</f>
        <v>1.5329999999999999</v>
      </c>
      <c r="J43" s="134">
        <f>VLOOKUP(J$2,'CT Only'!$A$7:$AE$36,18,FALSE)</f>
        <v>2.044</v>
      </c>
      <c r="K43" s="134">
        <f>VLOOKUP(K$2,'CT Only'!$A$7:$AE$36,18,FALSE)</f>
        <v>2.044</v>
      </c>
      <c r="L43" s="134">
        <f>VLOOKUP(L$2,'CT Only'!$A$7:$AE$36,18,FALSE)</f>
        <v>2.5550000000000002</v>
      </c>
      <c r="M43" s="134">
        <f>VLOOKUP(M$2,'CT Only'!$A$7:$AE$36,18,FALSE)</f>
        <v>3.0659999999999998</v>
      </c>
      <c r="N43" s="134">
        <f>VLOOKUP(N$2,'CT Only'!$A$7:$AE$36,18,FALSE)</f>
        <v>3.577</v>
      </c>
      <c r="O43" s="134">
        <f>VLOOKUP(O$2,'CT Only'!$A$7:$AE$36,18,FALSE)</f>
        <v>3.577</v>
      </c>
      <c r="P43" s="134">
        <f>VLOOKUP(P$2,'CT Only'!$A$7:$AE$36,18,FALSE)</f>
        <v>4.0880000000000001</v>
      </c>
      <c r="Q43" s="134">
        <f>VLOOKUP(Q$2,'CT Only'!$A$7:$AE$36,18,FALSE)</f>
        <v>4.5990000000000002</v>
      </c>
      <c r="R43" s="134">
        <f>VLOOKUP(R$2,'CT Only'!$A$7:$AE$36,18,FALSE)</f>
        <v>4.5990000000000002</v>
      </c>
      <c r="S43" s="134">
        <f>VLOOKUP(S$2,'CT Only'!$A$7:$AE$36,18,FALSE)</f>
        <v>5.1100000000000003</v>
      </c>
      <c r="T43" s="134">
        <f>VLOOKUP(T$2,'CT Only'!$A$7:$AE$36,18,FALSE)</f>
        <v>5.1100000000000003</v>
      </c>
      <c r="U43" s="134">
        <f>VLOOKUP(U$2,'CT Only'!$A$7:$AE$36,18,FALSE)</f>
        <v>5.6210000000000004</v>
      </c>
      <c r="V43" s="139">
        <f>VLOOKUP(V$2,'CT Only'!$A$7:$AE$36,18,FALSE)</f>
        <v>5.6210000000000004</v>
      </c>
    </row>
    <row r="44" spans="1:22" ht="16.5" thickBot="1" x14ac:dyDescent="0.3">
      <c r="A44" s="161"/>
      <c r="B44" s="141" t="s">
        <v>58</v>
      </c>
      <c r="C44" s="136">
        <f>VLOOKUP(C$2,'CT Only'!$A$7:$AE$36,22,FALSE)</f>
        <v>0</v>
      </c>
      <c r="D44" s="136">
        <f>VLOOKUP(D$2,'CT Only'!$A$7:$AE$36,22,FALSE)</f>
        <v>0</v>
      </c>
      <c r="E44" s="136">
        <f>VLOOKUP(E$2,'CT Only'!$A$7:$AE$36,22,FALSE)</f>
        <v>150</v>
      </c>
      <c r="F44" s="136">
        <f>VLOOKUP(F$2,'CT Only'!$A$7:$AE$36,22,FALSE)</f>
        <v>0</v>
      </c>
      <c r="G44" s="136">
        <f>VLOOKUP(G$2,'CT Only'!$A$7:$AE$36,22,FALSE)</f>
        <v>0</v>
      </c>
      <c r="H44" s="136">
        <f>VLOOKUP(H$2,'CT Only'!$A$7:$AE$36,22,FALSE)</f>
        <v>0</v>
      </c>
      <c r="I44" s="136">
        <f>VLOOKUP(I$2,'CT Only'!$A$7:$AE$36,22,FALSE)</f>
        <v>0</v>
      </c>
      <c r="J44" s="136">
        <f>VLOOKUP(J$2,'CT Only'!$A$7:$AE$36,22,FALSE)</f>
        <v>0</v>
      </c>
      <c r="K44" s="136">
        <f>VLOOKUP(K$2,'CT Only'!$A$7:$AE$36,22,FALSE)</f>
        <v>0</v>
      </c>
      <c r="L44" s="136">
        <f>VLOOKUP(L$2,'CT Only'!$A$7:$AE$36,22,FALSE)</f>
        <v>0</v>
      </c>
      <c r="M44" s="136">
        <f>VLOOKUP(M$2,'CT Only'!$A$7:$AE$36,22,FALSE)</f>
        <v>0</v>
      </c>
      <c r="N44" s="136">
        <f>VLOOKUP(N$2,'CT Only'!$A$7:$AE$36,22,FALSE)</f>
        <v>0</v>
      </c>
      <c r="O44" s="136">
        <f>VLOOKUP(O$2,'CT Only'!$A$7:$AE$36,22,FALSE)</f>
        <v>0</v>
      </c>
      <c r="P44" s="136">
        <f>VLOOKUP(P$2,'CT Only'!$A$7:$AE$36,22,FALSE)</f>
        <v>0</v>
      </c>
      <c r="Q44" s="136">
        <f>VLOOKUP(Q$2,'CT Only'!$A$7:$AE$36,22,FALSE)</f>
        <v>0</v>
      </c>
      <c r="R44" s="136">
        <f>VLOOKUP(R$2,'CT Only'!$A$7:$AE$36,22,FALSE)</f>
        <v>0</v>
      </c>
      <c r="S44" s="136">
        <f>VLOOKUP(S$2,'CT Only'!$A$7:$AE$36,22,FALSE)</f>
        <v>0</v>
      </c>
      <c r="T44" s="136">
        <f>VLOOKUP(T$2,'CT Only'!$A$7:$AE$36,22,FALSE)</f>
        <v>0</v>
      </c>
      <c r="U44" s="136">
        <f>VLOOKUP(U$2,'CT Only'!$A$7:$AE$36,22,FALSE)</f>
        <v>0</v>
      </c>
      <c r="V44" s="142">
        <f>VLOOKUP(V$2,'CT Only'!$A$7:$AE$36,22,FALSE)</f>
        <v>0</v>
      </c>
    </row>
    <row r="45" spans="1:22" ht="28.5" customHeight="1" x14ac:dyDescent="0.25">
      <c r="A45" s="150" t="s">
        <v>68</v>
      </c>
      <c r="B45" s="151"/>
      <c r="C45" s="134">
        <f>VLOOKUP(C$2,'CT Only'!$A$7:$AC$36,24,FALSE)</f>
        <v>236.46977080800002</v>
      </c>
      <c r="D45" s="134">
        <f>VLOOKUP(D$2,'CT Only'!$A$7:$AC$36,24,FALSE)</f>
        <v>232.36830429599991</v>
      </c>
      <c r="E45" s="134">
        <f>VLOOKUP(E$2,'CT Only'!$A$7:$AC$36,24,FALSE)</f>
        <v>-141.19605854639985</v>
      </c>
      <c r="F45" s="134">
        <f>VLOOKUP(F$2,'CT Only'!$A$7:$AC$36,24,FALSE)</f>
        <v>-141.43342562999987</v>
      </c>
      <c r="G45" s="134">
        <f>VLOOKUP(G$2,'CT Only'!$A$7:$AC$36,24,FALSE)</f>
        <v>-138.49278128138985</v>
      </c>
      <c r="H45" s="134">
        <f>VLOOKUP(H$2,'CT Only'!$A$7:$AC$36,24,FALSE)</f>
        <v>-135.67758543864011</v>
      </c>
      <c r="I45" s="134">
        <f>VLOOKUP(I$2,'CT Only'!$A$7:$AC$36,24,FALSE)</f>
        <v>-133.17688301810995</v>
      </c>
      <c r="J45" s="134">
        <f>VLOOKUP(J$2,'CT Only'!$A$7:$AC$36,24,FALSE)</f>
        <v>-131.74494726266994</v>
      </c>
      <c r="K45" s="134">
        <f>VLOOKUP(K$2,'CT Only'!$A$7:$AC$36,24,FALSE)</f>
        <v>-130.81159234148981</v>
      </c>
      <c r="L45" s="134">
        <f>VLOOKUP(L$2,'CT Only'!$A$7:$AC$36,24,FALSE)</f>
        <v>-130.93588345038006</v>
      </c>
      <c r="M45" s="134">
        <f>VLOOKUP(M$2,'CT Only'!$A$7:$AC$36,24,FALSE)</f>
        <v>-129.96194429721004</v>
      </c>
      <c r="N45" s="134">
        <f>VLOOKUP(N$2,'CT Only'!$A$7:$AC$36,24,FALSE)</f>
        <v>-391.82507209673997</v>
      </c>
      <c r="O45" s="134">
        <f>VLOOKUP(O$2,'CT Only'!$A$7:$AC$36,24,FALSE)</f>
        <v>-391.85999443550998</v>
      </c>
      <c r="P45" s="134">
        <f>VLOOKUP(P$2,'CT Only'!$A$7:$AC$36,24,FALSE)</f>
        <v>-391.72112400056983</v>
      </c>
      <c r="Q45" s="134">
        <f>VLOOKUP(Q$2,'CT Only'!$A$7:$AC$36,24,FALSE)</f>
        <v>-392.4548395390799</v>
      </c>
      <c r="R45" s="134">
        <f>VLOOKUP(R$2,'CT Only'!$A$7:$AC$36,24,FALSE)</f>
        <v>-392.86475490341979</v>
      </c>
      <c r="S45" s="134">
        <f>VLOOKUP(S$2,'CT Only'!$A$7:$AC$36,24,FALSE)</f>
        <v>-393.98748385497004</v>
      </c>
      <c r="T45" s="134">
        <f>VLOOKUP(T$2,'CT Only'!$A$7:$AC$36,24,FALSE)</f>
        <v>-393.69112349333989</v>
      </c>
      <c r="U45" s="134">
        <f>VLOOKUP(U$2,'CT Only'!$A$7:$AC$36,24,FALSE)</f>
        <v>-394.24811896157996</v>
      </c>
      <c r="V45" s="134">
        <f>VLOOKUP(V$2,'CT Only'!$A$7:$AC$36,24,FALSE)</f>
        <v>-394.73299415154008</v>
      </c>
    </row>
    <row r="46" spans="1:22" ht="28.5" customHeight="1" thickBot="1" x14ac:dyDescent="0.3">
      <c r="A46" s="152" t="s">
        <v>69</v>
      </c>
      <c r="B46" s="153"/>
      <c r="C46" s="134">
        <f>VLOOKUP(C$2,'CT Only'!$A$7:$AC$36,26,FALSE)</f>
        <v>236.46977080800002</v>
      </c>
      <c r="D46" s="134">
        <f>VLOOKUP(D$2,'CT Only'!$A$7:$AC$36,26,FALSE)</f>
        <v>232.36830429599991</v>
      </c>
      <c r="E46" s="134">
        <f>VLOOKUP(E$2,'CT Only'!$A$7:$AC$36,26,FALSE)</f>
        <v>8.8039414536001459</v>
      </c>
      <c r="F46" s="134">
        <f>VLOOKUP(F$2,'CT Only'!$A$7:$AC$36,26,FALSE)</f>
        <v>107.58857437000006</v>
      </c>
      <c r="G46" s="134">
        <f>VLOOKUP(G$2,'CT Only'!$A$7:$AC$36,26,FALSE)</f>
        <v>111.04021871861005</v>
      </c>
      <c r="H46" s="134">
        <f>VLOOKUP(H$2,'CT Only'!$A$7:$AC$36,26,FALSE)</f>
        <v>113.85541456135979</v>
      </c>
      <c r="I46" s="134">
        <f>VLOOKUP(I$2,'CT Only'!$A$7:$AC$36,26,FALSE)</f>
        <v>116.35611698188995</v>
      </c>
      <c r="J46" s="134">
        <f>VLOOKUP(J$2,'CT Only'!$A$7:$AC$36,26,FALSE)</f>
        <v>118.29905273733016</v>
      </c>
      <c r="K46" s="134">
        <f>VLOOKUP(K$2,'CT Only'!$A$7:$AC$36,26,FALSE)</f>
        <v>119.23240765851028</v>
      </c>
      <c r="L46" s="134">
        <f>VLOOKUP(L$2,'CT Only'!$A$7:$AC$36,26,FALSE)</f>
        <v>119.61911654962</v>
      </c>
      <c r="M46" s="134">
        <f>VLOOKUP(M$2,'CT Only'!$A$7:$AC$36,26,FALSE)</f>
        <v>121.10405570278999</v>
      </c>
      <c r="N46" s="134">
        <f>VLOOKUP(N$2,'CT Only'!$A$7:$AC$36,26,FALSE)</f>
        <v>14.887927903259879</v>
      </c>
      <c r="O46" s="134">
        <f>VLOOKUP(O$2,'CT Only'!$A$7:$AC$36,26,FALSE)</f>
        <v>92.421005564490088</v>
      </c>
      <c r="P46" s="134">
        <f>VLOOKUP(P$2,'CT Only'!$A$7:$AC$36,26,FALSE)</f>
        <v>93.0708759994302</v>
      </c>
      <c r="Q46" s="134">
        <f>VLOOKUP(Q$2,'CT Only'!$A$7:$AC$36,26,FALSE)</f>
        <v>92.848160460920099</v>
      </c>
      <c r="R46" s="134">
        <f>VLOOKUP(R$2,'CT Only'!$A$7:$AC$36,26,FALSE)</f>
        <v>92.438245096580204</v>
      </c>
      <c r="S46" s="134">
        <f>VLOOKUP(S$2,'CT Only'!$A$7:$AC$36,26,FALSE)</f>
        <v>91.826516145029927</v>
      </c>
      <c r="T46" s="134">
        <f>VLOOKUP(T$2,'CT Only'!$A$7:$AC$36,26,FALSE)</f>
        <v>92.122876506660077</v>
      </c>
      <c r="U46" s="134">
        <f>VLOOKUP(U$2,'CT Only'!$A$7:$AC$36,26,FALSE)</f>
        <v>92.07688103841997</v>
      </c>
      <c r="V46" s="134">
        <f>VLOOKUP(V$2,'CT Only'!$A$7:$AC$36,26,FALSE)</f>
        <v>91.592005848459848</v>
      </c>
    </row>
    <row r="47" spans="1:22" ht="15.75" customHeight="1" x14ac:dyDescent="0.25">
      <c r="A47" s="156" t="s">
        <v>63</v>
      </c>
      <c r="B47" s="109" t="s">
        <v>50</v>
      </c>
      <c r="C47" s="110">
        <f>VLOOKUP(C$2,'CC Only'!$A$7:$AE$36,31,FALSE)</f>
        <v>0</v>
      </c>
      <c r="D47" s="110">
        <f>VLOOKUP(D$2,'CC Only'!$A$7:$AE$36,31,FALSE)</f>
        <v>0</v>
      </c>
      <c r="E47" s="110">
        <f>VLOOKUP(E$2,'CC Only'!$A$7:$AE$36,31,FALSE)</f>
        <v>0</v>
      </c>
      <c r="F47" s="110">
        <f>VLOOKUP(F$2,'CC Only'!$A$7:$AE$36,31,FALSE)</f>
        <v>0</v>
      </c>
      <c r="G47" s="110">
        <f>VLOOKUP(G$2,'CC Only'!$A$7:$AE$36,31,FALSE)</f>
        <v>401</v>
      </c>
      <c r="H47" s="110">
        <f>VLOOKUP(H$2,'CC Only'!$A$7:$AE$36,31,FALSE)</f>
        <v>401</v>
      </c>
      <c r="I47" s="110">
        <f>VLOOKUP(I$2,'CC Only'!$A$7:$AE$36,31,FALSE)</f>
        <v>401</v>
      </c>
      <c r="J47" s="110">
        <f>VLOOKUP(J$2,'CC Only'!$A$7:$AE$36,31,FALSE)</f>
        <v>401</v>
      </c>
      <c r="K47" s="110">
        <f>VLOOKUP(K$2,'CC Only'!$A$7:$AE$36,31,FALSE)</f>
        <v>401</v>
      </c>
      <c r="L47" s="110">
        <f>VLOOKUP(L$2,'CC Only'!$A$7:$AE$36,31,FALSE)</f>
        <v>401</v>
      </c>
      <c r="M47" s="110">
        <f>VLOOKUP(M$2,'CC Only'!$A$7:$AE$36,31,FALSE)</f>
        <v>401</v>
      </c>
      <c r="N47" s="110">
        <f>VLOOKUP(N$2,'CC Only'!$A$7:$AE$36,31,FALSE)</f>
        <v>401</v>
      </c>
      <c r="O47" s="110">
        <f>VLOOKUP(O$2,'CC Only'!$A$7:$AE$36,31,FALSE)</f>
        <v>401</v>
      </c>
      <c r="P47" s="110">
        <f>VLOOKUP(P$2,'CC Only'!$A$7:$AE$36,31,FALSE)</f>
        <v>401</v>
      </c>
      <c r="Q47" s="110">
        <f>VLOOKUP(Q$2,'CC Only'!$A$7:$AE$36,31,FALSE)</f>
        <v>401</v>
      </c>
      <c r="R47" s="110">
        <f>VLOOKUP(R$2,'CC Only'!$A$7:$AE$36,31,FALSE)</f>
        <v>401</v>
      </c>
      <c r="S47" s="110">
        <f>VLOOKUP(S$2,'CC Only'!$A$7:$AE$36,31,FALSE)</f>
        <v>401</v>
      </c>
      <c r="T47" s="110">
        <f>VLOOKUP(T$2,'CC Only'!$A$7:$AE$36,31,FALSE)</f>
        <v>401</v>
      </c>
      <c r="U47" s="110">
        <f>VLOOKUP(U$2,'CC Only'!$A$7:$AE$36,31,FALSE)</f>
        <v>401</v>
      </c>
      <c r="V47" s="111">
        <f>VLOOKUP(V$2,'CC Only'!$A$7:$AE$36,31,FALSE)</f>
        <v>401</v>
      </c>
    </row>
    <row r="48" spans="1:22" x14ac:dyDescent="0.25">
      <c r="A48" s="157"/>
      <c r="B48" s="112" t="s">
        <v>51</v>
      </c>
      <c r="C48" s="113">
        <f>VLOOKUP(C$2,'CC Only'!$A$7:$AE$36,28,FALSE)</f>
        <v>0</v>
      </c>
      <c r="D48" s="113">
        <f>VLOOKUP(D$2,'CC Only'!$A$7:$AE$36,28,FALSE)</f>
        <v>0</v>
      </c>
      <c r="E48" s="113">
        <f>VLOOKUP(E$2,'CC Only'!$A$7:$AE$36,28,FALSE)</f>
        <v>0</v>
      </c>
      <c r="F48" s="113">
        <f>VLOOKUP(F$2,'CC Only'!$A$7:$AE$36,28,FALSE)</f>
        <v>0</v>
      </c>
      <c r="G48" s="113">
        <f>VLOOKUP(G$2,'CC Only'!$A$7:$AE$36,28,FALSE)</f>
        <v>0</v>
      </c>
      <c r="H48" s="113">
        <f>VLOOKUP(H$2,'CC Only'!$A$7:$AE$36,28,FALSE)</f>
        <v>0</v>
      </c>
      <c r="I48" s="113">
        <f>VLOOKUP(I$2,'CC Only'!$A$7:$AE$36,28,FALSE)</f>
        <v>0</v>
      </c>
      <c r="J48" s="113">
        <f>VLOOKUP(J$2,'CC Only'!$A$7:$AE$36,28,FALSE)</f>
        <v>0</v>
      </c>
      <c r="K48" s="113">
        <f>VLOOKUP(K$2,'CC Only'!$A$7:$AE$36,28,FALSE)</f>
        <v>0</v>
      </c>
      <c r="L48" s="113">
        <f>VLOOKUP(L$2,'CC Only'!$A$7:$AE$36,28,FALSE)</f>
        <v>0</v>
      </c>
      <c r="M48" s="113">
        <f>VLOOKUP(M$2,'CC Only'!$A$7:$AE$36,28,FALSE)</f>
        <v>0</v>
      </c>
      <c r="N48" s="113">
        <f>VLOOKUP(N$2,'CC Only'!$A$7:$AE$36,28,FALSE)</f>
        <v>303.59295499021528</v>
      </c>
      <c r="O48" s="113">
        <f>VLOOKUP(O$2,'CC Only'!$A$7:$AE$36,28,FALSE)</f>
        <v>455.38943248532291</v>
      </c>
      <c r="P48" s="113">
        <f>VLOOKUP(P$2,'CC Only'!$A$7:$AE$36,28,FALSE)</f>
        <v>455.38943248532291</v>
      </c>
      <c r="Q48" s="113">
        <f>VLOOKUP(Q$2,'CC Only'!$A$7:$AE$36,28,FALSE)</f>
        <v>455.38943248532291</v>
      </c>
      <c r="R48" s="113">
        <f>VLOOKUP(R$2,'CC Only'!$A$7:$AE$36,28,FALSE)</f>
        <v>455.38943248532291</v>
      </c>
      <c r="S48" s="113">
        <f>VLOOKUP(S$2,'CC Only'!$A$7:$AE$36,28,FALSE)</f>
        <v>455.38943248532291</v>
      </c>
      <c r="T48" s="113">
        <f>VLOOKUP(T$2,'CC Only'!$A$7:$AE$36,28,FALSE)</f>
        <v>455.38943248532291</v>
      </c>
      <c r="U48" s="113">
        <f>VLOOKUP(U$2,'CC Only'!$A$7:$AE$36,28,FALSE)</f>
        <v>455.38943248532291</v>
      </c>
      <c r="V48" s="114">
        <f>VLOOKUP(V$2,'CC Only'!$A$7:$AE$36,28,FALSE)</f>
        <v>455.38943248532291</v>
      </c>
    </row>
    <row r="49" spans="1:22" x14ac:dyDescent="0.25">
      <c r="A49" s="157"/>
      <c r="B49" s="112" t="s">
        <v>52</v>
      </c>
      <c r="C49" s="113">
        <f>VLOOKUP(C$2,'CC Only'!$A$7:$W$36,19,FALSE)</f>
        <v>0</v>
      </c>
      <c r="D49" s="113">
        <f>VLOOKUP(D$2,'CC Only'!$A$7:$W$36,19,FALSE)</f>
        <v>0</v>
      </c>
      <c r="E49" s="113">
        <f>VLOOKUP(E$2,'CC Only'!$A$7:$W$36,19,FALSE)</f>
        <v>0</v>
      </c>
      <c r="F49" s="113">
        <f>VLOOKUP(F$2,'CC Only'!$A$7:$W$36,19,FALSE)</f>
        <v>0</v>
      </c>
      <c r="G49" s="113">
        <f>VLOOKUP(G$2,'CC Only'!$A$7:$W$36,19,FALSE)</f>
        <v>0</v>
      </c>
      <c r="H49" s="113">
        <f>VLOOKUP(H$2,'CC Only'!$A$7:$W$36,19,FALSE)</f>
        <v>0</v>
      </c>
      <c r="I49" s="113">
        <f>VLOOKUP(I$2,'CC Only'!$A$7:$W$36,19,FALSE)</f>
        <v>0</v>
      </c>
      <c r="J49" s="113">
        <f>VLOOKUP(J$2,'CC Only'!$A$7:$W$36,19,FALSE)</f>
        <v>0</v>
      </c>
      <c r="K49" s="113">
        <f>VLOOKUP(K$2,'CC Only'!$A$7:$W$36,19,FALSE)</f>
        <v>0</v>
      </c>
      <c r="L49" s="113">
        <f>VLOOKUP(L$2,'CC Only'!$A$7:$W$36,19,FALSE)</f>
        <v>0</v>
      </c>
      <c r="M49" s="113">
        <f>VLOOKUP(M$2,'CC Only'!$A$7:$W$36,19,FALSE)</f>
        <v>0</v>
      </c>
      <c r="N49" s="113">
        <f>VLOOKUP(N$2,'CC Only'!$A$7:$W$36,19,FALSE)</f>
        <v>155.136</v>
      </c>
      <c r="O49" s="113">
        <f>VLOOKUP(O$2,'CC Only'!$A$7:$W$36,19,FALSE)</f>
        <v>232.70400000000001</v>
      </c>
      <c r="P49" s="113">
        <f>VLOOKUP(P$2,'CC Only'!$A$7:$W$36,19,FALSE)</f>
        <v>232.70400000000001</v>
      </c>
      <c r="Q49" s="113">
        <f>VLOOKUP(Q$2,'CC Only'!$A$7:$W$36,19,FALSE)</f>
        <v>232.70400000000001</v>
      </c>
      <c r="R49" s="113">
        <f>VLOOKUP(R$2,'CC Only'!$A$7:$W$36,19,FALSE)</f>
        <v>232.70400000000001</v>
      </c>
      <c r="S49" s="113">
        <f>VLOOKUP(S$2,'CC Only'!$A$7:$W$36,19,FALSE)</f>
        <v>232.70400000000001</v>
      </c>
      <c r="T49" s="113">
        <f>VLOOKUP(T$2,'CC Only'!$A$7:$W$36,19,FALSE)</f>
        <v>232.70400000000001</v>
      </c>
      <c r="U49" s="113">
        <f>VLOOKUP(U$2,'CC Only'!$A$7:$W$36,19,FALSE)</f>
        <v>232.70400000000001</v>
      </c>
      <c r="V49" s="114">
        <f>VLOOKUP(V$2,'CC Only'!$A$7:$W$36,19,FALSE)</f>
        <v>232.70400000000001</v>
      </c>
    </row>
    <row r="50" spans="1:22" x14ac:dyDescent="0.25">
      <c r="A50" s="157"/>
      <c r="B50" s="112" t="s">
        <v>53</v>
      </c>
      <c r="C50" s="113">
        <f>VLOOKUP(C$2,'CC Only'!$A$7:$AE$36,29,FALSE)</f>
        <v>0</v>
      </c>
      <c r="D50" s="113">
        <f>VLOOKUP(D$2,'CC Only'!$A$7:$AE$36,29,FALSE)</f>
        <v>0</v>
      </c>
      <c r="E50" s="113">
        <f>VLOOKUP(E$2,'CC Only'!$A$7:$AE$36,29,FALSE)</f>
        <v>0</v>
      </c>
      <c r="F50" s="113">
        <f>VLOOKUP(F$2,'CC Only'!$A$7:$AE$36,29,FALSE)</f>
        <v>0</v>
      </c>
      <c r="G50" s="113">
        <f>VLOOKUP(G$2,'CC Only'!$A$7:$AE$36,29,FALSE)</f>
        <v>0</v>
      </c>
      <c r="H50" s="113">
        <f>VLOOKUP(H$2,'CC Only'!$A$7:$AE$36,29,FALSE)</f>
        <v>0</v>
      </c>
      <c r="I50" s="113">
        <f>VLOOKUP(I$2,'CC Only'!$A$7:$AE$36,29,FALSE)</f>
        <v>0</v>
      </c>
      <c r="J50" s="113">
        <f>VLOOKUP(J$2,'CC Only'!$A$7:$AE$36,29,FALSE)</f>
        <v>0</v>
      </c>
      <c r="K50" s="113">
        <f>VLOOKUP(K$2,'CC Only'!$A$7:$AE$36,29,FALSE)</f>
        <v>0</v>
      </c>
      <c r="L50" s="113">
        <f>VLOOKUP(L$2,'CC Only'!$A$7:$AE$36,29,FALSE)</f>
        <v>0</v>
      </c>
      <c r="M50" s="113">
        <f>VLOOKUP(M$2,'CC Only'!$A$7:$AE$36,29,FALSE)</f>
        <v>0</v>
      </c>
      <c r="N50" s="113">
        <f>VLOOKUP(N$2,'CC Only'!$A$7:$AE$36,29,FALSE)</f>
        <v>0</v>
      </c>
      <c r="O50" s="113">
        <f>VLOOKUP(O$2,'CC Only'!$A$7:$AE$36,29,FALSE)</f>
        <v>0</v>
      </c>
      <c r="P50" s="113">
        <f>VLOOKUP(P$2,'CC Only'!$A$7:$AE$36,29,FALSE)</f>
        <v>0</v>
      </c>
      <c r="Q50" s="113">
        <f>VLOOKUP(Q$2,'CC Only'!$A$7:$AE$36,29,FALSE)</f>
        <v>0</v>
      </c>
      <c r="R50" s="113">
        <f>VLOOKUP(R$2,'CC Only'!$A$7:$AE$36,29,FALSE)</f>
        <v>0</v>
      </c>
      <c r="S50" s="113">
        <f>VLOOKUP(S$2,'CC Only'!$A$7:$AE$36,29,FALSE)</f>
        <v>0</v>
      </c>
      <c r="T50" s="113">
        <f>VLOOKUP(T$2,'CC Only'!$A$7:$AE$36,29,FALSE)</f>
        <v>0</v>
      </c>
      <c r="U50" s="113">
        <f>VLOOKUP(U$2,'CC Only'!$A$7:$AE$36,29,FALSE)</f>
        <v>0</v>
      </c>
      <c r="V50" s="114">
        <f>VLOOKUP(V$2,'CC Only'!$A$7:$AE$36,29,FALSE)</f>
        <v>0</v>
      </c>
    </row>
    <row r="51" spans="1:22" x14ac:dyDescent="0.25">
      <c r="A51" s="157"/>
      <c r="B51" s="112" t="s">
        <v>54</v>
      </c>
      <c r="C51" s="113">
        <f>VLOOKUP(C$2,'CC Only'!$A$7:$AE$36,21,FALSE)</f>
        <v>0</v>
      </c>
      <c r="D51" s="113">
        <f>VLOOKUP(D$2,'CC Only'!$A$7:$AE$36,21,FALSE)</f>
        <v>0</v>
      </c>
      <c r="E51" s="113">
        <f>VLOOKUP(E$2,'CC Only'!$A$7:$AE$36,21,FALSE)</f>
        <v>0</v>
      </c>
      <c r="F51" s="113">
        <f>VLOOKUP(F$2,'CC Only'!$A$7:$AE$36,21,FALSE)</f>
        <v>0</v>
      </c>
      <c r="G51" s="113">
        <f>VLOOKUP(G$2,'CC Only'!$A$7:$AE$36,21,FALSE)</f>
        <v>0</v>
      </c>
      <c r="H51" s="113">
        <f>VLOOKUP(H$2,'CC Only'!$A$7:$AE$36,21,FALSE)</f>
        <v>0</v>
      </c>
      <c r="I51" s="113">
        <f>VLOOKUP(I$2,'CC Only'!$A$7:$AE$36,21,FALSE)</f>
        <v>0</v>
      </c>
      <c r="J51" s="113">
        <f>VLOOKUP(J$2,'CC Only'!$A$7:$AE$36,21,FALSE)</f>
        <v>0</v>
      </c>
      <c r="K51" s="113">
        <f>VLOOKUP(K$2,'CC Only'!$A$7:$AE$36,21,FALSE)</f>
        <v>0</v>
      </c>
      <c r="L51" s="113">
        <f>VLOOKUP(L$2,'CC Only'!$A$7:$AE$36,21,FALSE)</f>
        <v>0</v>
      </c>
      <c r="M51" s="113">
        <f>VLOOKUP(M$2,'CC Only'!$A$7:$AE$36,21,FALSE)</f>
        <v>0</v>
      </c>
      <c r="N51" s="113">
        <f>VLOOKUP(N$2,'CC Only'!$A$7:$AE$36,21,FALSE)</f>
        <v>0</v>
      </c>
      <c r="O51" s="113">
        <f>VLOOKUP(O$2,'CC Only'!$A$7:$AE$36,21,FALSE)</f>
        <v>0</v>
      </c>
      <c r="P51" s="113">
        <f>VLOOKUP(P$2,'CC Only'!$A$7:$AE$36,21,FALSE)</f>
        <v>0</v>
      </c>
      <c r="Q51" s="113">
        <f>VLOOKUP(Q$2,'CC Only'!$A$7:$AE$36,21,FALSE)</f>
        <v>0</v>
      </c>
      <c r="R51" s="113">
        <f>VLOOKUP(R$2,'CC Only'!$A$7:$AE$36,21,FALSE)</f>
        <v>0</v>
      </c>
      <c r="S51" s="113">
        <f>VLOOKUP(S$2,'CC Only'!$A$7:$AE$36,21,FALSE)</f>
        <v>0</v>
      </c>
      <c r="T51" s="113">
        <f>VLOOKUP(T$2,'CC Only'!$A$7:$AE$36,21,FALSE)</f>
        <v>0</v>
      </c>
      <c r="U51" s="113">
        <f>VLOOKUP(U$2,'CC Only'!$A$7:$AE$36,21,FALSE)</f>
        <v>0</v>
      </c>
      <c r="V51" s="114">
        <f>VLOOKUP(V$2,'CC Only'!$A$7:$AE$36,21,FALSE)</f>
        <v>0</v>
      </c>
    </row>
    <row r="52" spans="1:22" x14ac:dyDescent="0.25">
      <c r="A52" s="157"/>
      <c r="B52" s="112" t="s">
        <v>55</v>
      </c>
      <c r="C52" s="115">
        <f>VLOOKUP(C$2,'CC Only'!$A$7:$AE$36,16,FALSE)+VLOOKUP(C$2,'CC Only'!$A$7:$AE$36,17,FALSE)</f>
        <v>0</v>
      </c>
      <c r="D52" s="115">
        <f>VLOOKUP(D$2,'CC Only'!$A$7:$AE$36,16,FALSE)+VLOOKUP(D$2,'CC Only'!$A$7:$AE$36,17,FALSE)</f>
        <v>0</v>
      </c>
      <c r="E52" s="115">
        <f>VLOOKUP(E$2,'CC Only'!$A$7:$AE$36,16,FALSE)+VLOOKUP(E$2,'CC Only'!$A$7:$AE$36,17,FALSE)</f>
        <v>0</v>
      </c>
      <c r="F52" s="115">
        <f>VLOOKUP(F$2,'CC Only'!$A$7:$AE$36,16,FALSE)+VLOOKUP(F$2,'CC Only'!$A$7:$AE$36,17,FALSE)</f>
        <v>0</v>
      </c>
      <c r="G52" s="115">
        <f>VLOOKUP(G$2,'CC Only'!$A$7:$AE$36,16,FALSE)+VLOOKUP(G$2,'CC Only'!$A$7:$AE$36,17,FALSE)</f>
        <v>0</v>
      </c>
      <c r="H52" s="115">
        <f>VLOOKUP(H$2,'CC Only'!$A$7:$AE$36,16,FALSE)+VLOOKUP(H$2,'CC Only'!$A$7:$AE$36,17,FALSE)</f>
        <v>0</v>
      </c>
      <c r="I52" s="115">
        <f>VLOOKUP(I$2,'CC Only'!$A$7:$AE$36,16,FALSE)+VLOOKUP(I$2,'CC Only'!$A$7:$AE$36,17,FALSE)</f>
        <v>0</v>
      </c>
      <c r="J52" s="115">
        <f>VLOOKUP(J$2,'CC Only'!$A$7:$AE$36,16,FALSE)+VLOOKUP(J$2,'CC Only'!$A$7:$AE$36,17,FALSE)</f>
        <v>0</v>
      </c>
      <c r="K52" s="115">
        <f>VLOOKUP(K$2,'CC Only'!$A$7:$AE$36,16,FALSE)+VLOOKUP(K$2,'CC Only'!$A$7:$AE$36,17,FALSE)</f>
        <v>0</v>
      </c>
      <c r="L52" s="115">
        <f>VLOOKUP(L$2,'CC Only'!$A$7:$AE$36,16,FALSE)+VLOOKUP(L$2,'CC Only'!$A$7:$AE$36,17,FALSE)</f>
        <v>0</v>
      </c>
      <c r="M52" s="115">
        <f>VLOOKUP(M$2,'CC Only'!$A$7:$AE$36,16,FALSE)+VLOOKUP(M$2,'CC Only'!$A$7:$AE$36,17,FALSE)</f>
        <v>0</v>
      </c>
      <c r="N52" s="115">
        <f>VLOOKUP(N$2,'CC Only'!$A$7:$AE$36,16,FALSE)+VLOOKUP(N$2,'CC Only'!$A$7:$AE$36,17,FALSE)</f>
        <v>0</v>
      </c>
      <c r="O52" s="115">
        <f>VLOOKUP(O$2,'CC Only'!$A$7:$AE$36,16,FALSE)+VLOOKUP(O$2,'CC Only'!$A$7:$AE$36,17,FALSE)</f>
        <v>0</v>
      </c>
      <c r="P52" s="115">
        <f>VLOOKUP(P$2,'CC Only'!$A$7:$AE$36,16,FALSE)+VLOOKUP(P$2,'CC Only'!$A$7:$AE$36,17,FALSE)</f>
        <v>0</v>
      </c>
      <c r="Q52" s="115">
        <f>VLOOKUP(Q$2,'CC Only'!$A$7:$AE$36,16,FALSE)+VLOOKUP(Q$2,'CC Only'!$A$7:$AE$36,17,FALSE)</f>
        <v>0</v>
      </c>
      <c r="R52" s="115">
        <f>VLOOKUP(R$2,'CC Only'!$A$7:$AE$36,16,FALSE)+VLOOKUP(R$2,'CC Only'!$A$7:$AE$36,17,FALSE)</f>
        <v>0</v>
      </c>
      <c r="S52" s="115">
        <f>VLOOKUP(S$2,'CC Only'!$A$7:$AE$36,16,FALSE)+VLOOKUP(S$2,'CC Only'!$A$7:$AE$36,17,FALSE)</f>
        <v>0</v>
      </c>
      <c r="T52" s="115">
        <f>VLOOKUP(T$2,'CC Only'!$A$7:$AE$36,16,FALSE)+VLOOKUP(T$2,'CC Only'!$A$7:$AE$36,17,FALSE)</f>
        <v>0</v>
      </c>
      <c r="U52" s="115">
        <f>VLOOKUP(U$2,'CC Only'!$A$7:$AE$36,16,FALSE)+VLOOKUP(U$2,'CC Only'!$A$7:$AE$36,17,FALSE)</f>
        <v>0</v>
      </c>
      <c r="V52" s="116">
        <f>VLOOKUP(V$2,'CC Only'!$A$7:$AE$36,16,FALSE)+VLOOKUP(V$2,'CC Only'!$A$7:$AE$36,17,FALSE)</f>
        <v>0</v>
      </c>
    </row>
    <row r="53" spans="1:22" x14ac:dyDescent="0.25">
      <c r="A53" s="157"/>
      <c r="B53" s="112" t="s">
        <v>56</v>
      </c>
      <c r="C53" s="113">
        <f>VLOOKUP(C$2,'CC Only'!$A$7:$AE$36,20,FALSE)</f>
        <v>0</v>
      </c>
      <c r="D53" s="113">
        <f>VLOOKUP(D$2,'CC Only'!$A$7:$AE$36,20,FALSE)</f>
        <v>0</v>
      </c>
      <c r="E53" s="113">
        <f>VLOOKUP(E$2,'CC Only'!$A$7:$AE$36,20,FALSE)</f>
        <v>0</v>
      </c>
      <c r="F53" s="113">
        <f>VLOOKUP(F$2,'CC Only'!$A$7:$AE$36,20,FALSE)</f>
        <v>0</v>
      </c>
      <c r="G53" s="113">
        <f>VLOOKUP(G$2,'CC Only'!$A$7:$AE$36,20,FALSE)</f>
        <v>0</v>
      </c>
      <c r="H53" s="113">
        <f>VLOOKUP(H$2,'CC Only'!$A$7:$AE$36,20,FALSE)</f>
        <v>0</v>
      </c>
      <c r="I53" s="113">
        <f>VLOOKUP(I$2,'CC Only'!$A$7:$AE$36,20,FALSE)</f>
        <v>0</v>
      </c>
      <c r="J53" s="113">
        <f>VLOOKUP(J$2,'CC Only'!$A$7:$AE$36,20,FALSE)</f>
        <v>0</v>
      </c>
      <c r="K53" s="113">
        <f>VLOOKUP(K$2,'CC Only'!$A$7:$AE$36,20,FALSE)</f>
        <v>0</v>
      </c>
      <c r="L53" s="113">
        <f>VLOOKUP(L$2,'CC Only'!$A$7:$AE$36,20,FALSE)</f>
        <v>0</v>
      </c>
      <c r="M53" s="113">
        <f>VLOOKUP(M$2,'CC Only'!$A$7:$AE$36,20,FALSE)</f>
        <v>0</v>
      </c>
      <c r="N53" s="113">
        <f>VLOOKUP(N$2,'CC Only'!$A$7:$AE$36,20,FALSE)</f>
        <v>0</v>
      </c>
      <c r="O53" s="113">
        <f>VLOOKUP(O$2,'CC Only'!$A$7:$AE$36,20,FALSE)</f>
        <v>0</v>
      </c>
      <c r="P53" s="113">
        <f>VLOOKUP(P$2,'CC Only'!$A$7:$AE$36,20,FALSE)</f>
        <v>0</v>
      </c>
      <c r="Q53" s="113">
        <f>VLOOKUP(Q$2,'CC Only'!$A$7:$AE$36,20,FALSE)</f>
        <v>0</v>
      </c>
      <c r="R53" s="113">
        <f>VLOOKUP(R$2,'CC Only'!$A$7:$AE$36,20,FALSE)</f>
        <v>0</v>
      </c>
      <c r="S53" s="113">
        <f>VLOOKUP(S$2,'CC Only'!$A$7:$AE$36,20,FALSE)</f>
        <v>0</v>
      </c>
      <c r="T53" s="113">
        <f>VLOOKUP(T$2,'CC Only'!$A$7:$AE$36,20,FALSE)</f>
        <v>0</v>
      </c>
      <c r="U53" s="113">
        <f>VLOOKUP(U$2,'CC Only'!$A$7:$AE$36,20,FALSE)</f>
        <v>0</v>
      </c>
      <c r="V53" s="114">
        <f>VLOOKUP(V$2,'CC Only'!$A$7:$AE$36,20,FALSE)</f>
        <v>0</v>
      </c>
    </row>
    <row r="54" spans="1:22" x14ac:dyDescent="0.25">
      <c r="A54" s="157"/>
      <c r="B54" s="112" t="s">
        <v>57</v>
      </c>
      <c r="C54" s="113">
        <f>VLOOKUP(C$2,'CC Only'!$A$7:$AE$36,18,FALSE)</f>
        <v>0</v>
      </c>
      <c r="D54" s="113">
        <f>VLOOKUP(D$2,'CC Only'!$A$7:$AE$36,18,FALSE)</f>
        <v>0</v>
      </c>
      <c r="E54" s="113">
        <f>VLOOKUP(E$2,'CC Only'!$A$7:$AE$36,18,FALSE)</f>
        <v>0</v>
      </c>
      <c r="F54" s="113">
        <f>VLOOKUP(F$2,'CC Only'!$A$7:$AE$36,18,FALSE)</f>
        <v>1.022</v>
      </c>
      <c r="G54" s="113">
        <f>VLOOKUP(G$2,'CC Only'!$A$7:$AE$36,18,FALSE)</f>
        <v>1.5329999999999999</v>
      </c>
      <c r="H54" s="113">
        <f>VLOOKUP(H$2,'CC Only'!$A$7:$AE$36,18,FALSE)</f>
        <v>1.5329999999999999</v>
      </c>
      <c r="I54" s="113">
        <f>VLOOKUP(I$2,'CC Only'!$A$7:$AE$36,18,FALSE)</f>
        <v>1.5329999999999999</v>
      </c>
      <c r="J54" s="113">
        <f>VLOOKUP(J$2,'CC Only'!$A$7:$AE$36,18,FALSE)</f>
        <v>2.044</v>
      </c>
      <c r="K54" s="113">
        <f>VLOOKUP(K$2,'CC Only'!$A$7:$AE$36,18,FALSE)</f>
        <v>2.044</v>
      </c>
      <c r="L54" s="113">
        <f>VLOOKUP(L$2,'CC Only'!$A$7:$AE$36,18,FALSE)</f>
        <v>2.5550000000000002</v>
      </c>
      <c r="M54" s="113">
        <f>VLOOKUP(M$2,'CC Only'!$A$7:$AE$36,18,FALSE)</f>
        <v>3.0659999999999998</v>
      </c>
      <c r="N54" s="113">
        <f>VLOOKUP(N$2,'CC Only'!$A$7:$AE$36,18,FALSE)</f>
        <v>3.577</v>
      </c>
      <c r="O54" s="113">
        <f>VLOOKUP(O$2,'CC Only'!$A$7:$AE$36,18,FALSE)</f>
        <v>3.577</v>
      </c>
      <c r="P54" s="113">
        <f>VLOOKUP(P$2,'CC Only'!$A$7:$AE$36,18,FALSE)</f>
        <v>4.0880000000000001</v>
      </c>
      <c r="Q54" s="113">
        <f>VLOOKUP(Q$2,'CC Only'!$A$7:$AE$36,18,FALSE)</f>
        <v>4.5990000000000002</v>
      </c>
      <c r="R54" s="113">
        <f>VLOOKUP(R$2,'CC Only'!$A$7:$AE$36,18,FALSE)</f>
        <v>4.5990000000000002</v>
      </c>
      <c r="S54" s="113">
        <f>VLOOKUP(S$2,'CC Only'!$A$7:$AE$36,18,FALSE)</f>
        <v>5.1100000000000003</v>
      </c>
      <c r="T54" s="113">
        <f>VLOOKUP(T$2,'CC Only'!$A$7:$AE$36,18,FALSE)</f>
        <v>5.1100000000000003</v>
      </c>
      <c r="U54" s="113">
        <f>VLOOKUP(U$2,'CC Only'!$A$7:$AE$36,18,FALSE)</f>
        <v>5.6210000000000004</v>
      </c>
      <c r="V54" s="114">
        <f>VLOOKUP(V$2,'CC Only'!$A$7:$AE$36,18,FALSE)</f>
        <v>5.6210000000000004</v>
      </c>
    </row>
    <row r="55" spans="1:22" ht="16.5" thickBot="1" x14ac:dyDescent="0.3">
      <c r="A55" s="158"/>
      <c r="B55" s="117" t="s">
        <v>58</v>
      </c>
      <c r="C55" s="118">
        <f>VLOOKUP(C$2,'CC Only'!$A$7:$AE$36,22,FALSE)</f>
        <v>0</v>
      </c>
      <c r="D55" s="118">
        <f>VLOOKUP(D$2,'CC Only'!$A$7:$AE$36,22,FALSE)</f>
        <v>0</v>
      </c>
      <c r="E55" s="118">
        <f>VLOOKUP(E$2,'CC Only'!$A$7:$AE$36,22,FALSE)</f>
        <v>150</v>
      </c>
      <c r="F55" s="118">
        <f>VLOOKUP(F$2,'CC Only'!$A$7:$AE$36,22,FALSE)</f>
        <v>150</v>
      </c>
      <c r="G55" s="118">
        <f>VLOOKUP(G$2,'CC Only'!$A$7:$AE$36,22,FALSE)</f>
        <v>0</v>
      </c>
      <c r="H55" s="118">
        <f>VLOOKUP(H$2,'CC Only'!$A$7:$AE$36,22,FALSE)</f>
        <v>0</v>
      </c>
      <c r="I55" s="118">
        <f>VLOOKUP(I$2,'CC Only'!$A$7:$AE$36,22,FALSE)</f>
        <v>0</v>
      </c>
      <c r="J55" s="118">
        <f>VLOOKUP(J$2,'CC Only'!$A$7:$AE$36,22,FALSE)</f>
        <v>0</v>
      </c>
      <c r="K55" s="118">
        <f>VLOOKUP(K$2,'CC Only'!$A$7:$AE$36,22,FALSE)</f>
        <v>0</v>
      </c>
      <c r="L55" s="118">
        <f>VLOOKUP(L$2,'CC Only'!$A$7:$AE$36,22,FALSE)</f>
        <v>0</v>
      </c>
      <c r="M55" s="118">
        <f>VLOOKUP(M$2,'CC Only'!$A$7:$AE$36,22,FALSE)</f>
        <v>0</v>
      </c>
      <c r="N55" s="118">
        <f>VLOOKUP(N$2,'CC Only'!$A$7:$AE$36,22,FALSE)</f>
        <v>0</v>
      </c>
      <c r="O55" s="118">
        <f>VLOOKUP(O$2,'CC Only'!$A$7:$AE$36,22,FALSE)</f>
        <v>0</v>
      </c>
      <c r="P55" s="118">
        <f>VLOOKUP(P$2,'CC Only'!$A$7:$AE$36,22,FALSE)</f>
        <v>0</v>
      </c>
      <c r="Q55" s="118">
        <f>VLOOKUP(Q$2,'CC Only'!$A$7:$AE$36,22,FALSE)</f>
        <v>0</v>
      </c>
      <c r="R55" s="118">
        <f>VLOOKUP(R$2,'CC Only'!$A$7:$AE$36,22,FALSE)</f>
        <v>0</v>
      </c>
      <c r="S55" s="118">
        <f>VLOOKUP(S$2,'CC Only'!$A$7:$AE$36,22,FALSE)</f>
        <v>0</v>
      </c>
      <c r="T55" s="118">
        <f>VLOOKUP(T$2,'CC Only'!$A$7:$AE$36,22,FALSE)</f>
        <v>0</v>
      </c>
      <c r="U55" s="118">
        <f>VLOOKUP(U$2,'CC Only'!$A$7:$AE$36,22,FALSE)</f>
        <v>0</v>
      </c>
      <c r="V55" s="119">
        <f>VLOOKUP(V$2,'CC Only'!$A$7:$AE$36,22,FALSE)</f>
        <v>0</v>
      </c>
    </row>
    <row r="56" spans="1:22" ht="28.5" customHeight="1" x14ac:dyDescent="0.25">
      <c r="A56" s="150" t="s">
        <v>68</v>
      </c>
      <c r="B56" s="151"/>
      <c r="C56" s="134">
        <f>VLOOKUP(C$2,'CC Only'!$A$7:$AC$36,24,FALSE)</f>
        <v>236.46977080800002</v>
      </c>
      <c r="D56" s="134">
        <f>VLOOKUP(D$2,'CC Only'!$A$7:$AC$36,24,FALSE)</f>
        <v>232.36830429599991</v>
      </c>
      <c r="E56" s="134">
        <f>VLOOKUP(E$2,'CC Only'!$A$7:$AC$36,24,FALSE)</f>
        <v>-141.19605854639985</v>
      </c>
      <c r="F56" s="134">
        <f>VLOOKUP(F$2,'CC Only'!$A$7:$AC$36,24,FALSE)</f>
        <v>-141.43342562999987</v>
      </c>
      <c r="G56" s="134">
        <f>VLOOKUP(G$2,'CC Only'!$A$7:$AC$36,24,FALSE)</f>
        <v>-138.49278128138985</v>
      </c>
      <c r="H56" s="134">
        <f>VLOOKUP(H$2,'CC Only'!$A$7:$AC$36,24,FALSE)</f>
        <v>-135.67758543864011</v>
      </c>
      <c r="I56" s="134">
        <f>VLOOKUP(I$2,'CC Only'!$A$7:$AC$36,24,FALSE)</f>
        <v>-133.17688301810995</v>
      </c>
      <c r="J56" s="134">
        <f>VLOOKUP(J$2,'CC Only'!$A$7:$AC$36,24,FALSE)</f>
        <v>-131.74494726266994</v>
      </c>
      <c r="K56" s="134">
        <f>VLOOKUP(K$2,'CC Only'!$A$7:$AC$36,24,FALSE)</f>
        <v>-130.81159234148981</v>
      </c>
      <c r="L56" s="134">
        <f>VLOOKUP(L$2,'CC Only'!$A$7:$AC$36,24,FALSE)</f>
        <v>-130.93588345038006</v>
      </c>
      <c r="M56" s="134">
        <f>VLOOKUP(M$2,'CC Only'!$A$7:$AC$36,24,FALSE)</f>
        <v>-129.96194429721004</v>
      </c>
      <c r="N56" s="134">
        <f>VLOOKUP(N$2,'CC Only'!$A$7:$AC$36,24,FALSE)</f>
        <v>-391.82507209673997</v>
      </c>
      <c r="O56" s="134">
        <f>VLOOKUP(O$2,'CC Only'!$A$7:$AC$36,24,FALSE)</f>
        <v>-391.85999443550998</v>
      </c>
      <c r="P56" s="134">
        <f>VLOOKUP(P$2,'CC Only'!$A$7:$AC$36,24,FALSE)</f>
        <v>-391.72112400056983</v>
      </c>
      <c r="Q56" s="134">
        <f>VLOOKUP(Q$2,'CC Only'!$A$7:$AC$36,24,FALSE)</f>
        <v>-392.4548395390799</v>
      </c>
      <c r="R56" s="134">
        <f>VLOOKUP(R$2,'CC Only'!$A$7:$AC$36,24,FALSE)</f>
        <v>-392.86475490341979</v>
      </c>
      <c r="S56" s="134">
        <f>VLOOKUP(S$2,'CC Only'!$A$7:$AC$36,24,FALSE)</f>
        <v>-393.98748385497004</v>
      </c>
      <c r="T56" s="134">
        <f>VLOOKUP(T$2,'CC Only'!$A$7:$AC$36,24,FALSE)</f>
        <v>-393.69112349333989</v>
      </c>
      <c r="U56" s="134">
        <f>VLOOKUP(U$2,'CC Only'!$A$7:$AC$36,24,FALSE)</f>
        <v>-394.24811896157996</v>
      </c>
      <c r="V56" s="134">
        <f>VLOOKUP(V$2,'CC Only'!$A$7:$AC$36,24,FALSE)</f>
        <v>-394.73299415154008</v>
      </c>
    </row>
    <row r="57" spans="1:22" ht="28.5" customHeight="1" thickBot="1" x14ac:dyDescent="0.3">
      <c r="A57" s="152" t="s">
        <v>69</v>
      </c>
      <c r="B57" s="153"/>
      <c r="C57" s="134">
        <f>VLOOKUP(C$2,'CC Only'!$A$7:$AC$36,26,FALSE)</f>
        <v>236.46977080800002</v>
      </c>
      <c r="D57" s="134">
        <f>VLOOKUP(D$2,'CC Only'!$A$7:$AC$36,26,FALSE)</f>
        <v>232.36830429599991</v>
      </c>
      <c r="E57" s="134">
        <f>VLOOKUP(E$2,'CC Only'!$A$7:$AC$36,26,FALSE)</f>
        <v>8.8039414536001459</v>
      </c>
      <c r="F57" s="134">
        <f>VLOOKUP(F$2,'CC Only'!$A$7:$AC$36,26,FALSE)</f>
        <v>9.5885743700000603</v>
      </c>
      <c r="G57" s="134">
        <f>VLOOKUP(G$2,'CC Only'!$A$7:$AC$36,26,FALSE)</f>
        <v>264.04021871861028</v>
      </c>
      <c r="H57" s="134">
        <f>VLOOKUP(H$2,'CC Only'!$A$7:$AC$36,26,FALSE)</f>
        <v>266.85541456136002</v>
      </c>
      <c r="I57" s="134">
        <f>VLOOKUP(I$2,'CC Only'!$A$7:$AC$36,26,FALSE)</f>
        <v>269.35611698189018</v>
      </c>
      <c r="J57" s="134">
        <f>VLOOKUP(J$2,'CC Only'!$A$7:$AC$36,26,FALSE)</f>
        <v>271.29905273733016</v>
      </c>
      <c r="K57" s="134">
        <f>VLOOKUP(K$2,'CC Only'!$A$7:$AC$36,26,FALSE)</f>
        <v>272.23240765851028</v>
      </c>
      <c r="L57" s="134">
        <f>VLOOKUP(L$2,'CC Only'!$A$7:$AC$36,26,FALSE)</f>
        <v>272.61911654962</v>
      </c>
      <c r="M57" s="134">
        <f>VLOOKUP(M$2,'CC Only'!$A$7:$AC$36,26,FALSE)</f>
        <v>274.10405570278999</v>
      </c>
      <c r="N57" s="134">
        <f>VLOOKUP(N$2,'CC Only'!$A$7:$AC$36,26,FALSE)</f>
        <v>167.88792790325988</v>
      </c>
      <c r="O57" s="134">
        <f>VLOOKUP(O$2,'CC Only'!$A$7:$AC$36,26,FALSE)</f>
        <v>245.42100556449009</v>
      </c>
      <c r="P57" s="134">
        <f>VLOOKUP(P$2,'CC Only'!$A$7:$AC$36,26,FALSE)</f>
        <v>246.0708759994302</v>
      </c>
      <c r="Q57" s="134">
        <f>VLOOKUP(Q$2,'CC Only'!$A$7:$AC$36,26,FALSE)</f>
        <v>245.8481604609201</v>
      </c>
      <c r="R57" s="134">
        <f>VLOOKUP(R$2,'CC Only'!$A$7:$AC$36,26,FALSE)</f>
        <v>245.4382450965802</v>
      </c>
      <c r="S57" s="134">
        <f>VLOOKUP(S$2,'CC Only'!$A$7:$AC$36,26,FALSE)</f>
        <v>244.82651614502993</v>
      </c>
      <c r="T57" s="134">
        <f>VLOOKUP(T$2,'CC Only'!$A$7:$AC$36,26,FALSE)</f>
        <v>245.12287650666008</v>
      </c>
      <c r="U57" s="134">
        <f>VLOOKUP(U$2,'CC Only'!$A$7:$AC$36,26,FALSE)</f>
        <v>245.07688103841997</v>
      </c>
      <c r="V57" s="134">
        <f>VLOOKUP(V$2,'CC Only'!$A$7:$AC$36,26,FALSE)</f>
        <v>244.59200584845985</v>
      </c>
    </row>
    <row r="58" spans="1:22" x14ac:dyDescent="0.25">
      <c r="A58" s="159" t="s">
        <v>67</v>
      </c>
      <c r="B58" s="131" t="s">
        <v>50</v>
      </c>
      <c r="C58" s="132">
        <f>VLOOKUP(C$2,Prfrd112619!$A$7:$AE$36,9,FALSE)</f>
        <v>0</v>
      </c>
      <c r="D58" s="132">
        <f>VLOOKUP(D$2,Prfrd112619!$A$7:$AE$36,9,FALSE)</f>
        <v>0</v>
      </c>
      <c r="E58" s="132">
        <f>VLOOKUP(E$2,Prfrd112619!$A$7:$AE$36,9,FALSE)</f>
        <v>0</v>
      </c>
      <c r="F58" s="132">
        <f>VLOOKUP(F$2,Prfrd112619!$A$7:$AE$36,9,FALSE)</f>
        <v>0</v>
      </c>
      <c r="G58" s="132">
        <f>VLOOKUP(G$2,Prfrd112619!$A$7:$AE$36,9,FALSE)</f>
        <v>0</v>
      </c>
      <c r="H58" s="132">
        <f>VLOOKUP(H$2,Prfrd112619!$A$7:$AE$36,9,FALSE)</f>
        <v>0</v>
      </c>
      <c r="I58" s="132">
        <f>VLOOKUP(I$2,Prfrd112619!$A$7:$AE$36,9,FALSE)</f>
        <v>0</v>
      </c>
      <c r="J58" s="132">
        <f>VLOOKUP(J$2,Prfrd112619!$A$7:$AE$36,9,FALSE)</f>
        <v>0</v>
      </c>
      <c r="K58" s="132">
        <f>VLOOKUP(K$2,Prfrd112619!$A$7:$AE$36,9,FALSE)</f>
        <v>0</v>
      </c>
      <c r="L58" s="132">
        <f>VLOOKUP(L$2,Prfrd112619!$A$7:$AE$36,9,FALSE)</f>
        <v>0</v>
      </c>
      <c r="M58" s="132">
        <f>VLOOKUP(M$2,Prfrd112619!$A$7:$AE$36,9,FALSE)</f>
        <v>0</v>
      </c>
      <c r="N58" s="132">
        <f>VLOOKUP(N$2,Prfrd112619!$A$7:$AE$36,9,FALSE)</f>
        <v>122</v>
      </c>
      <c r="O58" s="132">
        <f>VLOOKUP(O$2,Prfrd112619!$A$7:$AE$36,9,FALSE)</f>
        <v>122</v>
      </c>
      <c r="P58" s="132">
        <f>VLOOKUP(P$2,Prfrd112619!$A$7:$AE$36,9,FALSE)</f>
        <v>122</v>
      </c>
      <c r="Q58" s="132">
        <f>VLOOKUP(Q$2,Prfrd112619!$A$7:$AE$36,9,FALSE)</f>
        <v>122</v>
      </c>
      <c r="R58" s="132">
        <f>VLOOKUP(R$2,Prfrd112619!$A$7:$AE$36,9,FALSE)</f>
        <v>122</v>
      </c>
      <c r="S58" s="132">
        <f>VLOOKUP(S$2,Prfrd112619!$A$7:$AE$36,9,FALSE)</f>
        <v>122</v>
      </c>
      <c r="T58" s="132">
        <f>VLOOKUP(T$2,Prfrd112619!$A$7:$AE$36,9,FALSE)</f>
        <v>122</v>
      </c>
      <c r="U58" s="132">
        <f>VLOOKUP(U$2,Prfrd112619!$A$7:$AE$36,9,FALSE)</f>
        <v>122</v>
      </c>
      <c r="V58" s="138">
        <f>VLOOKUP(V$2,Prfrd112619!$A$7:$AE$36,9,FALSE)</f>
        <v>122</v>
      </c>
    </row>
    <row r="59" spans="1:22" x14ac:dyDescent="0.25">
      <c r="A59" s="160"/>
      <c r="B59" s="133" t="s">
        <v>51</v>
      </c>
      <c r="C59" s="134">
        <f>VLOOKUP(C$2,Prfrd112619!$A$7:$AE$36,28,FALSE)</f>
        <v>0</v>
      </c>
      <c r="D59" s="134">
        <f>VLOOKUP(D$2,Prfrd112619!$A$7:$AE$36,28,FALSE)</f>
        <v>0</v>
      </c>
      <c r="E59" s="134">
        <f>VLOOKUP(E$2,Prfrd112619!$A$7:$AE$36,28,FALSE)</f>
        <v>0</v>
      </c>
      <c r="F59" s="134">
        <f>VLOOKUP(F$2,Prfrd112619!$A$7:$AE$36,28,FALSE)</f>
        <v>101.1976516634051</v>
      </c>
      <c r="G59" s="134">
        <f>VLOOKUP(G$2,Prfrd112619!$A$7:$AE$36,28,FALSE)</f>
        <v>252.99412915851272</v>
      </c>
      <c r="H59" s="134">
        <f>VLOOKUP(H$2,Prfrd112619!$A$7:$AE$36,28,FALSE)</f>
        <v>252.99412915851272</v>
      </c>
      <c r="I59" s="134">
        <f>VLOOKUP(I$2,Prfrd112619!$A$7:$AE$36,28,FALSE)</f>
        <v>252.99412915851272</v>
      </c>
      <c r="J59" s="134">
        <f>VLOOKUP(J$2,Prfrd112619!$A$7:$AE$36,28,FALSE)</f>
        <v>252.99412915851272</v>
      </c>
      <c r="K59" s="134">
        <f>VLOOKUP(K$2,Prfrd112619!$A$7:$AE$36,28,FALSE)</f>
        <v>252.99412915851272</v>
      </c>
      <c r="L59" s="134">
        <f>VLOOKUP(L$2,Prfrd112619!$A$7:$AE$36,28,FALSE)</f>
        <v>252.99412915851272</v>
      </c>
      <c r="M59" s="134">
        <f>VLOOKUP(M$2,Prfrd112619!$A$7:$AE$36,28,FALSE)</f>
        <v>252.99412915851272</v>
      </c>
      <c r="N59" s="134">
        <f>VLOOKUP(N$2,Prfrd112619!$A$7:$AE$36,28,FALSE)</f>
        <v>455.38943248532291</v>
      </c>
      <c r="O59" s="134">
        <f>VLOOKUP(O$2,Prfrd112619!$A$7:$AE$36,28,FALSE)</f>
        <v>455.38943248532291</v>
      </c>
      <c r="P59" s="134">
        <f>VLOOKUP(P$2,Prfrd112619!$A$7:$AE$36,28,FALSE)</f>
        <v>455.38943248532291</v>
      </c>
      <c r="Q59" s="134">
        <f>VLOOKUP(Q$2,Prfrd112619!$A$7:$AE$36,28,FALSE)</f>
        <v>455.38943248532291</v>
      </c>
      <c r="R59" s="134">
        <f>VLOOKUP(R$2,Prfrd112619!$A$7:$AE$36,28,FALSE)</f>
        <v>455.38943248532291</v>
      </c>
      <c r="S59" s="134">
        <f>VLOOKUP(S$2,Prfrd112619!$A$7:$AE$36,28,FALSE)</f>
        <v>455.38943248532291</v>
      </c>
      <c r="T59" s="134">
        <f>VLOOKUP(T$2,Prfrd112619!$A$7:$AE$36,28,FALSE)</f>
        <v>455.38943248532291</v>
      </c>
      <c r="U59" s="134">
        <f>VLOOKUP(U$2,Prfrd112619!$A$7:$AE$36,28,FALSE)</f>
        <v>455.38943248532291</v>
      </c>
      <c r="V59" s="139">
        <f>VLOOKUP(V$2,Prfrd112619!$A$7:$AE$36,28,FALSE)</f>
        <v>455.38943248532291</v>
      </c>
    </row>
    <row r="60" spans="1:22" x14ac:dyDescent="0.25">
      <c r="A60" s="160"/>
      <c r="B60" s="133" t="s">
        <v>52</v>
      </c>
      <c r="C60" s="134">
        <f>VLOOKUP(C$2,Prfrd112619!$A$7:$W$36,19,FALSE)</f>
        <v>0</v>
      </c>
      <c r="D60" s="134">
        <f>VLOOKUP(D$2,Prfrd112619!$A$7:$W$36,19,FALSE)</f>
        <v>0</v>
      </c>
      <c r="E60" s="134">
        <f>VLOOKUP(E$2,Prfrd112619!$A$7:$W$36,19,FALSE)</f>
        <v>0</v>
      </c>
      <c r="F60" s="134">
        <f>VLOOKUP(F$2,Prfrd112619!$A$7:$W$36,19,FALSE)</f>
        <v>51.712000000000003</v>
      </c>
      <c r="G60" s="134">
        <f>VLOOKUP(G$2,Prfrd112619!$A$7:$W$36,19,FALSE)</f>
        <v>129.28</v>
      </c>
      <c r="H60" s="134">
        <f>VLOOKUP(H$2,Prfrd112619!$A$7:$W$36,19,FALSE)</f>
        <v>129.28</v>
      </c>
      <c r="I60" s="134">
        <f>VLOOKUP(I$2,Prfrd112619!$A$7:$W$36,19,FALSE)</f>
        <v>129.28</v>
      </c>
      <c r="J60" s="134">
        <f>VLOOKUP(J$2,Prfrd112619!$A$7:$W$36,19,FALSE)</f>
        <v>129.28</v>
      </c>
      <c r="K60" s="134">
        <f>VLOOKUP(K$2,Prfrd112619!$A$7:$W$36,19,FALSE)</f>
        <v>129.28</v>
      </c>
      <c r="L60" s="134">
        <f>VLOOKUP(L$2,Prfrd112619!$A$7:$W$36,19,FALSE)</f>
        <v>129.28</v>
      </c>
      <c r="M60" s="134">
        <f>VLOOKUP(M$2,Prfrd112619!$A$7:$W$36,19,FALSE)</f>
        <v>129.28</v>
      </c>
      <c r="N60" s="134">
        <f>VLOOKUP(N$2,Prfrd112619!$A$7:$W$36,19,FALSE)</f>
        <v>232.70400000000001</v>
      </c>
      <c r="O60" s="134">
        <f>VLOOKUP(O$2,Prfrd112619!$A$7:$W$36,19,FALSE)</f>
        <v>232.70400000000001</v>
      </c>
      <c r="P60" s="134">
        <f>VLOOKUP(P$2,Prfrd112619!$A$7:$W$36,19,FALSE)</f>
        <v>232.70400000000001</v>
      </c>
      <c r="Q60" s="134">
        <f>VLOOKUP(Q$2,Prfrd112619!$A$7:$W$36,19,FALSE)</f>
        <v>232.70400000000001</v>
      </c>
      <c r="R60" s="134">
        <f>VLOOKUP(R$2,Prfrd112619!$A$7:$W$36,19,FALSE)</f>
        <v>232.70400000000001</v>
      </c>
      <c r="S60" s="134">
        <f>VLOOKUP(S$2,Prfrd112619!$A$7:$W$36,19,FALSE)</f>
        <v>232.70400000000001</v>
      </c>
      <c r="T60" s="134">
        <f>VLOOKUP(T$2,Prfrd112619!$A$7:$W$36,19,FALSE)</f>
        <v>232.70400000000001</v>
      </c>
      <c r="U60" s="134">
        <f>VLOOKUP(U$2,Prfrd112619!$A$7:$W$36,19,FALSE)</f>
        <v>232.70400000000001</v>
      </c>
      <c r="V60" s="139">
        <f>VLOOKUP(V$2,Prfrd112619!$A$7:$W$36,19,FALSE)</f>
        <v>232.70400000000001</v>
      </c>
    </row>
    <row r="61" spans="1:22" x14ac:dyDescent="0.25">
      <c r="A61" s="160"/>
      <c r="B61" s="133" t="s">
        <v>53</v>
      </c>
      <c r="C61" s="134">
        <f>VLOOKUP(C$2,Prfrd112619!$A$7:$AE$36,29,FALSE)</f>
        <v>0</v>
      </c>
      <c r="D61" s="134">
        <f>VLOOKUP(D$2,Prfrd112619!$A$7:$AE$36,29,FALSE)</f>
        <v>0</v>
      </c>
      <c r="E61" s="134">
        <f>VLOOKUP(E$2,Prfrd112619!$A$7:$AE$36,29,FALSE)</f>
        <v>0</v>
      </c>
      <c r="F61" s="134">
        <f>VLOOKUP(F$2,Prfrd112619!$A$7:$AE$36,29,FALSE)</f>
        <v>0</v>
      </c>
      <c r="G61" s="134">
        <f>VLOOKUP(G$2,Prfrd112619!$A$7:$AE$36,29,FALSE)</f>
        <v>0</v>
      </c>
      <c r="H61" s="134">
        <f>VLOOKUP(H$2,Prfrd112619!$A$7:$AE$36,29,FALSE)</f>
        <v>0</v>
      </c>
      <c r="I61" s="134">
        <f>VLOOKUP(I$2,Prfrd112619!$A$7:$AE$36,29,FALSE)</f>
        <v>0</v>
      </c>
      <c r="J61" s="134">
        <f>VLOOKUP(J$2,Prfrd112619!$A$7:$AE$36,29,FALSE)</f>
        <v>0</v>
      </c>
      <c r="K61" s="134">
        <f>VLOOKUP(K$2,Prfrd112619!$A$7:$AE$36,29,FALSE)</f>
        <v>100.00000000000001</v>
      </c>
      <c r="L61" s="134">
        <f>VLOOKUP(L$2,Prfrd112619!$A$7:$AE$36,29,FALSE)</f>
        <v>100.00000000000001</v>
      </c>
      <c r="M61" s="134">
        <f>VLOOKUP(M$2,Prfrd112619!$A$7:$AE$36,29,FALSE)</f>
        <v>200.00000000000003</v>
      </c>
      <c r="N61" s="134">
        <f>VLOOKUP(N$2,Prfrd112619!$A$7:$AE$36,29,FALSE)</f>
        <v>200.00000000000003</v>
      </c>
      <c r="O61" s="134">
        <f>VLOOKUP(O$2,Prfrd112619!$A$7:$AE$36,29,FALSE)</f>
        <v>200.00000000000003</v>
      </c>
      <c r="P61" s="134">
        <f>VLOOKUP(P$2,Prfrd112619!$A$7:$AE$36,29,FALSE)</f>
        <v>200.00000000000003</v>
      </c>
      <c r="Q61" s="134">
        <f>VLOOKUP(Q$2,Prfrd112619!$A$7:$AE$36,29,FALSE)</f>
        <v>200.00000000000003</v>
      </c>
      <c r="R61" s="134">
        <f>VLOOKUP(R$2,Prfrd112619!$A$7:$AE$36,29,FALSE)</f>
        <v>200.00000000000003</v>
      </c>
      <c r="S61" s="134">
        <f>VLOOKUP(S$2,Prfrd112619!$A$7:$AE$36,29,FALSE)</f>
        <v>200.00000000000003</v>
      </c>
      <c r="T61" s="134">
        <f>VLOOKUP(T$2,Prfrd112619!$A$7:$AE$36,29,FALSE)</f>
        <v>200.00000000000003</v>
      </c>
      <c r="U61" s="134">
        <f>VLOOKUP(U$2,Prfrd112619!$A$7:$AE$36,29,FALSE)</f>
        <v>300</v>
      </c>
      <c r="V61" s="139">
        <f>VLOOKUP(V$2,Prfrd112619!$A$7:$AE$36,29,FALSE)</f>
        <v>300</v>
      </c>
    </row>
    <row r="62" spans="1:22" x14ac:dyDescent="0.25">
      <c r="A62" s="160"/>
      <c r="B62" s="133" t="s">
        <v>54</v>
      </c>
      <c r="C62" s="134">
        <f>VLOOKUP(C$2,Prfrd112619!$A$7:$AE$36,21,FALSE)</f>
        <v>0</v>
      </c>
      <c r="D62" s="134">
        <f>VLOOKUP(D$2,Prfrd112619!$A$7:$AE$36,21,FALSE)</f>
        <v>0</v>
      </c>
      <c r="E62" s="134">
        <f>VLOOKUP(E$2,Prfrd112619!$A$7:$AE$36,21,FALSE)</f>
        <v>0</v>
      </c>
      <c r="F62" s="134">
        <f>VLOOKUP(F$2,Prfrd112619!$A$7:$AE$36,21,FALSE)</f>
        <v>0</v>
      </c>
      <c r="G62" s="134">
        <f>VLOOKUP(G$2,Prfrd112619!$A$7:$AE$36,21,FALSE)</f>
        <v>0</v>
      </c>
      <c r="H62" s="134">
        <f>VLOOKUP(H$2,Prfrd112619!$A$7:$AE$36,21,FALSE)</f>
        <v>0</v>
      </c>
      <c r="I62" s="134">
        <f>VLOOKUP(I$2,Prfrd112619!$A$7:$AE$36,21,FALSE)</f>
        <v>0</v>
      </c>
      <c r="J62" s="134">
        <f>VLOOKUP(J$2,Prfrd112619!$A$7:$AE$36,21,FALSE)</f>
        <v>0</v>
      </c>
      <c r="K62" s="134">
        <f>VLOOKUP(K$2,Prfrd112619!$A$7:$AE$36,21,FALSE)</f>
        <v>12.3</v>
      </c>
      <c r="L62" s="134">
        <f>VLOOKUP(L$2,Prfrd112619!$A$7:$AE$36,21,FALSE)</f>
        <v>12.3</v>
      </c>
      <c r="M62" s="134">
        <f>VLOOKUP(M$2,Prfrd112619!$A$7:$AE$36,21,FALSE)</f>
        <v>24.6</v>
      </c>
      <c r="N62" s="134">
        <f>VLOOKUP(N$2,Prfrd112619!$A$7:$AE$36,21,FALSE)</f>
        <v>24.6</v>
      </c>
      <c r="O62" s="134">
        <f>VLOOKUP(O$2,Prfrd112619!$A$7:$AE$36,21,FALSE)</f>
        <v>24.6</v>
      </c>
      <c r="P62" s="134">
        <f>VLOOKUP(P$2,Prfrd112619!$A$7:$AE$36,21,FALSE)</f>
        <v>24.6</v>
      </c>
      <c r="Q62" s="134">
        <f>VLOOKUP(Q$2,Prfrd112619!$A$7:$AE$36,21,FALSE)</f>
        <v>24.6</v>
      </c>
      <c r="R62" s="134">
        <f>VLOOKUP(R$2,Prfrd112619!$A$7:$AE$36,21,FALSE)</f>
        <v>24.6</v>
      </c>
      <c r="S62" s="134">
        <f>VLOOKUP(S$2,Prfrd112619!$A$7:$AE$36,21,FALSE)</f>
        <v>24.6</v>
      </c>
      <c r="T62" s="134">
        <f>VLOOKUP(T$2,Prfrd112619!$A$7:$AE$36,21,FALSE)</f>
        <v>24.6</v>
      </c>
      <c r="U62" s="134">
        <f>VLOOKUP(U$2,Prfrd112619!$A$7:$AE$36,21,FALSE)</f>
        <v>36.9</v>
      </c>
      <c r="V62" s="139">
        <f>VLOOKUP(V$2,Prfrd112619!$A$7:$AE$36,21,FALSE)</f>
        <v>36.9</v>
      </c>
    </row>
    <row r="63" spans="1:22" x14ac:dyDescent="0.25">
      <c r="A63" s="160"/>
      <c r="B63" s="133" t="s">
        <v>55</v>
      </c>
      <c r="C63" s="135">
        <f>VLOOKUP(C$2,Prfrd112619!$A$7:$AE$36,16,FALSE)+VLOOKUP(C$2,Prfrd112619!$A$7:$AE$36,17,FALSE)</f>
        <v>0</v>
      </c>
      <c r="D63" s="135">
        <f>VLOOKUP(D$2,Prfrd112619!$A$7:$AE$36,16,FALSE)+VLOOKUP(D$2,Prfrd112619!$A$7:$AE$36,17,FALSE)</f>
        <v>0</v>
      </c>
      <c r="E63" s="135">
        <f>VLOOKUP(E$2,Prfrd112619!$A$7:$AE$36,16,FALSE)+VLOOKUP(E$2,Prfrd112619!$A$7:$AE$36,17,FALSE)</f>
        <v>2.2439366100000004</v>
      </c>
      <c r="F63" s="135">
        <f>VLOOKUP(F$2,Prfrd112619!$A$7:$AE$36,16,FALSE)+VLOOKUP(F$2,Prfrd112619!$A$7:$AE$36,17,FALSE)</f>
        <v>4.1465125399999998</v>
      </c>
      <c r="G63" s="135">
        <f>VLOOKUP(G$2,Prfrd112619!$A$7:$AE$36,16,FALSE)+VLOOKUP(G$2,Prfrd112619!$A$7:$AE$36,17,FALSE)</f>
        <v>5.7666461999999994</v>
      </c>
      <c r="H63" s="135">
        <f>VLOOKUP(H$2,Prfrd112619!$A$7:$AE$36,16,FALSE)+VLOOKUP(H$2,Prfrd112619!$A$7:$AE$36,17,FALSE)</f>
        <v>5.3229115699999996</v>
      </c>
      <c r="I63" s="135">
        <f>VLOOKUP(I$2,Prfrd112619!$A$7:$AE$36,16,FALSE)+VLOOKUP(I$2,Prfrd112619!$A$7:$AE$36,17,FALSE)</f>
        <v>4.8196818799999992</v>
      </c>
      <c r="J63" s="135">
        <f>VLOOKUP(J$2,Prfrd112619!$A$7:$AE$36,16,FALSE)+VLOOKUP(J$2,Prfrd112619!$A$7:$AE$36,17,FALSE)</f>
        <v>4.3036119299999998</v>
      </c>
      <c r="K63" s="135">
        <f>VLOOKUP(K$2,Prfrd112619!$A$7:$AE$36,16,FALSE)+VLOOKUP(K$2,Prfrd112619!$A$7:$AE$36,17,FALSE)</f>
        <v>3.7311688300000005</v>
      </c>
      <c r="L63" s="135">
        <f>VLOOKUP(L$2,Prfrd112619!$A$7:$AE$36,16,FALSE)+VLOOKUP(L$2,Prfrd112619!$A$7:$AE$36,17,FALSE)</f>
        <v>3.0433396000000004</v>
      </c>
      <c r="M63" s="135">
        <f>VLOOKUP(M$2,Prfrd112619!$A$7:$AE$36,16,FALSE)+VLOOKUP(M$2,Prfrd112619!$A$7:$AE$36,17,FALSE)</f>
        <v>3.1768784099999996</v>
      </c>
      <c r="N63" s="135">
        <f>VLOOKUP(N$2,Prfrd112619!$A$7:$AE$36,16,FALSE)+VLOOKUP(N$2,Prfrd112619!$A$7:$AE$36,17,FALSE)</f>
        <v>2.9678235900000001</v>
      </c>
      <c r="O63" s="135">
        <f>VLOOKUP(O$2,Prfrd112619!$A$7:$AE$36,16,FALSE)+VLOOKUP(O$2,Prfrd112619!$A$7:$AE$36,17,FALSE)</f>
        <v>2.7281158000000003</v>
      </c>
      <c r="P63" s="135">
        <f>VLOOKUP(P$2,Prfrd112619!$A$7:$AE$36,16,FALSE)+VLOOKUP(P$2,Prfrd112619!$A$7:$AE$36,17,FALSE)</f>
        <v>2.1085409799999999</v>
      </c>
      <c r="Q63" s="135">
        <f>VLOOKUP(Q$2,Prfrd112619!$A$7:$AE$36,16,FALSE)+VLOOKUP(Q$2,Prfrd112619!$A$7:$AE$36,17,FALSE)</f>
        <v>1.7993302199999999</v>
      </c>
      <c r="R63" s="135">
        <f>VLOOKUP(R$2,Prfrd112619!$A$7:$AE$36,16,FALSE)+VLOOKUP(R$2,Prfrd112619!$A$7:$AE$36,17,FALSE)</f>
        <v>1.7973062200000001</v>
      </c>
      <c r="S63" s="135">
        <f>VLOOKUP(S$2,Prfrd112619!$A$7:$AE$36,16,FALSE)+VLOOKUP(S$2,Prfrd112619!$A$7:$AE$36,17,FALSE)</f>
        <v>2.05496751</v>
      </c>
      <c r="T63" s="135">
        <f>VLOOKUP(T$2,Prfrd112619!$A$7:$AE$36,16,FALSE)+VLOOKUP(T$2,Prfrd112619!$A$7:$AE$36,17,FALSE)</f>
        <v>1.7434615199999999</v>
      </c>
      <c r="U63" s="135">
        <f>VLOOKUP(U$2,Prfrd112619!$A$7:$AE$36,16,FALSE)+VLOOKUP(U$2,Prfrd112619!$A$7:$AE$36,17,FALSE)</f>
        <v>1.28448688</v>
      </c>
      <c r="V63" s="140">
        <f>VLOOKUP(V$2,Prfrd112619!$A$7:$AE$36,16,FALSE)+VLOOKUP(V$2,Prfrd112619!$A$7:$AE$36,17,FALSE)</f>
        <v>0.88132491999999996</v>
      </c>
    </row>
    <row r="64" spans="1:22" x14ac:dyDescent="0.25">
      <c r="A64" s="160"/>
      <c r="B64" s="133" t="s">
        <v>56</v>
      </c>
      <c r="C64" s="134">
        <f>VLOOKUP(C$2,Prfrd112619!$A$7:$AE$36,20,FALSE)</f>
        <v>0</v>
      </c>
      <c r="D64" s="134">
        <f>VLOOKUP(D$2,Prfrd112619!$A$7:$AE$36,20,FALSE)</f>
        <v>0</v>
      </c>
      <c r="E64" s="134">
        <f>VLOOKUP(E$2,Prfrd112619!$A$7:$AE$36,20,FALSE)</f>
        <v>0</v>
      </c>
      <c r="F64" s="134">
        <f>VLOOKUP(F$2,Prfrd112619!$A$7:$AE$36,20,FALSE)</f>
        <v>0</v>
      </c>
      <c r="G64" s="134">
        <f>VLOOKUP(G$2,Prfrd112619!$A$7:$AE$36,20,FALSE)</f>
        <v>4.2698</v>
      </c>
      <c r="H64" s="134">
        <f>VLOOKUP(H$2,Prfrd112619!$A$7:$AE$36,20,FALSE)</f>
        <v>4.2698</v>
      </c>
      <c r="I64" s="134">
        <f>VLOOKUP(I$2,Prfrd112619!$A$7:$AE$36,20,FALSE)</f>
        <v>4.2698</v>
      </c>
      <c r="J64" s="134">
        <f>VLOOKUP(J$2,Prfrd112619!$A$7:$AE$36,20,FALSE)</f>
        <v>4.2698</v>
      </c>
      <c r="K64" s="134">
        <f>VLOOKUP(K$2,Prfrd112619!$A$7:$AE$36,20,FALSE)</f>
        <v>4.2698</v>
      </c>
      <c r="L64" s="134">
        <f>VLOOKUP(L$2,Prfrd112619!$A$7:$AE$36,20,FALSE)</f>
        <v>4.2698</v>
      </c>
      <c r="M64" s="134">
        <f>VLOOKUP(M$2,Prfrd112619!$A$7:$AE$36,20,FALSE)</f>
        <v>4.2698</v>
      </c>
      <c r="N64" s="134">
        <f>VLOOKUP(N$2,Prfrd112619!$A$7:$AE$36,20,FALSE)</f>
        <v>7.5539000000000005</v>
      </c>
      <c r="O64" s="134">
        <f>VLOOKUP(O$2,Prfrd112619!$A$7:$AE$36,20,FALSE)</f>
        <v>7.5539000000000005</v>
      </c>
      <c r="P64" s="134">
        <f>VLOOKUP(P$2,Prfrd112619!$A$7:$AE$36,20,FALSE)</f>
        <v>7.5539000000000005</v>
      </c>
      <c r="Q64" s="134">
        <f>VLOOKUP(Q$2,Prfrd112619!$A$7:$AE$36,20,FALSE)</f>
        <v>7.5539000000000005</v>
      </c>
      <c r="R64" s="134">
        <f>VLOOKUP(R$2,Prfrd112619!$A$7:$AE$36,20,FALSE)</f>
        <v>7.5539000000000005</v>
      </c>
      <c r="S64" s="134">
        <f>VLOOKUP(S$2,Prfrd112619!$A$7:$AE$36,20,FALSE)</f>
        <v>7.5539000000000005</v>
      </c>
      <c r="T64" s="134">
        <f>VLOOKUP(T$2,Prfrd112619!$A$7:$AE$36,20,FALSE)</f>
        <v>7.5539000000000005</v>
      </c>
      <c r="U64" s="134">
        <f>VLOOKUP(U$2,Prfrd112619!$A$7:$AE$36,20,FALSE)</f>
        <v>7.5539000000000005</v>
      </c>
      <c r="V64" s="139">
        <f>VLOOKUP(V$2,Prfrd112619!$A$7:$AE$36,20,FALSE)</f>
        <v>3.2841</v>
      </c>
    </row>
    <row r="65" spans="1:22" x14ac:dyDescent="0.25">
      <c r="A65" s="160"/>
      <c r="B65" s="133" t="s">
        <v>57</v>
      </c>
      <c r="C65" s="134">
        <f>VLOOKUP(C$2,Prfrd112619!$A$7:$AE$36,18,FALSE)</f>
        <v>0</v>
      </c>
      <c r="D65" s="134">
        <f>VLOOKUP(D$2,Prfrd112619!$A$7:$AE$36,18,FALSE)</f>
        <v>0</v>
      </c>
      <c r="E65" s="134">
        <f>VLOOKUP(E$2,Prfrd112619!$A$7:$AE$36,18,FALSE)</f>
        <v>0</v>
      </c>
      <c r="F65" s="134">
        <f>VLOOKUP(F$2,Prfrd112619!$A$7:$AE$36,18,FALSE)</f>
        <v>1.022</v>
      </c>
      <c r="G65" s="134">
        <f>VLOOKUP(G$2,Prfrd112619!$A$7:$AE$36,18,FALSE)</f>
        <v>1.5329999999999999</v>
      </c>
      <c r="H65" s="134">
        <f>VLOOKUP(H$2,Prfrd112619!$A$7:$AE$36,18,FALSE)</f>
        <v>1.5329999999999999</v>
      </c>
      <c r="I65" s="134">
        <f>VLOOKUP(I$2,Prfrd112619!$A$7:$AE$36,18,FALSE)</f>
        <v>1.5329999999999999</v>
      </c>
      <c r="J65" s="134">
        <f>VLOOKUP(J$2,Prfrd112619!$A$7:$AE$36,18,FALSE)</f>
        <v>2.044</v>
      </c>
      <c r="K65" s="134">
        <f>VLOOKUP(K$2,Prfrd112619!$A$7:$AE$36,18,FALSE)</f>
        <v>2.044</v>
      </c>
      <c r="L65" s="134">
        <f>VLOOKUP(L$2,Prfrd112619!$A$7:$AE$36,18,FALSE)</f>
        <v>2.5550000000000002</v>
      </c>
      <c r="M65" s="134">
        <f>VLOOKUP(M$2,Prfrd112619!$A$7:$AE$36,18,FALSE)</f>
        <v>3.0659999999999998</v>
      </c>
      <c r="N65" s="134">
        <f>VLOOKUP(N$2,Prfrd112619!$A$7:$AE$36,18,FALSE)</f>
        <v>3.577</v>
      </c>
      <c r="O65" s="134">
        <f>VLOOKUP(O$2,Prfrd112619!$A$7:$AE$36,18,FALSE)</f>
        <v>3.577</v>
      </c>
      <c r="P65" s="134">
        <f>VLOOKUP(P$2,Prfrd112619!$A$7:$AE$36,18,FALSE)</f>
        <v>4.0880000000000001</v>
      </c>
      <c r="Q65" s="134">
        <f>VLOOKUP(Q$2,Prfrd112619!$A$7:$AE$36,18,FALSE)</f>
        <v>4.5990000000000002</v>
      </c>
      <c r="R65" s="134">
        <f>VLOOKUP(R$2,Prfrd112619!$A$7:$AE$36,18,FALSE)</f>
        <v>4.5990000000000002</v>
      </c>
      <c r="S65" s="134">
        <f>VLOOKUP(S$2,Prfrd112619!$A$7:$AE$36,18,FALSE)</f>
        <v>5.1100000000000003</v>
      </c>
      <c r="T65" s="134">
        <f>VLOOKUP(T$2,Prfrd112619!$A$7:$AE$36,18,FALSE)</f>
        <v>5.1100000000000003</v>
      </c>
      <c r="U65" s="134">
        <f>VLOOKUP(U$2,Prfrd112619!$A$7:$AE$36,18,FALSE)</f>
        <v>5.6210000000000004</v>
      </c>
      <c r="V65" s="139">
        <f>VLOOKUP(V$2,Prfrd112619!$A$7:$AE$36,18,FALSE)</f>
        <v>5.6210000000000004</v>
      </c>
    </row>
    <row r="66" spans="1:22" ht="16.5" thickBot="1" x14ac:dyDescent="0.3">
      <c r="A66" s="161"/>
      <c r="B66" s="141" t="s">
        <v>58</v>
      </c>
      <c r="C66" s="136">
        <f>VLOOKUP(C$2,Prfrd112619!$A$7:$AE$36,22,FALSE)</f>
        <v>0</v>
      </c>
      <c r="D66" s="136">
        <f>VLOOKUP(D$2,Prfrd112619!$A$7:$AE$36,22,FALSE)</f>
        <v>0</v>
      </c>
      <c r="E66" s="136">
        <f>VLOOKUP(E$2,Prfrd112619!$A$7:$AE$36,22,FALSE)</f>
        <v>150</v>
      </c>
      <c r="F66" s="136">
        <f>VLOOKUP(F$2,Prfrd112619!$A$7:$AE$36,22,FALSE)</f>
        <v>100</v>
      </c>
      <c r="G66" s="136">
        <f>VLOOKUP(G$2,Prfrd112619!$A$7:$AE$36,22,FALSE)</f>
        <v>0</v>
      </c>
      <c r="H66" s="136">
        <f>VLOOKUP(H$2,Prfrd112619!$A$7:$AE$36,22,FALSE)</f>
        <v>0</v>
      </c>
      <c r="I66" s="136">
        <f>VLOOKUP(I$2,Prfrd112619!$A$7:$AE$36,22,FALSE)</f>
        <v>0</v>
      </c>
      <c r="J66" s="136">
        <f>VLOOKUP(J$2,Prfrd112619!$A$7:$AE$36,22,FALSE)</f>
        <v>0</v>
      </c>
      <c r="K66" s="136">
        <f>VLOOKUP(K$2,Prfrd112619!$A$7:$AE$36,22,FALSE)</f>
        <v>0</v>
      </c>
      <c r="L66" s="136">
        <f>VLOOKUP(L$2,Prfrd112619!$A$7:$AE$36,22,FALSE)</f>
        <v>0</v>
      </c>
      <c r="M66" s="136">
        <f>VLOOKUP(M$2,Prfrd112619!$A$7:$AE$36,22,FALSE)</f>
        <v>0</v>
      </c>
      <c r="N66" s="136">
        <f>VLOOKUP(N$2,Prfrd112619!$A$7:$AE$36,22,FALSE)</f>
        <v>0</v>
      </c>
      <c r="O66" s="136">
        <f>VLOOKUP(O$2,Prfrd112619!$A$7:$AE$36,22,FALSE)</f>
        <v>0</v>
      </c>
      <c r="P66" s="136">
        <f>VLOOKUP(P$2,Prfrd112619!$A$7:$AE$36,22,FALSE)</f>
        <v>0</v>
      </c>
      <c r="Q66" s="136">
        <f>VLOOKUP(Q$2,Prfrd112619!$A$7:$AE$36,22,FALSE)</f>
        <v>0</v>
      </c>
      <c r="R66" s="136">
        <f>VLOOKUP(R$2,Prfrd112619!$A$7:$AE$36,22,FALSE)</f>
        <v>0</v>
      </c>
      <c r="S66" s="136">
        <f>VLOOKUP(S$2,Prfrd112619!$A$7:$AE$36,22,FALSE)</f>
        <v>0</v>
      </c>
      <c r="T66" s="136">
        <f>VLOOKUP(T$2,Prfrd112619!$A$7:$AE$36,22,FALSE)</f>
        <v>0</v>
      </c>
      <c r="U66" s="136">
        <f>VLOOKUP(U$2,Prfrd112619!$A$7:$AE$36,22,FALSE)</f>
        <v>0</v>
      </c>
      <c r="V66" s="142">
        <f>VLOOKUP(V$2,Prfrd112619!$A$7:$AE$36,22,FALSE)</f>
        <v>0</v>
      </c>
    </row>
    <row r="67" spans="1:22" ht="28.5" customHeight="1" x14ac:dyDescent="0.25">
      <c r="A67" s="150" t="s">
        <v>68</v>
      </c>
      <c r="B67" s="151"/>
      <c r="C67" s="134">
        <f>VLOOKUP(C$2,Prfrd112619!$A$7:$AC$36,24,FALSE)</f>
        <v>236.46977080800002</v>
      </c>
      <c r="D67" s="134">
        <f>VLOOKUP(D$2,Prfrd112619!$A$7:$AC$36,24,FALSE)</f>
        <v>232.36830429599991</v>
      </c>
      <c r="E67" s="134">
        <f>VLOOKUP(E$2,Prfrd112619!$A$7:$AC$36,24,FALSE)</f>
        <v>-141.19605854639985</v>
      </c>
      <c r="F67" s="134">
        <f>VLOOKUP(F$2,Prfrd112619!$A$7:$AC$36,24,FALSE)</f>
        <v>-141.43342562999987</v>
      </c>
      <c r="G67" s="134">
        <f>VLOOKUP(G$2,Prfrd112619!$A$7:$AC$36,24,FALSE)</f>
        <v>-138.49278128138985</v>
      </c>
      <c r="H67" s="134">
        <f>VLOOKUP(H$2,Prfrd112619!$A$7:$AC$36,24,FALSE)</f>
        <v>-135.67758543864011</v>
      </c>
      <c r="I67" s="134">
        <f>VLOOKUP(I$2,Prfrd112619!$A$7:$AC$36,24,FALSE)</f>
        <v>-133.17688301810995</v>
      </c>
      <c r="J67" s="134">
        <f>VLOOKUP(J$2,Prfrd112619!$A$7:$AC$36,24,FALSE)</f>
        <v>-131.74494726266994</v>
      </c>
      <c r="K67" s="134">
        <f>VLOOKUP(K$2,Prfrd112619!$A$7:$AC$36,24,FALSE)</f>
        <v>-130.81159234148981</v>
      </c>
      <c r="L67" s="134">
        <f>VLOOKUP(L$2,Prfrd112619!$A$7:$AC$36,24,FALSE)</f>
        <v>-130.93588345038006</v>
      </c>
      <c r="M67" s="134">
        <f>VLOOKUP(M$2,Prfrd112619!$A$7:$AC$36,24,FALSE)</f>
        <v>-129.96194429721004</v>
      </c>
      <c r="N67" s="134">
        <f>VLOOKUP(N$2,Prfrd112619!$A$7:$AC$36,24,FALSE)</f>
        <v>-391.82507209673997</v>
      </c>
      <c r="O67" s="134">
        <f>VLOOKUP(O$2,Prfrd112619!$A$7:$AC$36,24,FALSE)</f>
        <v>-391.85999443550998</v>
      </c>
      <c r="P67" s="134">
        <f>VLOOKUP(P$2,Prfrd112619!$A$7:$AC$36,24,FALSE)</f>
        <v>-391.72112400056983</v>
      </c>
      <c r="Q67" s="134">
        <f>VLOOKUP(Q$2,Prfrd112619!$A$7:$AC$36,24,FALSE)</f>
        <v>-392.4548395390799</v>
      </c>
      <c r="R67" s="134">
        <f>VLOOKUP(R$2,Prfrd112619!$A$7:$AC$36,24,FALSE)</f>
        <v>-392.86475490341979</v>
      </c>
      <c r="S67" s="134">
        <f>VLOOKUP(S$2,Prfrd112619!$A$7:$AC$36,24,FALSE)</f>
        <v>-393.98748385497004</v>
      </c>
      <c r="T67" s="134">
        <f>VLOOKUP(T$2,Prfrd112619!$A$7:$AC$36,24,FALSE)</f>
        <v>-393.69112349333989</v>
      </c>
      <c r="U67" s="134">
        <f>VLOOKUP(U$2,Prfrd112619!$A$7:$AC$36,24,FALSE)</f>
        <v>-394.24811896157996</v>
      </c>
      <c r="V67" s="134">
        <f>VLOOKUP(V$2,Prfrd112619!$A$7:$AC$36,24,FALSE)</f>
        <v>-394.73299415154008</v>
      </c>
    </row>
    <row r="68" spans="1:22" ht="28.5" customHeight="1" thickBot="1" x14ac:dyDescent="0.3">
      <c r="A68" s="152" t="s">
        <v>69</v>
      </c>
      <c r="B68" s="153"/>
      <c r="C68" s="134">
        <f>VLOOKUP(C$2,Prfrd112619!$A$7:$AC$36,26,FALSE)</f>
        <v>236.46977080800002</v>
      </c>
      <c r="D68" s="134">
        <f>VLOOKUP(D$2,Prfrd112619!$A$7:$AC$36,26,FALSE)</f>
        <v>232.36830429599991</v>
      </c>
      <c r="E68" s="134">
        <f>VLOOKUP(E$2,Prfrd112619!$A$7:$AC$36,26,FALSE)</f>
        <v>11.047878063600137</v>
      </c>
      <c r="F68" s="134">
        <f>VLOOKUP(F$2,Prfrd112619!$A$7:$AC$36,26,FALSE)</f>
        <v>15.447086910000053</v>
      </c>
      <c r="G68" s="134">
        <f>VLOOKUP(G$2,Prfrd112619!$A$7:$AC$36,26,FALSE)</f>
        <v>2.3566649186102495</v>
      </c>
      <c r="H68" s="134">
        <f>VLOOKUP(H$2,Prfrd112619!$A$7:$AC$36,26,FALSE)</f>
        <v>4.7281261313598861</v>
      </c>
      <c r="I68" s="134">
        <f>VLOOKUP(I$2,Prfrd112619!$A$7:$AC$36,26,FALSE)</f>
        <v>6.7255988618901483</v>
      </c>
      <c r="J68" s="134">
        <f>VLOOKUP(J$2,Prfrd112619!$A$7:$AC$36,26,FALSE)</f>
        <v>8.1524646673301504</v>
      </c>
      <c r="K68" s="134">
        <f>VLOOKUP(K$2,Prfrd112619!$A$7:$AC$36,26,FALSE)</f>
        <v>20.81337648851013</v>
      </c>
      <c r="L68" s="134">
        <f>VLOOKUP(L$2,Prfrd112619!$A$7:$AC$36,26,FALSE)</f>
        <v>20.512256149620043</v>
      </c>
      <c r="M68" s="134">
        <f>VLOOKUP(M$2,Prfrd112619!$A$7:$AC$36,26,FALSE)</f>
        <v>34.430734112789878</v>
      </c>
      <c r="N68" s="134">
        <f>VLOOKUP(N$2,Prfrd112619!$A$7:$AC$36,26,FALSE)</f>
        <v>1.5776514932599639</v>
      </c>
      <c r="O68" s="134">
        <f>VLOOKUP(O$2,Prfrd112619!$A$7:$AC$36,26,FALSE)</f>
        <v>1.3030213644899504</v>
      </c>
      <c r="P68" s="134">
        <f>VLOOKUP(P$2,Prfrd112619!$A$7:$AC$36,26,FALSE)</f>
        <v>1.3333169794302648</v>
      </c>
      <c r="Q68" s="134">
        <f>VLOOKUP(Q$2,Prfrd112619!$A$7:$AC$36,26,FALSE)</f>
        <v>0.80139068092012167</v>
      </c>
      <c r="R68" s="134">
        <f>VLOOKUP(R$2,Prfrd112619!$A$7:$AC$36,26,FALSE)</f>
        <v>0.38945131658033461</v>
      </c>
      <c r="S68" s="134">
        <f>VLOOKUP(S$2,Prfrd112619!$A$7:$AC$36,26,FALSE)</f>
        <v>3.5383655030045702E-2</v>
      </c>
      <c r="T68" s="134">
        <f>VLOOKUP(T$2,Prfrd112619!$A$7:$AC$36,26,FALSE)</f>
        <v>2.0238026660081232E-2</v>
      </c>
      <c r="U68" s="134">
        <f>VLOOKUP(U$2,Prfrd112619!$A$7:$AC$36,26,FALSE)</f>
        <v>11.815267918419977</v>
      </c>
      <c r="V68" s="134">
        <f>VLOOKUP(V$2,Prfrd112619!$A$7:$AC$36,26,FALSE)</f>
        <v>6.6574307684600171</v>
      </c>
    </row>
  </sheetData>
  <mergeCells count="19">
    <mergeCell ref="A57:B57"/>
    <mergeCell ref="A67:B67"/>
    <mergeCell ref="A68:B68"/>
    <mergeCell ref="A47:A55"/>
    <mergeCell ref="A58:A66"/>
    <mergeCell ref="A45:B45"/>
    <mergeCell ref="A46:B46"/>
    <mergeCell ref="A56:B56"/>
    <mergeCell ref="A2:B2"/>
    <mergeCell ref="A3:A11"/>
    <mergeCell ref="A14:A22"/>
    <mergeCell ref="A25:A33"/>
    <mergeCell ref="A36:A44"/>
    <mergeCell ref="A12:B12"/>
    <mergeCell ref="A13:B13"/>
    <mergeCell ref="A23:B23"/>
    <mergeCell ref="A24:B24"/>
    <mergeCell ref="A34:B34"/>
    <mergeCell ref="A35:B35"/>
  </mergeCells>
  <pageMargins left="0.5" right="0.25" top="0.7" bottom="0.5" header="0.3" footer="0.3"/>
  <pageSetup scale="6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" sqref="A2:B28"/>
    </sheetView>
  </sheetViews>
  <sheetFormatPr defaultRowHeight="15.75" x14ac:dyDescent="0.25"/>
  <sheetData>
    <row r="1" spans="1:5" x14ac:dyDescent="0.25">
      <c r="A1">
        <v>27</v>
      </c>
      <c r="E1" s="26" t="str">
        <f ca="1">OFFSET(source!A1,source!A1,0)</f>
        <v>Nameplate Solar</v>
      </c>
    </row>
    <row r="2" spans="1:5" ht="21" x14ac:dyDescent="0.35">
      <c r="A2" s="27" t="s">
        <v>1</v>
      </c>
    </row>
    <row r="3" spans="1:5" ht="21" x14ac:dyDescent="0.35">
      <c r="A3" s="27" t="s">
        <v>2</v>
      </c>
    </row>
    <row r="4" spans="1:5" ht="21" x14ac:dyDescent="0.35">
      <c r="A4" s="27" t="s">
        <v>3</v>
      </c>
    </row>
    <row r="5" spans="1:5" ht="21" x14ac:dyDescent="0.35">
      <c r="A5" s="27" t="s">
        <v>18</v>
      </c>
    </row>
    <row r="6" spans="1:5" ht="21" x14ac:dyDescent="0.35">
      <c r="A6" s="27" t="s">
        <v>19</v>
      </c>
    </row>
    <row r="7" spans="1:5" ht="21" x14ac:dyDescent="0.35">
      <c r="A7" s="27" t="s">
        <v>20</v>
      </c>
    </row>
    <row r="8" spans="1:5" ht="21" x14ac:dyDescent="0.35">
      <c r="A8" s="27" t="s">
        <v>21</v>
      </c>
    </row>
    <row r="9" spans="1:5" ht="21" x14ac:dyDescent="0.35">
      <c r="A9" s="27" t="s">
        <v>22</v>
      </c>
    </row>
    <row r="10" spans="1:5" ht="21" x14ac:dyDescent="0.35">
      <c r="A10" s="27" t="s">
        <v>31</v>
      </c>
    </row>
    <row r="11" spans="1:5" ht="21" x14ac:dyDescent="0.35">
      <c r="A11" s="27" t="s">
        <v>32</v>
      </c>
    </row>
    <row r="12" spans="1:5" ht="21" x14ac:dyDescent="0.35">
      <c r="A12" s="27" t="s">
        <v>33</v>
      </c>
    </row>
    <row r="13" spans="1:5" ht="21" x14ac:dyDescent="0.35">
      <c r="A13" s="27" t="s">
        <v>34</v>
      </c>
    </row>
    <row r="14" spans="1:5" ht="21" x14ac:dyDescent="0.35">
      <c r="A14" s="27" t="s">
        <v>4</v>
      </c>
    </row>
    <row r="15" spans="1:5" ht="21" x14ac:dyDescent="0.35">
      <c r="A15" s="27" t="s">
        <v>5</v>
      </c>
    </row>
    <row r="16" spans="1:5" ht="21" x14ac:dyDescent="0.35">
      <c r="A16" s="27" t="s">
        <v>6</v>
      </c>
    </row>
    <row r="17" spans="1:1" ht="21" x14ac:dyDescent="0.35">
      <c r="A17" s="27" t="s">
        <v>7</v>
      </c>
    </row>
    <row r="18" spans="1:1" ht="21" x14ac:dyDescent="0.35">
      <c r="A18" s="27" t="s">
        <v>8</v>
      </c>
    </row>
    <row r="19" spans="1:1" ht="21" x14ac:dyDescent="0.35">
      <c r="A19" s="27" t="s">
        <v>9</v>
      </c>
    </row>
    <row r="20" spans="1:1" ht="21" x14ac:dyDescent="0.35">
      <c r="A20" s="27" t="s">
        <v>10</v>
      </c>
    </row>
    <row r="21" spans="1:1" ht="21" x14ac:dyDescent="0.35">
      <c r="A21" s="27" t="s">
        <v>11</v>
      </c>
    </row>
    <row r="22" spans="1:1" ht="21" x14ac:dyDescent="0.35">
      <c r="A22" s="27" t="s">
        <v>23</v>
      </c>
    </row>
    <row r="23" spans="1:1" ht="21" x14ac:dyDescent="0.35">
      <c r="A23" s="27" t="s">
        <v>12</v>
      </c>
    </row>
    <row r="24" spans="1:1" ht="21" x14ac:dyDescent="0.35">
      <c r="A24" s="27" t="s">
        <v>13</v>
      </c>
    </row>
    <row r="25" spans="1:1" ht="21" x14ac:dyDescent="0.35">
      <c r="A25" s="27" t="s">
        <v>14</v>
      </c>
    </row>
    <row r="26" spans="1:1" x14ac:dyDescent="0.25">
      <c r="A26" t="s">
        <v>15</v>
      </c>
    </row>
    <row r="27" spans="1:1" x14ac:dyDescent="0.25">
      <c r="A27" t="s">
        <v>16</v>
      </c>
    </row>
    <row r="28" spans="1:1" x14ac:dyDescent="0.25">
      <c r="A28" t="s">
        <v>24</v>
      </c>
    </row>
    <row r="29" spans="1:1" x14ac:dyDescent="0.25">
      <c r="A29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B025985F-1F3D-4070-9C56-E2F2626478B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Prfrd112619</vt:lpstr>
      <vt:lpstr>Base</vt:lpstr>
      <vt:lpstr>Market Only</vt:lpstr>
      <vt:lpstr>Solar + Wind</vt:lpstr>
      <vt:lpstr>CT Only</vt:lpstr>
      <vt:lpstr>CC Only</vt:lpstr>
      <vt:lpstr>Comparison</vt:lpstr>
      <vt:lpstr>CumCapAdd Summary</vt:lpstr>
      <vt:lpstr>source</vt:lpstr>
      <vt:lpstr>'CC Only'!Print_Area</vt:lpstr>
      <vt:lpstr>'CT Only'!Print_Area</vt:lpstr>
      <vt:lpstr>'CumCapAdd Summary'!Print_Area</vt:lpstr>
      <vt:lpstr>'Market Only'!Print_Area</vt:lpstr>
      <vt:lpstr>Prfrd112619!Print_Area</vt:lpstr>
      <vt:lpstr>'Solar + Wind'!Print_Area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S180148</dc:creator>
  <cp:keywords/>
  <cp:lastModifiedBy>s290792</cp:lastModifiedBy>
  <cp:lastPrinted>2019-12-17T14:11:17Z</cp:lastPrinted>
  <dcterms:created xsi:type="dcterms:W3CDTF">2018-09-17T15:13:59Z</dcterms:created>
  <dcterms:modified xsi:type="dcterms:W3CDTF">2020-05-21T15:07:52Z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08bdb2b8-a431-4b27-8145-27ec887a245f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  <property fmtid="{D5CDD505-2E9C-101B-9397-08002B2CF9AE}" pid="8" name="{A44787D4-0540-4523-9961-78E4036D8C6D}">
    <vt:lpwstr>{266A7577-03A1-4B08-ADAC-DD263476EE28}</vt:lpwstr>
  </property>
</Properties>
</file>