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firstSheet="3" activeTab="11"/>
  </bookViews>
  <sheets>
    <sheet name="Existing System FOM OGC" sheetId="60" r:id="rId1"/>
    <sheet name="Summary" sheetId="9" r:id="rId2"/>
    <sheet name="Rate Impacts" sheetId="61" r:id="rId3"/>
    <sheet name="Financial Impact" sheetId="62" r:id="rId4"/>
    <sheet name="LT Region Planning Peak Load" sheetId="30" r:id="rId5"/>
    <sheet name="LT New Units Info" sheetId="54" r:id="rId6"/>
    <sheet name="ST LT CO2 Emissions" sheetId="46" r:id="rId7"/>
    <sheet name="ST Existing Units Info" sheetId="53" r:id="rId8"/>
    <sheet name="ST Physical Contracts" sheetId="37" r:id="rId9"/>
    <sheet name="ST NFL Load &amp; Load Cost" sheetId="2" r:id="rId10"/>
    <sheet name="LT Battery" sheetId="59" r:id="rId11"/>
    <sheet name="End Effects" sheetId="41" r:id="rId12"/>
  </sheets>
  <definedNames>
    <definedName name="_xlnm._FilterDatabase" localSheetId="8" hidden="1">'ST Physical Contracts'!$A$2:$G$595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AX181" i="54" l="1"/>
  <c r="AY181" i="54" s="1"/>
  <c r="AW181" i="54"/>
  <c r="AV181" i="54"/>
  <c r="AX180" i="54"/>
  <c r="AW180" i="54"/>
  <c r="AV180" i="54"/>
  <c r="AY180" i="54" s="1"/>
  <c r="AX179" i="54"/>
  <c r="AY179" i="54" s="1"/>
  <c r="AW179" i="54"/>
  <c r="AV179" i="54"/>
  <c r="AX178" i="54"/>
  <c r="AW178" i="54"/>
  <c r="AV178" i="54"/>
  <c r="AY178" i="54" s="1"/>
  <c r="AX177" i="54"/>
  <c r="AY177" i="54" s="1"/>
  <c r="AW177" i="54"/>
  <c r="AV177" i="54"/>
  <c r="AX176" i="54"/>
  <c r="AW176" i="54"/>
  <c r="AV176" i="54"/>
  <c r="AY176" i="54" s="1"/>
  <c r="AX175" i="54"/>
  <c r="AY175" i="54" s="1"/>
  <c r="AW175" i="54"/>
  <c r="AV175" i="54"/>
  <c r="AX174" i="54"/>
  <c r="AW174" i="54"/>
  <c r="AV174" i="54"/>
  <c r="AY174" i="54" s="1"/>
  <c r="AX173" i="54"/>
  <c r="AY173" i="54" s="1"/>
  <c r="AW173" i="54"/>
  <c r="AV173" i="54"/>
  <c r="AX172" i="54"/>
  <c r="AW172" i="54"/>
  <c r="AV172" i="54"/>
  <c r="AY172" i="54" s="1"/>
  <c r="AX171" i="54"/>
  <c r="AY171" i="54" s="1"/>
  <c r="AW171" i="54"/>
  <c r="AV171" i="54"/>
  <c r="AX170" i="54"/>
  <c r="AW170" i="54"/>
  <c r="AV170" i="54"/>
  <c r="AY170" i="54" s="1"/>
  <c r="AX169" i="54"/>
  <c r="AY169" i="54" s="1"/>
  <c r="AW169" i="54"/>
  <c r="AV169" i="54"/>
  <c r="AX168" i="54"/>
  <c r="AW168" i="54"/>
  <c r="AV168" i="54"/>
  <c r="AY168" i="54" s="1"/>
  <c r="AX167" i="54"/>
  <c r="AY167" i="54" s="1"/>
  <c r="AW167" i="54"/>
  <c r="AV167" i="54"/>
  <c r="AX166" i="54"/>
  <c r="AW166" i="54"/>
  <c r="AV166" i="54"/>
  <c r="AY166" i="54" s="1"/>
  <c r="AX165" i="54"/>
  <c r="AY165" i="54" s="1"/>
  <c r="AW165" i="54"/>
  <c r="AV165" i="54"/>
  <c r="AX164" i="54"/>
  <c r="AW164" i="54"/>
  <c r="AV164" i="54"/>
  <c r="AY164" i="54" s="1"/>
  <c r="AX163" i="54"/>
  <c r="AY163" i="54" s="1"/>
  <c r="AW163" i="54"/>
  <c r="AV163" i="54"/>
  <c r="AX162" i="54"/>
  <c r="AW162" i="54"/>
  <c r="AV162" i="54"/>
  <c r="AY162" i="54" s="1"/>
  <c r="AX161" i="54"/>
  <c r="AY161" i="54" s="1"/>
  <c r="AW161" i="54"/>
  <c r="AV161" i="54"/>
  <c r="AX160" i="54"/>
  <c r="AW160" i="54"/>
  <c r="AV160" i="54"/>
  <c r="AY160" i="54" s="1"/>
  <c r="AX159" i="54"/>
  <c r="AY159" i="54" s="1"/>
  <c r="AW159" i="54"/>
  <c r="AV159" i="54"/>
  <c r="AX158" i="54"/>
  <c r="AW158" i="54"/>
  <c r="AV158" i="54"/>
  <c r="AY158" i="54" s="1"/>
  <c r="AX157" i="54"/>
  <c r="AY157" i="54" s="1"/>
  <c r="AW157" i="54"/>
  <c r="AV157" i="54"/>
  <c r="AX156" i="54"/>
  <c r="AW156" i="54"/>
  <c r="AV156" i="54"/>
  <c r="AY156" i="54" s="1"/>
  <c r="AX155" i="54"/>
  <c r="AY155" i="54" s="1"/>
  <c r="AW155" i="54"/>
  <c r="AV155" i="54"/>
  <c r="AX154" i="54"/>
  <c r="AW154" i="54"/>
  <c r="AV154" i="54"/>
  <c r="AY154" i="54" s="1"/>
  <c r="AY153" i="54"/>
  <c r="AX153" i="54"/>
  <c r="AW153" i="54"/>
  <c r="AV153" i="54"/>
  <c r="AX152" i="54"/>
  <c r="AW152" i="54"/>
  <c r="AV152" i="54"/>
  <c r="AY152" i="54" s="1"/>
  <c r="AY241" i="54" l="1"/>
  <c r="AX241" i="54"/>
  <c r="AW241" i="54"/>
  <c r="AV241" i="54"/>
  <c r="AX240" i="54"/>
  <c r="AW240" i="54"/>
  <c r="AV240" i="54"/>
  <c r="AY240" i="54" s="1"/>
  <c r="AY239" i="54"/>
  <c r="AX239" i="54"/>
  <c r="AW239" i="54"/>
  <c r="AV239" i="54"/>
  <c r="AX238" i="54"/>
  <c r="AW238" i="54"/>
  <c r="AV238" i="54"/>
  <c r="AY238" i="54" s="1"/>
  <c r="AY237" i="54"/>
  <c r="AX237" i="54"/>
  <c r="AW237" i="54"/>
  <c r="AV237" i="54"/>
  <c r="AX236" i="54"/>
  <c r="AW236" i="54"/>
  <c r="AV236" i="54"/>
  <c r="AY236" i="54" s="1"/>
  <c r="AY235" i="54"/>
  <c r="AX235" i="54"/>
  <c r="AW235" i="54"/>
  <c r="AV235" i="54"/>
  <c r="AX234" i="54"/>
  <c r="AW234" i="54"/>
  <c r="AV234" i="54"/>
  <c r="AY234" i="54" s="1"/>
  <c r="AY233" i="54"/>
  <c r="AX233" i="54"/>
  <c r="AW233" i="54"/>
  <c r="AV233" i="54"/>
  <c r="AX232" i="54"/>
  <c r="AW232" i="54"/>
  <c r="AV232" i="54"/>
  <c r="AY232" i="54" s="1"/>
  <c r="AY231" i="54"/>
  <c r="AX231" i="54"/>
  <c r="AW231" i="54"/>
  <c r="AV231" i="54"/>
  <c r="AX230" i="54"/>
  <c r="AW230" i="54"/>
  <c r="AV230" i="54"/>
  <c r="AY230" i="54" s="1"/>
  <c r="AY229" i="54"/>
  <c r="AX229" i="54"/>
  <c r="AW229" i="54"/>
  <c r="AV229" i="54"/>
  <c r="AX228" i="54"/>
  <c r="AW228" i="54"/>
  <c r="AV228" i="54"/>
  <c r="AY228" i="54" s="1"/>
  <c r="AY227" i="54"/>
  <c r="AX227" i="54"/>
  <c r="AW227" i="54"/>
  <c r="AV227" i="54"/>
  <c r="AX226" i="54"/>
  <c r="AW226" i="54"/>
  <c r="AV226" i="54"/>
  <c r="AY226" i="54" s="1"/>
  <c r="AY225" i="54"/>
  <c r="AX225" i="54"/>
  <c r="AW225" i="54"/>
  <c r="AV225" i="54"/>
  <c r="AX224" i="54"/>
  <c r="AW224" i="54"/>
  <c r="AV224" i="54"/>
  <c r="AY224" i="54" s="1"/>
  <c r="AY223" i="54"/>
  <c r="AX223" i="54"/>
  <c r="AW223" i="54"/>
  <c r="AV223" i="54"/>
  <c r="AX222" i="54"/>
  <c r="AW222" i="54"/>
  <c r="AV222" i="54"/>
  <c r="AY222" i="54" s="1"/>
  <c r="AY221" i="54"/>
  <c r="AX221" i="54"/>
  <c r="AW221" i="54"/>
  <c r="AV221" i="54"/>
  <c r="AX220" i="54"/>
  <c r="AW220" i="54"/>
  <c r="AV220" i="54"/>
  <c r="AY220" i="54" s="1"/>
  <c r="AY219" i="54"/>
  <c r="AX219" i="54"/>
  <c r="AW219" i="54"/>
  <c r="AV219" i="54"/>
  <c r="AX218" i="54"/>
  <c r="AW218" i="54"/>
  <c r="AV218" i="54"/>
  <c r="AY218" i="54" s="1"/>
  <c r="AY217" i="54"/>
  <c r="AX217" i="54"/>
  <c r="AW217" i="54"/>
  <c r="AV217" i="54"/>
  <c r="AX216" i="54"/>
  <c r="AW216" i="54"/>
  <c r="AV216" i="54"/>
  <c r="AY216" i="54" s="1"/>
  <c r="AY215" i="54"/>
  <c r="AX215" i="54"/>
  <c r="AW215" i="54"/>
  <c r="AV215" i="54"/>
  <c r="AX214" i="54"/>
  <c r="AW214" i="54"/>
  <c r="AV214" i="54"/>
  <c r="AY214" i="54" s="1"/>
  <c r="AY213" i="54"/>
  <c r="AX213" i="54"/>
  <c r="AW213" i="54"/>
  <c r="AV213" i="54"/>
  <c r="AX212" i="54"/>
  <c r="AW212" i="54"/>
  <c r="AV212" i="54"/>
  <c r="AY212" i="54" s="1"/>
  <c r="BB211" i="54" l="1"/>
  <c r="BA211" i="54"/>
  <c r="AZ211" i="54"/>
  <c r="AX211" i="54"/>
  <c r="AW211" i="54"/>
  <c r="AV211" i="54"/>
  <c r="AY211" i="54" s="1"/>
  <c r="BB210" i="54"/>
  <c r="BA210" i="54"/>
  <c r="AZ210" i="54"/>
  <c r="AX210" i="54"/>
  <c r="AY210" i="54" s="1"/>
  <c r="AW210" i="54"/>
  <c r="AV210" i="54"/>
  <c r="BB209" i="54"/>
  <c r="BA209" i="54"/>
  <c r="AZ209" i="54"/>
  <c r="AX209" i="54"/>
  <c r="AW209" i="54"/>
  <c r="AY209" i="54" s="1"/>
  <c r="AV209" i="54"/>
  <c r="BB208" i="54"/>
  <c r="BA208" i="54"/>
  <c r="AZ208" i="54"/>
  <c r="AX208" i="54"/>
  <c r="AW208" i="54"/>
  <c r="AV208" i="54"/>
  <c r="AY208" i="54" s="1"/>
  <c r="BB207" i="54"/>
  <c r="BA207" i="54"/>
  <c r="AZ207" i="54"/>
  <c r="AX207" i="54"/>
  <c r="AW207" i="54"/>
  <c r="AV207" i="54"/>
  <c r="AY207" i="54" s="1"/>
  <c r="BB206" i="54"/>
  <c r="BA206" i="54"/>
  <c r="AZ206" i="54"/>
  <c r="AX206" i="54"/>
  <c r="AW206" i="54"/>
  <c r="AV206" i="54"/>
  <c r="AY206" i="54" s="1"/>
  <c r="BB205" i="54"/>
  <c r="BA205" i="54"/>
  <c r="AZ205" i="54"/>
  <c r="AX205" i="54"/>
  <c r="AW205" i="54"/>
  <c r="AV205" i="54"/>
  <c r="AY205" i="54" s="1"/>
  <c r="BB204" i="54"/>
  <c r="BA204" i="54"/>
  <c r="AZ204" i="54"/>
  <c r="AX204" i="54"/>
  <c r="AW204" i="54"/>
  <c r="AV204" i="54"/>
  <c r="AY204" i="54" s="1"/>
  <c r="BB203" i="54"/>
  <c r="BA203" i="54"/>
  <c r="AZ203" i="54"/>
  <c r="AX203" i="54"/>
  <c r="AY203" i="54" s="1"/>
  <c r="AW203" i="54"/>
  <c r="AV203" i="54"/>
  <c r="BB202" i="54"/>
  <c r="BA202" i="54"/>
  <c r="AZ202" i="54"/>
  <c r="AX202" i="54"/>
  <c r="AW202" i="54"/>
  <c r="AV202" i="54"/>
  <c r="AY202" i="54" s="1"/>
  <c r="BB201" i="54"/>
  <c r="BA201" i="54"/>
  <c r="AZ201" i="54"/>
  <c r="AX201" i="54"/>
  <c r="AW201" i="54"/>
  <c r="AV201" i="54"/>
  <c r="AY201" i="54" s="1"/>
  <c r="BB200" i="54"/>
  <c r="BA200" i="54"/>
  <c r="AZ200" i="54"/>
  <c r="AX200" i="54"/>
  <c r="AW200" i="54"/>
  <c r="AV200" i="54"/>
  <c r="AY200" i="54" s="1"/>
  <c r="BB199" i="54"/>
  <c r="BA199" i="54"/>
  <c r="AZ199" i="54"/>
  <c r="AX199" i="54"/>
  <c r="AW199" i="54"/>
  <c r="AV199" i="54"/>
  <c r="AY199" i="54" s="1"/>
  <c r="BB198" i="54"/>
  <c r="BA198" i="54"/>
  <c r="AZ198" i="54"/>
  <c r="AX198" i="54"/>
  <c r="AW198" i="54"/>
  <c r="AV198" i="54"/>
  <c r="AY198" i="54" s="1"/>
  <c r="BB197" i="54"/>
  <c r="BA197" i="54"/>
  <c r="AZ197" i="54"/>
  <c r="AY197" i="54"/>
  <c r="AX197" i="54"/>
  <c r="AW197" i="54"/>
  <c r="AV197" i="54"/>
  <c r="BB196" i="54"/>
  <c r="BA196" i="54"/>
  <c r="AZ196" i="54"/>
  <c r="AX196" i="54"/>
  <c r="AY196" i="54" s="1"/>
  <c r="AW196" i="54"/>
  <c r="AV196" i="54"/>
  <c r="BB195" i="54"/>
  <c r="BA195" i="54"/>
  <c r="AZ195" i="54"/>
  <c r="AX195" i="54"/>
  <c r="AW195" i="54"/>
  <c r="AY195" i="54" s="1"/>
  <c r="AV195" i="54"/>
  <c r="BB194" i="54"/>
  <c r="BA194" i="54"/>
  <c r="AZ194" i="54"/>
  <c r="AX194" i="54"/>
  <c r="AW194" i="54"/>
  <c r="AV194" i="54"/>
  <c r="AY194" i="54" s="1"/>
  <c r="BB193" i="54"/>
  <c r="BA193" i="54"/>
  <c r="AZ193" i="54"/>
  <c r="AX193" i="54"/>
  <c r="AW193" i="54"/>
  <c r="AV193" i="54"/>
  <c r="AY193" i="54" s="1"/>
  <c r="BB192" i="54"/>
  <c r="BA192" i="54"/>
  <c r="AZ192" i="54"/>
  <c r="AX192" i="54"/>
  <c r="AW192" i="54"/>
  <c r="AV192" i="54"/>
  <c r="AY192" i="54" s="1"/>
  <c r="BB191" i="54"/>
  <c r="BA191" i="54"/>
  <c r="AZ191" i="54"/>
  <c r="AX191" i="54"/>
  <c r="AW191" i="54"/>
  <c r="AV191" i="54"/>
  <c r="AY191" i="54" s="1"/>
  <c r="BB190" i="54"/>
  <c r="BA190" i="54"/>
  <c r="AZ190" i="54"/>
  <c r="AX190" i="54"/>
  <c r="AW190" i="54"/>
  <c r="AV190" i="54"/>
  <c r="AY190" i="54" s="1"/>
  <c r="BB189" i="54"/>
  <c r="BA189" i="54"/>
  <c r="AZ189" i="54"/>
  <c r="AY189" i="54"/>
  <c r="AX189" i="54"/>
  <c r="AW189" i="54"/>
  <c r="AV189" i="54"/>
  <c r="BB188" i="54"/>
  <c r="BA188" i="54"/>
  <c r="AZ188" i="54"/>
  <c r="AX188" i="54"/>
  <c r="AY188" i="54" s="1"/>
  <c r="AW188" i="54"/>
  <c r="AV188" i="54"/>
  <c r="BB187" i="54"/>
  <c r="BA187" i="54"/>
  <c r="AZ187" i="54"/>
  <c r="AX187" i="54"/>
  <c r="AW187" i="54"/>
  <c r="AY187" i="54" s="1"/>
  <c r="AV187" i="54"/>
  <c r="BB186" i="54"/>
  <c r="BA186" i="54"/>
  <c r="AZ186" i="54"/>
  <c r="AX186" i="54"/>
  <c r="AW186" i="54"/>
  <c r="AV186" i="54"/>
  <c r="AY186" i="54" s="1"/>
  <c r="BB185" i="54"/>
  <c r="BA185" i="54"/>
  <c r="AZ185" i="54"/>
  <c r="AX185" i="54"/>
  <c r="AW185" i="54"/>
  <c r="AV185" i="54"/>
  <c r="AY185" i="54" s="1"/>
  <c r="BB184" i="54"/>
  <c r="BA184" i="54"/>
  <c r="AZ184" i="54"/>
  <c r="AX184" i="54"/>
  <c r="AW184" i="54"/>
  <c r="AV184" i="54"/>
  <c r="AY184" i="54" s="1"/>
  <c r="BB183" i="54"/>
  <c r="BA183" i="54"/>
  <c r="AZ183" i="54"/>
  <c r="AX183" i="54"/>
  <c r="AW183" i="54"/>
  <c r="AV183" i="54"/>
  <c r="AY183" i="54" s="1"/>
  <c r="BB182" i="54"/>
  <c r="BA182" i="54"/>
  <c r="AZ182" i="54"/>
  <c r="AX182" i="54"/>
  <c r="AW182" i="54"/>
  <c r="AV182" i="54"/>
  <c r="AY182" i="54" s="1"/>
  <c r="AY6" i="54" l="1"/>
  <c r="AY7" i="54"/>
  <c r="AY8" i="54"/>
  <c r="AY9" i="54"/>
  <c r="AY10" i="54"/>
  <c r="AY11" i="54"/>
  <c r="AY12" i="54"/>
  <c r="AY13" i="54"/>
  <c r="AY14" i="54"/>
  <c r="AY15" i="54"/>
  <c r="AY16" i="54"/>
  <c r="AY17" i="54"/>
  <c r="AY18" i="54"/>
  <c r="AY19" i="54"/>
  <c r="AY20" i="54"/>
  <c r="AY21" i="54"/>
  <c r="AY22" i="54"/>
  <c r="AY23" i="54"/>
  <c r="AY24" i="54"/>
  <c r="AY25" i="54"/>
  <c r="AY26" i="54"/>
  <c r="AY27" i="54"/>
  <c r="AY28" i="54"/>
  <c r="AY29" i="54"/>
  <c r="AY30" i="54"/>
  <c r="AY31" i="54"/>
  <c r="AY5" i="54"/>
  <c r="AX3" i="54"/>
  <c r="AX4" i="54"/>
  <c r="AX5" i="54"/>
  <c r="AX6" i="54"/>
  <c r="AX7" i="54"/>
  <c r="AX8" i="54"/>
  <c r="AX9" i="54"/>
  <c r="AX10" i="54"/>
  <c r="AX11" i="54"/>
  <c r="AX12" i="54"/>
  <c r="AX13" i="54"/>
  <c r="AX14" i="54"/>
  <c r="AX15" i="54"/>
  <c r="AX16" i="54"/>
  <c r="AX17" i="54"/>
  <c r="AX18" i="54"/>
  <c r="AX19" i="54"/>
  <c r="AX20" i="54"/>
  <c r="AX21" i="54"/>
  <c r="AX22" i="54"/>
  <c r="AX23" i="54"/>
  <c r="AX24" i="54"/>
  <c r="AX25" i="54"/>
  <c r="AX26" i="54"/>
  <c r="AX27" i="54"/>
  <c r="AX28" i="54"/>
  <c r="AX29" i="54"/>
  <c r="AX30" i="54"/>
  <c r="AX31" i="54"/>
  <c r="AX2" i="54"/>
  <c r="BB241" i="54" l="1"/>
  <c r="BA241" i="54"/>
  <c r="AZ241" i="54"/>
  <c r="BB240" i="54"/>
  <c r="BA240" i="54"/>
  <c r="AZ240" i="54"/>
  <c r="BB239" i="54"/>
  <c r="BA239" i="54"/>
  <c r="AZ239" i="54"/>
  <c r="BB238" i="54"/>
  <c r="BA238" i="54"/>
  <c r="AZ238" i="54"/>
  <c r="BB237" i="54"/>
  <c r="BA237" i="54"/>
  <c r="AZ237" i="54"/>
  <c r="BB236" i="54"/>
  <c r="BA236" i="54"/>
  <c r="AZ236" i="54"/>
  <c r="BB235" i="54"/>
  <c r="BA235" i="54"/>
  <c r="AZ235" i="54"/>
  <c r="BB234" i="54"/>
  <c r="BA234" i="54"/>
  <c r="AZ234" i="54"/>
  <c r="BB233" i="54"/>
  <c r="BA233" i="54"/>
  <c r="AZ233" i="54"/>
  <c r="BB232" i="54"/>
  <c r="BA232" i="54"/>
  <c r="AZ232" i="54"/>
  <c r="BB231" i="54"/>
  <c r="BA231" i="54"/>
  <c r="AZ231" i="54"/>
  <c r="BB230" i="54"/>
  <c r="BA230" i="54"/>
  <c r="AZ230" i="54"/>
  <c r="BB229" i="54"/>
  <c r="BA229" i="54"/>
  <c r="AZ229" i="54"/>
  <c r="BB228" i="54"/>
  <c r="BA228" i="54"/>
  <c r="AZ228" i="54"/>
  <c r="BB227" i="54"/>
  <c r="BA227" i="54"/>
  <c r="AZ227" i="54"/>
  <c r="BB226" i="54"/>
  <c r="BA226" i="54"/>
  <c r="AZ226" i="54"/>
  <c r="BB225" i="54"/>
  <c r="BA225" i="54"/>
  <c r="AZ225" i="54"/>
  <c r="BB224" i="54"/>
  <c r="BA224" i="54"/>
  <c r="AZ224" i="54"/>
  <c r="BB223" i="54"/>
  <c r="BA223" i="54"/>
  <c r="AZ223" i="54"/>
  <c r="BB222" i="54"/>
  <c r="BA222" i="54"/>
  <c r="AZ222" i="54"/>
  <c r="BB221" i="54"/>
  <c r="BA221" i="54"/>
  <c r="AZ221" i="54"/>
  <c r="BB220" i="54"/>
  <c r="BA220" i="54"/>
  <c r="AZ220" i="54"/>
  <c r="BB219" i="54"/>
  <c r="BA219" i="54"/>
  <c r="AZ219" i="54"/>
  <c r="BB218" i="54"/>
  <c r="BA218" i="54"/>
  <c r="AZ218" i="54"/>
  <c r="BB217" i="54"/>
  <c r="BA217" i="54"/>
  <c r="AZ217" i="54"/>
  <c r="BB216" i="54"/>
  <c r="BA216" i="54"/>
  <c r="AZ216" i="54"/>
  <c r="BB215" i="54"/>
  <c r="BA215" i="54"/>
  <c r="AZ215" i="54"/>
  <c r="BB214" i="54"/>
  <c r="BA214" i="54"/>
  <c r="AZ214" i="54"/>
  <c r="BB213" i="54"/>
  <c r="BA213" i="54"/>
  <c r="AZ213" i="54"/>
  <c r="BB212" i="54"/>
  <c r="BA212" i="54"/>
  <c r="AZ212" i="54"/>
  <c r="BB151" i="54"/>
  <c r="BA151" i="54"/>
  <c r="AZ151" i="54"/>
  <c r="BB150" i="54"/>
  <c r="BA150" i="54"/>
  <c r="AZ150" i="54"/>
  <c r="BB149" i="54"/>
  <c r="BA149" i="54"/>
  <c r="AZ149" i="54"/>
  <c r="BB148" i="54"/>
  <c r="BA148" i="54"/>
  <c r="AZ148" i="54"/>
  <c r="BB147" i="54"/>
  <c r="BA147" i="54"/>
  <c r="AZ147" i="54"/>
  <c r="BB146" i="54"/>
  <c r="BA146" i="54"/>
  <c r="AZ146" i="54"/>
  <c r="BB145" i="54"/>
  <c r="BA145" i="54"/>
  <c r="AZ145" i="54"/>
  <c r="BB144" i="54"/>
  <c r="BA144" i="54"/>
  <c r="AZ144" i="54"/>
  <c r="BB143" i="54"/>
  <c r="BA143" i="54"/>
  <c r="AZ143" i="54"/>
  <c r="BB142" i="54"/>
  <c r="BA142" i="54"/>
  <c r="AZ142" i="54"/>
  <c r="BB141" i="54"/>
  <c r="BA141" i="54"/>
  <c r="AZ141" i="54"/>
  <c r="BB140" i="54"/>
  <c r="BA140" i="54"/>
  <c r="AZ140" i="54"/>
  <c r="BB139" i="54"/>
  <c r="BA139" i="54"/>
  <c r="AZ139" i="54"/>
  <c r="BB138" i="54"/>
  <c r="BA138" i="54"/>
  <c r="AZ138" i="54"/>
  <c r="BB137" i="54"/>
  <c r="BA137" i="54"/>
  <c r="AZ137" i="54"/>
  <c r="BB136" i="54"/>
  <c r="BA136" i="54"/>
  <c r="AZ136" i="54"/>
  <c r="BB135" i="54"/>
  <c r="BA135" i="54"/>
  <c r="AZ135" i="54"/>
  <c r="BB134" i="54"/>
  <c r="BA134" i="54"/>
  <c r="AZ134" i="54"/>
  <c r="BB133" i="54"/>
  <c r="BA133" i="54"/>
  <c r="AZ133" i="54"/>
  <c r="BB132" i="54"/>
  <c r="BA132" i="54"/>
  <c r="AZ132" i="54"/>
  <c r="BB131" i="54"/>
  <c r="BA131" i="54"/>
  <c r="AZ131" i="54"/>
  <c r="BB130" i="54"/>
  <c r="BA130" i="54"/>
  <c r="AZ130" i="54"/>
  <c r="BB129" i="54"/>
  <c r="BA129" i="54"/>
  <c r="AZ129" i="54"/>
  <c r="BB128" i="54"/>
  <c r="BA128" i="54"/>
  <c r="AZ128" i="54"/>
  <c r="BB127" i="54"/>
  <c r="BA127" i="54"/>
  <c r="AZ127" i="54"/>
  <c r="BB126" i="54"/>
  <c r="BA126" i="54"/>
  <c r="AZ126" i="54"/>
  <c r="BB125" i="54"/>
  <c r="BA125" i="54"/>
  <c r="AZ125" i="54"/>
  <c r="BB124" i="54"/>
  <c r="BA124" i="54"/>
  <c r="AZ124" i="54"/>
  <c r="BB123" i="54"/>
  <c r="BA123" i="54"/>
  <c r="AZ123" i="54"/>
  <c r="BB122" i="54"/>
  <c r="BA122" i="54"/>
  <c r="AZ122" i="54"/>
  <c r="BB91" i="54"/>
  <c r="BA91" i="54"/>
  <c r="AZ91" i="54"/>
  <c r="BB90" i="54"/>
  <c r="BA90" i="54"/>
  <c r="AZ90" i="54"/>
  <c r="BB89" i="54"/>
  <c r="BA89" i="54"/>
  <c r="AZ89" i="54"/>
  <c r="BB88" i="54"/>
  <c r="BA88" i="54"/>
  <c r="AZ88" i="54"/>
  <c r="BB87" i="54"/>
  <c r="BA87" i="54"/>
  <c r="AZ87" i="54"/>
  <c r="BB86" i="54"/>
  <c r="BA86" i="54"/>
  <c r="AZ86" i="54"/>
  <c r="BB85" i="54"/>
  <c r="BA85" i="54"/>
  <c r="AZ85" i="54"/>
  <c r="BB84" i="54"/>
  <c r="BA84" i="54"/>
  <c r="AZ84" i="54"/>
  <c r="BB83" i="54"/>
  <c r="BA83" i="54"/>
  <c r="AZ83" i="54"/>
  <c r="BB82" i="54"/>
  <c r="BA82" i="54"/>
  <c r="AZ82" i="54"/>
  <c r="BB81" i="54"/>
  <c r="BA81" i="54"/>
  <c r="AZ81" i="54"/>
  <c r="BB80" i="54"/>
  <c r="BA80" i="54"/>
  <c r="AZ80" i="54"/>
  <c r="BB79" i="54"/>
  <c r="BA79" i="54"/>
  <c r="AZ79" i="54"/>
  <c r="BB78" i="54"/>
  <c r="BA78" i="54"/>
  <c r="AZ78" i="54"/>
  <c r="BB77" i="54"/>
  <c r="BA77" i="54"/>
  <c r="AZ77" i="54"/>
  <c r="BB76" i="54"/>
  <c r="BA76" i="54"/>
  <c r="AZ76" i="54"/>
  <c r="BB75" i="54"/>
  <c r="BA75" i="54"/>
  <c r="AZ75" i="54"/>
  <c r="BB74" i="54"/>
  <c r="BA74" i="54"/>
  <c r="AZ74" i="54"/>
  <c r="BB73" i="54"/>
  <c r="BA73" i="54"/>
  <c r="AZ73" i="54"/>
  <c r="BB72" i="54"/>
  <c r="BA72" i="54"/>
  <c r="AZ72" i="54"/>
  <c r="BB71" i="54"/>
  <c r="BA71" i="54"/>
  <c r="AZ71" i="54"/>
  <c r="BB70" i="54"/>
  <c r="BA70" i="54"/>
  <c r="AZ70" i="54"/>
  <c r="BB69" i="54"/>
  <c r="BA69" i="54"/>
  <c r="AZ69" i="54"/>
  <c r="BB68" i="54"/>
  <c r="BA68" i="54"/>
  <c r="AZ68" i="54"/>
  <c r="BB67" i="54"/>
  <c r="BA67" i="54"/>
  <c r="AZ67" i="54"/>
  <c r="BB66" i="54"/>
  <c r="BA66" i="54"/>
  <c r="AZ66" i="54"/>
  <c r="BB65" i="54"/>
  <c r="BA65" i="54"/>
  <c r="AZ65" i="54"/>
  <c r="BB64" i="54"/>
  <c r="BA64" i="54"/>
  <c r="AZ64" i="54"/>
  <c r="BB63" i="54"/>
  <c r="BA63" i="54"/>
  <c r="AZ63" i="54"/>
  <c r="BB62" i="54"/>
  <c r="BA62" i="54"/>
  <c r="AZ62" i="54"/>
  <c r="AZ3" i="54"/>
  <c r="BA3" i="54"/>
  <c r="BB3" i="54"/>
  <c r="AZ4" i="54"/>
  <c r="BA4" i="54"/>
  <c r="BB4" i="54"/>
  <c r="AZ5" i="54"/>
  <c r="BA5" i="54"/>
  <c r="BB5" i="54"/>
  <c r="AZ6" i="54"/>
  <c r="BA6" i="54"/>
  <c r="BB6" i="54"/>
  <c r="AZ7" i="54"/>
  <c r="BA7" i="54"/>
  <c r="BB7" i="54"/>
  <c r="AZ8" i="54"/>
  <c r="BA8" i="54"/>
  <c r="BB8" i="54"/>
  <c r="AZ9" i="54"/>
  <c r="BA9" i="54"/>
  <c r="BB9" i="54"/>
  <c r="AZ10" i="54"/>
  <c r="BA10" i="54"/>
  <c r="BB10" i="54"/>
  <c r="AZ11" i="54"/>
  <c r="BA11" i="54"/>
  <c r="BB11" i="54"/>
  <c r="AZ12" i="54"/>
  <c r="BA12" i="54"/>
  <c r="BB12" i="54"/>
  <c r="AZ13" i="54"/>
  <c r="BA13" i="54"/>
  <c r="BB13" i="54"/>
  <c r="AZ14" i="54"/>
  <c r="BA14" i="54"/>
  <c r="BB14" i="54"/>
  <c r="AZ15" i="54"/>
  <c r="BA15" i="54"/>
  <c r="BB15" i="54"/>
  <c r="AZ16" i="54"/>
  <c r="BA16" i="54"/>
  <c r="BB16" i="54"/>
  <c r="AZ17" i="54"/>
  <c r="BA17" i="54"/>
  <c r="BB17" i="54"/>
  <c r="AZ18" i="54"/>
  <c r="BA18" i="54"/>
  <c r="BB18" i="54"/>
  <c r="AZ19" i="54"/>
  <c r="BA19" i="54"/>
  <c r="BB19" i="54"/>
  <c r="AZ20" i="54"/>
  <c r="BA20" i="54"/>
  <c r="BB20" i="54"/>
  <c r="AZ21" i="54"/>
  <c r="BA21" i="54"/>
  <c r="BB21" i="54"/>
  <c r="AZ22" i="54"/>
  <c r="BA22" i="54"/>
  <c r="BB22" i="54"/>
  <c r="AZ23" i="54"/>
  <c r="BA23" i="54"/>
  <c r="BB23" i="54"/>
  <c r="AZ24" i="54"/>
  <c r="BA24" i="54"/>
  <c r="BB24" i="54"/>
  <c r="AZ25" i="54"/>
  <c r="BA25" i="54"/>
  <c r="BB25" i="54"/>
  <c r="AZ26" i="54"/>
  <c r="BA26" i="54"/>
  <c r="BB26" i="54"/>
  <c r="AZ27" i="54"/>
  <c r="BA27" i="54"/>
  <c r="BB27" i="54"/>
  <c r="AZ28" i="54"/>
  <c r="BA28" i="54"/>
  <c r="BB28" i="54"/>
  <c r="AZ29" i="54"/>
  <c r="BA29" i="54"/>
  <c r="BB29" i="54"/>
  <c r="AZ30" i="54"/>
  <c r="BA30" i="54"/>
  <c r="BB30" i="54"/>
  <c r="AZ31" i="54"/>
  <c r="BA31" i="54"/>
  <c r="BB31" i="54"/>
  <c r="BB2" i="54"/>
  <c r="BA2" i="54"/>
  <c r="AZ2" i="54"/>
  <c r="AY3" i="54" l="1"/>
  <c r="AY4" i="54"/>
  <c r="AY2" i="54"/>
  <c r="AV3" i="54"/>
  <c r="AW3" i="54"/>
  <c r="AV4" i="54"/>
  <c r="AW4" i="54"/>
  <c r="AV5" i="54"/>
  <c r="AW5" i="54"/>
  <c r="AV6" i="54"/>
  <c r="AW6" i="54"/>
  <c r="AV7" i="54"/>
  <c r="AW7" i="54"/>
  <c r="AV8" i="54"/>
  <c r="AW8" i="54"/>
  <c r="AV9" i="54"/>
  <c r="AW9" i="54"/>
  <c r="AV10" i="54"/>
  <c r="AW10" i="54"/>
  <c r="AV11" i="54"/>
  <c r="AW11" i="54"/>
  <c r="AV12" i="54"/>
  <c r="AW12" i="54"/>
  <c r="AV13" i="54"/>
  <c r="AW13" i="54"/>
  <c r="AV14" i="54"/>
  <c r="AW14" i="54"/>
  <c r="AV15" i="54"/>
  <c r="AW15" i="54"/>
  <c r="AV16" i="54"/>
  <c r="AW16" i="54"/>
  <c r="AV17" i="54"/>
  <c r="AW17" i="54"/>
  <c r="AV18" i="54"/>
  <c r="AW18" i="54"/>
  <c r="AV19" i="54"/>
  <c r="AW19" i="54"/>
  <c r="AV20" i="54"/>
  <c r="AW20" i="54"/>
  <c r="AV21" i="54"/>
  <c r="AW21" i="54"/>
  <c r="AV22" i="54"/>
  <c r="AW22" i="54"/>
  <c r="AV23" i="54"/>
  <c r="AW23" i="54"/>
  <c r="AV24" i="54"/>
  <c r="AW24" i="54"/>
  <c r="AV25" i="54"/>
  <c r="AW25" i="54"/>
  <c r="AV26" i="54"/>
  <c r="AW26" i="54"/>
  <c r="AV27" i="54"/>
  <c r="AW27" i="54"/>
  <c r="AV28" i="54"/>
  <c r="AW28" i="54"/>
  <c r="AV29" i="54"/>
  <c r="AW29" i="54"/>
  <c r="AV30" i="54"/>
  <c r="AW30" i="54"/>
  <c r="AV31" i="54"/>
  <c r="AW31" i="54"/>
  <c r="AV2" i="54"/>
  <c r="AW2" i="54"/>
  <c r="D25" i="61" l="1"/>
  <c r="L26" i="62" l="1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25" i="62"/>
  <c r="E6" i="62"/>
  <c r="F6" i="62" s="1"/>
  <c r="D20" i="62"/>
  <c r="D19" i="62"/>
  <c r="D38" i="62" s="1"/>
  <c r="D18" i="62"/>
  <c r="D37" i="62" s="1"/>
  <c r="D17" i="62"/>
  <c r="D36" i="62" s="1"/>
  <c r="D16" i="62"/>
  <c r="D35" i="62" s="1"/>
  <c r="D15" i="62"/>
  <c r="D14" i="62"/>
  <c r="D33" i="62" s="1"/>
  <c r="D13" i="62"/>
  <c r="D32" i="62" s="1"/>
  <c r="D12" i="62"/>
  <c r="D31" i="62" s="1"/>
  <c r="D11" i="62"/>
  <c r="D30" i="62" s="1"/>
  <c r="D10" i="62"/>
  <c r="D29" i="62" s="1"/>
  <c r="D9" i="62"/>
  <c r="D28" i="62" s="1"/>
  <c r="D8" i="62"/>
  <c r="D27" i="62" s="1"/>
  <c r="D7" i="62"/>
  <c r="D26" i="62" s="1"/>
  <c r="D6" i="62"/>
  <c r="D25" i="62" s="1"/>
  <c r="D39" i="62"/>
  <c r="D34" i="62"/>
  <c r="T26" i="62" l="1"/>
  <c r="P26" i="62"/>
  <c r="P33" i="62"/>
  <c r="T33" i="62"/>
  <c r="T25" i="62"/>
  <c r="P25" i="62"/>
  <c r="T32" i="62"/>
  <c r="P32" i="62"/>
  <c r="P31" i="62"/>
  <c r="T31" i="62"/>
  <c r="P38" i="62"/>
  <c r="T38" i="62"/>
  <c r="T30" i="62"/>
  <c r="P30" i="62"/>
  <c r="P34" i="62"/>
  <c r="T34" i="62"/>
  <c r="P39" i="62"/>
  <c r="T39" i="62"/>
  <c r="P37" i="62"/>
  <c r="T37" i="62"/>
  <c r="P29" i="62"/>
  <c r="T29" i="62"/>
  <c r="T36" i="62"/>
  <c r="P36" i="62"/>
  <c r="T28" i="62"/>
  <c r="P28" i="62"/>
  <c r="P35" i="62"/>
  <c r="T35" i="62"/>
  <c r="P27" i="62"/>
  <c r="T27" i="62"/>
  <c r="J6" i="62"/>
  <c r="L19" i="62" s="1"/>
  <c r="H19" i="62"/>
  <c r="J19" i="61" l="1"/>
  <c r="I19" i="61"/>
  <c r="C19" i="61"/>
  <c r="J18" i="61"/>
  <c r="I18" i="61"/>
  <c r="C18" i="61"/>
  <c r="J17" i="61"/>
  <c r="I17" i="61"/>
  <c r="C17" i="61"/>
  <c r="J16" i="61"/>
  <c r="I16" i="61"/>
  <c r="C16" i="61"/>
  <c r="R16" i="61" s="1"/>
  <c r="J15" i="61"/>
  <c r="I15" i="61"/>
  <c r="C15" i="61"/>
  <c r="J14" i="61"/>
  <c r="I14" i="61"/>
  <c r="C14" i="61"/>
  <c r="J13" i="61"/>
  <c r="I13" i="61"/>
  <c r="K13" i="61" s="1"/>
  <c r="C13" i="61"/>
  <c r="J12" i="61"/>
  <c r="I12" i="61"/>
  <c r="C12" i="61"/>
  <c r="J11" i="61"/>
  <c r="I11" i="61"/>
  <c r="C11" i="61"/>
  <c r="J10" i="61"/>
  <c r="K10" i="61" s="1"/>
  <c r="I10" i="61"/>
  <c r="C10" i="61"/>
  <c r="J9" i="61"/>
  <c r="I9" i="61"/>
  <c r="C9" i="61"/>
  <c r="J8" i="61"/>
  <c r="I8" i="61"/>
  <c r="C8" i="61"/>
  <c r="R8" i="61" s="1"/>
  <c r="J7" i="61"/>
  <c r="I7" i="61"/>
  <c r="C7" i="61"/>
  <c r="J6" i="61"/>
  <c r="I6" i="61"/>
  <c r="C6" i="61"/>
  <c r="R6" i="61" s="1"/>
  <c r="M6" i="61" s="1"/>
  <c r="J5" i="61"/>
  <c r="I5" i="61"/>
  <c r="K5" i="61" s="1"/>
  <c r="C5" i="61"/>
  <c r="E22" i="61"/>
  <c r="R19" i="61"/>
  <c r="M19" i="61" s="1"/>
  <c r="K19" i="61"/>
  <c r="R18" i="61"/>
  <c r="M18" i="61" s="1"/>
  <c r="K18" i="61"/>
  <c r="R17" i="61"/>
  <c r="R15" i="61"/>
  <c r="M15" i="61" s="1"/>
  <c r="R14" i="61"/>
  <c r="M14" i="61" s="1"/>
  <c r="K14" i="61"/>
  <c r="R13" i="61"/>
  <c r="R12" i="61"/>
  <c r="R11" i="61"/>
  <c r="M11" i="61" s="1"/>
  <c r="K11" i="61"/>
  <c r="R10" i="61"/>
  <c r="M10" i="61" s="1"/>
  <c r="R9" i="61"/>
  <c r="R7" i="61"/>
  <c r="M7" i="61" s="1"/>
  <c r="K6" i="61"/>
  <c r="R5" i="61"/>
  <c r="K9" i="61" l="1"/>
  <c r="L9" i="61" s="1"/>
  <c r="K17" i="61"/>
  <c r="K8" i="61"/>
  <c r="K16" i="61"/>
  <c r="L17" i="61"/>
  <c r="K7" i="61"/>
  <c r="L7" i="61" s="1"/>
  <c r="K15" i="61"/>
  <c r="L15" i="61" s="1"/>
  <c r="K12" i="61"/>
  <c r="L12" i="61" s="1"/>
  <c r="L14" i="61"/>
  <c r="L18" i="61"/>
  <c r="L6" i="61"/>
  <c r="U9" i="61"/>
  <c r="M9" i="61"/>
  <c r="L11" i="61"/>
  <c r="U13" i="61"/>
  <c r="M13" i="61"/>
  <c r="U17" i="61"/>
  <c r="M17" i="61"/>
  <c r="M8" i="61"/>
  <c r="U8" i="61"/>
  <c r="M12" i="61"/>
  <c r="U12" i="61"/>
  <c r="M16" i="61"/>
  <c r="U16" i="61"/>
  <c r="M5" i="61"/>
  <c r="U5" i="61"/>
  <c r="L19" i="61"/>
  <c r="U6" i="61"/>
  <c r="U10" i="61"/>
  <c r="U14" i="61"/>
  <c r="U18" i="61"/>
  <c r="U7" i="61"/>
  <c r="U11" i="61"/>
  <c r="U15" i="61"/>
  <c r="U19" i="61"/>
  <c r="L10" i="61" l="1"/>
  <c r="L16" i="61"/>
  <c r="L13" i="61"/>
  <c r="L8" i="61"/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C40" i="9" l="1"/>
  <c r="C41" i="9"/>
  <c r="AG38" i="9"/>
  <c r="AC38" i="9"/>
  <c r="AB38" i="9"/>
  <c r="Z38" i="9"/>
  <c r="Y38" i="9"/>
  <c r="X38" i="9"/>
  <c r="W38" i="9"/>
  <c r="U38" i="9"/>
  <c r="S38" i="9"/>
  <c r="Q38" i="9"/>
  <c r="O38" i="9"/>
  <c r="I38" i="9"/>
  <c r="C38" i="9"/>
  <c r="AG37" i="9"/>
  <c r="AC37" i="9"/>
  <c r="AB37" i="9"/>
  <c r="Z37" i="9"/>
  <c r="Y37" i="9"/>
  <c r="X37" i="9"/>
  <c r="W37" i="9"/>
  <c r="U37" i="9"/>
  <c r="S37" i="9"/>
  <c r="Q37" i="9"/>
  <c r="O37" i="9"/>
  <c r="I37" i="9"/>
  <c r="C37" i="9"/>
  <c r="AG36" i="9"/>
  <c r="AC36" i="9"/>
  <c r="AB36" i="9"/>
  <c r="Z36" i="9"/>
  <c r="Y36" i="9"/>
  <c r="X36" i="9"/>
  <c r="W36" i="9"/>
  <c r="U36" i="9"/>
  <c r="S36" i="9"/>
  <c r="Q36" i="9"/>
  <c r="O36" i="9"/>
  <c r="I36" i="9"/>
  <c r="C36" i="9"/>
  <c r="AG35" i="9"/>
  <c r="AC35" i="9"/>
  <c r="AB35" i="9"/>
  <c r="Z35" i="9"/>
  <c r="Y35" i="9"/>
  <c r="X35" i="9"/>
  <c r="W35" i="9"/>
  <c r="U35" i="9"/>
  <c r="S35" i="9"/>
  <c r="Q35" i="9"/>
  <c r="O35" i="9"/>
  <c r="I35" i="9"/>
  <c r="C35" i="9"/>
  <c r="AG34" i="9"/>
  <c r="AC34" i="9"/>
  <c r="AB34" i="9"/>
  <c r="Z34" i="9"/>
  <c r="Y34" i="9"/>
  <c r="X34" i="9"/>
  <c r="W34" i="9"/>
  <c r="U34" i="9"/>
  <c r="S34" i="9"/>
  <c r="Q34" i="9"/>
  <c r="O34" i="9"/>
  <c r="I34" i="9"/>
  <c r="C34" i="9"/>
  <c r="AG33" i="9"/>
  <c r="AC33" i="9"/>
  <c r="AB33" i="9"/>
  <c r="AK33" i="9" s="1"/>
  <c r="Z33" i="9"/>
  <c r="Y33" i="9"/>
  <c r="X33" i="9"/>
  <c r="W33" i="9"/>
  <c r="U33" i="9"/>
  <c r="S33" i="9"/>
  <c r="Q33" i="9"/>
  <c r="O33" i="9"/>
  <c r="I33" i="9"/>
  <c r="C33" i="9"/>
  <c r="AG32" i="9"/>
  <c r="AC32" i="9"/>
  <c r="AB32" i="9"/>
  <c r="Z32" i="9"/>
  <c r="Y32" i="9"/>
  <c r="X32" i="9"/>
  <c r="W32" i="9"/>
  <c r="U32" i="9"/>
  <c r="S32" i="9"/>
  <c r="Q32" i="9"/>
  <c r="O32" i="9"/>
  <c r="I32" i="9"/>
  <c r="C32" i="9"/>
  <c r="AG31" i="9"/>
  <c r="AC31" i="9"/>
  <c r="AB31" i="9"/>
  <c r="AK31" i="9" s="1"/>
  <c r="Z31" i="9"/>
  <c r="Y31" i="9"/>
  <c r="X31" i="9"/>
  <c r="W31" i="9"/>
  <c r="U31" i="9"/>
  <c r="S31" i="9"/>
  <c r="Q31" i="9"/>
  <c r="O31" i="9"/>
  <c r="I31" i="9"/>
  <c r="C31" i="9"/>
  <c r="AG30" i="9"/>
  <c r="AC30" i="9"/>
  <c r="AB30" i="9"/>
  <c r="Z30" i="9"/>
  <c r="Y30" i="9"/>
  <c r="X30" i="9"/>
  <c r="W30" i="9"/>
  <c r="U30" i="9"/>
  <c r="S30" i="9"/>
  <c r="Q30" i="9"/>
  <c r="O30" i="9"/>
  <c r="I30" i="9"/>
  <c r="C30" i="9"/>
  <c r="AK30" i="9" s="1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AK29" i="9" s="1"/>
  <c r="Z29" i="9"/>
  <c r="Y29" i="9"/>
  <c r="X29" i="9"/>
  <c r="W29" i="9"/>
  <c r="U29" i="9"/>
  <c r="S29" i="9"/>
  <c r="R30" i="9" s="1"/>
  <c r="Q29" i="9"/>
  <c r="O29" i="9"/>
  <c r="M29" i="9"/>
  <c r="M30" i="9" s="1"/>
  <c r="M31" i="9" s="1"/>
  <c r="M32" i="9" s="1"/>
  <c r="M33" i="9" s="1"/>
  <c r="M34" i="9" s="1"/>
  <c r="M35" i="9" s="1"/>
  <c r="M36" i="9" s="1"/>
  <c r="M37" i="9" s="1"/>
  <c r="M38" i="9" s="1"/>
  <c r="I29" i="9"/>
  <c r="C29" i="9"/>
  <c r="B29" i="9"/>
  <c r="B30" i="9"/>
  <c r="B31" i="9"/>
  <c r="B32" i="9"/>
  <c r="B33" i="9"/>
  <c r="B34" i="9" s="1"/>
  <c r="B35" i="9" s="1"/>
  <c r="B36" i="9" s="1"/>
  <c r="B37" i="9" s="1"/>
  <c r="B38" i="9" s="1"/>
  <c r="A35" i="41"/>
  <c r="A25" i="41"/>
  <c r="A26" i="41"/>
  <c r="A27" i="41"/>
  <c r="A28" i="41"/>
  <c r="A29" i="41"/>
  <c r="A30" i="41"/>
  <c r="A31" i="41"/>
  <c r="A32" i="41"/>
  <c r="A33" i="41"/>
  <c r="A34" i="41"/>
  <c r="AA32" i="9" l="1"/>
  <c r="AF33" i="9"/>
  <c r="T35" i="9"/>
  <c r="V32" i="9"/>
  <c r="N33" i="9"/>
  <c r="AA36" i="9"/>
  <c r="AA35" i="9"/>
  <c r="AA30" i="9"/>
  <c r="R32" i="9"/>
  <c r="T36" i="9"/>
  <c r="AA37" i="9"/>
  <c r="AD37" i="9"/>
  <c r="AD33" i="9"/>
  <c r="AD34" i="9"/>
  <c r="AK38" i="9"/>
  <c r="V30" i="9"/>
  <c r="AK37" i="9"/>
  <c r="AK35" i="9"/>
  <c r="AD30" i="9"/>
  <c r="AK32" i="9"/>
  <c r="AF36" i="9"/>
  <c r="AI36" i="9" s="1"/>
  <c r="P36" i="9"/>
  <c r="T34" i="9"/>
  <c r="AD36" i="9"/>
  <c r="AE36" i="9" s="1"/>
  <c r="R34" i="9"/>
  <c r="V38" i="9"/>
  <c r="P33" i="9"/>
  <c r="R31" i="9"/>
  <c r="N34" i="9"/>
  <c r="P34" i="9"/>
  <c r="AD32" i="9"/>
  <c r="AE32" i="9" s="1"/>
  <c r="AF34" i="9"/>
  <c r="AH34" i="9" s="1"/>
  <c r="P32" i="9"/>
  <c r="AF38" i="9"/>
  <c r="AH38" i="9" s="1"/>
  <c r="N37" i="9"/>
  <c r="AA34" i="9"/>
  <c r="AF35" i="9"/>
  <c r="AH35" i="9" s="1"/>
  <c r="AF30" i="9"/>
  <c r="AI30" i="9" s="1"/>
  <c r="R33" i="9"/>
  <c r="T38" i="9"/>
  <c r="T30" i="9"/>
  <c r="R36" i="9"/>
  <c r="AA38" i="9"/>
  <c r="V35" i="9"/>
  <c r="V34" i="9"/>
  <c r="V31" i="9"/>
  <c r="AA33" i="9"/>
  <c r="AE33" i="9" s="1"/>
  <c r="AF31" i="9"/>
  <c r="AI31" i="9" s="1"/>
  <c r="AD35" i="9"/>
  <c r="T37" i="9"/>
  <c r="AD38" i="9"/>
  <c r="V36" i="9"/>
  <c r="N35" i="9"/>
  <c r="N30" i="9"/>
  <c r="T32" i="9"/>
  <c r="N38" i="9"/>
  <c r="AA29" i="9"/>
  <c r="R35" i="9"/>
  <c r="P38" i="9"/>
  <c r="AA31" i="9"/>
  <c r="R38" i="9"/>
  <c r="AH33" i="9"/>
  <c r="AI33" i="9"/>
  <c r="N31" i="9"/>
  <c r="AD31" i="9"/>
  <c r="T33" i="9"/>
  <c r="AK36" i="9"/>
  <c r="P37" i="9"/>
  <c r="AF37" i="9"/>
  <c r="R37" i="9"/>
  <c r="V33" i="9"/>
  <c r="N32" i="9"/>
  <c r="AD29" i="9"/>
  <c r="T31" i="9"/>
  <c r="AK34" i="9"/>
  <c r="P35" i="9"/>
  <c r="V37" i="9"/>
  <c r="AF32" i="9"/>
  <c r="AF29" i="9"/>
  <c r="P31" i="9"/>
  <c r="N36" i="9"/>
  <c r="P30" i="9"/>
  <c r="AE35" i="9" l="1"/>
  <c r="AE37" i="9"/>
  <c r="AE38" i="9"/>
  <c r="AE30" i="9"/>
  <c r="AE34" i="9"/>
  <c r="AH36" i="9"/>
  <c r="AI35" i="9"/>
  <c r="AI34" i="9"/>
  <c r="AH30" i="9"/>
  <c r="AI38" i="9"/>
  <c r="AE29" i="9"/>
  <c r="AE31" i="9"/>
  <c r="AH31" i="9"/>
  <c r="AI32" i="9"/>
  <c r="AH32" i="9"/>
  <c r="AI29" i="9"/>
  <c r="AH29" i="9"/>
  <c r="AI37" i="9"/>
  <c r="AH37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F41" i="9" l="1"/>
  <c r="F40" i="9"/>
  <c r="M10" i="9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9" i="9"/>
  <c r="X21" i="9"/>
  <c r="X22" i="9"/>
  <c r="X23" i="9"/>
  <c r="X24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4" i="9"/>
  <c r="X15" i="9"/>
  <c r="X16" i="9"/>
  <c r="X17" i="9"/>
  <c r="X18" i="9"/>
  <c r="X20" i="9"/>
  <c r="X25" i="9"/>
  <c r="X26" i="9"/>
  <c r="X27" i="9"/>
  <c r="X28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C20" i="9"/>
  <c r="C21" i="9"/>
  <c r="C22" i="9"/>
  <c r="C23" i="9"/>
  <c r="C24" i="9"/>
  <c r="J42" i="2"/>
  <c r="C19" i="9" s="1"/>
  <c r="J43" i="2"/>
  <c r="J44" i="2"/>
  <c r="J45" i="2"/>
  <c r="J46" i="2"/>
  <c r="J47" i="2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9" i="9"/>
  <c r="AT241" i="54"/>
  <c r="H38" i="9" s="1"/>
  <c r="AT240" i="54"/>
  <c r="H37" i="9" s="1"/>
  <c r="AT239" i="54"/>
  <c r="H36" i="9" s="1"/>
  <c r="AT238" i="54"/>
  <c r="H35" i="9" s="1"/>
  <c r="AT237" i="54"/>
  <c r="H34" i="9" s="1"/>
  <c r="AT236" i="54"/>
  <c r="H33" i="9" s="1"/>
  <c r="AT235" i="54"/>
  <c r="H32" i="9" s="1"/>
  <c r="AT234" i="54"/>
  <c r="H31" i="9" s="1"/>
  <c r="AT233" i="54"/>
  <c r="H30" i="9" s="1"/>
  <c r="AT232" i="54"/>
  <c r="H29" i="9" s="1"/>
  <c r="AT231" i="54"/>
  <c r="H28" i="9" s="1"/>
  <c r="AT230" i="54"/>
  <c r="H27" i="9" s="1"/>
  <c r="AT229" i="54"/>
  <c r="H26" i="9" s="1"/>
  <c r="AT228" i="54"/>
  <c r="H25" i="9" s="1"/>
  <c r="AT227" i="54"/>
  <c r="H24" i="9" s="1"/>
  <c r="AT226" i="54"/>
  <c r="H23" i="9" s="1"/>
  <c r="AT225" i="54"/>
  <c r="H22" i="9" s="1"/>
  <c r="AT224" i="54"/>
  <c r="H21" i="9" s="1"/>
  <c r="AT223" i="54"/>
  <c r="H20" i="9" s="1"/>
  <c r="AT222" i="54"/>
  <c r="AT221" i="54"/>
  <c r="H18" i="9" s="1"/>
  <c r="AT220" i="54"/>
  <c r="H17" i="9" s="1"/>
  <c r="AT219" i="54"/>
  <c r="H16" i="9" s="1"/>
  <c r="AT218" i="54"/>
  <c r="H15" i="9" s="1"/>
  <c r="AT217" i="54"/>
  <c r="H14" i="9" s="1"/>
  <c r="AT216" i="54"/>
  <c r="H13" i="9" s="1"/>
  <c r="AT215" i="54"/>
  <c r="H12" i="9" s="1"/>
  <c r="AT214" i="54"/>
  <c r="H11" i="9" s="1"/>
  <c r="AT213" i="54"/>
  <c r="H10" i="9" s="1"/>
  <c r="AT212" i="54"/>
  <c r="H9" i="9" s="1"/>
  <c r="AT211" i="54"/>
  <c r="AT210" i="54"/>
  <c r="AT209" i="54"/>
  <c r="AT208" i="54"/>
  <c r="AT207" i="54"/>
  <c r="AT206" i="54"/>
  <c r="AT205" i="54"/>
  <c r="AT204" i="54"/>
  <c r="AT203" i="54"/>
  <c r="AT202" i="54"/>
  <c r="AT201" i="54"/>
  <c r="AT200" i="54"/>
  <c r="AT199" i="54"/>
  <c r="AT198" i="54"/>
  <c r="AT197" i="54"/>
  <c r="AT196" i="54"/>
  <c r="AT195" i="54"/>
  <c r="AT194" i="54"/>
  <c r="AT193" i="54"/>
  <c r="AT192" i="54"/>
  <c r="AT191" i="54"/>
  <c r="AT190" i="54"/>
  <c r="AT189" i="54"/>
  <c r="AT188" i="54"/>
  <c r="AT187" i="54"/>
  <c r="AT186" i="54"/>
  <c r="AT185" i="54"/>
  <c r="AT184" i="54"/>
  <c r="AT183" i="54"/>
  <c r="AT182" i="54"/>
  <c r="AT181" i="54"/>
  <c r="J38" i="9" s="1"/>
  <c r="AL38" i="9" s="1"/>
  <c r="AT180" i="54"/>
  <c r="J37" i="9" s="1"/>
  <c r="AT179" i="54"/>
  <c r="J36" i="9" s="1"/>
  <c r="AT178" i="54"/>
  <c r="J35" i="9" s="1"/>
  <c r="AT177" i="54"/>
  <c r="J34" i="9" s="1"/>
  <c r="AT176" i="54"/>
  <c r="J33" i="9" s="1"/>
  <c r="AT175" i="54"/>
  <c r="J32" i="9" s="1"/>
  <c r="AT174" i="54"/>
  <c r="J31" i="9" s="1"/>
  <c r="AT173" i="54"/>
  <c r="J30" i="9" s="1"/>
  <c r="AT172" i="54"/>
  <c r="J29" i="9" s="1"/>
  <c r="AT171" i="54"/>
  <c r="J28" i="9" s="1"/>
  <c r="AT170" i="54"/>
  <c r="J27" i="9" s="1"/>
  <c r="AT169" i="54"/>
  <c r="J26" i="9" s="1"/>
  <c r="AT168" i="54"/>
  <c r="J25" i="9" s="1"/>
  <c r="AT167" i="54"/>
  <c r="J24" i="9" s="1"/>
  <c r="AT166" i="54"/>
  <c r="J23" i="9" s="1"/>
  <c r="AT165" i="54"/>
  <c r="J22" i="9" s="1"/>
  <c r="AT164" i="54"/>
  <c r="J21" i="9" s="1"/>
  <c r="AT163" i="54"/>
  <c r="J20" i="9" s="1"/>
  <c r="AT162" i="54"/>
  <c r="J19" i="9" s="1"/>
  <c r="AT35" i="54"/>
  <c r="D12" i="9" s="1"/>
  <c r="AT36" i="54"/>
  <c r="D13" i="9" s="1"/>
  <c r="AT37" i="54"/>
  <c r="D14" i="9" s="1"/>
  <c r="AT38" i="54"/>
  <c r="D15" i="9" s="1"/>
  <c r="AT39" i="54"/>
  <c r="D16" i="9" s="1"/>
  <c r="AT40" i="54"/>
  <c r="D17" i="9" s="1"/>
  <c r="AT41" i="54"/>
  <c r="D18" i="9" s="1"/>
  <c r="AT42" i="54"/>
  <c r="D19" i="9" s="1"/>
  <c r="AT43" i="54"/>
  <c r="D20" i="9" s="1"/>
  <c r="AT44" i="54"/>
  <c r="D21" i="9" s="1"/>
  <c r="AT45" i="54"/>
  <c r="D22" i="9" s="1"/>
  <c r="AT46" i="54"/>
  <c r="D23" i="9" s="1"/>
  <c r="AT47" i="54"/>
  <c r="D24" i="9" s="1"/>
  <c r="AT48" i="54"/>
  <c r="D25" i="9" s="1"/>
  <c r="AT49" i="54"/>
  <c r="D26" i="9" s="1"/>
  <c r="AT50" i="54"/>
  <c r="D27" i="9" s="1"/>
  <c r="AT51" i="54"/>
  <c r="D28" i="9" s="1"/>
  <c r="AT52" i="54"/>
  <c r="D29" i="9" s="1"/>
  <c r="AT53" i="54"/>
  <c r="D30" i="9" s="1"/>
  <c r="AT54" i="54"/>
  <c r="D31" i="9" s="1"/>
  <c r="AT55" i="54"/>
  <c r="D32" i="9" s="1"/>
  <c r="AT56" i="54"/>
  <c r="D33" i="9" s="1"/>
  <c r="AT57" i="54"/>
  <c r="D34" i="9" s="1"/>
  <c r="AT58" i="54"/>
  <c r="D35" i="9" s="1"/>
  <c r="AT59" i="54"/>
  <c r="D36" i="9" s="1"/>
  <c r="AT60" i="54"/>
  <c r="D37" i="9" s="1"/>
  <c r="AT61" i="54"/>
  <c r="D38" i="9" s="1"/>
  <c r="AT62" i="54"/>
  <c r="AT63" i="54"/>
  <c r="AT64" i="54"/>
  <c r="AT65" i="54"/>
  <c r="AT66" i="54"/>
  <c r="AT67" i="54"/>
  <c r="AT68" i="54"/>
  <c r="AT69" i="54"/>
  <c r="AT70" i="54"/>
  <c r="AT71" i="54"/>
  <c r="AT72" i="54"/>
  <c r="AT73" i="54"/>
  <c r="AT74" i="54"/>
  <c r="AT75" i="54"/>
  <c r="AT76" i="54"/>
  <c r="AT77" i="54"/>
  <c r="AT78" i="54"/>
  <c r="AT79" i="54"/>
  <c r="AT80" i="54"/>
  <c r="AT81" i="54"/>
  <c r="AT82" i="54"/>
  <c r="AT83" i="54"/>
  <c r="AT84" i="54"/>
  <c r="AT85" i="54"/>
  <c r="AT86" i="54"/>
  <c r="AT87" i="54"/>
  <c r="AT88" i="54"/>
  <c r="AT89" i="54"/>
  <c r="AT90" i="54"/>
  <c r="AT91" i="54"/>
  <c r="AT92" i="54"/>
  <c r="E9" i="9" s="1"/>
  <c r="AT93" i="54"/>
  <c r="E10" i="9" s="1"/>
  <c r="AT94" i="54"/>
  <c r="E11" i="9" s="1"/>
  <c r="AT95" i="54"/>
  <c r="E12" i="9" s="1"/>
  <c r="AT96" i="54"/>
  <c r="E13" i="9" s="1"/>
  <c r="AT97" i="54"/>
  <c r="E14" i="9" s="1"/>
  <c r="AT98" i="54"/>
  <c r="E15" i="9" s="1"/>
  <c r="AT99" i="54"/>
  <c r="E16" i="9" s="1"/>
  <c r="AT100" i="54"/>
  <c r="E17" i="9" s="1"/>
  <c r="AT101" i="54"/>
  <c r="E18" i="9" s="1"/>
  <c r="AT102" i="54"/>
  <c r="E19" i="9" s="1"/>
  <c r="AT103" i="54"/>
  <c r="E20" i="9" s="1"/>
  <c r="AT104" i="54"/>
  <c r="E21" i="9" s="1"/>
  <c r="AT105" i="54"/>
  <c r="E22" i="9" s="1"/>
  <c r="AT106" i="54"/>
  <c r="E23" i="9" s="1"/>
  <c r="AT107" i="54"/>
  <c r="E24" i="9" s="1"/>
  <c r="AT108" i="54"/>
  <c r="E25" i="9" s="1"/>
  <c r="AT109" i="54"/>
  <c r="E26" i="9" s="1"/>
  <c r="AT110" i="54"/>
  <c r="E27" i="9" s="1"/>
  <c r="AT111" i="54"/>
  <c r="E28" i="9" s="1"/>
  <c r="AT112" i="54"/>
  <c r="E29" i="9" s="1"/>
  <c r="AT113" i="54"/>
  <c r="E30" i="9" s="1"/>
  <c r="AT114" i="54"/>
  <c r="E31" i="9" s="1"/>
  <c r="AT115" i="54"/>
  <c r="E32" i="9" s="1"/>
  <c r="AT116" i="54"/>
  <c r="E33" i="9" s="1"/>
  <c r="AT117" i="54"/>
  <c r="E34" i="9" s="1"/>
  <c r="AT118" i="54"/>
  <c r="E35" i="9" s="1"/>
  <c r="AT119" i="54"/>
  <c r="E36" i="9" s="1"/>
  <c r="AT120" i="54"/>
  <c r="E37" i="9" s="1"/>
  <c r="AT121" i="54"/>
  <c r="E38" i="9" s="1"/>
  <c r="AT122" i="54"/>
  <c r="AT123" i="54"/>
  <c r="AT124" i="54"/>
  <c r="AT125" i="54"/>
  <c r="AT126" i="54"/>
  <c r="AT127" i="54"/>
  <c r="AT128" i="54"/>
  <c r="AT129" i="54"/>
  <c r="AT130" i="54"/>
  <c r="AT131" i="54"/>
  <c r="AT132" i="54"/>
  <c r="AT133" i="54"/>
  <c r="AT134" i="54"/>
  <c r="AT135" i="54"/>
  <c r="AT136" i="54"/>
  <c r="AT137" i="54"/>
  <c r="AT138" i="54"/>
  <c r="AT139" i="54"/>
  <c r="AT140" i="54"/>
  <c r="AT141" i="54"/>
  <c r="AT142" i="54"/>
  <c r="AT143" i="54"/>
  <c r="AT144" i="54"/>
  <c r="AT145" i="54"/>
  <c r="AT146" i="54"/>
  <c r="AT147" i="54"/>
  <c r="AT148" i="54"/>
  <c r="AT149" i="54"/>
  <c r="AT150" i="54"/>
  <c r="AT151" i="54"/>
  <c r="AT152" i="54"/>
  <c r="J9" i="9" s="1"/>
  <c r="AT153" i="54"/>
  <c r="J10" i="9" s="1"/>
  <c r="AT154" i="54"/>
  <c r="J11" i="9" s="1"/>
  <c r="AT155" i="54"/>
  <c r="J12" i="9" s="1"/>
  <c r="AT156" i="54"/>
  <c r="J13" i="9" s="1"/>
  <c r="AT157" i="54"/>
  <c r="J14" i="9" s="1"/>
  <c r="AT158" i="54"/>
  <c r="J15" i="9" s="1"/>
  <c r="AT159" i="54"/>
  <c r="J16" i="9" s="1"/>
  <c r="AT160" i="54"/>
  <c r="J17" i="9" s="1"/>
  <c r="AT161" i="54"/>
  <c r="J18" i="9" s="1"/>
  <c r="K37" i="9" l="1"/>
  <c r="AM37" i="9" s="1"/>
  <c r="AL37" i="9"/>
  <c r="H40" i="9"/>
  <c r="H41" i="9"/>
  <c r="E40" i="9"/>
  <c r="E41" i="9"/>
  <c r="J40" i="9"/>
  <c r="J41" i="9"/>
  <c r="K35" i="9"/>
  <c r="AM35" i="9" s="1"/>
  <c r="AL29" i="9"/>
  <c r="AL36" i="9"/>
  <c r="K36" i="9"/>
  <c r="AM36" i="9" s="1"/>
  <c r="K34" i="9"/>
  <c r="AM34" i="9" s="1"/>
  <c r="AL31" i="9"/>
  <c r="AL30" i="9"/>
  <c r="K33" i="9"/>
  <c r="AM33" i="9" s="1"/>
  <c r="K32" i="9"/>
  <c r="AM32" i="9" s="1"/>
  <c r="AL32" i="9"/>
  <c r="K31" i="9"/>
  <c r="AM31" i="9" s="1"/>
  <c r="AL33" i="9"/>
  <c r="K30" i="9"/>
  <c r="AM30" i="9" s="1"/>
  <c r="AL34" i="9"/>
  <c r="K38" i="9"/>
  <c r="K29" i="9"/>
  <c r="AM29" i="9" s="1"/>
  <c r="AL35" i="9"/>
  <c r="I11" i="9"/>
  <c r="I12" i="9"/>
  <c r="I13" i="9"/>
  <c r="I16" i="9"/>
  <c r="I17" i="9"/>
  <c r="I18" i="9"/>
  <c r="I19" i="9"/>
  <c r="I20" i="9"/>
  <c r="I21" i="9"/>
  <c r="I27" i="9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AM38" i="9" l="1"/>
  <c r="K42" i="9"/>
  <c r="K27" i="9"/>
  <c r="G41" i="9"/>
  <c r="G40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T3" i="54" l="1"/>
  <c r="AT4" i="54"/>
  <c r="AT5" i="54"/>
  <c r="AT6" i="54"/>
  <c r="AT7" i="54"/>
  <c r="AT8" i="54"/>
  <c r="AT9" i="54"/>
  <c r="AT10" i="54"/>
  <c r="AT11" i="54"/>
  <c r="AT12" i="54"/>
  <c r="AT13" i="54"/>
  <c r="AT14" i="54"/>
  <c r="AT15" i="54"/>
  <c r="AT16" i="54"/>
  <c r="AT17" i="54"/>
  <c r="AT18" i="54"/>
  <c r="AT19" i="54"/>
  <c r="AT20" i="54"/>
  <c r="AT21" i="54"/>
  <c r="AT22" i="54"/>
  <c r="AT23" i="54"/>
  <c r="AT24" i="54"/>
  <c r="AT25" i="54"/>
  <c r="AT26" i="54"/>
  <c r="AT27" i="54"/>
  <c r="AT28" i="54"/>
  <c r="AT29" i="54"/>
  <c r="AT30" i="54"/>
  <c r="AT31" i="54"/>
  <c r="AT32" i="54"/>
  <c r="D9" i="9" s="1"/>
  <c r="AT33" i="54"/>
  <c r="D10" i="9" s="1"/>
  <c r="AT34" i="54"/>
  <c r="D11" i="9" s="1"/>
  <c r="AT2" i="54"/>
  <c r="D41" i="9" l="1"/>
  <c r="D40" i="9"/>
  <c r="K26" i="9"/>
  <c r="AF9" i="9" l="1"/>
  <c r="AI9" i="9" s="1"/>
  <c r="K25" i="9" l="1"/>
  <c r="K24" i="9"/>
  <c r="K23" i="9"/>
  <c r="D19" i="61" s="1"/>
  <c r="K22" i="9"/>
  <c r="D18" i="61" s="1"/>
  <c r="K21" i="9"/>
  <c r="D17" i="61" s="1"/>
  <c r="K20" i="9"/>
  <c r="D16" i="61" s="1"/>
  <c r="K19" i="9"/>
  <c r="D15" i="61" s="1"/>
  <c r="E35" i="62" l="1"/>
  <c r="E37" i="62"/>
  <c r="E38" i="62"/>
  <c r="E36" i="62"/>
  <c r="E39" i="62"/>
  <c r="AA9" i="9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E7" i="61" s="1"/>
  <c r="J27" i="62" s="1"/>
  <c r="J5" i="2"/>
  <c r="AB12" i="9" s="1"/>
  <c r="J6" i="2"/>
  <c r="AB13" i="9" s="1"/>
  <c r="AD13" i="9" s="1"/>
  <c r="E9" i="61" s="1"/>
  <c r="J29" i="62" s="1"/>
  <c r="J7" i="2"/>
  <c r="AB14" i="9" s="1"/>
  <c r="J8" i="2"/>
  <c r="AB15" i="9" s="1"/>
  <c r="AD15" i="9" s="1"/>
  <c r="E11" i="61" s="1"/>
  <c r="J31" i="62" s="1"/>
  <c r="J9" i="2"/>
  <c r="AB16" i="9" s="1"/>
  <c r="J10" i="2"/>
  <c r="AB17" i="9" s="1"/>
  <c r="AD17" i="9" s="1"/>
  <c r="E13" i="61" s="1"/>
  <c r="J11" i="2"/>
  <c r="AB18" i="9" s="1"/>
  <c r="J12" i="2"/>
  <c r="AB19" i="9" s="1"/>
  <c r="AD19" i="9" s="1"/>
  <c r="E15" i="61" s="1"/>
  <c r="J13" i="2"/>
  <c r="AB20" i="9" s="1"/>
  <c r="J14" i="2"/>
  <c r="AB21" i="9" s="1"/>
  <c r="AD21" i="9" s="1"/>
  <c r="E17" i="61" s="1"/>
  <c r="J15" i="2"/>
  <c r="AB22" i="9" s="1"/>
  <c r="J16" i="2"/>
  <c r="AB23" i="9" s="1"/>
  <c r="AD23" i="9" s="1"/>
  <c r="E19" i="61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D5" i="61" s="1"/>
  <c r="J33" i="2"/>
  <c r="C10" i="9" s="1"/>
  <c r="K10" i="9" s="1"/>
  <c r="D6" i="61" s="1"/>
  <c r="E26" i="62" s="1"/>
  <c r="J34" i="2"/>
  <c r="C11" i="9" s="1"/>
  <c r="K11" i="9" s="1"/>
  <c r="D7" i="61" s="1"/>
  <c r="J35" i="2"/>
  <c r="C12" i="9" s="1"/>
  <c r="K12" i="9" s="1"/>
  <c r="D8" i="61" s="1"/>
  <c r="J36" i="2"/>
  <c r="C13" i="9" s="1"/>
  <c r="K13" i="9" s="1"/>
  <c r="D9" i="61" s="1"/>
  <c r="J37" i="2"/>
  <c r="C14" i="9" s="1"/>
  <c r="K14" i="9" s="1"/>
  <c r="D10" i="61" s="1"/>
  <c r="J38" i="2"/>
  <c r="C15" i="9" s="1"/>
  <c r="K15" i="9" s="1"/>
  <c r="D11" i="61" s="1"/>
  <c r="J39" i="2"/>
  <c r="C16" i="9" s="1"/>
  <c r="K16" i="9" s="1"/>
  <c r="D12" i="61" s="1"/>
  <c r="E32" i="62" s="1"/>
  <c r="J40" i="2"/>
  <c r="C17" i="9" s="1"/>
  <c r="K17" i="9" s="1"/>
  <c r="D13" i="61" s="1"/>
  <c r="E33" i="62" s="1"/>
  <c r="J41" i="2"/>
  <c r="C18" i="9" s="1"/>
  <c r="K18" i="9" s="1"/>
  <c r="D14" i="61" s="1"/>
  <c r="J2" i="2"/>
  <c r="AB9" i="9" s="1"/>
  <c r="AD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J39" i="62" l="1"/>
  <c r="F19" i="61"/>
  <c r="E30" i="62"/>
  <c r="E25" i="62"/>
  <c r="F11" i="61"/>
  <c r="E31" i="62"/>
  <c r="J35" i="62"/>
  <c r="U35" i="62" s="1"/>
  <c r="F15" i="61"/>
  <c r="E28" i="62"/>
  <c r="F33" i="62"/>
  <c r="J37" i="62"/>
  <c r="U37" i="62" s="1"/>
  <c r="F17" i="61"/>
  <c r="F9" i="61"/>
  <c r="E29" i="62"/>
  <c r="E27" i="62"/>
  <c r="F7" i="61"/>
  <c r="F13" i="61"/>
  <c r="J33" i="62"/>
  <c r="U33" i="62" s="1"/>
  <c r="AE9" i="9"/>
  <c r="E5" i="61"/>
  <c r="J25" i="62" s="1"/>
  <c r="E34" i="62"/>
  <c r="L9" i="9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E14" i="61" s="1"/>
  <c r="J34" i="62" s="1"/>
  <c r="U34" i="62" s="1"/>
  <c r="AD14" i="9"/>
  <c r="E10" i="61" s="1"/>
  <c r="J30" i="62" s="1"/>
  <c r="AD10" i="9"/>
  <c r="E6" i="61" s="1"/>
  <c r="T24" i="9"/>
  <c r="P13" i="9"/>
  <c r="AD26" i="9"/>
  <c r="AD22" i="9"/>
  <c r="E18" i="61" s="1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E16" i="61" s="1"/>
  <c r="AD16" i="9"/>
  <c r="E12" i="61" s="1"/>
  <c r="AD12" i="9"/>
  <c r="E8" i="61" s="1"/>
  <c r="J28" i="62" s="1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F30" i="62" l="1"/>
  <c r="G30" i="62" s="1"/>
  <c r="F28" i="62"/>
  <c r="J38" i="62"/>
  <c r="U38" i="62" s="1"/>
  <c r="F18" i="61"/>
  <c r="N17" i="61"/>
  <c r="O17" i="61" s="1"/>
  <c r="N11" i="61"/>
  <c r="O11" i="61" s="1"/>
  <c r="F5" i="61"/>
  <c r="G33" i="62"/>
  <c r="E14" i="62"/>
  <c r="F36" i="62"/>
  <c r="F37" i="62"/>
  <c r="F38" i="62"/>
  <c r="F39" i="62"/>
  <c r="F35" i="62"/>
  <c r="G13" i="61"/>
  <c r="N13" i="61"/>
  <c r="O13" i="61" s="1"/>
  <c r="F8" i="61"/>
  <c r="G9" i="61" s="1"/>
  <c r="N7" i="61"/>
  <c r="O7" i="61" s="1"/>
  <c r="E9" i="62"/>
  <c r="G28" i="62"/>
  <c r="F10" i="61"/>
  <c r="F26" i="62"/>
  <c r="F27" i="62"/>
  <c r="N15" i="61"/>
  <c r="O15" i="61" s="1"/>
  <c r="F32" i="62"/>
  <c r="J36" i="62"/>
  <c r="U36" i="62" s="1"/>
  <c r="F16" i="61"/>
  <c r="G17" i="61" s="1"/>
  <c r="F14" i="61"/>
  <c r="G15" i="61" s="1"/>
  <c r="F29" i="62"/>
  <c r="G19" i="61"/>
  <c r="N19" i="61"/>
  <c r="O19" i="61" s="1"/>
  <c r="F6" i="61"/>
  <c r="J26" i="62"/>
  <c r="F12" i="61"/>
  <c r="J32" i="62"/>
  <c r="U32" i="62" s="1"/>
  <c r="F34" i="62"/>
  <c r="N9" i="61"/>
  <c r="O9" i="61" s="1"/>
  <c r="F31" i="62"/>
  <c r="U39" i="62"/>
  <c r="G40" i="62"/>
  <c r="T41" i="62"/>
  <c r="AA10" i="9"/>
  <c r="AM10" i="9"/>
  <c r="AL9" i="9"/>
  <c r="E11" i="62" l="1"/>
  <c r="D23" i="61"/>
  <c r="Q5" i="61" s="1"/>
  <c r="N5" i="61"/>
  <c r="O5" i="61" s="1"/>
  <c r="G39" i="62"/>
  <c r="E20" i="62"/>
  <c r="E15" i="62"/>
  <c r="G34" i="62"/>
  <c r="G41" i="62"/>
  <c r="G32" i="62"/>
  <c r="E13" i="62"/>
  <c r="N6" i="61"/>
  <c r="O6" i="61" s="1"/>
  <c r="G6" i="61"/>
  <c r="G7" i="61"/>
  <c r="G38" i="62"/>
  <c r="E19" i="62"/>
  <c r="N10" i="61"/>
  <c r="O10" i="61" s="1"/>
  <c r="G10" i="61"/>
  <c r="F9" i="62"/>
  <c r="H28" i="62"/>
  <c r="G12" i="61"/>
  <c r="N12" i="61"/>
  <c r="O12" i="61" s="1"/>
  <c r="G35" i="62"/>
  <c r="E16" i="62"/>
  <c r="E12" i="62"/>
  <c r="G31" i="62"/>
  <c r="E18" i="62"/>
  <c r="G37" i="62"/>
  <c r="G27" i="62"/>
  <c r="E8" i="62"/>
  <c r="F11" i="62"/>
  <c r="H30" i="62"/>
  <c r="E17" i="62"/>
  <c r="G36" i="62"/>
  <c r="N18" i="61"/>
  <c r="O18" i="61" s="1"/>
  <c r="G18" i="61"/>
  <c r="N14" i="61"/>
  <c r="O14" i="61" s="1"/>
  <c r="G14" i="61"/>
  <c r="F14" i="62"/>
  <c r="H33" i="62"/>
  <c r="N16" i="61"/>
  <c r="O16" i="61" s="1"/>
  <c r="G16" i="61"/>
  <c r="G11" i="61"/>
  <c r="G29" i="62"/>
  <c r="E10" i="62"/>
  <c r="E7" i="62"/>
  <c r="G26" i="62"/>
  <c r="G8" i="61"/>
  <c r="N8" i="61"/>
  <c r="O8" i="61" s="1"/>
  <c r="AE10" i="9"/>
  <c r="AL10" i="9"/>
  <c r="AA11" i="9"/>
  <c r="AE11" i="9" s="1"/>
  <c r="AM11" i="9"/>
  <c r="F13" i="62" l="1"/>
  <c r="H32" i="62"/>
  <c r="F12" i="62"/>
  <c r="H31" i="62"/>
  <c r="F17" i="62"/>
  <c r="H36" i="62"/>
  <c r="F15" i="62"/>
  <c r="H34" i="62"/>
  <c r="F16" i="62"/>
  <c r="H35" i="62"/>
  <c r="F7" i="62"/>
  <c r="H26" i="62"/>
  <c r="F8" i="62"/>
  <c r="H27" i="62"/>
  <c r="H39" i="62"/>
  <c r="F20" i="62"/>
  <c r="G11" i="62"/>
  <c r="J11" i="62"/>
  <c r="F10" i="62"/>
  <c r="H29" i="62"/>
  <c r="F18" i="62"/>
  <c r="J18" i="62" s="1"/>
  <c r="H37" i="62"/>
  <c r="G14" i="62"/>
  <c r="J14" i="62"/>
  <c r="F19" i="62"/>
  <c r="J19" i="62" s="1"/>
  <c r="H38" i="62"/>
  <c r="J9" i="62"/>
  <c r="G9" i="62"/>
  <c r="Q6" i="61"/>
  <c r="S5" i="61"/>
  <c r="V5" i="61" s="1"/>
  <c r="T5" i="61"/>
  <c r="W5" i="61" s="1"/>
  <c r="AL11" i="9"/>
  <c r="AA12" i="9"/>
  <c r="AM12" i="9"/>
  <c r="AM9" i="9"/>
  <c r="T40" i="62" l="1"/>
  <c r="T42" i="62" s="1"/>
  <c r="J20" i="62"/>
  <c r="L20" i="62" s="1"/>
  <c r="L21" i="62" s="1"/>
  <c r="H20" i="62"/>
  <c r="H21" i="62" s="1"/>
  <c r="G15" i="62"/>
  <c r="J15" i="62"/>
  <c r="S6" i="61"/>
  <c r="V6" i="61" s="1"/>
  <c r="T6" i="61"/>
  <c r="W6" i="61" s="1"/>
  <c r="Q7" i="61"/>
  <c r="J10" i="62"/>
  <c r="G10" i="62"/>
  <c r="J17" i="62"/>
  <c r="G17" i="62"/>
  <c r="J12" i="62"/>
  <c r="G12" i="62"/>
  <c r="J8" i="62"/>
  <c r="G8" i="62"/>
  <c r="J7" i="62"/>
  <c r="G7" i="62"/>
  <c r="G16" i="62"/>
  <c r="J16" i="62"/>
  <c r="G13" i="62"/>
  <c r="J13" i="62"/>
  <c r="AE12" i="9"/>
  <c r="AL12" i="9"/>
  <c r="AA13" i="9"/>
  <c r="T7" i="61" l="1"/>
  <c r="W7" i="61" s="1"/>
  <c r="S7" i="61"/>
  <c r="V7" i="61" s="1"/>
  <c r="Q8" i="61"/>
  <c r="AE13" i="9"/>
  <c r="AL13" i="9"/>
  <c r="AA14" i="9"/>
  <c r="AM14" i="9"/>
  <c r="AM13" i="9"/>
  <c r="T8" i="61" l="1"/>
  <c r="W8" i="61" s="1"/>
  <c r="Q9" i="61"/>
  <c r="S8" i="61"/>
  <c r="V8" i="61" s="1"/>
  <c r="AE14" i="9"/>
  <c r="AL14" i="9"/>
  <c r="AA15" i="9"/>
  <c r="Q10" i="61" l="1"/>
  <c r="S9" i="61"/>
  <c r="V9" i="61" s="1"/>
  <c r="T9" i="61"/>
  <c r="W9" i="61" s="1"/>
  <c r="AM15" i="9"/>
  <c r="AE15" i="9"/>
  <c r="AL15" i="9"/>
  <c r="AA16" i="9"/>
  <c r="AM16" i="9"/>
  <c r="Q11" i="61" l="1"/>
  <c r="T10" i="61"/>
  <c r="W10" i="61" s="1"/>
  <c r="S10" i="61"/>
  <c r="V10" i="61" s="1"/>
  <c r="AE16" i="9"/>
  <c r="AL16" i="9"/>
  <c r="AA17" i="9"/>
  <c r="T11" i="61" l="1"/>
  <c r="W11" i="61" s="1"/>
  <c r="Q12" i="61"/>
  <c r="S11" i="61"/>
  <c r="V11" i="61" s="1"/>
  <c r="AM18" i="9"/>
  <c r="AE17" i="9"/>
  <c r="AL17" i="9"/>
  <c r="AA18" i="9"/>
  <c r="AM17" i="9"/>
  <c r="T12" i="61" l="1"/>
  <c r="W12" i="61" s="1"/>
  <c r="Q13" i="61"/>
  <c r="S12" i="61"/>
  <c r="V12" i="61" s="1"/>
  <c r="AE18" i="9"/>
  <c r="AL18" i="9"/>
  <c r="AA19" i="9"/>
  <c r="AM19" i="9"/>
  <c r="Q14" i="61" l="1"/>
  <c r="S13" i="61"/>
  <c r="V13" i="61" s="1"/>
  <c r="T13" i="61"/>
  <c r="W13" i="61" s="1"/>
  <c r="AM20" i="9"/>
  <c r="AE19" i="9"/>
  <c r="AL19" i="9"/>
  <c r="AA20" i="9"/>
  <c r="Q15" i="61" l="1"/>
  <c r="S14" i="61"/>
  <c r="V14" i="61" s="1"/>
  <c r="T14" i="61"/>
  <c r="W14" i="61" s="1"/>
  <c r="AE20" i="9"/>
  <c r="AL20" i="9"/>
  <c r="AA21" i="9"/>
  <c r="AM21" i="9"/>
  <c r="T15" i="61" l="1"/>
  <c r="W15" i="61" s="1"/>
  <c r="Q16" i="61"/>
  <c r="S15" i="61"/>
  <c r="V15" i="61" s="1"/>
  <c r="AM22" i="9"/>
  <c r="AE21" i="9"/>
  <c r="AL21" i="9"/>
  <c r="AA22" i="9"/>
  <c r="T16" i="61" l="1"/>
  <c r="W16" i="61" s="1"/>
  <c r="Q17" i="61"/>
  <c r="S16" i="61"/>
  <c r="V16" i="61" s="1"/>
  <c r="AE22" i="9"/>
  <c r="AL22" i="9"/>
  <c r="AA23" i="9"/>
  <c r="AM23" i="9"/>
  <c r="T17" i="61" l="1"/>
  <c r="W17" i="61" s="1"/>
  <c r="Q18" i="61"/>
  <c r="S17" i="61"/>
  <c r="V17" i="61" s="1"/>
  <c r="AM24" i="9"/>
  <c r="AL23" i="9"/>
  <c r="AE23" i="9"/>
  <c r="AA24" i="9"/>
  <c r="Q19" i="61" l="1"/>
  <c r="S18" i="61"/>
  <c r="V18" i="61" s="1"/>
  <c r="T18" i="61"/>
  <c r="W18" i="61" s="1"/>
  <c r="AL24" i="9"/>
  <c r="AE24" i="9"/>
  <c r="AA25" i="9"/>
  <c r="AM25" i="9"/>
  <c r="S19" i="61" l="1"/>
  <c r="V19" i="61" s="1"/>
  <c r="Y19" i="61" s="1"/>
  <c r="T19" i="61"/>
  <c r="W19" i="61" s="1"/>
  <c r="AM26" i="9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  <comment ref="C50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50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H50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comments2.xml><?xml version="1.0" encoding="utf-8"?>
<comments xmlns="http://schemas.openxmlformats.org/spreadsheetml/2006/main">
  <authors>
    <author>dtso762</author>
    <author>s187281</author>
  </authors>
  <commentList>
    <comment ref="D22" authorId="0" shapeId="0">
      <text>
        <r>
          <rPr>
            <b/>
            <sz val="9"/>
            <color indexed="81"/>
            <rFont val="Tahoma"/>
            <family val="2"/>
          </rPr>
          <t>dtso762:</t>
        </r>
        <r>
          <rPr>
            <sz val="9"/>
            <color indexed="81"/>
            <rFont val="Tahoma"/>
            <family val="2"/>
          </rPr>
          <t xml:space="preserve">
From Load Forecasting</t>
        </r>
      </text>
    </comment>
    <comment ref="D25" authorId="1" shapeId="0">
      <text>
        <r>
          <rPr>
            <sz val="9"/>
            <color indexed="81"/>
            <rFont val="Tahoma"/>
            <family val="2"/>
          </rPr>
          <t>2018 weather normal usage of 15,232kWh per customer provided by Load Forecasting</t>
        </r>
      </text>
    </comment>
  </commentList>
</comments>
</file>

<file path=xl/sharedStrings.xml><?xml version="1.0" encoding="utf-8"?>
<sst xmlns="http://schemas.openxmlformats.org/spreadsheetml/2006/main" count="2677" uniqueCount="236">
  <si>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</si>
  <si>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</si>
  <si>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</si>
  <si>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</si>
  <si>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</si>
  <si>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</si>
  <si>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</si>
  <si>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</si>
  <si>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</si>
  <si>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</si>
  <si>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</si>
  <si>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</si>
  <si>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</si>
  <si>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</si>
  <si>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</si>
  <si>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</si>
  <si>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</si>
  <si>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</si>
  <si>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</si>
  <si>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</si>
  <si>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</si>
  <si>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</si>
  <si>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</si>
  <si>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</si>
  <si>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</si>
  <si>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</si>
  <si>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</si>
  <si>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</si>
  <si>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</si>
  <si>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</si>
  <si>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</si>
  <si>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</si>
  <si>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</si>
  <si>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</si>
  <si>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</si>
  <si>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</si>
  <si>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</si>
  <si>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</si>
  <si>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</si>
  <si>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</si>
  <si>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</si>
  <si>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</si>
  <si>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</si>
  <si>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</si>
  <si>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</si>
  <si>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</si>
  <si>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</si>
  <si>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</si>
  <si>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</si>
  <si>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</si>
  <si>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</si>
  <si>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</si>
  <si>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</si>
  <si>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</si>
  <si>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</si>
  <si>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</si>
  <si>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</si>
  <si>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</si>
  <si>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</si>
  <si>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</si>
  <si>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</si>
  <si>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</si>
  <si>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</si>
  <si>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</si>
  <si>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</si>
  <si>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</si>
  <si>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</si>
  <si>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</si>
  <si>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</si>
  <si>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</si>
  <si>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</si>
  <si>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</si>
  <si>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</si>
  <si>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</si>
  <si>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</si>
  <si>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</si>
  <si>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</si>
  <si>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</si>
  <si>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</si>
  <si>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</si>
  <si>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</si>
  <si>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</si>
  <si>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</si>
  <si>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</si>
  <si>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</si>
  <si>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</si>
  <si>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</si>
  <si>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</si>
  <si>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</si>
  <si>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</si>
  <si>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</si>
  <si>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</si>
  <si>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</si>
  <si>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</si>
  <si>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</si>
  <si>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</si>
  <si>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</si>
  <si>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</si>
  <si>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</si>
  <si>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</si>
  <si>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</si>
  <si>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</si>
  <si>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</si>
  <si>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</si>
  <si>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</si>
  <si>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</si>
  <si>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</si>
  <si>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</si>
  <si>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</si>
  <si>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</si>
  <si>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</si>
  <si>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</si>
  <si>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</si>
  <si>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</si>
  <si>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</si>
  <si>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</si>
  <si>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</si>
  <si>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</si>
  <si>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</si>
  <si>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</si>
  <si>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</si>
  <si>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</si>
  <si>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</si>
  <si>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</si>
  <si>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</si>
  <si>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</si>
  <si>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</si>
  <si>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</si>
  <si>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</si>
  <si>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</si>
  <si>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</si>
  <si>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</si>
  <si>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</si>
  <si>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</si>
  <si>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</si>
  <si>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</si>
  <si>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</si>
  <si>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</si>
  <si>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</si>
  <si>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</si>
  <si>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</si>
  <si>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</si>
  <si>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</si>
  <si>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</si>
  <si>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</si>
  <si>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</si>
  <si>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</si>
  <si>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</si>
  <si>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</si>
  <si>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</si>
  <si>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KP_R_AP_Appliances_30</t>
  </si>
  <si>
    <t>KP_R_AP_Light_25</t>
  </si>
  <si>
    <t>KP_R_AP_Shell_30</t>
  </si>
  <si>
    <t>KP_R_AP_Shell_40</t>
  </si>
  <si>
    <t>KP_R_AP_Water Heat_30</t>
  </si>
  <si>
    <t>KP_R_AP_Water Heat_40</t>
  </si>
  <si>
    <t>KP_R_HAP_Appliances_30</t>
  </si>
  <si>
    <t>KP_R_HAP_Light_30</t>
  </si>
  <si>
    <t>KP_C_AP_Indoor HID Fluor Light_25</t>
  </si>
  <si>
    <t>KP_C_AP_Indoor HID Fluor Light_30</t>
  </si>
  <si>
    <t>KP_C_AP_Indoor Screw Light_25</t>
  </si>
  <si>
    <t>KP_C_HAP_Indoor Screw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</si>
  <si>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</si>
  <si>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</si>
  <si>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</si>
  <si>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</si>
  <si>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</si>
  <si>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</si>
  <si>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</si>
  <si>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</si>
  <si>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</si>
  <si>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</si>
  <si>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</si>
  <si>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</si>
  <si>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</si>
  <si>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</si>
  <si>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</si>
  <si>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</si>
  <si>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</si>
  <si>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</si>
  <si>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</si>
  <si>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</si>
  <si>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</si>
  <si>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2020-2049</t>
  </si>
  <si>
    <t>CPW of End Effects beyond 2049</t>
  </si>
  <si>
    <t>Utility CPW 2020-2034</t>
  </si>
  <si>
    <t>NPV 
(7.13%)</t>
  </si>
  <si>
    <t>Preferred Plan w ST PPA Only Allowed 2022-2024 and Limited EE Base Band Commodity Pricing and Allowance Market Pricing</t>
  </si>
  <si>
    <t>Monthly Bill Impact</t>
  </si>
  <si>
    <t>Preferred Plan Annual Net Cost ($000)</t>
  </si>
  <si>
    <t>KPCo Net Load (GWh)</t>
  </si>
  <si>
    <t>Cents/kWh</t>
  </si>
  <si>
    <t>Incremental Cost cents/kWh</t>
  </si>
  <si>
    <t>Case 1 Annual Net Cost ($000)</t>
  </si>
  <si>
    <t>Cents/ kWh</t>
  </si>
  <si>
    <t>Preferred Vs. Case 1 ($)</t>
  </si>
  <si>
    <t>KPCo Non Modeled Rate</t>
  </si>
  <si>
    <t>Escalation</t>
  </si>
  <si>
    <t>Non Gen</t>
  </si>
  <si>
    <t>2018 Resd. Avg. Usage/Month</t>
  </si>
  <si>
    <t>kWh</t>
  </si>
  <si>
    <t>Case 1</t>
  </si>
  <si>
    <t>(Incremental) Existing System FOM and OGC</t>
  </si>
  <si>
    <t>(Incremental)
Variable O&amp;M
+ Fixed O&amp;M
+ Lease Costs
+ PPA Costs</t>
  </si>
  <si>
    <t>(Incremental) Capital 
+ Renewable 
+ Energy Efficiency
+ VVO Program Costs</t>
  </si>
  <si>
    <t>Less:                      Market 
Revenue</t>
  </si>
  <si>
    <t>=              Net Load Require- ments</t>
  </si>
  <si>
    <t>Revenue requirements</t>
  </si>
  <si>
    <t>Nominal ($/kWh)</t>
  </si>
  <si>
    <t>CPW - preferred plan</t>
  </si>
  <si>
    <t>Net Forecast (GWh)</t>
  </si>
  <si>
    <t>CO2 Nominal</t>
  </si>
  <si>
    <t>Cost (000)</t>
  </si>
  <si>
    <t>CO2 Real</t>
  </si>
  <si>
    <t>Real</t>
  </si>
  <si>
    <t>Real ($2020/kWh)</t>
  </si>
  <si>
    <t>Total Preferred Plan</t>
  </si>
  <si>
    <t>Preferred Plan</t>
  </si>
  <si>
    <t>Incremental to 2020 ($)</t>
  </si>
  <si>
    <t>Incremental $/kWh (2020)</t>
  </si>
  <si>
    <t>Nominal $/kWh relative to 2020</t>
  </si>
  <si>
    <t>Prfrd Plan CO2 Tons</t>
  </si>
  <si>
    <t>Total Case 1</t>
  </si>
  <si>
    <t>2020 Resi. Rate</t>
  </si>
  <si>
    <t>($/short ton)  -Nominal $'s</t>
  </si>
  <si>
    <t>deflator based on fundamentals average over planning period</t>
  </si>
  <si>
    <t>($/short ton) - Real (2018) $'s</t>
  </si>
  <si>
    <t>% of total Rate Change (Real$) attributed to CO2</t>
  </si>
  <si>
    <t>EE-C</t>
  </si>
  <si>
    <t>EE-R</t>
  </si>
  <si>
    <t>EE Total</t>
  </si>
  <si>
    <t>% Diff from Case 1 Bill</t>
  </si>
  <si>
    <t>wind</t>
  </si>
  <si>
    <t>solar</t>
  </si>
  <si>
    <t>PPA</t>
  </si>
  <si>
    <t>VVO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</si>
</sst>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  <numFmt numFmtId="204" formatCode="0.000"/>
    <numFmt numFmtId="205" formatCode="&quot;$&quot;#,##0.000"/>
    <numFmt numFmtId="206" formatCode="_(&quot;$&quot;* #,##0.000_);_(&quot;$&quot;* \(#,##0.000\);_(&quot;$&quot;* &quot;-&quot;??_);_(@_)"/>
    <numFmt numFmtId="207" formatCode="_(&quot;$&quot;* #,##0.0000_);_(&quot;$&quot;* \(#,##0.0000\);_(&quot;$&quot;* &quot;-&quot;??_);_(@_)"/>
    <numFmt numFmtId="208" formatCode="_(* #,##0.000_);_(* \(#,##0.000\);_(* &quot;-&quot;??_);_(@_)"/>
    <numFmt numFmtId="209" formatCode="&quot;$&quot;#,##0.000_);\(&quot;$&quot;#,##0.000\)"/>
    <numFmt numFmtId="210" formatCode="&quot;$&quot;#,##0.0000_);\(&quot;$&quot;#,##0.0000\)"/>
    <numFmt numFmtId="211" formatCode="_(* #,##0.0000_);_(* \(#,##0.0000\);_(* &quot;-&quot;??_);_(@_)"/>
    <numFmt numFmtId="212" formatCode="#,##0.000"/>
    <numFmt numFmtId="213" formatCode="0.0000"/>
  </numFmts>
  <fonts count="16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  <font>
      <b/>
      <sz val="9"/>
      <color indexed="81"/>
      <name val="Tahoma"/>
      <family val="2"/>
    </font>
  </fonts>
  <fills count="6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149">
    <xf numFmtId="0" fontId="0" fillId="0" borderId="0"/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3" fillId="0" borderId="0">
      <alignment vertical="top"/>
    </xf>
    <xf numFmtId="0" fontId="12" fillId="0" borderId="0"/>
    <xf numFmtId="38" fontId="20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6" fillId="30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116" fillId="30" borderId="0" applyNumberFormat="0" applyBorder="0" applyAlignment="0" applyProtection="0"/>
    <xf numFmtId="0" fontId="39" fillId="2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39" fillId="2" borderId="0" applyNumberFormat="0" applyBorder="0" applyAlignment="0" applyProtection="0"/>
    <xf numFmtId="0" fontId="116" fillId="30" borderId="0" applyNumberFormat="0" applyBorder="0" applyAlignment="0" applyProtection="0"/>
    <xf numFmtId="0" fontId="116" fillId="30" borderId="0" applyNumberFormat="0" applyBorder="0" applyAlignment="0" applyProtection="0"/>
    <xf numFmtId="0" fontId="117" fillId="30" borderId="0" applyNumberFormat="0" applyBorder="0" applyAlignment="0" applyProtection="0"/>
    <xf numFmtId="0" fontId="116" fillId="3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116" fillId="31" borderId="0" applyNumberFormat="0" applyBorder="0" applyAlignment="0" applyProtection="0"/>
    <xf numFmtId="0" fontId="39" fillId="3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39" fillId="3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17" fillId="31" borderId="0" applyNumberFormat="0" applyBorder="0" applyAlignment="0" applyProtection="0"/>
    <xf numFmtId="0" fontId="116" fillId="32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116" fillId="32" borderId="0" applyNumberFormat="0" applyBorder="0" applyAlignment="0" applyProtection="0"/>
    <xf numFmtId="0" fontId="39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39" fillId="4" borderId="0" applyNumberFormat="0" applyBorder="0" applyAlignment="0" applyProtection="0"/>
    <xf numFmtId="0" fontId="116" fillId="32" borderId="0" applyNumberFormat="0" applyBorder="0" applyAlignment="0" applyProtection="0"/>
    <xf numFmtId="0" fontId="116" fillId="32" borderId="0" applyNumberFormat="0" applyBorder="0" applyAlignment="0" applyProtection="0"/>
    <xf numFmtId="0" fontId="117" fillId="32" borderId="0" applyNumberFormat="0" applyBorder="0" applyAlignment="0" applyProtection="0"/>
    <xf numFmtId="0" fontId="116" fillId="33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116" fillId="33" borderId="0" applyNumberFormat="0" applyBorder="0" applyAlignment="0" applyProtection="0"/>
    <xf numFmtId="0" fontId="39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39" fillId="5" borderId="0" applyNumberFormat="0" applyBorder="0" applyAlignment="0" applyProtection="0"/>
    <xf numFmtId="0" fontId="116" fillId="33" borderId="0" applyNumberFormat="0" applyBorder="0" applyAlignment="0" applyProtection="0"/>
    <xf numFmtId="0" fontId="116" fillId="33" borderId="0" applyNumberFormat="0" applyBorder="0" applyAlignment="0" applyProtection="0"/>
    <xf numFmtId="0" fontId="117" fillId="33" borderId="0" applyNumberFormat="0" applyBorder="0" applyAlignment="0" applyProtection="0"/>
    <xf numFmtId="0" fontId="116" fillId="34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116" fillId="34" borderId="0" applyNumberFormat="0" applyBorder="0" applyAlignment="0" applyProtection="0"/>
    <xf numFmtId="0" fontId="39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39" fillId="6" borderId="0" applyNumberFormat="0" applyBorder="0" applyAlignment="0" applyProtection="0"/>
    <xf numFmtId="0" fontId="116" fillId="34" borderId="0" applyNumberFormat="0" applyBorder="0" applyAlignment="0" applyProtection="0"/>
    <xf numFmtId="0" fontId="116" fillId="34" borderId="0" applyNumberFormat="0" applyBorder="0" applyAlignment="0" applyProtection="0"/>
    <xf numFmtId="0" fontId="117" fillId="34" borderId="0" applyNumberFormat="0" applyBorder="0" applyAlignment="0" applyProtection="0"/>
    <xf numFmtId="0" fontId="116" fillId="35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116" fillId="35" borderId="0" applyNumberFormat="0" applyBorder="0" applyAlignment="0" applyProtection="0"/>
    <xf numFmtId="0" fontId="39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39" fillId="7" borderId="0" applyNumberFormat="0" applyBorder="0" applyAlignment="0" applyProtection="0"/>
    <xf numFmtId="0" fontId="116" fillId="35" borderId="0" applyNumberFormat="0" applyBorder="0" applyAlignment="0" applyProtection="0"/>
    <xf numFmtId="0" fontId="116" fillId="35" borderId="0" applyNumberFormat="0" applyBorder="0" applyAlignment="0" applyProtection="0"/>
    <xf numFmtId="0" fontId="117" fillId="35" borderId="0" applyNumberFormat="0" applyBorder="0" applyAlignment="0" applyProtection="0"/>
    <xf numFmtId="0" fontId="116" fillId="36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16" fillId="36" borderId="0" applyNumberFormat="0" applyBorder="0" applyAlignment="0" applyProtection="0"/>
    <xf numFmtId="0" fontId="39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9" fillId="8" borderId="0" applyNumberFormat="0" applyBorder="0" applyAlignment="0" applyProtection="0"/>
    <xf numFmtId="0" fontId="116" fillId="36" borderId="0" applyNumberFormat="0" applyBorder="0" applyAlignment="0" applyProtection="0"/>
    <xf numFmtId="0" fontId="116" fillId="36" borderId="0" applyNumberFormat="0" applyBorder="0" applyAlignment="0" applyProtection="0"/>
    <xf numFmtId="0" fontId="117" fillId="36" borderId="0" applyNumberFormat="0" applyBorder="0" applyAlignment="0" applyProtection="0"/>
    <xf numFmtId="0" fontId="116" fillId="3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16" fillId="37" borderId="0" applyNumberFormat="0" applyBorder="0" applyAlignment="0" applyProtection="0"/>
    <xf numFmtId="0" fontId="39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39" fillId="9" borderId="0" applyNumberFormat="0" applyBorder="0" applyAlignment="0" applyProtection="0"/>
    <xf numFmtId="0" fontId="116" fillId="37" borderId="0" applyNumberFormat="0" applyBorder="0" applyAlignment="0" applyProtection="0"/>
    <xf numFmtId="0" fontId="116" fillId="37" borderId="0" applyNumberFormat="0" applyBorder="0" applyAlignment="0" applyProtection="0"/>
    <xf numFmtId="0" fontId="117" fillId="37" borderId="0" applyNumberFormat="0" applyBorder="0" applyAlignment="0" applyProtection="0"/>
    <xf numFmtId="0" fontId="116" fillId="38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116" fillId="38" borderId="0" applyNumberFormat="0" applyBorder="0" applyAlignment="0" applyProtection="0"/>
    <xf numFmtId="0" fontId="39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39" fillId="10" borderId="0" applyNumberFormat="0" applyBorder="0" applyAlignment="0" applyProtection="0"/>
    <xf numFmtId="0" fontId="116" fillId="38" borderId="0" applyNumberFormat="0" applyBorder="0" applyAlignment="0" applyProtection="0"/>
    <xf numFmtId="0" fontId="116" fillId="38" borderId="0" applyNumberFormat="0" applyBorder="0" applyAlignment="0" applyProtection="0"/>
    <xf numFmtId="0" fontId="117" fillId="38" borderId="0" applyNumberFormat="0" applyBorder="0" applyAlignment="0" applyProtection="0"/>
    <xf numFmtId="0" fontId="116" fillId="39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116" fillId="39" borderId="0" applyNumberFormat="0" applyBorder="0" applyAlignment="0" applyProtection="0"/>
    <xf numFmtId="0" fontId="39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39" fillId="5" borderId="0" applyNumberFormat="0" applyBorder="0" applyAlignment="0" applyProtection="0"/>
    <xf numFmtId="0" fontId="116" fillId="39" borderId="0" applyNumberFormat="0" applyBorder="0" applyAlignment="0" applyProtection="0"/>
    <xf numFmtId="0" fontId="116" fillId="39" borderId="0" applyNumberFormat="0" applyBorder="0" applyAlignment="0" applyProtection="0"/>
    <xf numFmtId="0" fontId="117" fillId="39" borderId="0" applyNumberFormat="0" applyBorder="0" applyAlignment="0" applyProtection="0"/>
    <xf numFmtId="0" fontId="116" fillId="40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116" fillId="40" borderId="0" applyNumberFormat="0" applyBorder="0" applyAlignment="0" applyProtection="0"/>
    <xf numFmtId="0" fontId="39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39" fillId="8" borderId="0" applyNumberFormat="0" applyBorder="0" applyAlignment="0" applyProtection="0"/>
    <xf numFmtId="0" fontId="116" fillId="40" borderId="0" applyNumberFormat="0" applyBorder="0" applyAlignment="0" applyProtection="0"/>
    <xf numFmtId="0" fontId="116" fillId="40" borderId="0" applyNumberFormat="0" applyBorder="0" applyAlignment="0" applyProtection="0"/>
    <xf numFmtId="0" fontId="117" fillId="40" borderId="0" applyNumberFormat="0" applyBorder="0" applyAlignment="0" applyProtection="0"/>
    <xf numFmtId="0" fontId="116" fillId="4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116" fillId="41" borderId="0" applyNumberFormat="0" applyBorder="0" applyAlignment="0" applyProtection="0"/>
    <xf numFmtId="0" fontId="39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9" fillId="11" borderId="0" applyNumberFormat="0" applyBorder="0" applyAlignment="0" applyProtection="0"/>
    <xf numFmtId="0" fontId="116" fillId="41" borderId="0" applyNumberFormat="0" applyBorder="0" applyAlignment="0" applyProtection="0"/>
    <xf numFmtId="0" fontId="116" fillId="41" borderId="0" applyNumberFormat="0" applyBorder="0" applyAlignment="0" applyProtection="0"/>
    <xf numFmtId="0" fontId="117" fillId="41" borderId="0" applyNumberFormat="0" applyBorder="0" applyAlignment="0" applyProtection="0"/>
    <xf numFmtId="171" fontId="16" fillId="0" borderId="1" applyFill="0" applyBorder="0" applyProtection="0"/>
    <xf numFmtId="0" fontId="118" fillId="42" borderId="0" applyNumberFormat="0" applyBorder="0" applyAlignment="0" applyProtection="0"/>
    <xf numFmtId="0" fontId="27" fillId="12" borderId="0" applyNumberFormat="0" applyBorder="0" applyAlignment="0" applyProtection="0"/>
    <xf numFmtId="0" fontId="118" fillId="42" borderId="0" applyNumberFormat="0" applyBorder="0" applyAlignment="0" applyProtection="0"/>
    <xf numFmtId="0" fontId="40" fillId="12" borderId="0" applyNumberFormat="0" applyBorder="0" applyAlignment="0" applyProtection="0"/>
    <xf numFmtId="0" fontId="118" fillId="42" borderId="0" applyNumberFormat="0" applyBorder="0" applyAlignment="0" applyProtection="0"/>
    <xf numFmtId="0" fontId="118" fillId="42" borderId="0" applyNumberFormat="0" applyBorder="0" applyAlignment="0" applyProtection="0"/>
    <xf numFmtId="0" fontId="119" fillId="42" borderId="0" applyNumberFormat="0" applyBorder="0" applyAlignment="0" applyProtection="0"/>
    <xf numFmtId="0" fontId="118" fillId="43" borderId="0" applyNumberFormat="0" applyBorder="0" applyAlignment="0" applyProtection="0"/>
    <xf numFmtId="0" fontId="27" fillId="9" borderId="0" applyNumberFormat="0" applyBorder="0" applyAlignment="0" applyProtection="0"/>
    <xf numFmtId="0" fontId="118" fillId="43" borderId="0" applyNumberFormat="0" applyBorder="0" applyAlignment="0" applyProtection="0"/>
    <xf numFmtId="0" fontId="40" fillId="9" borderId="0" applyNumberFormat="0" applyBorder="0" applyAlignment="0" applyProtection="0"/>
    <xf numFmtId="0" fontId="118" fillId="43" borderId="0" applyNumberFormat="0" applyBorder="0" applyAlignment="0" applyProtection="0"/>
    <xf numFmtId="0" fontId="118" fillId="43" borderId="0" applyNumberFormat="0" applyBorder="0" applyAlignment="0" applyProtection="0"/>
    <xf numFmtId="0" fontId="119" fillId="43" borderId="0" applyNumberFormat="0" applyBorder="0" applyAlignment="0" applyProtection="0"/>
    <xf numFmtId="0" fontId="118" fillId="44" borderId="0" applyNumberFormat="0" applyBorder="0" applyAlignment="0" applyProtection="0"/>
    <xf numFmtId="0" fontId="27" fillId="10" borderId="0" applyNumberFormat="0" applyBorder="0" applyAlignment="0" applyProtection="0"/>
    <xf numFmtId="0" fontId="118" fillId="44" borderId="0" applyNumberFormat="0" applyBorder="0" applyAlignment="0" applyProtection="0"/>
    <xf numFmtId="0" fontId="40" fillId="10" borderId="0" applyNumberFormat="0" applyBorder="0" applyAlignment="0" applyProtection="0"/>
    <xf numFmtId="0" fontId="118" fillId="44" borderId="0" applyNumberFormat="0" applyBorder="0" applyAlignment="0" applyProtection="0"/>
    <xf numFmtId="0" fontId="118" fillId="44" borderId="0" applyNumberFormat="0" applyBorder="0" applyAlignment="0" applyProtection="0"/>
    <xf numFmtId="0" fontId="119" fillId="44" borderId="0" applyNumberFormat="0" applyBorder="0" applyAlignment="0" applyProtection="0"/>
    <xf numFmtId="0" fontId="118" fillId="45" borderId="0" applyNumberFormat="0" applyBorder="0" applyAlignment="0" applyProtection="0"/>
    <xf numFmtId="0" fontId="27" fillId="13" borderId="0" applyNumberFormat="0" applyBorder="0" applyAlignment="0" applyProtection="0"/>
    <xf numFmtId="0" fontId="118" fillId="45" borderId="0" applyNumberFormat="0" applyBorder="0" applyAlignment="0" applyProtection="0"/>
    <xf numFmtId="0" fontId="40" fillId="13" borderId="0" applyNumberFormat="0" applyBorder="0" applyAlignment="0" applyProtection="0"/>
    <xf numFmtId="0" fontId="118" fillId="45" borderId="0" applyNumberFormat="0" applyBorder="0" applyAlignment="0" applyProtection="0"/>
    <xf numFmtId="0" fontId="118" fillId="45" borderId="0" applyNumberFormat="0" applyBorder="0" applyAlignment="0" applyProtection="0"/>
    <xf numFmtId="0" fontId="119" fillId="45" borderId="0" applyNumberFormat="0" applyBorder="0" applyAlignment="0" applyProtection="0"/>
    <xf numFmtId="0" fontId="118" fillId="46" borderId="0" applyNumberFormat="0" applyBorder="0" applyAlignment="0" applyProtection="0"/>
    <xf numFmtId="0" fontId="27" fillId="14" borderId="0" applyNumberFormat="0" applyBorder="0" applyAlignment="0" applyProtection="0"/>
    <xf numFmtId="0" fontId="118" fillId="46" borderId="0" applyNumberFormat="0" applyBorder="0" applyAlignment="0" applyProtection="0"/>
    <xf numFmtId="0" fontId="40" fillId="14" borderId="0" applyNumberFormat="0" applyBorder="0" applyAlignment="0" applyProtection="0"/>
    <xf numFmtId="0" fontId="118" fillId="46" borderId="0" applyNumberFormat="0" applyBorder="0" applyAlignment="0" applyProtection="0"/>
    <xf numFmtId="0" fontId="118" fillId="46" borderId="0" applyNumberFormat="0" applyBorder="0" applyAlignment="0" applyProtection="0"/>
    <xf numFmtId="0" fontId="119" fillId="46" borderId="0" applyNumberFormat="0" applyBorder="0" applyAlignment="0" applyProtection="0"/>
    <xf numFmtId="0" fontId="118" fillId="47" borderId="0" applyNumberFormat="0" applyBorder="0" applyAlignment="0" applyProtection="0"/>
    <xf numFmtId="0" fontId="27" fillId="15" borderId="0" applyNumberFormat="0" applyBorder="0" applyAlignment="0" applyProtection="0"/>
    <xf numFmtId="0" fontId="118" fillId="47" borderId="0" applyNumberFormat="0" applyBorder="0" applyAlignment="0" applyProtection="0"/>
    <xf numFmtId="0" fontId="40" fillId="15" borderId="0" applyNumberFormat="0" applyBorder="0" applyAlignment="0" applyProtection="0"/>
    <xf numFmtId="0" fontId="118" fillId="47" borderId="0" applyNumberFormat="0" applyBorder="0" applyAlignment="0" applyProtection="0"/>
    <xf numFmtId="0" fontId="118" fillId="47" borderId="0" applyNumberFormat="0" applyBorder="0" applyAlignment="0" applyProtection="0"/>
    <xf numFmtId="0" fontId="119" fillId="47" borderId="0" applyNumberFormat="0" applyBorder="0" applyAlignment="0" applyProtection="0"/>
    <xf numFmtId="180" fontId="120" fillId="0" borderId="0"/>
    <xf numFmtId="180" fontId="120" fillId="0" borderId="0" applyFill="0" applyBorder="0" applyAlignment="0" applyProtection="0"/>
    <xf numFmtId="180" fontId="120" fillId="0" borderId="0" applyFill="0" applyBorder="0" applyAlignment="0" applyProtection="0"/>
    <xf numFmtId="180" fontId="120" fillId="0" borderId="0"/>
    <xf numFmtId="180" fontId="120" fillId="0" borderId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1" fontId="120" fillId="0" borderId="0" applyFill="0" applyBorder="0" applyAlignment="0" applyProtection="0"/>
    <xf numFmtId="182" fontId="120" fillId="0" borderId="0" applyFill="0" applyBorder="0" applyAlignment="0" applyProtection="0"/>
    <xf numFmtId="182" fontId="120" fillId="0" borderId="0" applyFill="0" applyBorder="0" applyAlignment="0" applyProtection="0"/>
    <xf numFmtId="182" fontId="120" fillId="0" borderId="0" applyFill="0" applyBorder="0" applyAlignment="0" applyProtection="0"/>
    <xf numFmtId="0" fontId="118" fillId="48" borderId="0" applyNumberFormat="0" applyBorder="0" applyAlignment="0" applyProtection="0"/>
    <xf numFmtId="0" fontId="27" fillId="16" borderId="0" applyNumberFormat="0" applyBorder="0" applyAlignment="0" applyProtection="0"/>
    <xf numFmtId="0" fontId="118" fillId="48" borderId="0" applyNumberFormat="0" applyBorder="0" applyAlignment="0" applyProtection="0"/>
    <xf numFmtId="0" fontId="40" fillId="16" borderId="0" applyNumberFormat="0" applyBorder="0" applyAlignment="0" applyProtection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119" fillId="48" borderId="0" applyNumberFormat="0" applyBorder="0" applyAlignment="0" applyProtection="0"/>
    <xf numFmtId="0" fontId="118" fillId="49" borderId="0" applyNumberFormat="0" applyBorder="0" applyAlignment="0" applyProtection="0"/>
    <xf numFmtId="0" fontId="27" fillId="17" borderId="0" applyNumberFormat="0" applyBorder="0" applyAlignment="0" applyProtection="0"/>
    <xf numFmtId="0" fontId="118" fillId="49" borderId="0" applyNumberFormat="0" applyBorder="0" applyAlignment="0" applyProtection="0"/>
    <xf numFmtId="0" fontId="40" fillId="17" borderId="0" applyNumberFormat="0" applyBorder="0" applyAlignment="0" applyProtection="0"/>
    <xf numFmtId="0" fontId="118" fillId="49" borderId="0" applyNumberFormat="0" applyBorder="0" applyAlignment="0" applyProtection="0"/>
    <xf numFmtId="0" fontId="118" fillId="49" borderId="0" applyNumberFormat="0" applyBorder="0" applyAlignment="0" applyProtection="0"/>
    <xf numFmtId="0" fontId="119" fillId="49" borderId="0" applyNumberFormat="0" applyBorder="0" applyAlignment="0" applyProtection="0"/>
    <xf numFmtId="0" fontId="118" fillId="50" borderId="0" applyNumberFormat="0" applyBorder="0" applyAlignment="0" applyProtection="0"/>
    <xf numFmtId="0" fontId="27" fillId="18" borderId="0" applyNumberFormat="0" applyBorder="0" applyAlignment="0" applyProtection="0"/>
    <xf numFmtId="0" fontId="118" fillId="50" borderId="0" applyNumberFormat="0" applyBorder="0" applyAlignment="0" applyProtection="0"/>
    <xf numFmtId="0" fontId="40" fillId="18" borderId="0" applyNumberFormat="0" applyBorder="0" applyAlignment="0" applyProtection="0"/>
    <xf numFmtId="0" fontId="118" fillId="50" borderId="0" applyNumberFormat="0" applyBorder="0" applyAlignment="0" applyProtection="0"/>
    <xf numFmtId="0" fontId="118" fillId="50" borderId="0" applyNumberFormat="0" applyBorder="0" applyAlignment="0" applyProtection="0"/>
    <xf numFmtId="0" fontId="119" fillId="50" borderId="0" applyNumberFormat="0" applyBorder="0" applyAlignment="0" applyProtection="0"/>
    <xf numFmtId="0" fontId="118" fillId="51" borderId="0" applyNumberFormat="0" applyBorder="0" applyAlignment="0" applyProtection="0"/>
    <xf numFmtId="0" fontId="27" fillId="13" borderId="0" applyNumberFormat="0" applyBorder="0" applyAlignment="0" applyProtection="0"/>
    <xf numFmtId="0" fontId="118" fillId="51" borderId="0" applyNumberFormat="0" applyBorder="0" applyAlignment="0" applyProtection="0"/>
    <xf numFmtId="0" fontId="40" fillId="13" borderId="0" applyNumberFormat="0" applyBorder="0" applyAlignment="0" applyProtection="0"/>
    <xf numFmtId="0" fontId="118" fillId="51" borderId="0" applyNumberFormat="0" applyBorder="0" applyAlignment="0" applyProtection="0"/>
    <xf numFmtId="0" fontId="118" fillId="51" borderId="0" applyNumberFormat="0" applyBorder="0" applyAlignment="0" applyProtection="0"/>
    <xf numFmtId="0" fontId="119" fillId="51" borderId="0" applyNumberFormat="0" applyBorder="0" applyAlignment="0" applyProtection="0"/>
    <xf numFmtId="0" fontId="118" fillId="52" borderId="0" applyNumberFormat="0" applyBorder="0" applyAlignment="0" applyProtection="0"/>
    <xf numFmtId="0" fontId="27" fillId="14" borderId="0" applyNumberFormat="0" applyBorder="0" applyAlignment="0" applyProtection="0"/>
    <xf numFmtId="0" fontId="118" fillId="52" borderId="0" applyNumberFormat="0" applyBorder="0" applyAlignment="0" applyProtection="0"/>
    <xf numFmtId="0" fontId="40" fillId="14" borderId="0" applyNumberFormat="0" applyBorder="0" applyAlignment="0" applyProtection="0"/>
    <xf numFmtId="0" fontId="118" fillId="52" borderId="0" applyNumberFormat="0" applyBorder="0" applyAlignment="0" applyProtection="0"/>
    <xf numFmtId="0" fontId="118" fillId="52" borderId="0" applyNumberFormat="0" applyBorder="0" applyAlignment="0" applyProtection="0"/>
    <xf numFmtId="0" fontId="119" fillId="52" borderId="0" applyNumberFormat="0" applyBorder="0" applyAlignment="0" applyProtection="0"/>
    <xf numFmtId="0" fontId="118" fillId="53" borderId="0" applyNumberFormat="0" applyBorder="0" applyAlignment="0" applyProtection="0"/>
    <xf numFmtId="0" fontId="27" fillId="19" borderId="0" applyNumberFormat="0" applyBorder="0" applyAlignment="0" applyProtection="0"/>
    <xf numFmtId="0" fontId="118" fillId="53" borderId="0" applyNumberFormat="0" applyBorder="0" applyAlignment="0" applyProtection="0"/>
    <xf numFmtId="0" fontId="40" fillId="19" borderId="0" applyNumberFormat="0" applyBorder="0" applyAlignment="0" applyProtection="0"/>
    <xf numFmtId="0" fontId="118" fillId="53" borderId="0" applyNumberFormat="0" applyBorder="0" applyAlignment="0" applyProtection="0"/>
    <xf numFmtId="0" fontId="118" fillId="53" borderId="0" applyNumberFormat="0" applyBorder="0" applyAlignment="0" applyProtection="0"/>
    <xf numFmtId="0" fontId="119" fillId="53" borderId="0" applyNumberFormat="0" applyBorder="0" applyAlignment="0" applyProtection="0"/>
    <xf numFmtId="169" fontId="16" fillId="0" borderId="0" applyFill="0" applyBorder="0" applyProtection="0"/>
    <xf numFmtId="169" fontId="16" fillId="20" borderId="2" applyFill="0" applyBorder="0" applyProtection="0">
      <alignment horizontal="center"/>
    </xf>
    <xf numFmtId="0" fontId="121" fillId="54" borderId="0" applyNumberFormat="0" applyBorder="0" applyAlignment="0" applyProtection="0"/>
    <xf numFmtId="0" fontId="28" fillId="3" borderId="0" applyNumberFormat="0" applyBorder="0" applyAlignment="0" applyProtection="0"/>
    <xf numFmtId="0" fontId="121" fillId="54" borderId="0" applyNumberFormat="0" applyBorder="0" applyAlignment="0" applyProtection="0"/>
    <xf numFmtId="0" fontId="41" fillId="3" borderId="0" applyNumberFormat="0" applyBorder="0" applyAlignment="0" applyProtection="0"/>
    <xf numFmtId="0" fontId="121" fillId="54" borderId="0" applyNumberFormat="0" applyBorder="0" applyAlignment="0" applyProtection="0"/>
    <xf numFmtId="0" fontId="121" fillId="54" borderId="0" applyNumberFormat="0" applyBorder="0" applyAlignment="0" applyProtection="0"/>
    <xf numFmtId="0" fontId="122" fillId="54" borderId="0" applyNumberFormat="0" applyBorder="0" applyAlignment="0" applyProtection="0"/>
    <xf numFmtId="0" fontId="103" fillId="0" borderId="27" applyNumberFormat="0" applyFont="0" applyFill="0" applyAlignment="0" applyProtection="0"/>
    <xf numFmtId="0" fontId="103" fillId="0" borderId="3" applyNumberFormat="0" applyFont="0" applyFill="0" applyAlignment="0" applyProtection="0"/>
    <xf numFmtId="0" fontId="103" fillId="0" borderId="28" applyNumberFormat="0" applyFont="0" applyFill="0" applyAlignment="0" applyProtection="0">
      <alignment horizontal="center"/>
    </xf>
    <xf numFmtId="170" fontId="42" fillId="0" borderId="0" applyNumberFormat="0" applyFont="0" applyAlignment="0" applyProtection="0"/>
    <xf numFmtId="170" fontId="42" fillId="0" borderId="0" applyNumberFormat="0" applyFont="0" applyAlignment="0" applyProtection="0"/>
    <xf numFmtId="170" fontId="42" fillId="0" borderId="0" applyNumberFormat="0" applyFont="0" applyAlignment="0" applyProtection="0"/>
    <xf numFmtId="0" fontId="123" fillId="55" borderId="29" applyNumberFormat="0" applyAlignment="0" applyProtection="0"/>
    <xf numFmtId="0" fontId="29" fillId="21" borderId="4" applyNumberFormat="0" applyAlignment="0" applyProtection="0"/>
    <xf numFmtId="0" fontId="123" fillId="55" borderId="29" applyNumberFormat="0" applyAlignment="0" applyProtection="0"/>
    <xf numFmtId="0" fontId="43" fillId="21" borderId="4" applyNumberFormat="0" applyAlignment="0" applyProtection="0"/>
    <xf numFmtId="0" fontId="123" fillId="55" borderId="29" applyNumberFormat="0" applyAlignment="0" applyProtection="0"/>
    <xf numFmtId="0" fontId="123" fillId="55" borderId="29" applyNumberFormat="0" applyAlignment="0" applyProtection="0"/>
    <xf numFmtId="0" fontId="124" fillId="55" borderId="29" applyNumberFormat="0" applyAlignment="0" applyProtection="0"/>
    <xf numFmtId="0" fontId="125" fillId="56" borderId="30" applyNumberFormat="0" applyAlignment="0" applyProtection="0"/>
    <xf numFmtId="0" fontId="30" fillId="22" borderId="5" applyNumberFormat="0" applyAlignment="0" applyProtection="0"/>
    <xf numFmtId="0" fontId="125" fillId="56" borderId="30" applyNumberFormat="0" applyAlignment="0" applyProtection="0"/>
    <xf numFmtId="0" fontId="44" fillId="22" borderId="5" applyNumberFormat="0" applyAlignment="0" applyProtection="0"/>
    <xf numFmtId="0" fontId="125" fillId="56" borderId="30" applyNumberFormat="0" applyAlignment="0" applyProtection="0"/>
    <xf numFmtId="0" fontId="125" fillId="56" borderId="30" applyNumberFormat="0" applyAlignment="0" applyProtection="0"/>
    <xf numFmtId="0" fontId="126" fillId="56" borderId="30" applyNumberFormat="0" applyAlignment="0" applyProtection="0"/>
    <xf numFmtId="37" fontId="14" fillId="0" borderId="6" applyNumberFormat="0" applyFill="0" applyBorder="0" applyProtection="0">
      <alignment horizontal="right"/>
    </xf>
    <xf numFmtId="0" fontId="14" fillId="0" borderId="6" applyNumberFormat="0" applyFill="0" applyBorder="0" applyProtection="0">
      <alignment horizontal="right"/>
    </xf>
    <xf numFmtId="37" fontId="14" fillId="20" borderId="6" applyNumberFormat="0" applyFill="0" applyBorder="0" applyProtection="0">
      <alignment horizontal="center"/>
    </xf>
    <xf numFmtId="0" fontId="14" fillId="20" borderId="6" applyNumberFormat="0" applyFill="0" applyBorder="0" applyProtection="0">
      <alignment horizontal="center"/>
    </xf>
    <xf numFmtId="37" fontId="45" fillId="0" borderId="0" applyNumberFormat="0" applyFill="0" applyBorder="0" applyProtection="0">
      <alignment horizontal="right"/>
    </xf>
    <xf numFmtId="0" fontId="45" fillId="0" borderId="0" applyNumberFormat="0" applyFill="0" applyBorder="0" applyProtection="0">
      <alignment horizontal="right"/>
    </xf>
    <xf numFmtId="37" fontId="15" fillId="0" borderId="0" applyFill="0" applyBorder="0" applyProtection="0">
      <alignment horizontal="right"/>
    </xf>
    <xf numFmtId="0" fontId="15" fillId="0" borderId="0" applyFill="0" applyBorder="0" applyProtection="0">
      <alignment horizontal="right"/>
    </xf>
    <xf numFmtId="43" fontId="66" fillId="0" borderId="0" applyFont="0" applyFill="0" applyBorder="0" applyAlignment="0" applyProtection="0"/>
    <xf numFmtId="179" fontId="106" fillId="0" borderId="0" applyFont="0" applyFill="0" applyBorder="0" applyAlignment="0" applyProtection="0">
      <alignment horizontal="right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22" fillId="0" borderId="0" applyFont="0" applyFill="0" applyBorder="0" applyAlignment="0" applyProtection="0"/>
    <xf numFmtId="37" fontId="16" fillId="0" borderId="6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" fillId="0" borderId="6" applyFont="0" applyFill="0" applyBorder="0" applyAlignment="0" applyProtection="0"/>
    <xf numFmtId="37" fontId="16" fillId="0" borderId="6" applyFont="0" applyFill="0" applyBorder="0" applyAlignment="0" applyProtection="0"/>
    <xf numFmtId="0" fontId="16" fillId="0" borderId="6" applyFont="0" applyFill="0" applyBorder="0" applyAlignment="0" applyProtection="0"/>
    <xf numFmtId="43" fontId="6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7" fontId="16" fillId="0" borderId="6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6" applyFont="0" applyFill="0" applyBorder="0" applyAlignment="0" applyProtection="0"/>
    <xf numFmtId="37" fontId="16" fillId="0" borderId="6" applyFont="0" applyFill="0" applyBorder="0" applyAlignment="0" applyProtection="0"/>
    <xf numFmtId="0" fontId="16" fillId="0" borderId="6" applyFont="0" applyFill="0" applyBorder="0" applyAlignment="0" applyProtection="0"/>
    <xf numFmtId="43" fontId="7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ill="0" applyBorder="0" applyAlignment="0" applyProtection="0"/>
    <xf numFmtId="40" fontId="2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ill="0" applyBorder="0" applyAlignment="0" applyProtection="0"/>
    <xf numFmtId="164" fontId="12" fillId="0" borderId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3" fontId="12" fillId="0" borderId="0" applyFill="0" applyBorder="0" applyAlignment="0" applyProtection="0"/>
    <xf numFmtId="0" fontId="18" fillId="0" borderId="0"/>
    <xf numFmtId="0" fontId="46" fillId="0" borderId="0"/>
    <xf numFmtId="0" fontId="18" fillId="0" borderId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3" fontId="12" fillId="0" borderId="0" applyFill="0" applyBorder="0" applyAlignment="0" applyProtection="0"/>
    <xf numFmtId="0" fontId="18" fillId="0" borderId="0"/>
    <xf numFmtId="183" fontId="15" fillId="0" borderId="0" applyFont="0" applyFill="0" applyBorder="0" applyAlignment="0"/>
    <xf numFmtId="8" fontId="12" fillId="0" borderId="0" applyFont="0" applyFill="0" applyBorder="0" applyAlignment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NumberFormat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NumberFormat="0" applyFont="0" applyFill="0" applyBorder="0" applyAlignment="0" applyProtection="0"/>
    <xf numFmtId="44" fontId="12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9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5" fontId="12" fillId="0" borderId="0" applyFill="0" applyBorder="0" applyAlignment="0" applyProtection="0"/>
    <xf numFmtId="0" fontId="47" fillId="0" borderId="0" applyNumberFormat="0" applyFill="0" applyBorder="0"/>
    <xf numFmtId="167" fontId="12" fillId="0" borderId="0" applyFill="0" applyBorder="0" applyAlignment="0" applyProtection="0"/>
    <xf numFmtId="184" fontId="108" fillId="23" borderId="7" applyFont="0" applyFill="0" applyBorder="0" applyAlignment="0" applyProtection="0"/>
    <xf numFmtId="177" fontId="15" fillId="23" borderId="0" applyFont="0" applyFill="0" applyBorder="0" applyAlignment="0" applyProtection="0"/>
    <xf numFmtId="185" fontId="107" fillId="0" borderId="8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4" fontId="107" fillId="24" borderId="9" applyFill="0" applyBorder="0">
      <alignment horizontal="right"/>
    </xf>
    <xf numFmtId="14" fontId="107" fillId="24" borderId="9" applyFill="0" applyBorder="0">
      <alignment horizontal="right"/>
    </xf>
    <xf numFmtId="184" fontId="107" fillId="0" borderId="0" applyFill="0" applyBorder="0">
      <alignment horizontal="right"/>
    </xf>
    <xf numFmtId="172" fontId="16" fillId="0" borderId="0" applyFill="0" applyBorder="0" applyProtection="0"/>
    <xf numFmtId="0" fontId="109" fillId="0" borderId="8" applyFont="0" applyFill="0" applyBorder="0" applyAlignment="0" applyProtection="0"/>
    <xf numFmtId="0" fontId="127" fillId="57" borderId="0" applyNumberFormat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2" fontId="12" fillId="0" borderId="0" applyFill="0" applyBorder="0" applyAlignment="0" applyProtection="0"/>
    <xf numFmtId="186" fontId="12" fillId="23" borderId="0" applyFont="0" applyFill="0" applyBorder="0" applyAlignment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2" fontId="12" fillId="0" borderId="0" applyFill="0" applyBorder="0" applyAlignment="0" applyProtection="0"/>
    <xf numFmtId="0" fontId="18" fillId="0" borderId="0"/>
    <xf numFmtId="0" fontId="46" fillId="0" borderId="0"/>
    <xf numFmtId="0" fontId="18" fillId="0" borderId="0"/>
    <xf numFmtId="0" fontId="17" fillId="0" borderId="0">
      <alignment horizontal="right"/>
    </xf>
    <xf numFmtId="0" fontId="17" fillId="0" borderId="0"/>
    <xf numFmtId="0" fontId="130" fillId="58" borderId="0" applyNumberFormat="0" applyBorder="0" applyAlignment="0" applyProtection="0"/>
    <xf numFmtId="0" fontId="32" fillId="4" borderId="0" applyNumberFormat="0" applyBorder="0" applyAlignment="0" applyProtection="0"/>
    <xf numFmtId="0" fontId="130" fillId="58" borderId="0" applyNumberFormat="0" applyBorder="0" applyAlignment="0" applyProtection="0"/>
    <xf numFmtId="0" fontId="49" fillId="4" borderId="0" applyNumberFormat="0" applyBorder="0" applyAlignment="0" applyProtection="0"/>
    <xf numFmtId="0" fontId="130" fillId="58" borderId="0" applyNumberFormat="0" applyBorder="0" applyAlignment="0" applyProtection="0"/>
    <xf numFmtId="0" fontId="130" fillId="58" borderId="0" applyNumberFormat="0" applyBorder="0" applyAlignment="0" applyProtection="0"/>
    <xf numFmtId="0" fontId="131" fillId="58" borderId="0" applyNumberFormat="0" applyBorder="0" applyAlignment="0" applyProtection="0"/>
    <xf numFmtId="0" fontId="103" fillId="0" borderId="31" applyNumberFormat="0" applyFont="0" applyFill="0" applyAlignment="0" applyProtection="0"/>
    <xf numFmtId="0" fontId="132" fillId="0" borderId="0" applyNumberFormat="0" applyFill="0" applyBorder="0" applyAlignment="0" applyProtection="0"/>
    <xf numFmtId="0" fontId="133" fillId="0" borderId="32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24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9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9" fillId="0" borderId="10" applyNumberFormat="0" applyFill="0" applyAlignment="0" applyProtection="0"/>
    <xf numFmtId="0" fontId="50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3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25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0" fillId="0" borderId="11" applyNumberFormat="0" applyFill="0" applyAlignment="0" applyProtection="0"/>
    <xf numFmtId="0" fontId="10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0" fillId="0" borderId="11" applyNumberFormat="0" applyFill="0" applyAlignment="0" applyProtection="0"/>
    <xf numFmtId="0" fontId="51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5" fillId="0" borderId="34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26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11" fillId="0" borderId="12" applyNumberFormat="0" applyFill="0" applyAlignment="0" applyProtection="0"/>
    <xf numFmtId="0" fontId="52" fillId="0" borderId="12" applyNumberFormat="0" applyFill="0" applyAlignment="0" applyProtection="0"/>
    <xf numFmtId="0" fontId="13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7" fontId="12" fillId="0" borderId="0" applyFill="0" applyBorder="0" applyAlignment="0" applyProtection="0"/>
    <xf numFmtId="37" fontId="53" fillId="0" borderId="0" applyNumberFormat="0" applyFill="0" applyBorder="0" applyProtection="0">
      <alignment horizontal="centerContinuous"/>
    </xf>
    <xf numFmtId="0" fontId="53" fillId="0" borderId="0" applyNumberFormat="0" applyFill="0" applyBorder="0" applyProtection="0">
      <alignment horizontal="centerContinuous"/>
    </xf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167" fontId="12" fillId="0" borderId="0" applyFill="0" applyBorder="0" applyAlignment="0" applyProtection="0"/>
    <xf numFmtId="37" fontId="53" fillId="0" borderId="0" applyNumberFormat="0" applyFill="0" applyBorder="0" applyProtection="0">
      <alignment horizontal="centerContinuous"/>
    </xf>
    <xf numFmtId="167" fontId="12" fillId="0" borderId="0" applyFill="0" applyBorder="0" applyAlignment="0" applyProtection="0"/>
    <xf numFmtId="0" fontId="53" fillId="0" borderId="0" applyNumberFormat="0" applyFill="0" applyBorder="0" applyProtection="0">
      <alignment horizontal="centerContinuous"/>
    </xf>
    <xf numFmtId="0" fontId="53" fillId="0" borderId="0" applyNumberFormat="0" applyFill="0" applyBorder="0" applyProtection="0">
      <alignment horizontal="centerContinuous"/>
    </xf>
    <xf numFmtId="37" fontId="53" fillId="0" borderId="0" applyNumberFormat="0" applyFill="0" applyBorder="0" applyProtection="0">
      <alignment horizontal="centerContinuous"/>
    </xf>
    <xf numFmtId="167" fontId="12" fillId="0" borderId="0" applyFill="0" applyBorder="0" applyAlignment="0" applyProtection="0"/>
    <xf numFmtId="0" fontId="53" fillId="0" borderId="0" applyNumberFormat="0" applyFill="0" applyBorder="0" applyProtection="0">
      <alignment horizontal="centerContinuous"/>
    </xf>
    <xf numFmtId="0" fontId="53" fillId="0" borderId="0" applyNumberFormat="0" applyFill="0" applyBorder="0" applyProtection="0">
      <alignment horizontal="centerContinuous"/>
    </xf>
    <xf numFmtId="37" fontId="53" fillId="0" borderId="0" applyNumberFormat="0" applyFill="0" applyBorder="0" applyProtection="0">
      <alignment horizontal="centerContinuous"/>
    </xf>
    <xf numFmtId="0" fontId="53" fillId="0" borderId="0" applyNumberFormat="0" applyFill="0" applyBorder="0" applyProtection="0">
      <alignment horizontal="centerContinuous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37" fontId="54" fillId="0" borderId="0">
      <alignment horizontal="centerContinuous"/>
    </xf>
    <xf numFmtId="0" fontId="54" fillId="0" borderId="0">
      <alignment horizontal="centerContinuous"/>
    </xf>
    <xf numFmtId="37" fontId="54" fillId="0" borderId="0">
      <alignment horizontal="centerContinuous"/>
    </xf>
    <xf numFmtId="0" fontId="54" fillId="0" borderId="0">
      <alignment horizontal="centerContinuous"/>
    </xf>
    <xf numFmtId="37" fontId="54" fillId="0" borderId="0">
      <alignment horizontal="centerContinuous"/>
    </xf>
    <xf numFmtId="0" fontId="54" fillId="0" borderId="0">
      <alignment horizontal="centerContinuous"/>
    </xf>
    <xf numFmtId="37" fontId="54" fillId="0" borderId="0">
      <alignment horizontal="centerContinuous"/>
    </xf>
    <xf numFmtId="0" fontId="54" fillId="0" borderId="0">
      <alignment horizontal="centerContinuous"/>
    </xf>
    <xf numFmtId="37" fontId="54" fillId="0" borderId="0">
      <alignment horizontal="centerContinuous"/>
    </xf>
    <xf numFmtId="0" fontId="54" fillId="0" borderId="0">
      <alignment horizontal="centerContinuous"/>
    </xf>
    <xf numFmtId="0" fontId="6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87" fontId="136" fillId="0" borderId="0" applyFill="0" applyBorder="0" applyAlignment="0" applyProtection="0"/>
    <xf numFmtId="0" fontId="137" fillId="59" borderId="29" applyNumberFormat="0" applyAlignment="0" applyProtection="0"/>
    <xf numFmtId="0" fontId="33" fillId="7" borderId="4" applyNumberFormat="0" applyAlignment="0" applyProtection="0"/>
    <xf numFmtId="0" fontId="137" fillId="59" borderId="29" applyNumberFormat="0" applyAlignment="0" applyProtection="0"/>
    <xf numFmtId="0" fontId="55" fillId="7" borderId="4" applyNumberFormat="0" applyAlignment="0" applyProtection="0"/>
    <xf numFmtId="0" fontId="137" fillId="59" borderId="29" applyNumberFormat="0" applyAlignment="0" applyProtection="0"/>
    <xf numFmtId="0" fontId="137" fillId="59" borderId="29" applyNumberFormat="0" applyAlignment="0" applyProtection="0"/>
    <xf numFmtId="0" fontId="138" fillId="59" borderId="29" applyNumberFormat="0" applyAlignment="0" applyProtection="0"/>
    <xf numFmtId="180" fontId="139" fillId="0" borderId="0" applyFill="0" applyBorder="0" applyAlignment="0" applyProtection="0"/>
    <xf numFmtId="0" fontId="140" fillId="0" borderId="35" applyNumberFormat="0" applyFill="0" applyAlignment="0" applyProtection="0"/>
    <xf numFmtId="0" fontId="34" fillId="0" borderId="13" applyNumberFormat="0" applyFill="0" applyAlignment="0" applyProtection="0"/>
    <xf numFmtId="0" fontId="140" fillId="0" borderId="35" applyNumberFormat="0" applyFill="0" applyAlignment="0" applyProtection="0"/>
    <xf numFmtId="0" fontId="56" fillId="0" borderId="13" applyNumberFormat="0" applyFill="0" applyAlignment="0" applyProtection="0"/>
    <xf numFmtId="0" fontId="140" fillId="0" borderId="35" applyNumberFormat="0" applyFill="0" applyAlignment="0" applyProtection="0"/>
    <xf numFmtId="0" fontId="140" fillId="0" borderId="35" applyNumberFormat="0" applyFill="0" applyAlignment="0" applyProtection="0"/>
    <xf numFmtId="0" fontId="141" fillId="0" borderId="35" applyNumberFormat="0" applyFill="0" applyAlignment="0" applyProtection="0"/>
    <xf numFmtId="0" fontId="104" fillId="0" borderId="0" applyFont="0" applyFill="0" applyBorder="0" applyAlignment="0" applyProtection="0"/>
    <xf numFmtId="189" fontId="15" fillId="25" borderId="0" applyFont="0" applyBorder="0" applyAlignment="0" applyProtection="0">
      <alignment horizontal="right"/>
      <protection hidden="1"/>
    </xf>
    <xf numFmtId="0" fontId="142" fillId="60" borderId="0" applyNumberFormat="0" applyBorder="0" applyAlignment="0" applyProtection="0"/>
    <xf numFmtId="0" fontId="35" fillId="26" borderId="0" applyNumberFormat="0" applyBorder="0" applyAlignment="0" applyProtection="0"/>
    <xf numFmtId="0" fontId="142" fillId="60" borderId="0" applyNumberFormat="0" applyBorder="0" applyAlignment="0" applyProtection="0"/>
    <xf numFmtId="0" fontId="57" fillId="26" borderId="0" applyNumberFormat="0" applyBorder="0" applyAlignment="0" applyProtection="0"/>
    <xf numFmtId="0" fontId="142" fillId="60" borderId="0" applyNumberFormat="0" applyBorder="0" applyAlignment="0" applyProtection="0"/>
    <xf numFmtId="0" fontId="142" fillId="60" borderId="0" applyNumberFormat="0" applyBorder="0" applyAlignment="0" applyProtection="0"/>
    <xf numFmtId="0" fontId="143" fillId="60" borderId="0" applyNumberFormat="0" applyBorder="0" applyAlignment="0" applyProtection="0"/>
    <xf numFmtId="38" fontId="15" fillId="0" borderId="0" applyFont="0" applyFill="0" applyBorder="0" applyAlignment="0"/>
    <xf numFmtId="177" fontId="12" fillId="0" borderId="0" applyFont="0" applyFill="0" applyBorder="0" applyAlignment="0"/>
    <xf numFmtId="40" fontId="15" fillId="0" borderId="0" applyFont="0" applyFill="0" applyBorder="0" applyAlignment="0"/>
    <xf numFmtId="178" fontId="15" fillId="0" borderId="0" applyFont="0" applyFill="0" applyBorder="0" applyAlignment="0"/>
    <xf numFmtId="0" fontId="12" fillId="0" borderId="0"/>
    <xf numFmtId="0" fontId="120" fillId="0" borderId="0"/>
    <xf numFmtId="0" fontId="12" fillId="0" borderId="0"/>
    <xf numFmtId="0" fontId="116" fillId="0" borderId="0"/>
    <xf numFmtId="0" fontId="12" fillId="0" borderId="0"/>
    <xf numFmtId="0" fontId="1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16" fillId="0" borderId="0"/>
    <xf numFmtId="0" fontId="12" fillId="0" borderId="0"/>
    <xf numFmtId="0" fontId="12" fillId="0" borderId="0"/>
    <xf numFmtId="0" fontId="1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6" fillId="0" borderId="0"/>
    <xf numFmtId="0" fontId="117" fillId="0" borderId="0"/>
    <xf numFmtId="0" fontId="12" fillId="0" borderId="0"/>
    <xf numFmtId="0" fontId="12" fillId="0" borderId="0"/>
    <xf numFmtId="0" fontId="120" fillId="0" borderId="0"/>
    <xf numFmtId="0" fontId="12" fillId="0" borderId="0"/>
    <xf numFmtId="37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0" fillId="0" borderId="0"/>
    <xf numFmtId="0" fontId="120" fillId="0" borderId="0"/>
    <xf numFmtId="0" fontId="12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0" fillId="0" borderId="0"/>
    <xf numFmtId="0" fontId="120" fillId="0" borderId="0"/>
    <xf numFmtId="0" fontId="12" fillId="0" borderId="0"/>
    <xf numFmtId="0" fontId="120" fillId="0" borderId="0"/>
    <xf numFmtId="0" fontId="120" fillId="0" borderId="0"/>
    <xf numFmtId="0" fontId="117" fillId="0" borderId="0"/>
    <xf numFmtId="0" fontId="120" fillId="0" borderId="0"/>
    <xf numFmtId="37" fontId="16" fillId="0" borderId="0"/>
    <xf numFmtId="0" fontId="16" fillId="0" borderId="0"/>
    <xf numFmtId="37" fontId="16" fillId="0" borderId="0"/>
    <xf numFmtId="0" fontId="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0" fillId="0" borderId="0"/>
    <xf numFmtId="0" fontId="120" fillId="0" borderId="0"/>
    <xf numFmtId="0" fontId="120" fillId="0" borderId="0"/>
    <xf numFmtId="0" fontId="12" fillId="0" borderId="0"/>
    <xf numFmtId="0" fontId="120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20" fillId="0" borderId="0"/>
    <xf numFmtId="0" fontId="120" fillId="0" borderId="0"/>
    <xf numFmtId="0" fontId="120" fillId="0" borderId="0"/>
    <xf numFmtId="0" fontId="12" fillId="0" borderId="0" applyNumberFormat="0" applyFill="0" applyBorder="0" applyAlignment="0" applyProtection="0"/>
    <xf numFmtId="0" fontId="120" fillId="0" borderId="0"/>
    <xf numFmtId="0" fontId="12" fillId="0" borderId="0" applyNumberFormat="0" applyFill="0" applyBorder="0" applyAlignment="0" applyProtection="0"/>
    <xf numFmtId="0" fontId="116" fillId="0" borderId="0"/>
    <xf numFmtId="0" fontId="11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6" fillId="0" borderId="0"/>
    <xf numFmtId="0" fontId="117" fillId="0" borderId="0"/>
    <xf numFmtId="0" fontId="117" fillId="0" borderId="0"/>
    <xf numFmtId="0" fontId="117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7" fillId="0" borderId="0"/>
    <xf numFmtId="0" fontId="1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0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17" fillId="0" borderId="0"/>
    <xf numFmtId="0" fontId="117" fillId="0" borderId="0"/>
    <xf numFmtId="0" fontId="120" fillId="0" borderId="0"/>
    <xf numFmtId="0" fontId="120" fillId="0" borderId="0"/>
    <xf numFmtId="0" fontId="12" fillId="0" borderId="0"/>
    <xf numFmtId="0" fontId="120" fillId="0" borderId="0"/>
    <xf numFmtId="0" fontId="120" fillId="0" borderId="0"/>
    <xf numFmtId="0" fontId="12" fillId="0" borderId="0"/>
    <xf numFmtId="0" fontId="116" fillId="0" borderId="0"/>
    <xf numFmtId="0" fontId="116" fillId="0" borderId="0"/>
    <xf numFmtId="0" fontId="12" fillId="0" borderId="0" applyProtection="0"/>
    <xf numFmtId="0" fontId="117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0" fillId="0" borderId="0"/>
    <xf numFmtId="0" fontId="12" fillId="0" borderId="0"/>
    <xf numFmtId="0" fontId="120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63" fillId="0" borderId="0"/>
    <xf numFmtId="0" fontId="12" fillId="0" borderId="0"/>
    <xf numFmtId="0" fontId="117" fillId="0" borderId="0"/>
    <xf numFmtId="0" fontId="12" fillId="0" borderId="0"/>
    <xf numFmtId="0" fontId="117" fillId="0" borderId="0"/>
    <xf numFmtId="0" fontId="12" fillId="0" borderId="0"/>
    <xf numFmtId="0" fontId="116" fillId="0" borderId="0"/>
    <xf numFmtId="0" fontId="116" fillId="0" borderId="0"/>
    <xf numFmtId="0" fontId="117" fillId="0" borderId="0"/>
    <xf numFmtId="0" fontId="20" fillId="0" borderId="0"/>
    <xf numFmtId="0" fontId="12" fillId="0" borderId="0"/>
    <xf numFmtId="0" fontId="117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17" fillId="0" borderId="0"/>
    <xf numFmtId="0" fontId="12" fillId="0" borderId="0"/>
    <xf numFmtId="0" fontId="117" fillId="0" borderId="0"/>
    <xf numFmtId="0" fontId="12" fillId="0" borderId="0"/>
    <xf numFmtId="0" fontId="22" fillId="0" borderId="0"/>
    <xf numFmtId="0" fontId="12" fillId="0" borderId="0"/>
    <xf numFmtId="0" fontId="117" fillId="0" borderId="0"/>
    <xf numFmtId="0" fontId="12" fillId="0" borderId="0"/>
    <xf numFmtId="0" fontId="120" fillId="0" borderId="0"/>
    <xf numFmtId="0" fontId="16" fillId="0" borderId="0"/>
    <xf numFmtId="0" fontId="22" fillId="0" borderId="0"/>
    <xf numFmtId="0" fontId="22" fillId="0" borderId="0"/>
    <xf numFmtId="0" fontId="120" fillId="0" borderId="0"/>
    <xf numFmtId="0" fontId="12" fillId="0" borderId="0"/>
    <xf numFmtId="0" fontId="120" fillId="0" borderId="0"/>
    <xf numFmtId="0" fontId="22" fillId="0" borderId="0"/>
    <xf numFmtId="0" fontId="12" fillId="0" borderId="0"/>
    <xf numFmtId="0" fontId="12" fillId="0" borderId="0"/>
    <xf numFmtId="0" fontId="120" fillId="0" borderId="0"/>
    <xf numFmtId="0" fontId="20" fillId="0" borderId="0"/>
    <xf numFmtId="0" fontId="13" fillId="0" borderId="0"/>
    <xf numFmtId="0" fontId="120" fillId="0" borderId="0"/>
    <xf numFmtId="0" fontId="120" fillId="0" borderId="0"/>
    <xf numFmtId="0" fontId="12" fillId="0" borderId="0"/>
    <xf numFmtId="0" fontId="13" fillId="0" borderId="0"/>
    <xf numFmtId="0" fontId="12" fillId="0" borderId="0"/>
    <xf numFmtId="0" fontId="120" fillId="0" borderId="0"/>
    <xf numFmtId="0" fontId="12" fillId="0" borderId="0"/>
    <xf numFmtId="0" fontId="120" fillId="0" borderId="0"/>
    <xf numFmtId="0" fontId="120" fillId="0" borderId="0"/>
    <xf numFmtId="0" fontId="12" fillId="0" borderId="0"/>
    <xf numFmtId="0" fontId="20" fillId="0" borderId="0"/>
    <xf numFmtId="0" fontId="117" fillId="0" borderId="0"/>
    <xf numFmtId="0" fontId="12" fillId="0" borderId="0"/>
    <xf numFmtId="0" fontId="20" fillId="0" borderId="0"/>
    <xf numFmtId="0" fontId="12" fillId="0" borderId="0"/>
    <xf numFmtId="0" fontId="120" fillId="0" borderId="0"/>
    <xf numFmtId="0" fontId="12" fillId="0" borderId="0"/>
    <xf numFmtId="0" fontId="20" fillId="0" borderId="0"/>
    <xf numFmtId="0" fontId="12" fillId="0" borderId="0"/>
    <xf numFmtId="0" fontId="120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1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0" fillId="0" borderId="0"/>
    <xf numFmtId="0" fontId="16" fillId="0" borderId="0"/>
    <xf numFmtId="0" fontId="120" fillId="0" borderId="0"/>
    <xf numFmtId="0" fontId="12" fillId="0" borderId="0"/>
    <xf numFmtId="0" fontId="12" fillId="0" borderId="0"/>
    <xf numFmtId="0" fontId="120" fillId="0" borderId="0"/>
    <xf numFmtId="0" fontId="12" fillId="0" borderId="0"/>
    <xf numFmtId="0" fontId="120" fillId="0" borderId="0"/>
    <xf numFmtId="0" fontId="117" fillId="0" borderId="0"/>
    <xf numFmtId="177" fontId="107" fillId="0" borderId="0" applyNumberFormat="0" applyFill="0" applyBorder="0" applyAlignment="0" applyProtection="0"/>
    <xf numFmtId="190" fontId="15" fillId="0" borderId="0" applyFont="0" applyFill="0" applyBorder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12" fillId="27" borderId="14" applyNumberFormat="0" applyFont="0" applyAlignment="0" applyProtection="0"/>
    <xf numFmtId="0" fontId="12" fillId="27" borderId="14" applyNumberFormat="0" applyFont="0" applyAlignment="0" applyProtection="0"/>
    <xf numFmtId="0" fontId="12" fillId="27" borderId="14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5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6" fillId="61" borderId="36" applyNumberFormat="0" applyFont="0" applyAlignment="0" applyProtection="0"/>
    <xf numFmtId="0" fontId="22" fillId="61" borderId="36" applyNumberFormat="0" applyFont="0" applyAlignment="0" applyProtection="0"/>
    <xf numFmtId="0" fontId="22" fillId="61" borderId="36" applyNumberFormat="0" applyFont="0" applyAlignment="0" applyProtection="0"/>
    <xf numFmtId="0" fontId="78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5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8" fillId="61" borderId="36" applyNumberFormat="0" applyFont="0" applyAlignment="0" applyProtection="0"/>
    <xf numFmtId="0" fontId="7" fillId="61" borderId="36" applyNumberFormat="0" applyFont="0" applyAlignment="0" applyProtection="0"/>
    <xf numFmtId="0" fontId="79" fillId="61" borderId="36" applyNumberFormat="0" applyFont="0" applyAlignment="0" applyProtection="0"/>
    <xf numFmtId="0" fontId="22" fillId="61" borderId="36" applyNumberFormat="0" applyFont="0" applyAlignment="0" applyProtection="0"/>
    <xf numFmtId="0" fontId="22" fillId="61" borderId="36" applyNumberFormat="0" applyFont="0" applyAlignment="0" applyProtection="0"/>
    <xf numFmtId="0" fontId="7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81" fillId="61" borderId="36" applyNumberFormat="0" applyFont="0" applyAlignment="0" applyProtection="0"/>
    <xf numFmtId="0" fontId="84" fillId="61" borderId="36" applyNumberFormat="0" applyFont="0" applyAlignment="0" applyProtection="0"/>
    <xf numFmtId="0" fontId="22" fillId="61" borderId="36" applyNumberFormat="0" applyFont="0" applyAlignment="0" applyProtection="0"/>
    <xf numFmtId="0" fontId="22" fillId="61" borderId="36" applyNumberFormat="0" applyFont="0" applyAlignment="0" applyProtection="0"/>
    <xf numFmtId="0" fontId="58" fillId="27" borderId="14" applyNumberFormat="0" applyFont="0" applyAlignment="0" applyProtection="0"/>
    <xf numFmtId="0" fontId="82" fillId="61" borderId="36" applyNumberFormat="0" applyFont="0" applyAlignment="0" applyProtection="0"/>
    <xf numFmtId="0" fontId="84" fillId="61" borderId="36" applyNumberFormat="0" applyFont="0" applyAlignment="0" applyProtection="0"/>
    <xf numFmtId="0" fontId="22" fillId="61" borderId="36" applyNumberFormat="0" applyFont="0" applyAlignment="0" applyProtection="0"/>
    <xf numFmtId="0" fontId="22" fillId="61" borderId="36" applyNumberFormat="0" applyFont="0" applyAlignment="0" applyProtection="0"/>
    <xf numFmtId="0" fontId="86" fillId="61" borderId="36" applyNumberFormat="0" applyFont="0" applyAlignment="0" applyProtection="0"/>
    <xf numFmtId="0" fontId="7" fillId="61" borderId="36" applyNumberFormat="0" applyFont="0" applyAlignment="0" applyProtection="0"/>
    <xf numFmtId="0" fontId="96" fillId="61" borderId="36" applyNumberFormat="0" applyFont="0" applyAlignment="0" applyProtection="0"/>
    <xf numFmtId="0" fontId="7" fillId="61" borderId="36" applyNumberFormat="0" applyFont="0" applyAlignment="0" applyProtection="0"/>
    <xf numFmtId="0" fontId="98" fillId="61" borderId="36" applyNumberFormat="0" applyFont="0" applyAlignment="0" applyProtection="0"/>
    <xf numFmtId="0" fontId="7" fillId="61" borderId="36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66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0" fontId="7" fillId="61" borderId="36" applyNumberFormat="0" applyFont="0" applyAlignment="0" applyProtection="0"/>
    <xf numFmtId="37" fontId="16" fillId="0" borderId="0" applyNumberFormat="0" applyFill="0" applyBorder="0" applyAlignment="0" applyProtection="0">
      <alignment horizontal="right" vertical="center"/>
      <protection locked="0"/>
    </xf>
    <xf numFmtId="0" fontId="16" fillId="0" borderId="0" applyNumberFormat="0" applyFill="0" applyBorder="0" applyAlignment="0" applyProtection="0">
      <alignment horizontal="right" vertical="center"/>
      <protection locked="0"/>
    </xf>
    <xf numFmtId="37" fontId="12" fillId="0" borderId="15" applyNumberFormat="0" applyFill="0" applyBorder="0" applyProtection="0">
      <alignment horizontal="center"/>
    </xf>
    <xf numFmtId="37" fontId="12" fillId="0" borderId="15" applyNumberFormat="0" applyFill="0" applyBorder="0" applyProtection="0">
      <alignment horizontal="center"/>
    </xf>
    <xf numFmtId="0" fontId="12" fillId="0" borderId="15" applyNumberFormat="0" applyFill="0" applyBorder="0" applyProtection="0">
      <alignment horizontal="center"/>
    </xf>
    <xf numFmtId="0" fontId="12" fillId="0" borderId="15" applyNumberFormat="0" applyFill="0" applyBorder="0" applyProtection="0">
      <alignment horizontal="center"/>
    </xf>
    <xf numFmtId="37" fontId="12" fillId="0" borderId="15" applyNumberFormat="0" applyFill="0" applyBorder="0" applyProtection="0">
      <alignment horizontal="center"/>
    </xf>
    <xf numFmtId="191" fontId="15" fillId="0" borderId="0" applyFont="0" applyFill="0" applyBorder="0" applyAlignment="0" applyProtection="0"/>
    <xf numFmtId="170" fontId="18" fillId="0" borderId="0" applyProtection="0"/>
    <xf numFmtId="192" fontId="15" fillId="0" borderId="0" applyFont="0" applyFill="0" applyBorder="0" applyAlignment="0" applyProtection="0"/>
    <xf numFmtId="0" fontId="144" fillId="55" borderId="37" applyNumberFormat="0" applyAlignment="0" applyProtection="0"/>
    <xf numFmtId="0" fontId="36" fillId="21" borderId="16" applyNumberFormat="0" applyAlignment="0" applyProtection="0"/>
    <xf numFmtId="0" fontId="144" fillId="55" borderId="37" applyNumberFormat="0" applyAlignment="0" applyProtection="0"/>
    <xf numFmtId="0" fontId="59" fillId="21" borderId="16" applyNumberFormat="0" applyAlignment="0" applyProtection="0"/>
    <xf numFmtId="0" fontId="144" fillId="55" borderId="37" applyNumberFormat="0" applyAlignment="0" applyProtection="0"/>
    <xf numFmtId="0" fontId="144" fillId="55" borderId="37" applyNumberFormat="0" applyAlignment="0" applyProtection="0"/>
    <xf numFmtId="0" fontId="145" fillId="55" borderId="37" applyNumberFormat="0" applyAlignment="0" applyProtection="0"/>
    <xf numFmtId="0" fontId="18" fillId="0" borderId="0"/>
    <xf numFmtId="0" fontId="46" fillId="0" borderId="0"/>
    <xf numFmtId="0" fontId="18" fillId="0" borderId="0"/>
    <xf numFmtId="193" fontId="12" fillId="0" borderId="0" applyFont="0" applyFill="0" applyBorder="0" applyAlignment="0"/>
    <xf numFmtId="194" fontId="15" fillId="0" borderId="0" applyFont="0" applyFill="0" applyBorder="0" applyAlignment="0"/>
    <xf numFmtId="195" fontId="12" fillId="0" borderId="0" applyFont="0" applyFill="0" applyBorder="0" applyAlignment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6" fillId="0" borderId="0" applyFill="0" applyBorder="0" applyProtection="0"/>
    <xf numFmtId="10" fontId="16" fillId="0" borderId="0" applyFont="0" applyFill="0" applyBorder="0" applyAlignment="0" applyProtection="0"/>
    <xf numFmtId="196" fontId="15" fillId="0" borderId="0" applyFont="0" applyFill="0" applyBorder="0" applyAlignment="0" applyProtection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17" fontId="20" fillId="0" borderId="0" applyFont="0" applyFill="0" applyBorder="0" applyAlignment="0" applyProtection="0"/>
    <xf numFmtId="19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0" fontId="21" fillId="0" borderId="17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0" fontId="20" fillId="28" borderId="0" applyNumberFormat="0" applyFont="0" applyBorder="0" applyAlignment="0" applyProtection="0"/>
    <xf numFmtId="177" fontId="111" fillId="0" borderId="0" applyNumberFormat="0" applyFill="0" applyBorder="0" applyAlignment="0" applyProtection="0">
      <alignment horizontal="left"/>
    </xf>
    <xf numFmtId="197" fontId="120" fillId="0" borderId="0" applyFill="0" applyBorder="0" applyAlignment="0" applyProtection="0"/>
    <xf numFmtId="197" fontId="120" fillId="0" borderId="0" applyFill="0" applyBorder="0" applyAlignment="0" applyProtection="0"/>
    <xf numFmtId="188" fontId="146" fillId="0" borderId="0" applyFill="0" applyBorder="0" applyAlignment="0" applyProtection="0"/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0" fontId="12" fillId="0" borderId="0" applyNumberFormat="0" applyFill="0" applyBorder="0" applyProtection="0">
      <alignment horizontal="center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168" fontId="12" fillId="0" borderId="0">
      <alignment horizontal="left" wrapText="1"/>
    </xf>
    <xf numFmtId="0" fontId="12" fillId="0" borderId="0"/>
    <xf numFmtId="168" fontId="12" fillId="0" borderId="0">
      <alignment horizontal="left" wrapText="1"/>
    </xf>
    <xf numFmtId="0" fontId="105" fillId="0" borderId="0" applyNumberFormat="0" applyFill="0" applyBorder="0" applyAlignment="0" applyProtection="0"/>
    <xf numFmtId="2" fontId="12" fillId="0" borderId="0" applyFont="0" applyFill="0" applyBorder="0" applyProtection="0">
      <alignment horizontal="right"/>
    </xf>
    <xf numFmtId="0" fontId="105" fillId="0" borderId="0" applyNumberFormat="0" applyFill="0" applyBorder="0" applyProtection="0">
      <alignment horizontal="right"/>
    </xf>
    <xf numFmtId="37" fontId="16" fillId="0" borderId="0" applyFill="0" applyBorder="0" applyProtection="0"/>
    <xf numFmtId="0" fontId="16" fillId="0" borderId="0" applyFill="0" applyBorder="0" applyProtection="0"/>
    <xf numFmtId="37" fontId="16" fillId="0" borderId="0" applyFill="0" applyBorder="0" applyProtection="0"/>
    <xf numFmtId="0" fontId="16" fillId="0" borderId="0" applyFill="0" applyBorder="0" applyProtection="0"/>
    <xf numFmtId="198" fontId="112" fillId="0" borderId="0" applyFill="0" applyBorder="0" applyAlignment="0" applyProtection="0">
      <alignment horizontal="right"/>
    </xf>
    <xf numFmtId="0" fontId="14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48" fillId="0" borderId="3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48" fillId="0" borderId="38" applyNumberFormat="0" applyFill="0" applyAlignment="0" applyProtection="0"/>
    <xf numFmtId="0" fontId="148" fillId="0" borderId="38" applyNumberFormat="0" applyFill="0" applyAlignment="0" applyProtection="0"/>
    <xf numFmtId="0" fontId="149" fillId="0" borderId="3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48" fillId="0" borderId="3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37" fillId="0" borderId="1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37" fillId="0" borderId="1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60" fillId="0" borderId="18" applyNumberFormat="0" applyFill="0" applyAlignment="0" applyProtection="0"/>
    <xf numFmtId="0" fontId="12" fillId="0" borderId="19" applyNumberFormat="0" applyFill="0" applyAlignment="0" applyProtection="0"/>
    <xf numFmtId="0" fontId="12" fillId="0" borderId="19" applyNumberFormat="0" applyFill="0" applyAlignment="0" applyProtection="0"/>
    <xf numFmtId="0" fontId="15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47" fillId="29" borderId="20">
      <alignment horizontal="center" vertical="top"/>
    </xf>
    <xf numFmtId="199" fontId="152" fillId="0" borderId="0" applyFill="0" applyBorder="0" applyProtection="0">
      <alignment horizontal="right"/>
    </xf>
    <xf numFmtId="0" fontId="6" fillId="0" borderId="0"/>
    <xf numFmtId="44" fontId="116" fillId="0" borderId="0" applyFont="0" applyFill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43" fontId="5" fillId="0" borderId="0" applyFont="0" applyFill="0" applyBorder="0" applyAlignment="0" applyProtection="0"/>
    <xf numFmtId="0" fontId="116" fillId="0" borderId="0"/>
    <xf numFmtId="0" fontId="5" fillId="0" borderId="0"/>
    <xf numFmtId="0" fontId="5" fillId="0" borderId="0"/>
    <xf numFmtId="0" fontId="1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1" borderId="36" applyNumberFormat="0" applyFont="0" applyAlignment="0" applyProtection="0"/>
    <xf numFmtId="0" fontId="116" fillId="61" borderId="36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6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43" fontId="17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5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2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2" fontId="12" fillId="0" borderId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4" fontId="116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7" fontId="12" fillId="0" borderId="0" applyFill="0" applyBorder="0" applyAlignment="0" applyProtection="0"/>
  </cellStyleXfs>
  <cellXfs count="332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1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4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70" fillId="0" borderId="0" xfId="0" applyFont="1" applyAlignment="1">
      <alignment vertical="center" wrapText="1"/>
    </xf>
    <xf numFmtId="0" fontId="72" fillId="0" borderId="0" xfId="0" applyFont="1"/>
    <xf numFmtId="0" fontId="73" fillId="0" borderId="0" xfId="0" applyFont="1" applyFill="1" applyAlignment="1">
      <alignment horizontal="center" vertical="top" wrapText="1"/>
    </xf>
    <xf numFmtId="0" fontId="73" fillId="0" borderId="0" xfId="0" applyFont="1" applyAlignment="1">
      <alignment horizontal="center" vertical="top" wrapText="1"/>
    </xf>
    <xf numFmtId="0" fontId="74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9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6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7" fillId="0" borderId="0" xfId="0" applyFont="1" applyAlignment="1">
      <alignment horizontal="right"/>
    </xf>
    <xf numFmtId="165" fontId="73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8" fillId="0" borderId="0" xfId="0" applyFont="1"/>
    <xf numFmtId="0" fontId="85" fillId="0" borderId="0" xfId="0" quotePrefix="1" applyFont="1" applyAlignment="1">
      <alignment horizontal="center"/>
    </xf>
    <xf numFmtId="0" fontId="88" fillId="0" borderId="0" xfId="0" applyFont="1" applyAlignment="1">
      <alignment horizontal="center" vertical="top"/>
    </xf>
    <xf numFmtId="0" fontId="89" fillId="0" borderId="0" xfId="0" quotePrefix="1" applyFont="1" applyAlignment="1">
      <alignment horizontal="center"/>
    </xf>
    <xf numFmtId="165" fontId="90" fillId="0" borderId="0" xfId="0" applyNumberFormat="1" applyFont="1" applyAlignment="1">
      <alignment horizontal="center" vertical="top"/>
    </xf>
    <xf numFmtId="0" fontId="91" fillId="0" borderId="0" xfId="0" applyFont="1"/>
    <xf numFmtId="0" fontId="92" fillId="0" borderId="0" xfId="0" applyFont="1" applyAlignment="1">
      <alignment vertical="center"/>
    </xf>
    <xf numFmtId="0" fontId="92" fillId="0" borderId="6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175" fontId="91" fillId="0" borderId="0" xfId="0" applyNumberFormat="1" applyFont="1" applyBorder="1" applyAlignment="1">
      <alignment horizontal="center" vertical="center" wrapText="1"/>
    </xf>
    <xf numFmtId="175" fontId="91" fillId="0" borderId="6" xfId="0" applyNumberFormat="1" applyFont="1" applyBorder="1" applyAlignment="1">
      <alignment horizontal="center" vertical="center" wrapText="1"/>
    </xf>
    <xf numFmtId="3" fontId="91" fillId="0" borderId="6" xfId="0" applyNumberFormat="1" applyFont="1" applyBorder="1" applyAlignment="1">
      <alignment horizontal="center"/>
    </xf>
    <xf numFmtId="37" fontId="93" fillId="0" borderId="21" xfId="311" applyNumberFormat="1" applyFont="1" applyBorder="1" applyAlignment="1">
      <alignment horizontal="center"/>
    </xf>
    <xf numFmtId="3" fontId="91" fillId="0" borderId="0" xfId="0" applyNumberFormat="1" applyFont="1"/>
    <xf numFmtId="2" fontId="91" fillId="0" borderId="0" xfId="0" applyNumberFormat="1" applyFont="1"/>
    <xf numFmtId="166" fontId="91" fillId="0" borderId="0" xfId="0" applyNumberFormat="1" applyFont="1" applyBorder="1" applyAlignment="1">
      <alignment horizontal="center" vertical="top"/>
    </xf>
    <xf numFmtId="0" fontId="91" fillId="0" borderId="0" xfId="0" applyFont="1" applyBorder="1"/>
    <xf numFmtId="174" fontId="93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2" fillId="0" borderId="22" xfId="0" applyFont="1" applyBorder="1" applyAlignment="1">
      <alignment horizontal="center" vertical="center"/>
    </xf>
    <xf numFmtId="3" fontId="91" fillId="0" borderId="22" xfId="0" applyNumberFormat="1" applyFont="1" applyBorder="1" applyAlignment="1">
      <alignment horizontal="center"/>
    </xf>
    <xf numFmtId="38" fontId="91" fillId="0" borderId="0" xfId="0" applyNumberFormat="1" applyFont="1" applyBorder="1" applyAlignment="1">
      <alignment horizontal="center"/>
    </xf>
    <xf numFmtId="0" fontId="71" fillId="0" borderId="6" xfId="0" quotePrefix="1" applyFont="1" applyBorder="1" applyAlignment="1">
      <alignment horizontal="center" vertical="center"/>
    </xf>
    <xf numFmtId="0" fontId="91" fillId="0" borderId="0" xfId="0" applyFont="1" applyFill="1" applyBorder="1" applyAlignment="1">
      <alignment horizontal="center" vertical="top" wrapText="1"/>
    </xf>
    <xf numFmtId="3" fontId="91" fillId="0" borderId="0" xfId="0" applyNumberFormat="1" applyFont="1" applyFill="1" applyAlignment="1">
      <alignment horizontal="center"/>
    </xf>
    <xf numFmtId="3" fontId="91" fillId="0" borderId="21" xfId="0" applyNumberFormat="1" applyFont="1" applyFill="1" applyBorder="1" applyAlignment="1">
      <alignment horizontal="center"/>
    </xf>
    <xf numFmtId="3" fontId="91" fillId="0" borderId="0" xfId="0" applyNumberFormat="1" applyFont="1" applyFill="1" applyBorder="1" applyAlignment="1">
      <alignment horizontal="center"/>
    </xf>
    <xf numFmtId="0" fontId="92" fillId="0" borderId="23" xfId="0" applyFont="1" applyFill="1" applyBorder="1" applyAlignment="1">
      <alignment horizontal="center" vertical="center"/>
    </xf>
    <xf numFmtId="0" fontId="92" fillId="0" borderId="21" xfId="0" applyFont="1" applyFill="1" applyBorder="1" applyAlignment="1">
      <alignment horizontal="center" vertical="center"/>
    </xf>
    <xf numFmtId="3" fontId="91" fillId="0" borderId="21" xfId="0" applyNumberFormat="1" applyFont="1" applyFill="1" applyBorder="1" applyAlignment="1">
      <alignment horizontal="center" vertical="center" wrapText="1"/>
    </xf>
    <xf numFmtId="0" fontId="92" fillId="0" borderId="0" xfId="0" applyFont="1" applyFill="1" applyBorder="1" applyAlignment="1">
      <alignment horizontal="center" vertical="center"/>
    </xf>
    <xf numFmtId="0" fontId="92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2" fillId="0" borderId="6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2" fillId="0" borderId="21" xfId="0" quotePrefix="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top" wrapText="1"/>
    </xf>
    <xf numFmtId="0" fontId="70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70" fillId="0" borderId="0" xfId="0" applyNumberFormat="1" applyFont="1" applyFill="1"/>
    <xf numFmtId="0" fontId="65" fillId="0" borderId="0" xfId="0" applyFont="1" applyBorder="1" applyAlignment="1">
      <alignment wrapText="1"/>
    </xf>
    <xf numFmtId="0" fontId="65" fillId="0" borderId="22" xfId="0" applyFont="1" applyBorder="1" applyAlignment="1">
      <alignment horizontal="center" vertical="center" wrapText="1"/>
    </xf>
    <xf numFmtId="0" fontId="100" fillId="0" borderId="6" xfId="0" applyFont="1" applyBorder="1" applyAlignment="1">
      <alignment horizontal="center" vertical="top" wrapText="1"/>
    </xf>
    <xf numFmtId="0" fontId="100" fillId="0" borderId="0" xfId="0" applyFont="1" applyAlignment="1">
      <alignment horizontal="center" vertical="top"/>
    </xf>
    <xf numFmtId="0" fontId="100" fillId="0" borderId="0" xfId="0" applyFont="1" applyFill="1" applyAlignment="1">
      <alignment horizontal="center" vertical="top" wrapText="1"/>
    </xf>
    <xf numFmtId="0" fontId="100" fillId="0" borderId="0" xfId="0" applyFont="1" applyFill="1" applyBorder="1" applyAlignment="1">
      <alignment horizontal="center" vertical="center" wrapText="1"/>
    </xf>
    <xf numFmtId="0" fontId="94" fillId="0" borderId="0" xfId="0" quotePrefix="1" applyFont="1" applyBorder="1" applyAlignment="1">
      <alignment horizontal="center"/>
    </xf>
    <xf numFmtId="0" fontId="94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9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0" fillId="0" borderId="0" xfId="0"/>
    <xf numFmtId="177" fontId="91" fillId="0" borderId="0" xfId="0" applyNumberFormat="1" applyFont="1" applyBorder="1" applyAlignment="1">
      <alignment horizontal="center"/>
    </xf>
    <xf numFmtId="0" fontId="92" fillId="0" borderId="0" xfId="0" applyFont="1" applyBorder="1" applyAlignment="1">
      <alignment horizontal="center" vertical="top"/>
    </xf>
    <xf numFmtId="0" fontId="72" fillId="0" borderId="0" xfId="0" applyFont="1" applyFill="1" applyAlignment="1">
      <alignment horizontal="center" vertical="top" wrapText="1"/>
    </xf>
    <xf numFmtId="0" fontId="71" fillId="0" borderId="22" xfId="0" applyFont="1" applyBorder="1" applyAlignment="1">
      <alignment horizontal="center" vertical="center" wrapText="1"/>
    </xf>
    <xf numFmtId="0" fontId="95" fillId="0" borderId="22" xfId="0" quotePrefix="1" applyFont="1" applyBorder="1" applyAlignment="1">
      <alignment horizontal="center"/>
    </xf>
    <xf numFmtId="0" fontId="94" fillId="0" borderId="24" xfId="0" quotePrefix="1" applyFont="1" applyBorder="1" applyAlignment="1">
      <alignment horizontal="center"/>
    </xf>
    <xf numFmtId="0" fontId="71" fillId="0" borderId="23" xfId="0" quotePrefix="1" applyFont="1" applyBorder="1" applyAlignment="1">
      <alignment horizontal="center" vertical="center"/>
    </xf>
    <xf numFmtId="0" fontId="100" fillId="0" borderId="23" xfId="0" applyFont="1" applyBorder="1" applyAlignment="1">
      <alignment horizontal="center" vertical="top" wrapText="1"/>
    </xf>
    <xf numFmtId="0" fontId="65" fillId="0" borderId="0" xfId="0" quotePrefix="1" applyFont="1" applyAlignment="1">
      <alignment horizontal="center"/>
    </xf>
    <xf numFmtId="0" fontId="92" fillId="0" borderId="21" xfId="0" applyFont="1" applyBorder="1" applyAlignment="1">
      <alignment horizontal="center" vertical="top"/>
    </xf>
    <xf numFmtId="0" fontId="92" fillId="0" borderId="6" xfId="0" applyFont="1" applyBorder="1" applyAlignment="1">
      <alignment horizontal="center" vertical="top"/>
    </xf>
    <xf numFmtId="0" fontId="72" fillId="0" borderId="0" xfId="0" quotePrefix="1" applyFont="1" applyAlignment="1">
      <alignment horizontal="center" vertical="top" wrapText="1"/>
    </xf>
    <xf numFmtId="165" fontId="90" fillId="0" borderId="0" xfId="0" applyNumberFormat="1" applyFont="1" applyAlignment="1">
      <alignment horizontal="center"/>
    </xf>
    <xf numFmtId="8" fontId="90" fillId="0" borderId="0" xfId="0" applyNumberFormat="1" applyFont="1" applyAlignment="1">
      <alignment horizontal="center"/>
    </xf>
    <xf numFmtId="0" fontId="113" fillId="0" borderId="0" xfId="0" applyFont="1" applyAlignment="1">
      <alignment horizontal="center" vertical="top"/>
    </xf>
    <xf numFmtId="0" fontId="69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2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7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90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37" fontId="7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1" fillId="0" borderId="0" xfId="0" applyNumberFormat="1" applyFont="1" applyFill="1" applyBorder="1" applyAlignment="1">
      <alignment horizontal="center"/>
    </xf>
    <xf numFmtId="38" fontId="91" fillId="0" borderId="6" xfId="0" applyNumberFormat="1" applyFont="1" applyFill="1" applyBorder="1" applyAlignment="1">
      <alignment horizontal="center"/>
    </xf>
    <xf numFmtId="200" fontId="91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2" fillId="0" borderId="0" xfId="0" applyNumberFormat="1" applyFont="1"/>
    <xf numFmtId="38" fontId="72" fillId="0" borderId="0" xfId="0" applyNumberFormat="1" applyFont="1" applyAlignment="1">
      <alignment horizontal="center"/>
    </xf>
    <xf numFmtId="0" fontId="65" fillId="0" borderId="0" xfId="0" applyFont="1" applyAlignment="1">
      <alignment horizontal="right" vertical="top"/>
    </xf>
    <xf numFmtId="0" fontId="0" fillId="0" borderId="0" xfId="0"/>
    <xf numFmtId="177" fontId="0" fillId="0" borderId="0" xfId="0" applyNumberFormat="1"/>
    <xf numFmtId="0" fontId="150" fillId="0" borderId="0" xfId="0" applyFont="1" applyAlignment="1">
      <alignment vertical="center"/>
    </xf>
    <xf numFmtId="0" fontId="150" fillId="0" borderId="0" xfId="0" applyFont="1"/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2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8" fillId="0" borderId="0" xfId="0" applyFont="1" applyAlignment="1">
      <alignment horizontal="center"/>
    </xf>
    <xf numFmtId="177" fontId="91" fillId="0" borderId="6" xfId="0" applyNumberFormat="1" applyFont="1" applyBorder="1" applyAlignment="1">
      <alignment horizontal="center" vertical="center" wrapText="1"/>
    </xf>
    <xf numFmtId="177" fontId="93" fillId="0" borderId="0" xfId="0" applyNumberFormat="1" applyFont="1" applyBorder="1" applyAlignment="1">
      <alignment horizontal="center" vertical="center" wrapText="1"/>
    </xf>
    <xf numFmtId="3" fontId="72" fillId="0" borderId="0" xfId="0" applyNumberFormat="1" applyFont="1" applyBorder="1" applyAlignment="1">
      <alignment horizontal="center"/>
    </xf>
    <xf numFmtId="0" fontId="155" fillId="0" borderId="0" xfId="0" applyFont="1" applyFill="1" applyBorder="1" applyAlignment="1">
      <alignment horizontal="center" vertical="top"/>
    </xf>
    <xf numFmtId="3" fontId="72" fillId="0" borderId="0" xfId="0" applyNumberFormat="1" applyFont="1" applyAlignment="1">
      <alignment horizontal="center"/>
    </xf>
    <xf numFmtId="3" fontId="72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1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2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4" fillId="0" borderId="0" xfId="3392" applyNumberFormat="1" applyFont="1" applyAlignment="1">
      <alignment horizontal="center"/>
    </xf>
    <xf numFmtId="0" fontId="72" fillId="0" borderId="22" xfId="0" applyFont="1" applyFill="1" applyBorder="1" applyAlignment="1">
      <alignment horizontal="center" vertical="center" wrapText="1"/>
    </xf>
    <xf numFmtId="0" fontId="72" fillId="0" borderId="26" xfId="0" applyFont="1" applyBorder="1" applyAlignment="1"/>
    <xf numFmtId="166" fontId="0" fillId="0" borderId="0" xfId="0" applyNumberFormat="1" applyAlignment="1">
      <alignment horizontal="center"/>
    </xf>
    <xf numFmtId="166" fontId="69" fillId="0" borderId="0" xfId="0" applyNumberFormat="1" applyFont="1" applyAlignment="1">
      <alignment horizontal="center"/>
    </xf>
    <xf numFmtId="3" fontId="22" fillId="0" borderId="0" xfId="2121" applyNumberFormat="1" applyFont="1" applyAlignment="1">
      <alignment horizontal="center"/>
    </xf>
    <xf numFmtId="4" fontId="2" fillId="0" borderId="0" xfId="4146" applyNumberFormat="1" applyAlignment="1">
      <alignment horizontal="center" vertical="center" wrapText="1"/>
    </xf>
    <xf numFmtId="3" fontId="2" fillId="0" borderId="0" xfId="4146" applyNumberFormat="1" applyAlignment="1">
      <alignment horizontal="center" vertical="center" wrapText="1"/>
    </xf>
    <xf numFmtId="38" fontId="2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7" fillId="0" borderId="0" xfId="4147" applyNumberFormat="1" applyFont="1" applyFill="1" applyBorder="1" applyAlignment="1">
      <alignment horizontal="center"/>
    </xf>
    <xf numFmtId="3" fontId="2" fillId="0" borderId="0" xfId="4146" applyNumberFormat="1" applyFill="1" applyBorder="1" applyAlignment="1">
      <alignment horizontal="center"/>
    </xf>
    <xf numFmtId="37" fontId="158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2" fillId="0" borderId="0" xfId="0" quotePrefix="1" applyNumberFormat="1" applyFont="1" applyFill="1" applyBorder="1" applyAlignment="1">
      <alignment horizontal="center"/>
    </xf>
    <xf numFmtId="0" fontId="69" fillId="0" borderId="0" xfId="0" applyFont="1" applyAlignment="1"/>
    <xf numFmtId="0" fontId="0" fillId="0" borderId="0" xfId="0" applyFill="1" applyBorder="1" applyAlignment="1">
      <alignment horizontal="center"/>
    </xf>
    <xf numFmtId="3" fontId="158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8" fillId="0" borderId="0" xfId="317" applyNumberFormat="1" applyFont="1" applyFill="1" applyBorder="1" applyAlignment="1">
      <alignment horizontal="center" vertical="center"/>
    </xf>
    <xf numFmtId="3" fontId="69" fillId="0" borderId="0" xfId="0" applyNumberFormat="1" applyFont="1" applyFill="1" applyBorder="1" applyAlignment="1">
      <alignment horizontal="center"/>
    </xf>
    <xf numFmtId="3" fontId="72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3" fillId="0" borderId="0" xfId="3584" applyNumberFormat="1" applyAlignment="1">
      <alignment horizontal="center"/>
    </xf>
    <xf numFmtId="3" fontId="159" fillId="0" borderId="0" xfId="0" applyNumberFormat="1" applyFont="1" applyAlignment="1">
      <alignment horizontal="center"/>
    </xf>
    <xf numFmtId="174" fontId="149" fillId="0" borderId="0" xfId="311" applyNumberFormat="1" applyFont="1"/>
    <xf numFmtId="1" fontId="0" fillId="0" borderId="0" xfId="0" applyNumberFormat="1" applyAlignment="1">
      <alignment horizontal="right" vertical="center" wrapText="1"/>
    </xf>
    <xf numFmtId="204" fontId="91" fillId="0" borderId="0" xfId="0" applyNumberFormat="1" applyFont="1"/>
    <xf numFmtId="0" fontId="0" fillId="0" borderId="0" xfId="0"/>
    <xf numFmtId="0" fontId="72" fillId="63" borderId="0" xfId="0" applyFont="1" applyFill="1" applyBorder="1" applyAlignment="1">
      <alignment horizontal="center" vertical="top" wrapText="1"/>
    </xf>
    <xf numFmtId="0" fontId="71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14" fillId="0" borderId="0" xfId="2082" applyFont="1" applyAlignment="1">
      <alignment horizontal="center"/>
    </xf>
    <xf numFmtId="0" fontId="0" fillId="0" borderId="0" xfId="0" applyAlignment="1">
      <alignment horizontal="center" wrapText="1"/>
    </xf>
    <xf numFmtId="6" fontId="0" fillId="0" borderId="0" xfId="0" applyNumberFormat="1"/>
    <xf numFmtId="7" fontId="12" fillId="0" borderId="0" xfId="4148"/>
    <xf numFmtId="43" fontId="0" fillId="0" borderId="0" xfId="0" applyNumberFormat="1"/>
    <xf numFmtId="5" fontId="12" fillId="0" borderId="0" xfId="4148" applyNumberFormat="1"/>
    <xf numFmtId="9" fontId="0" fillId="0" borderId="0" xfId="2614" applyFont="1"/>
    <xf numFmtId="0" fontId="0" fillId="0" borderId="0" xfId="0" applyAlignment="1">
      <alignment horizontal="right"/>
    </xf>
    <xf numFmtId="0" fontId="65" fillId="0" borderId="0" xfId="0" applyFont="1"/>
    <xf numFmtId="0" fontId="65" fillId="0" borderId="0" xfId="0" applyFont="1" applyAlignment="1">
      <alignment horizontal="center" vertical="top"/>
    </xf>
    <xf numFmtId="0" fontId="65" fillId="0" borderId="6" xfId="0" applyFont="1" applyBorder="1" applyAlignment="1">
      <alignment horizontal="center" vertical="top" wrapText="1"/>
    </xf>
    <xf numFmtId="0" fontId="65" fillId="0" borderId="0" xfId="0" applyFont="1" applyFill="1" applyAlignment="1">
      <alignment horizontal="center" vertical="top" wrapText="1"/>
    </xf>
    <xf numFmtId="0" fontId="65" fillId="0" borderId="0" xfId="0" quotePrefix="1" applyFont="1" applyAlignment="1">
      <alignment horizontal="center" vertical="top" wrapText="1"/>
    </xf>
    <xf numFmtId="0" fontId="65" fillId="0" borderId="23" xfId="0" applyFont="1" applyBorder="1" applyAlignment="1">
      <alignment horizontal="center" vertical="top" wrapText="1"/>
    </xf>
    <xf numFmtId="0" fontId="148" fillId="64" borderId="39" xfId="0" applyFont="1" applyFill="1" applyBorder="1" applyAlignment="1">
      <alignment horizontal="center"/>
    </xf>
    <xf numFmtId="0" fontId="148" fillId="64" borderId="40" xfId="0" applyFont="1" applyFill="1" applyBorder="1" applyAlignment="1">
      <alignment horizontal="center" wrapText="1"/>
    </xf>
    <xf numFmtId="0" fontId="148" fillId="64" borderId="41" xfId="0" applyFont="1" applyFill="1" applyBorder="1" applyAlignment="1">
      <alignment horizontal="center" wrapText="1"/>
    </xf>
    <xf numFmtId="0" fontId="0" fillId="63" borderId="22" xfId="0" applyFill="1" applyBorder="1" applyAlignment="1">
      <alignment horizontal="center"/>
    </xf>
    <xf numFmtId="205" fontId="1" fillId="63" borderId="23" xfId="4148" applyNumberFormat="1" applyFont="1" applyFill="1" applyBorder="1" applyAlignment="1">
      <alignment horizontal="center"/>
    </xf>
    <xf numFmtId="205" fontId="1" fillId="63" borderId="24" xfId="4148" applyNumberFormat="1" applyFont="1" applyFill="1" applyBorder="1" applyAlignment="1">
      <alignment horizontal="center"/>
    </xf>
    <xf numFmtId="206" fontId="0" fillId="0" borderId="0" xfId="0" applyNumberFormat="1"/>
    <xf numFmtId="0" fontId="0" fillId="65" borderId="22" xfId="0" applyFill="1" applyBorder="1" applyAlignment="1">
      <alignment horizontal="center"/>
    </xf>
    <xf numFmtId="205" fontId="1" fillId="65" borderId="23" xfId="4148" applyNumberFormat="1" applyFont="1" applyFill="1" applyBorder="1" applyAlignment="1">
      <alignment horizontal="center"/>
    </xf>
    <xf numFmtId="205" fontId="1" fillId="65" borderId="24" xfId="4148" applyNumberFormat="1" applyFont="1" applyFill="1" applyBorder="1" applyAlignment="1">
      <alignment horizontal="center"/>
    </xf>
    <xf numFmtId="10" fontId="0" fillId="0" borderId="0" xfId="2614" applyNumberFormat="1" applyFont="1"/>
    <xf numFmtId="44" fontId="0" fillId="0" borderId="0" xfId="0" applyNumberFormat="1"/>
    <xf numFmtId="0" fontId="0" fillId="63" borderId="42" xfId="0" applyFill="1" applyBorder="1" applyAlignment="1">
      <alignment horizontal="center"/>
    </xf>
    <xf numFmtId="205" fontId="1" fillId="63" borderId="43" xfId="4148" applyNumberFormat="1" applyFont="1" applyFill="1" applyBorder="1" applyAlignment="1">
      <alignment horizontal="center"/>
    </xf>
    <xf numFmtId="205" fontId="1" fillId="63" borderId="44" xfId="4148" applyNumberFormat="1" applyFont="1" applyFill="1" applyBorder="1" applyAlignment="1">
      <alignment horizontal="center"/>
    </xf>
    <xf numFmtId="207" fontId="0" fillId="0" borderId="0" xfId="0" applyNumberFormat="1"/>
    <xf numFmtId="0" fontId="0" fillId="0" borderId="45" xfId="0" applyBorder="1" applyAlignment="1">
      <alignment horizontal="center" wrapText="1"/>
    </xf>
    <xf numFmtId="174" fontId="1" fillId="0" borderId="0" xfId="317" applyNumberFormat="1" applyFont="1"/>
    <xf numFmtId="174" fontId="0" fillId="0" borderId="0" xfId="0" applyNumberFormat="1"/>
    <xf numFmtId="208" fontId="0" fillId="0" borderId="0" xfId="0" applyNumberFormat="1"/>
    <xf numFmtId="209" fontId="12" fillId="0" borderId="0" xfId="4148" applyNumberFormat="1"/>
    <xf numFmtId="210" fontId="12" fillId="0" borderId="0" xfId="4148" applyNumberFormat="1"/>
    <xf numFmtId="0" fontId="0" fillId="0" borderId="0" xfId="0" applyFill="1" applyBorder="1" applyAlignment="1">
      <alignment horizontal="center" wrapText="1"/>
    </xf>
    <xf numFmtId="211" fontId="0" fillId="0" borderId="0" xfId="0" applyNumberFormat="1"/>
    <xf numFmtId="212" fontId="0" fillId="0" borderId="0" xfId="0" applyNumberFormat="1"/>
    <xf numFmtId="174" fontId="0" fillId="0" borderId="0" xfId="311" applyNumberFormat="1" applyFont="1"/>
    <xf numFmtId="0" fontId="0" fillId="66" borderId="46" xfId="0" applyFill="1" applyBorder="1" applyAlignment="1">
      <alignment horizontal="center" wrapText="1"/>
    </xf>
    <xf numFmtId="0" fontId="0" fillId="66" borderId="47" xfId="0" applyFill="1" applyBorder="1" applyAlignment="1">
      <alignment horizontal="center" wrapText="1"/>
    </xf>
    <xf numFmtId="0" fontId="0" fillId="66" borderId="48" xfId="0" applyFill="1" applyBorder="1" applyAlignment="1">
      <alignment horizontal="center" wrapText="1"/>
    </xf>
    <xf numFmtId="6" fontId="0" fillId="0" borderId="22" xfId="0" applyNumberFormat="1" applyBorder="1"/>
    <xf numFmtId="3" fontId="0" fillId="0" borderId="0" xfId="0" applyNumberFormat="1" applyBorder="1"/>
    <xf numFmtId="43" fontId="0" fillId="0" borderId="0" xfId="317" applyFont="1" applyBorder="1"/>
    <xf numFmtId="43" fontId="0" fillId="0" borderId="24" xfId="317" applyFont="1" applyBorder="1"/>
    <xf numFmtId="6" fontId="0" fillId="0" borderId="42" xfId="0" applyNumberFormat="1" applyBorder="1"/>
    <xf numFmtId="3" fontId="0" fillId="0" borderId="17" xfId="0" applyNumberFormat="1" applyBorder="1"/>
    <xf numFmtId="43" fontId="0" fillId="0" borderId="17" xfId="317" applyFont="1" applyBorder="1"/>
    <xf numFmtId="43" fontId="0" fillId="0" borderId="44" xfId="317" applyFont="1" applyBorder="1"/>
    <xf numFmtId="205" fontId="0" fillId="0" borderId="0" xfId="0" applyNumberFormat="1"/>
    <xf numFmtId="206" fontId="0" fillId="0" borderId="0" xfId="3357" applyNumberFormat="1" applyFont="1"/>
    <xf numFmtId="213" fontId="120" fillId="0" borderId="24" xfId="2121" applyNumberFormat="1" applyFill="1" applyBorder="1"/>
    <xf numFmtId="0" fontId="0" fillId="66" borderId="0" xfId="0" applyFill="1" applyBorder="1" applyAlignment="1">
      <alignment horizontal="center" wrapText="1"/>
    </xf>
    <xf numFmtId="174" fontId="0" fillId="0" borderId="0" xfId="311" applyNumberFormat="1" applyFont="1" applyAlignment="1">
      <alignment horizontal="center"/>
    </xf>
    <xf numFmtId="0" fontId="0" fillId="0" borderId="0" xfId="0" applyFill="1" applyAlignment="1">
      <alignment vertical="center" wrapText="1"/>
    </xf>
    <xf numFmtId="38" fontId="0" fillId="0" borderId="6" xfId="0" applyNumberFormat="1" applyFill="1" applyBorder="1" applyAlignment="1">
      <alignment horizontal="center" vertical="center"/>
    </xf>
    <xf numFmtId="38" fontId="0" fillId="0" borderId="0" xfId="0" applyNumberFormat="1" applyFill="1" applyAlignment="1">
      <alignment horizontal="center" vertical="center"/>
    </xf>
    <xf numFmtId="38" fontId="0" fillId="0" borderId="0" xfId="0" quotePrefix="1" applyNumberFormat="1" applyFill="1" applyAlignment="1">
      <alignment horizontal="center" vertical="center" wrapText="1"/>
    </xf>
    <xf numFmtId="38" fontId="0" fillId="0" borderId="23" xfId="0" applyNumberFormat="1" applyFill="1" applyBorder="1" applyAlignment="1">
      <alignment horizontal="center" vertical="center"/>
    </xf>
    <xf numFmtId="3" fontId="0" fillId="67" borderId="0" xfId="0" applyNumberFormat="1" applyFill="1" applyAlignment="1">
      <alignment horizontal="center" vertical="center"/>
    </xf>
    <xf numFmtId="0" fontId="0" fillId="67" borderId="0" xfId="0" applyFill="1" applyAlignment="1">
      <alignment horizontal="right" vertical="center" wrapText="1"/>
    </xf>
    <xf numFmtId="0" fontId="69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8" borderId="0" xfId="0" applyFill="1" applyAlignment="1">
      <alignment horizontal="center"/>
    </xf>
    <xf numFmtId="0" fontId="0" fillId="68" borderId="0" xfId="0" applyFill="1" applyBorder="1"/>
    <xf numFmtId="3" fontId="0" fillId="68" borderId="0" xfId="0" applyNumberFormat="1" applyFill="1" applyAlignment="1">
      <alignment horizontal="center"/>
    </xf>
    <xf numFmtId="3" fontId="0" fillId="68" borderId="23" xfId="0" quotePrefix="1" applyNumberFormat="1" applyFill="1" applyBorder="1" applyAlignment="1">
      <alignment horizontal="center"/>
    </xf>
    <xf numFmtId="0" fontId="0" fillId="68" borderId="0" xfId="0" applyFill="1"/>
    <xf numFmtId="3" fontId="0" fillId="68" borderId="23" xfId="0" applyNumberFormat="1" applyFill="1" applyBorder="1" applyAlignment="1">
      <alignment horizontal="center"/>
    </xf>
    <xf numFmtId="0" fontId="0" fillId="68" borderId="0" xfId="0" applyFill="1" applyAlignment="1">
      <alignment horizontal="center" vertical="center"/>
    </xf>
    <xf numFmtId="0" fontId="0" fillId="68" borderId="23" xfId="0" applyFill="1" applyBorder="1"/>
    <xf numFmtId="38" fontId="156" fillId="68" borderId="0" xfId="4147" applyNumberFormat="1" applyFont="1" applyFill="1" applyBorder="1" applyAlignment="1">
      <alignment horizontal="center"/>
    </xf>
    <xf numFmtId="3" fontId="72" fillId="68" borderId="23" xfId="0" quotePrefix="1" applyNumberFormat="1" applyFont="1" applyFill="1" applyBorder="1" applyAlignment="1" applyProtection="1">
      <alignment horizontal="center"/>
      <protection locked="0"/>
    </xf>
    <xf numFmtId="38" fontId="157" fillId="68" borderId="0" xfId="4147" applyNumberFormat="1" applyFont="1" applyFill="1" applyBorder="1" applyAlignment="1">
      <alignment horizontal="center"/>
    </xf>
    <xf numFmtId="0" fontId="0" fillId="68" borderId="0" xfId="0" applyFill="1" applyAlignment="1">
      <alignment vertical="center" wrapText="1"/>
    </xf>
    <xf numFmtId="0" fontId="65" fillId="0" borderId="0" xfId="0" quotePrefix="1" applyFont="1" applyFill="1" applyAlignment="1">
      <alignment horizontal="center" vertical="top" wrapText="1"/>
    </xf>
    <xf numFmtId="9" fontId="0" fillId="68" borderId="0" xfId="0" applyNumberFormat="1" applyFill="1" applyAlignment="1">
      <alignment horizontal="center"/>
    </xf>
    <xf numFmtId="0" fontId="148" fillId="68" borderId="0" xfId="0" applyFont="1" applyFill="1" applyAlignment="1">
      <alignment horizontal="center" vertical="center"/>
    </xf>
    <xf numFmtId="0" fontId="69" fillId="68" borderId="23" xfId="0" applyFont="1" applyFill="1" applyBorder="1" applyAlignment="1">
      <alignment horizontal="center"/>
    </xf>
    <xf numFmtId="0" fontId="69" fillId="68" borderId="0" xfId="0" applyFont="1" applyFill="1" applyAlignment="1">
      <alignment horizontal="center"/>
    </xf>
    <xf numFmtId="0" fontId="69" fillId="68" borderId="0" xfId="0" applyFont="1" applyFill="1"/>
    <xf numFmtId="0" fontId="7" fillId="68" borderId="0" xfId="0" applyFont="1" applyFill="1" applyAlignment="1">
      <alignment horizontal="center"/>
    </xf>
    <xf numFmtId="0" fontId="69" fillId="68" borderId="0" xfId="0" applyFont="1" applyFill="1" applyBorder="1" applyAlignment="1">
      <alignment horizontal="center" vertical="center"/>
    </xf>
    <xf numFmtId="0" fontId="69" fillId="0" borderId="0" xfId="0" applyFont="1" applyAlignment="1">
      <alignment horizontal="center"/>
    </xf>
    <xf numFmtId="0" fontId="90" fillId="0" borderId="26" xfId="2082" applyFont="1" applyBorder="1" applyAlignment="1">
      <alignment horizontal="center"/>
    </xf>
    <xf numFmtId="0" fontId="90" fillId="0" borderId="25" xfId="2082" applyFont="1" applyBorder="1" applyAlignment="1">
      <alignment horizontal="center"/>
    </xf>
    <xf numFmtId="0" fontId="90" fillId="0" borderId="9" xfId="2082" applyFont="1" applyBorder="1" applyAlignment="1">
      <alignment horizontal="center"/>
    </xf>
    <xf numFmtId="0" fontId="14" fillId="0" borderId="0" xfId="2082" applyFont="1" applyAlignment="1">
      <alignment horizontal="center"/>
    </xf>
    <xf numFmtId="0" fontId="54" fillId="0" borderId="0" xfId="2082" quotePrefix="1" applyFont="1" applyAlignment="1">
      <alignment horizontal="center"/>
    </xf>
    <xf numFmtId="0" fontId="101" fillId="0" borderId="0" xfId="2082" applyFont="1" applyAlignment="1">
      <alignment horizontal="center"/>
    </xf>
    <xf numFmtId="0" fontId="65" fillId="0" borderId="26" xfId="0" applyFont="1" applyBorder="1" applyAlignment="1">
      <alignment horizontal="center" wrapText="1"/>
    </xf>
    <xf numFmtId="0" fontId="65" fillId="0" borderId="25" xfId="0" applyFont="1" applyBorder="1" applyAlignment="1">
      <alignment horizontal="center" wrapText="1"/>
    </xf>
    <xf numFmtId="0" fontId="65" fillId="0" borderId="9" xfId="0" applyFont="1" applyBorder="1" applyAlignment="1">
      <alignment horizontal="center" wrapText="1"/>
    </xf>
    <xf numFmtId="0" fontId="91" fillId="0" borderId="26" xfId="0" applyFont="1" applyBorder="1" applyAlignment="1">
      <alignment horizontal="center" wrapText="1"/>
    </xf>
    <xf numFmtId="0" fontId="91" fillId="0" borderId="25" xfId="0" applyFont="1" applyBorder="1" applyAlignment="1">
      <alignment horizontal="center" wrapText="1"/>
    </xf>
    <xf numFmtId="0" fontId="93" fillId="0" borderId="26" xfId="0" applyFont="1" applyBorder="1" applyAlignment="1">
      <alignment horizontal="center"/>
    </xf>
    <xf numFmtId="0" fontId="93" fillId="0" borderId="25" xfId="0" applyFont="1" applyBorder="1" applyAlignment="1">
      <alignment horizontal="center"/>
    </xf>
    <xf numFmtId="0" fontId="93" fillId="0" borderId="9" xfId="0" applyFont="1" applyBorder="1" applyAlignment="1">
      <alignment horizontal="center"/>
    </xf>
    <xf numFmtId="0" fontId="100" fillId="0" borderId="6" xfId="0" applyFont="1" applyBorder="1" applyAlignment="1">
      <alignment horizontal="center" vertical="center" wrapText="1"/>
    </xf>
    <xf numFmtId="0" fontId="100" fillId="0" borderId="0" xfId="0" applyFont="1" applyBorder="1" applyAlignment="1">
      <alignment horizontal="center" vertical="center" wrapText="1"/>
    </xf>
    <xf numFmtId="0" fontId="100" fillId="0" borderId="21" xfId="0" applyFont="1" applyBorder="1" applyAlignment="1">
      <alignment horizontal="center" vertical="center" wrapText="1"/>
    </xf>
    <xf numFmtId="0" fontId="72" fillId="0" borderId="6" xfId="0" applyFont="1" applyBorder="1" applyAlignment="1">
      <alignment horizontal="center" vertical="center" wrapText="1"/>
    </xf>
    <xf numFmtId="2" fontId="0" fillId="0" borderId="0" xfId="0" applyNumberFormat="1" applyFill="1"/>
    <xf numFmtId="9" fontId="0" fillId="0" borderId="0" xfId="2614" applyFont="1" applyFill="1"/>
  </cellXfs>
  <cellStyles count="4149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20" xfId="4148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1"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Change to Typical Customer Monthly Bill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858773236039145"/>
          <c:y val="0.15601616260703785"/>
          <c:w val="0.85582492174521452"/>
          <c:h val="0.661801535097323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'Rate Impacts'!$V$4</c:f>
              <c:strCache>
                <c:ptCount val="1"/>
                <c:pt idx="0">
                  <c:v>Case 1</c:v>
                </c:pt>
              </c:strCache>
            </c:strRef>
          </c:tx>
          <c:invertIfNegative val="0"/>
          <c:cat>
            <c:numRef>
              <c:f>'Rate Impacts'!$U$5:$U$19</c:f>
              <c:numCache>
                <c:formatCode>General</c:formatCode>
                <c:ptCount val="1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</c:numCache>
            </c:numRef>
          </c:cat>
          <c:val>
            <c:numRef>
              <c:f>'Rate Impacts'!$V$5:$V$19</c:f>
              <c:numCache>
                <c:formatCode>"$"#,##0_);\("$"#,##0\)</c:formatCode>
                <c:ptCount val="15"/>
                <c:pt idx="0">
                  <c:v>35.584724372077233</c:v>
                </c:pt>
                <c:pt idx="1">
                  <c:v>43.405303553938467</c:v>
                </c:pt>
                <c:pt idx="2">
                  <c:v>47.198968519445742</c:v>
                </c:pt>
                <c:pt idx="3">
                  <c:v>46.900691033434498</c:v>
                </c:pt>
                <c:pt idx="4">
                  <c:v>51.660992881058945</c:v>
                </c:pt>
                <c:pt idx="5">
                  <c:v>53.73370122625451</c:v>
                </c:pt>
                <c:pt idx="6">
                  <c:v>56.332314868104334</c:v>
                </c:pt>
                <c:pt idx="7">
                  <c:v>61.07859275055489</c:v>
                </c:pt>
                <c:pt idx="8">
                  <c:v>76.60154722951691</c:v>
                </c:pt>
                <c:pt idx="9">
                  <c:v>80.375134460319316</c:v>
                </c:pt>
                <c:pt idx="10">
                  <c:v>83.534370152837738</c:v>
                </c:pt>
                <c:pt idx="11">
                  <c:v>93.992154133980819</c:v>
                </c:pt>
                <c:pt idx="12">
                  <c:v>97.776077298410996</c:v>
                </c:pt>
                <c:pt idx="13">
                  <c:v>102.44182487448364</c:v>
                </c:pt>
                <c:pt idx="14">
                  <c:v>107.25707818493814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3-439B-B646-B6E08CC1D0A3}"/>
            </c:ext>
          </c:extLst>
        </c:ser>
        <c:ser>
          <c:idx val="1"/>
          <c:order val="1"/>
          <c:tx>
            <c:strRef>
              <c:f>'Rate Impacts'!$W$4</c:f>
              <c:strCache>
                <c:ptCount val="1"/>
                <c:pt idx="0">
                  <c:v>Preferred Plan</c:v>
                </c:pt>
              </c:strCache>
            </c:strRef>
          </c:tx>
          <c:invertIfNegative val="0"/>
          <c:cat>
            <c:numRef>
              <c:f>'Rate Impacts'!$U$5:$U$19</c:f>
              <c:numCache>
                <c:formatCode>General</c:formatCode>
                <c:ptCount val="1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</c:numCache>
            </c:numRef>
          </c:cat>
          <c:val>
            <c:numRef>
              <c:f>'Rate Impacts'!$W$5:$W$19</c:f>
              <c:numCache>
                <c:formatCode>"$"#,##0_);\("$"#,##0\)</c:formatCode>
                <c:ptCount val="15"/>
                <c:pt idx="0">
                  <c:v>35.584724372077233</c:v>
                </c:pt>
                <c:pt idx="1">
                  <c:v>43.405303553938467</c:v>
                </c:pt>
                <c:pt idx="2">
                  <c:v>46.500593730537332</c:v>
                </c:pt>
                <c:pt idx="3">
                  <c:v>45.226388780824351</c:v>
                </c:pt>
                <c:pt idx="4">
                  <c:v>49.159453230828831</c:v>
                </c:pt>
                <c:pt idx="5">
                  <c:v>51.954860048614023</c:v>
                </c:pt>
                <c:pt idx="6">
                  <c:v>54.885455831320343</c:v>
                </c:pt>
                <c:pt idx="7">
                  <c:v>59.739959385053112</c:v>
                </c:pt>
                <c:pt idx="8">
                  <c:v>77.31078670547501</c:v>
                </c:pt>
                <c:pt idx="9">
                  <c:v>81.03102243709472</c:v>
                </c:pt>
                <c:pt idx="10">
                  <c:v>85.114047903596031</c:v>
                </c:pt>
                <c:pt idx="11">
                  <c:v>96.016828068689762</c:v>
                </c:pt>
                <c:pt idx="12">
                  <c:v>99.92441837812413</c:v>
                </c:pt>
                <c:pt idx="13">
                  <c:v>104.46128356519725</c:v>
                </c:pt>
                <c:pt idx="14">
                  <c:v>109.45502964477134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3-439B-B646-B6E08CC1D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40057344"/>
        <c:crosses val="autoZero"/>
        <c:auto val="1"/>
        <c:lblAlgn val="ctr"/>
        <c:lblOffset val="100"/>
        <c:noMultiLvlLbl val="0"/>
      </c:catAx>
      <c:valAx>
        <c:axId val="240057344"/>
        <c:scaling>
          <c:orientation val="minMax"/>
        </c:scaling>
        <c:delete val="0"/>
        <c:axPos val="l"/>
        <c:majorGridlines/>
        <c:numFmt formatCode="&quot;$&quot;#,##0_);\(&quot;$&quot;#,##0\)" sourceLinked="1"/>
        <c:majorTickMark val="none"/>
        <c:minorTickMark val="none"/>
        <c:tickLblPos val="nextTo"/>
        <c:spPr>
          <a:ln w="9525">
            <a:noFill/>
          </a:ln>
        </c:spPr>
        <c:crossAx val="24005580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3080344123652"/>
          <c:y val="9.8894838876975213E-2"/>
          <c:w val="0.83916426071741035"/>
          <c:h val="0.75381867125469748"/>
        </c:manualLayout>
      </c:layout>
      <c:barChart>
        <c:barDir val="col"/>
        <c:grouping val="clustered"/>
        <c:varyColors val="0"/>
        <c:ser>
          <c:idx val="0"/>
          <c:order val="0"/>
          <c:tx>
            <c:v>Delta between Preferred and Case 1 Plans</c:v>
          </c:tx>
          <c:invertIfNegative val="0"/>
          <c:cat>
            <c:numRef>
              <c:f>'Rate Impacts'!$M$5:$M$19</c:f>
              <c:numCache>
                <c:formatCode>General</c:formatCode>
                <c:ptCount val="1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</c:numCache>
            </c:numRef>
          </c:cat>
          <c:val>
            <c:numRef>
              <c:f>'Rate Impacts'!$N$5:$N$19</c:f>
              <c:numCache>
                <c:formatCode>"$"#,##0.00_);\("$"#,##0.00\)</c:formatCode>
                <c:ptCount val="15"/>
                <c:pt idx="0">
                  <c:v>-5.6369723703634615E-15</c:v>
                </c:pt>
                <c:pt idx="1">
                  <c:v>1.1273944740726923E-14</c:v>
                </c:pt>
                <c:pt idx="2">
                  <c:v>-0.69837478890843774</c:v>
                </c:pt>
                <c:pt idx="3">
                  <c:v>-1.6743022526101763</c:v>
                </c:pt>
                <c:pt idx="4">
                  <c:v>-2.5015396502301139</c:v>
                </c:pt>
                <c:pt idx="5">
                  <c:v>-1.7788411776404851</c:v>
                </c:pt>
                <c:pt idx="6">
                  <c:v>-1.4468590367839966</c:v>
                </c:pt>
                <c:pt idx="7">
                  <c:v>-1.3386333655017759</c:v>
                </c:pt>
                <c:pt idx="8">
                  <c:v>0.70923947595809</c:v>
                </c:pt>
                <c:pt idx="9">
                  <c:v>0.65588797677538657</c:v>
                </c:pt>
                <c:pt idx="10">
                  <c:v>1.579677750758252</c:v>
                </c:pt>
                <c:pt idx="11">
                  <c:v>2.0246739347089679</c:v>
                </c:pt>
                <c:pt idx="12">
                  <c:v>2.1483410797131124</c:v>
                </c:pt>
                <c:pt idx="13">
                  <c:v>2.019458690713654</c:v>
                </c:pt>
                <c:pt idx="14">
                  <c:v>2.1979514598332153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E-4E9E-A36D-D8BF6AE9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0471424"/>
        <c:axId val="240493696"/>
      </c:barChart>
      <c:catAx>
        <c:axId val="24047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crossAx val="240493696"/>
        <c:crosses val="autoZero"/>
        <c:auto val="1"/>
        <c:lblAlgn val="ctr"/>
        <c:lblOffset val="100"/>
        <c:noMultiLvlLbl val="0"/>
      </c:catAx>
      <c:valAx>
        <c:axId val="24049369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none"/>
        <c:minorTickMark val="none"/>
        <c:tickLblPos val="nextTo"/>
        <c:spPr>
          <a:ln w="9525">
            <a:noFill/>
          </a:ln>
        </c:spPr>
        <c:crossAx val="240471424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289599737532809"/>
          <c:y val="0.91607278834003569"/>
          <c:w val="0.4555057961504812"/>
          <c:h val="6.301764553346148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514350</xdr:colOff>
      <xdr:row>23</xdr:row>
      <xdr:rowOff>19050</xdr:rowOff>
    </xdr:from>
    <xdr:to>
      <xdr:col>21</xdr:col>
      <xdr:colOff>609600</xdr:colOff>
      <xdr:row>40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87630</xdr:colOff>
      <xdr:row>22</xdr:row>
      <xdr:rowOff>163830</xdr:rowOff>
    </xdr:from>
    <xdr:to>
      <xdr:col>13</xdr:col>
      <xdr:colOff>78105</xdr:colOff>
      <xdr:row>41</xdr:row>
      <xdr:rowOff>7620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0.10398</cdr:x>
      <cdr:y>0.15462</cdr:y>
    </cdr:from>
    <cdr:to>
      <cdr:x>0.85764</cdr:x>
      <cdr:y>0.23691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05140" y="534610"/>
          <a:ext cx="4386132" cy="2845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Non-modeled bill component (mainly T&amp;D) assumed to increase at 2.5%/year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11/14/2019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111419 Base Pref Plan W EE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IRP_KPCo_111119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63500</xdr:colOff>
      <xdr:row>4</xdr:row>
      <xdr:rowOff>0</xdr:rowOff>
    </xdr:from>
    <xdr:to>
      <xdr:col>64</xdr:col>
      <xdr:colOff>114220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58438143" y="798286"/>
          <a:ext cx="6255577" cy="4651993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11/14/2019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111419 Base Pref Plan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IRP_KPCo_111119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11/14/2019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111419 Base Pref Plan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IRP_KPCo_111119 LT PM.xml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10/08/2019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Base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04/06/2019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2019-48 APCo ST MID NFL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APCoVA_2019-48_04062019 PM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S8" sqref="S8"/>
    </sheetView>
  </sheetViews>
  <sheetFormatPr defaultColWidth="9" defaultRowHeight="15.75"/>
  <cols>
    <col min="1" max="1" width="8.75" style="184" customWidth="1"/>
    <col min="2" max="2" width="7.5" style="184" bestFit="1" customWidth="1"/>
    <col min="3" max="3" width="8.375" style="184" customWidth="1"/>
    <col min="4" max="4" width="9.5" style="184" bestFit="1" customWidth="1"/>
    <col min="5" max="5" width="11.875" style="185" bestFit="1" customWidth="1"/>
    <col min="6" max="6" width="3" style="185" customWidth="1"/>
    <col min="7" max="7" width="5.375" style="185" customWidth="1"/>
    <col min="8" max="8" width="8.25" style="185" bestFit="1" customWidth="1"/>
    <col min="9" max="9" width="8.25" style="184" bestFit="1" customWidth="1"/>
    <col min="10" max="11" width="8.25" style="184" customWidth="1"/>
    <col min="12" max="12" width="10.75" style="184" bestFit="1" customWidth="1"/>
    <col min="13" max="13" width="7.75" style="184" bestFit="1" customWidth="1"/>
    <col min="14" max="14" width="4" style="184" customWidth="1"/>
    <col min="15" max="15" width="5.125" style="184" bestFit="1" customWidth="1"/>
    <col min="16" max="16" width="7.875" style="184" bestFit="1" customWidth="1"/>
    <col min="17" max="18" width="8.875" style="184" customWidth="1"/>
    <col min="19" max="19" width="9.5" style="184" customWidth="1"/>
    <col min="20" max="21" width="9" style="184"/>
    <col min="22" max="22" width="10.25" style="184" bestFit="1" customWidth="1"/>
    <col min="23" max="23" width="9" style="184"/>
    <col min="24" max="24" width="8.875" style="184" bestFit="1" customWidth="1"/>
    <col min="25" max="25" width="6.75" style="184" bestFit="1" customWidth="1"/>
    <col min="26" max="26" width="5.125" style="184" bestFit="1" customWidth="1"/>
    <col min="27" max="28" width="7" style="184" bestFit="1" customWidth="1"/>
    <col min="29" max="29" width="7.375" style="184" bestFit="1" customWidth="1"/>
    <col min="30" max="30" width="8" style="184" bestFit="1" customWidth="1"/>
    <col min="31" max="41" width="7" style="184" bestFit="1" customWidth="1"/>
    <col min="42" max="45" width="9" style="184"/>
    <col min="46" max="47" width="6.75" style="184" bestFit="1" customWidth="1"/>
    <col min="48" max="48" width="8" style="184" customWidth="1"/>
    <col min="49" max="49" width="4.875" style="184" bestFit="1" customWidth="1"/>
    <col min="50" max="53" width="9" style="184"/>
    <col min="54" max="55" width="6.75" style="184" bestFit="1" customWidth="1"/>
    <col min="56" max="56" width="8.875" style="184" customWidth="1"/>
    <col min="57" max="71" width="7" style="184" bestFit="1" customWidth="1"/>
    <col min="72" max="72" width="9" style="184"/>
    <col min="73" max="73" width="10.25" style="184" customWidth="1"/>
    <col min="74" max="16384" width="9" style="184"/>
  </cols>
  <sheetData>
    <row r="1" spans="1:75">
      <c r="B1" s="311" t="s">
        <v>175</v>
      </c>
      <c r="C1" s="311"/>
      <c r="D1" s="311"/>
      <c r="E1" s="311"/>
      <c r="H1" s="311" t="s">
        <v>178</v>
      </c>
      <c r="I1" s="311"/>
      <c r="J1" s="311"/>
      <c r="K1" s="311"/>
      <c r="L1" s="311"/>
      <c r="P1" s="311" t="s">
        <v>176</v>
      </c>
      <c r="Q1" s="311"/>
      <c r="R1" s="311"/>
      <c r="S1" s="311"/>
    </row>
    <row r="2" spans="1:75">
      <c r="B2" s="74"/>
      <c r="C2" s="74"/>
      <c r="E2" s="192"/>
      <c r="F2" s="184"/>
      <c r="G2" s="184"/>
      <c r="H2" s="74"/>
      <c r="I2" s="74"/>
      <c r="J2" s="74"/>
      <c r="K2" s="74"/>
      <c r="L2" s="192"/>
      <c r="M2" s="192"/>
      <c r="N2" s="192"/>
      <c r="O2" s="192"/>
      <c r="P2" s="207"/>
      <c r="Q2" s="192"/>
      <c r="R2" s="192"/>
      <c r="S2" s="192"/>
      <c r="T2" s="192"/>
      <c r="U2" s="193" t="s">
        <v>177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94"/>
      <c r="AR2" s="194"/>
      <c r="AS2" s="194"/>
      <c r="AT2" s="195"/>
      <c r="AU2" s="196"/>
      <c r="AV2" s="197"/>
      <c r="AW2" s="194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U2" s="74"/>
      <c r="BV2" s="74"/>
      <c r="BW2" s="74"/>
    </row>
    <row r="3" spans="1:75">
      <c r="B3" s="304"/>
      <c r="C3" s="304"/>
      <c r="D3" s="305"/>
      <c r="E3" s="306"/>
      <c r="F3" s="291"/>
      <c r="G3" s="291"/>
      <c r="H3" s="304"/>
      <c r="I3" s="304"/>
      <c r="J3" s="304"/>
      <c r="K3" s="307"/>
      <c r="L3" s="308"/>
      <c r="M3" s="295"/>
      <c r="N3" s="295"/>
      <c r="O3" s="295"/>
      <c r="P3" s="304"/>
      <c r="Q3" s="304"/>
      <c r="R3" s="309"/>
      <c r="S3" s="310"/>
      <c r="U3" s="288" t="s">
        <v>179</v>
      </c>
    </row>
    <row r="4" spans="1:75">
      <c r="B4" s="297"/>
      <c r="C4" s="297"/>
      <c r="D4" s="297"/>
      <c r="E4" s="298"/>
      <c r="F4" s="291"/>
      <c r="G4" s="291"/>
      <c r="H4" s="291"/>
      <c r="I4" s="291"/>
      <c r="J4" s="291"/>
      <c r="K4" s="291"/>
      <c r="L4" s="295"/>
      <c r="M4" s="295"/>
      <c r="N4" s="295"/>
      <c r="O4" s="295"/>
      <c r="P4" s="291"/>
      <c r="Q4" s="291"/>
      <c r="R4" s="291"/>
      <c r="S4" s="292"/>
      <c r="U4" s="289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84">
        <v>2020</v>
      </c>
      <c r="B5" s="299"/>
      <c r="C5" s="299"/>
      <c r="D5" s="299"/>
      <c r="E5" s="300"/>
      <c r="F5" s="291"/>
      <c r="G5" s="295"/>
      <c r="H5" s="293"/>
      <c r="I5" s="293"/>
      <c r="J5" s="293"/>
      <c r="K5" s="293"/>
      <c r="L5" s="296"/>
      <c r="M5" s="295"/>
      <c r="N5" s="295"/>
      <c r="O5" s="295"/>
      <c r="P5" s="293"/>
      <c r="Q5" s="293"/>
      <c r="R5" s="293"/>
      <c r="S5" s="294"/>
      <c r="U5" s="290">
        <v>18832.5</v>
      </c>
      <c r="V5" s="216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84">
        <f>A5+1</f>
        <v>2021</v>
      </c>
      <c r="B6" s="299"/>
      <c r="C6" s="299"/>
      <c r="D6" s="299"/>
      <c r="E6" s="300"/>
      <c r="F6" s="291"/>
      <c r="G6" s="295"/>
      <c r="H6" s="293"/>
      <c r="I6" s="293"/>
      <c r="J6" s="293"/>
      <c r="K6" s="293"/>
      <c r="L6" s="296"/>
      <c r="M6" s="295"/>
      <c r="N6" s="295"/>
      <c r="O6" s="295"/>
      <c r="P6" s="293"/>
      <c r="Q6" s="293"/>
      <c r="R6" s="293"/>
      <c r="S6" s="294"/>
      <c r="U6" s="290">
        <v>18832.5</v>
      </c>
      <c r="V6" s="216"/>
    </row>
    <row r="7" spans="1:75">
      <c r="A7" s="184">
        <f t="shared" ref="A7:A34" si="0">A6+1</f>
        <v>2022</v>
      </c>
      <c r="B7" s="299"/>
      <c r="C7" s="299"/>
      <c r="D7" s="299"/>
      <c r="E7" s="300"/>
      <c r="F7" s="291"/>
      <c r="G7" s="295"/>
      <c r="H7" s="293"/>
      <c r="I7" s="293"/>
      <c r="J7" s="293"/>
      <c r="K7" s="293"/>
      <c r="L7" s="296"/>
      <c r="M7" s="295"/>
      <c r="N7" s="295"/>
      <c r="O7" s="295"/>
      <c r="P7" s="293"/>
      <c r="Q7" s="293"/>
      <c r="R7" s="293"/>
      <c r="S7" s="294"/>
      <c r="U7" s="290">
        <v>18832.5</v>
      </c>
      <c r="V7" s="216"/>
    </row>
    <row r="8" spans="1:75">
      <c r="A8" s="184">
        <f t="shared" si="0"/>
        <v>2023</v>
      </c>
      <c r="B8" s="299"/>
      <c r="C8" s="299"/>
      <c r="D8" s="299"/>
      <c r="E8" s="300"/>
      <c r="F8" s="291"/>
      <c r="G8" s="295"/>
      <c r="H8" s="293"/>
      <c r="I8" s="293"/>
      <c r="J8" s="293"/>
      <c r="K8" s="293"/>
      <c r="L8" s="296"/>
      <c r="M8" s="295"/>
      <c r="N8" s="295"/>
      <c r="O8" s="295"/>
      <c r="P8" s="293"/>
      <c r="Q8" s="293"/>
      <c r="R8" s="293"/>
      <c r="S8" s="294"/>
      <c r="U8" s="290">
        <v>0</v>
      </c>
      <c r="V8" s="216"/>
    </row>
    <row r="9" spans="1:75">
      <c r="A9" s="184">
        <f t="shared" si="0"/>
        <v>2024</v>
      </c>
      <c r="B9" s="299"/>
      <c r="C9" s="299"/>
      <c r="D9" s="299"/>
      <c r="E9" s="300"/>
      <c r="F9" s="291"/>
      <c r="G9" s="295"/>
      <c r="H9" s="293"/>
      <c r="I9" s="293"/>
      <c r="J9" s="293"/>
      <c r="K9" s="293"/>
      <c r="L9" s="296"/>
      <c r="M9" s="295"/>
      <c r="N9" s="295"/>
      <c r="O9" s="295"/>
      <c r="P9" s="293"/>
      <c r="Q9" s="293"/>
      <c r="R9" s="293"/>
      <c r="S9" s="294"/>
      <c r="U9" s="290">
        <v>0</v>
      </c>
      <c r="V9" s="216"/>
      <c r="AH9" s="199"/>
    </row>
    <row r="10" spans="1:75">
      <c r="A10" s="184">
        <f t="shared" si="0"/>
        <v>2025</v>
      </c>
      <c r="B10" s="299"/>
      <c r="C10" s="299"/>
      <c r="D10" s="299"/>
      <c r="E10" s="300"/>
      <c r="F10" s="291"/>
      <c r="G10" s="295"/>
      <c r="H10" s="293"/>
      <c r="I10" s="293"/>
      <c r="J10" s="293"/>
      <c r="K10" s="293"/>
      <c r="L10" s="296"/>
      <c r="M10" s="295"/>
      <c r="N10" s="295"/>
      <c r="O10" s="295"/>
      <c r="P10" s="293"/>
      <c r="Q10" s="293"/>
      <c r="R10" s="293"/>
      <c r="S10" s="294"/>
      <c r="U10" s="290">
        <v>0</v>
      </c>
      <c r="V10" s="216"/>
      <c r="AH10" s="199"/>
    </row>
    <row r="11" spans="1:75">
      <c r="A11" s="184">
        <f t="shared" si="0"/>
        <v>2026</v>
      </c>
      <c r="B11" s="299"/>
      <c r="C11" s="299"/>
      <c r="D11" s="299"/>
      <c r="E11" s="300"/>
      <c r="F11" s="291"/>
      <c r="G11" s="295"/>
      <c r="H11" s="293"/>
      <c r="I11" s="293"/>
      <c r="J11" s="293"/>
      <c r="K11" s="293"/>
      <c r="L11" s="296"/>
      <c r="M11" s="295"/>
      <c r="N11" s="295"/>
      <c r="O11" s="295"/>
      <c r="P11" s="293"/>
      <c r="Q11" s="293"/>
      <c r="R11" s="293"/>
      <c r="S11" s="294"/>
      <c r="U11" s="290">
        <v>0</v>
      </c>
      <c r="V11" s="216"/>
      <c r="AH11" s="199"/>
    </row>
    <row r="12" spans="1:75">
      <c r="A12" s="184">
        <f t="shared" si="0"/>
        <v>2027</v>
      </c>
      <c r="B12" s="299"/>
      <c r="C12" s="299"/>
      <c r="D12" s="299"/>
      <c r="E12" s="300"/>
      <c r="F12" s="291"/>
      <c r="G12" s="295"/>
      <c r="H12" s="293"/>
      <c r="I12" s="293"/>
      <c r="J12" s="293"/>
      <c r="K12" s="293"/>
      <c r="L12" s="296"/>
      <c r="M12" s="295"/>
      <c r="N12" s="295"/>
      <c r="O12" s="295"/>
      <c r="P12" s="293"/>
      <c r="Q12" s="293"/>
      <c r="R12" s="293"/>
      <c r="S12" s="294"/>
      <c r="U12" s="290">
        <v>0</v>
      </c>
      <c r="V12" s="216"/>
      <c r="AH12" s="199"/>
    </row>
    <row r="13" spans="1:75">
      <c r="A13" s="184">
        <f t="shared" si="0"/>
        <v>2028</v>
      </c>
      <c r="B13" s="299"/>
      <c r="C13" s="299"/>
      <c r="D13" s="299"/>
      <c r="E13" s="300"/>
      <c r="F13" s="291"/>
      <c r="G13" s="295"/>
      <c r="H13" s="293"/>
      <c r="I13" s="293"/>
      <c r="J13" s="293"/>
      <c r="K13" s="293"/>
      <c r="L13" s="296"/>
      <c r="M13" s="295"/>
      <c r="N13" s="295"/>
      <c r="O13" s="295"/>
      <c r="P13" s="293"/>
      <c r="Q13" s="293"/>
      <c r="R13" s="293"/>
      <c r="S13" s="294"/>
      <c r="U13" s="290">
        <v>0</v>
      </c>
      <c r="V13" s="216"/>
      <c r="AH13" s="199"/>
    </row>
    <row r="14" spans="1:75">
      <c r="A14" s="184">
        <f t="shared" si="0"/>
        <v>2029</v>
      </c>
      <c r="B14" s="299"/>
      <c r="C14" s="299"/>
      <c r="D14" s="299"/>
      <c r="E14" s="300"/>
      <c r="F14" s="291"/>
      <c r="G14" s="295"/>
      <c r="H14" s="293"/>
      <c r="I14" s="293"/>
      <c r="J14" s="293"/>
      <c r="K14" s="293"/>
      <c r="L14" s="296"/>
      <c r="M14" s="295"/>
      <c r="N14" s="295"/>
      <c r="O14" s="295"/>
      <c r="P14" s="293"/>
      <c r="Q14" s="293"/>
      <c r="R14" s="293"/>
      <c r="S14" s="294"/>
      <c r="U14" s="290">
        <v>0</v>
      </c>
      <c r="V14" s="216"/>
      <c r="AH14" s="199"/>
    </row>
    <row r="15" spans="1:75">
      <c r="A15" s="184">
        <f t="shared" si="0"/>
        <v>2030</v>
      </c>
      <c r="B15" s="299"/>
      <c r="C15" s="299"/>
      <c r="D15" s="299"/>
      <c r="E15" s="300"/>
      <c r="F15" s="291"/>
      <c r="G15" s="295"/>
      <c r="H15" s="293"/>
      <c r="I15" s="293"/>
      <c r="J15" s="293"/>
      <c r="K15" s="293"/>
      <c r="L15" s="296"/>
      <c r="M15" s="295"/>
      <c r="N15" s="295"/>
      <c r="O15" s="295"/>
      <c r="P15" s="293"/>
      <c r="Q15" s="293"/>
      <c r="R15" s="293"/>
      <c r="S15" s="294"/>
      <c r="U15" s="290">
        <v>0</v>
      </c>
      <c r="V15" s="216"/>
      <c r="AH15" s="199"/>
    </row>
    <row r="16" spans="1:75">
      <c r="A16" s="184">
        <f t="shared" si="0"/>
        <v>2031</v>
      </c>
      <c r="B16" s="299"/>
      <c r="C16" s="299"/>
      <c r="D16" s="299"/>
      <c r="E16" s="300"/>
      <c r="F16" s="291"/>
      <c r="G16" s="295"/>
      <c r="H16" s="293"/>
      <c r="I16" s="293"/>
      <c r="J16" s="293"/>
      <c r="K16" s="293"/>
      <c r="L16" s="296"/>
      <c r="M16" s="295"/>
      <c r="N16" s="295"/>
      <c r="O16" s="295"/>
      <c r="P16" s="293"/>
      <c r="Q16" s="293"/>
      <c r="R16" s="293"/>
      <c r="S16" s="294"/>
      <c r="U16" s="290">
        <v>0</v>
      </c>
      <c r="V16" s="216"/>
      <c r="AH16" s="199"/>
    </row>
    <row r="17" spans="1:34">
      <c r="A17" s="184">
        <f t="shared" si="0"/>
        <v>2032</v>
      </c>
      <c r="B17" s="299"/>
      <c r="C17" s="299"/>
      <c r="D17" s="299"/>
      <c r="E17" s="300"/>
      <c r="F17" s="291"/>
      <c r="G17" s="295"/>
      <c r="H17" s="293"/>
      <c r="I17" s="293"/>
      <c r="J17" s="293"/>
      <c r="K17" s="293"/>
      <c r="L17" s="296"/>
      <c r="M17" s="295"/>
      <c r="N17" s="295"/>
      <c r="O17" s="295"/>
      <c r="P17" s="293"/>
      <c r="Q17" s="293"/>
      <c r="R17" s="293"/>
      <c r="S17" s="294"/>
      <c r="U17" s="290">
        <v>0</v>
      </c>
      <c r="V17" s="216"/>
      <c r="AH17" s="199"/>
    </row>
    <row r="18" spans="1:34">
      <c r="A18" s="184">
        <f t="shared" si="0"/>
        <v>2033</v>
      </c>
      <c r="B18" s="299"/>
      <c r="C18" s="299"/>
      <c r="D18" s="299"/>
      <c r="E18" s="300"/>
      <c r="F18" s="291"/>
      <c r="G18" s="295"/>
      <c r="H18" s="293"/>
      <c r="I18" s="293"/>
      <c r="J18" s="293"/>
      <c r="K18" s="293"/>
      <c r="L18" s="296"/>
      <c r="M18" s="295"/>
      <c r="N18" s="295"/>
      <c r="O18" s="295"/>
      <c r="P18" s="293"/>
      <c r="Q18" s="293"/>
      <c r="R18" s="293"/>
      <c r="S18" s="294"/>
      <c r="U18" s="290">
        <v>0</v>
      </c>
      <c r="V18" s="216"/>
      <c r="AH18" s="199"/>
    </row>
    <row r="19" spans="1:34">
      <c r="A19" s="184">
        <f t="shared" si="0"/>
        <v>2034</v>
      </c>
      <c r="B19" s="299"/>
      <c r="C19" s="299"/>
      <c r="D19" s="299"/>
      <c r="E19" s="300"/>
      <c r="F19" s="291"/>
      <c r="G19" s="295"/>
      <c r="H19" s="293"/>
      <c r="I19" s="293"/>
      <c r="J19" s="293"/>
      <c r="K19" s="293"/>
      <c r="L19" s="296"/>
      <c r="M19" s="295"/>
      <c r="N19" s="295"/>
      <c r="O19" s="295"/>
      <c r="P19" s="293"/>
      <c r="Q19" s="293"/>
      <c r="R19" s="293"/>
      <c r="S19" s="294"/>
      <c r="U19" s="290">
        <v>0</v>
      </c>
      <c r="V19" s="216"/>
      <c r="AH19" s="199"/>
    </row>
    <row r="20" spans="1:34">
      <c r="A20" s="184">
        <f t="shared" si="0"/>
        <v>2035</v>
      </c>
      <c r="B20" s="299"/>
      <c r="C20" s="299"/>
      <c r="D20" s="299"/>
      <c r="E20" s="300"/>
      <c r="F20" s="291"/>
      <c r="G20" s="295"/>
      <c r="H20" s="293"/>
      <c r="I20" s="293"/>
      <c r="J20" s="293"/>
      <c r="K20" s="293"/>
      <c r="L20" s="296"/>
      <c r="M20" s="295"/>
      <c r="N20" s="295"/>
      <c r="O20" s="295"/>
      <c r="P20" s="293"/>
      <c r="Q20" s="293"/>
      <c r="R20" s="293"/>
      <c r="S20" s="294"/>
      <c r="U20" s="290">
        <v>0</v>
      </c>
      <c r="V20" s="216"/>
      <c r="AH20" s="199"/>
    </row>
    <row r="21" spans="1:34">
      <c r="A21" s="184">
        <f t="shared" si="0"/>
        <v>2036</v>
      </c>
      <c r="B21" s="299"/>
      <c r="C21" s="299"/>
      <c r="D21" s="299"/>
      <c r="E21" s="300"/>
      <c r="F21" s="291"/>
      <c r="G21" s="295"/>
      <c r="H21" s="293"/>
      <c r="I21" s="293"/>
      <c r="J21" s="293"/>
      <c r="K21" s="293"/>
      <c r="L21" s="296"/>
      <c r="M21" s="295"/>
      <c r="N21" s="295"/>
      <c r="O21" s="295"/>
      <c r="P21" s="293"/>
      <c r="Q21" s="293"/>
      <c r="R21" s="293"/>
      <c r="S21" s="294"/>
      <c r="U21" s="290">
        <v>0</v>
      </c>
      <c r="V21" s="216"/>
      <c r="AH21" s="199"/>
    </row>
    <row r="22" spans="1:34">
      <c r="A22" s="184">
        <f t="shared" si="0"/>
        <v>2037</v>
      </c>
      <c r="B22" s="299"/>
      <c r="C22" s="299"/>
      <c r="D22" s="299"/>
      <c r="E22" s="300"/>
      <c r="F22" s="291"/>
      <c r="G22" s="295"/>
      <c r="H22" s="293"/>
      <c r="I22" s="293"/>
      <c r="J22" s="293"/>
      <c r="K22" s="293"/>
      <c r="L22" s="296"/>
      <c r="M22" s="295"/>
      <c r="N22" s="295"/>
      <c r="O22" s="295"/>
      <c r="P22" s="293"/>
      <c r="Q22" s="293"/>
      <c r="R22" s="293"/>
      <c r="S22" s="294"/>
      <c r="U22" s="290">
        <v>0</v>
      </c>
      <c r="V22" s="216"/>
      <c r="AH22" s="199"/>
    </row>
    <row r="23" spans="1:34">
      <c r="A23" s="184">
        <f t="shared" si="0"/>
        <v>2038</v>
      </c>
      <c r="B23" s="299"/>
      <c r="C23" s="299"/>
      <c r="D23" s="299"/>
      <c r="E23" s="300"/>
      <c r="F23" s="291"/>
      <c r="G23" s="295"/>
      <c r="H23" s="293"/>
      <c r="I23" s="293"/>
      <c r="J23" s="293"/>
      <c r="K23" s="293"/>
      <c r="L23" s="296"/>
      <c r="M23" s="295"/>
      <c r="N23" s="295"/>
      <c r="O23" s="295"/>
      <c r="P23" s="293"/>
      <c r="Q23" s="293"/>
      <c r="R23" s="293"/>
      <c r="S23" s="294"/>
      <c r="U23" s="290">
        <v>0</v>
      </c>
      <c r="V23" s="216"/>
      <c r="AH23" s="199"/>
    </row>
    <row r="24" spans="1:34">
      <c r="A24" s="184">
        <f t="shared" si="0"/>
        <v>2039</v>
      </c>
      <c r="B24" s="299"/>
      <c r="C24" s="299"/>
      <c r="D24" s="299"/>
      <c r="E24" s="300"/>
      <c r="F24" s="291"/>
      <c r="G24" s="295"/>
      <c r="H24" s="293"/>
      <c r="I24" s="293"/>
      <c r="J24" s="293"/>
      <c r="K24" s="293"/>
      <c r="L24" s="296"/>
      <c r="M24" s="295"/>
      <c r="N24" s="295"/>
      <c r="O24" s="295"/>
      <c r="P24" s="293"/>
      <c r="Q24" s="293"/>
      <c r="R24" s="293"/>
      <c r="S24" s="294"/>
      <c r="U24" s="290">
        <v>0</v>
      </c>
      <c r="V24" s="216"/>
      <c r="AH24" s="199"/>
    </row>
    <row r="25" spans="1:34">
      <c r="A25" s="184">
        <f t="shared" si="0"/>
        <v>2040</v>
      </c>
      <c r="B25" s="299"/>
      <c r="C25" s="299"/>
      <c r="D25" s="299"/>
      <c r="E25" s="300"/>
      <c r="F25" s="291"/>
      <c r="G25" s="295"/>
      <c r="H25" s="293"/>
      <c r="I25" s="293"/>
      <c r="J25" s="293"/>
      <c r="K25" s="293"/>
      <c r="L25" s="296"/>
      <c r="M25" s="295"/>
      <c r="N25" s="295"/>
      <c r="O25" s="295"/>
      <c r="P25" s="293"/>
      <c r="Q25" s="293"/>
      <c r="R25" s="293"/>
      <c r="S25" s="294"/>
      <c r="U25" s="290">
        <v>0</v>
      </c>
      <c r="V25" s="216"/>
      <c r="AH25" s="199"/>
    </row>
    <row r="26" spans="1:34">
      <c r="A26" s="184">
        <f t="shared" si="0"/>
        <v>2041</v>
      </c>
      <c r="B26" s="299"/>
      <c r="C26" s="299"/>
      <c r="D26" s="299"/>
      <c r="E26" s="300"/>
      <c r="F26" s="291"/>
      <c r="G26" s="295"/>
      <c r="H26" s="293"/>
      <c r="I26" s="293"/>
      <c r="J26" s="293"/>
      <c r="K26" s="293"/>
      <c r="L26" s="296"/>
      <c r="M26" s="295"/>
      <c r="N26" s="295"/>
      <c r="O26" s="295"/>
      <c r="P26" s="293"/>
      <c r="Q26" s="293"/>
      <c r="R26" s="293"/>
      <c r="S26" s="294"/>
      <c r="U26" s="290">
        <v>0</v>
      </c>
      <c r="V26" s="216"/>
      <c r="AH26" s="199"/>
    </row>
    <row r="27" spans="1:34">
      <c r="A27" s="184">
        <f t="shared" si="0"/>
        <v>2042</v>
      </c>
      <c r="B27" s="299"/>
      <c r="C27" s="299"/>
      <c r="D27" s="299"/>
      <c r="E27" s="300"/>
      <c r="F27" s="291"/>
      <c r="G27" s="295"/>
      <c r="H27" s="293"/>
      <c r="I27" s="293"/>
      <c r="J27" s="293"/>
      <c r="K27" s="293"/>
      <c r="L27" s="296"/>
      <c r="M27" s="295"/>
      <c r="N27" s="295"/>
      <c r="O27" s="295"/>
      <c r="P27" s="293"/>
      <c r="Q27" s="293"/>
      <c r="R27" s="293"/>
      <c r="S27" s="294"/>
      <c r="U27" s="290">
        <v>0</v>
      </c>
      <c r="V27" s="216"/>
      <c r="AH27" s="199"/>
    </row>
    <row r="28" spans="1:34">
      <c r="A28" s="184">
        <f t="shared" si="0"/>
        <v>2043</v>
      </c>
      <c r="B28" s="299"/>
      <c r="C28" s="299"/>
      <c r="D28" s="299"/>
      <c r="E28" s="300"/>
      <c r="F28" s="291"/>
      <c r="G28" s="295"/>
      <c r="H28" s="293"/>
      <c r="I28" s="293"/>
      <c r="J28" s="293"/>
      <c r="K28" s="293"/>
      <c r="L28" s="296"/>
      <c r="M28" s="295"/>
      <c r="N28" s="295"/>
      <c r="O28" s="295"/>
      <c r="P28" s="293"/>
      <c r="Q28" s="293"/>
      <c r="R28" s="293"/>
      <c r="S28" s="294"/>
      <c r="U28" s="290">
        <v>0</v>
      </c>
      <c r="V28" s="216"/>
      <c r="AH28" s="199"/>
    </row>
    <row r="29" spans="1:34">
      <c r="A29" s="184">
        <f t="shared" si="0"/>
        <v>2044</v>
      </c>
      <c r="B29" s="299"/>
      <c r="C29" s="299"/>
      <c r="D29" s="299"/>
      <c r="E29" s="300"/>
      <c r="F29" s="291"/>
      <c r="G29" s="295"/>
      <c r="H29" s="293"/>
      <c r="I29" s="293"/>
      <c r="J29" s="293"/>
      <c r="K29" s="293"/>
      <c r="L29" s="296"/>
      <c r="M29" s="295"/>
      <c r="N29" s="295"/>
      <c r="O29" s="295"/>
      <c r="P29" s="293"/>
      <c r="Q29" s="293"/>
      <c r="R29" s="293"/>
      <c r="S29" s="294"/>
      <c r="U29" s="290">
        <v>0</v>
      </c>
      <c r="V29" s="216"/>
      <c r="AH29" s="199"/>
    </row>
    <row r="30" spans="1:34">
      <c r="A30" s="184">
        <f t="shared" si="0"/>
        <v>2045</v>
      </c>
      <c r="B30" s="299"/>
      <c r="C30" s="299"/>
      <c r="D30" s="299"/>
      <c r="E30" s="300"/>
      <c r="F30" s="291"/>
      <c r="G30" s="295"/>
      <c r="H30" s="293"/>
      <c r="I30" s="293"/>
      <c r="J30" s="293"/>
      <c r="K30" s="293"/>
      <c r="L30" s="296"/>
      <c r="M30" s="295"/>
      <c r="N30" s="295"/>
      <c r="O30" s="295"/>
      <c r="P30" s="293"/>
      <c r="Q30" s="293"/>
      <c r="R30" s="293"/>
      <c r="S30" s="294"/>
      <c r="U30" s="290">
        <v>0</v>
      </c>
      <c r="V30" s="216"/>
      <c r="AH30" s="199"/>
    </row>
    <row r="31" spans="1:34">
      <c r="A31" s="184">
        <f t="shared" si="0"/>
        <v>2046</v>
      </c>
      <c r="B31" s="299"/>
      <c r="C31" s="299"/>
      <c r="D31" s="299"/>
      <c r="E31" s="300"/>
      <c r="F31" s="291"/>
      <c r="G31" s="295"/>
      <c r="H31" s="293"/>
      <c r="I31" s="293"/>
      <c r="J31" s="293"/>
      <c r="K31" s="293"/>
      <c r="L31" s="296"/>
      <c r="M31" s="295"/>
      <c r="N31" s="295"/>
      <c r="O31" s="295"/>
      <c r="P31" s="293"/>
      <c r="Q31" s="293"/>
      <c r="R31" s="293"/>
      <c r="S31" s="294"/>
      <c r="U31" s="290">
        <v>0</v>
      </c>
      <c r="V31" s="216"/>
      <c r="AH31" s="199"/>
    </row>
    <row r="32" spans="1:34">
      <c r="A32" s="184">
        <f t="shared" si="0"/>
        <v>2047</v>
      </c>
      <c r="B32" s="301"/>
      <c r="C32" s="301"/>
      <c r="D32" s="299"/>
      <c r="E32" s="300"/>
      <c r="F32" s="291"/>
      <c r="G32" s="295"/>
      <c r="H32" s="293"/>
      <c r="I32" s="293"/>
      <c r="J32" s="293"/>
      <c r="K32" s="293"/>
      <c r="L32" s="296"/>
      <c r="M32" s="295"/>
      <c r="N32" s="295"/>
      <c r="O32" s="295"/>
      <c r="P32" s="293"/>
      <c r="Q32" s="293"/>
      <c r="R32" s="293"/>
      <c r="S32" s="294"/>
      <c r="U32" s="290">
        <v>0</v>
      </c>
      <c r="V32" s="216"/>
      <c r="AF32" s="74"/>
      <c r="AH32" s="199"/>
    </row>
    <row r="33" spans="1:35">
      <c r="A33" s="184">
        <f t="shared" si="0"/>
        <v>2048</v>
      </c>
      <c r="B33" s="301"/>
      <c r="C33" s="301"/>
      <c r="D33" s="299"/>
      <c r="E33" s="300"/>
      <c r="F33" s="291"/>
      <c r="G33" s="295"/>
      <c r="H33" s="293"/>
      <c r="I33" s="293"/>
      <c r="J33" s="293"/>
      <c r="K33" s="293"/>
      <c r="L33" s="296"/>
      <c r="M33" s="295"/>
      <c r="N33" s="295"/>
      <c r="O33" s="295"/>
      <c r="P33" s="293"/>
      <c r="Q33" s="293"/>
      <c r="R33" s="293"/>
      <c r="S33" s="294"/>
      <c r="U33" s="290">
        <v>0</v>
      </c>
      <c r="V33" s="216"/>
      <c r="AF33" s="74"/>
      <c r="AH33" s="199"/>
    </row>
    <row r="34" spans="1:35">
      <c r="A34" s="184">
        <f t="shared" si="0"/>
        <v>2049</v>
      </c>
      <c r="B34" s="301"/>
      <c r="C34" s="301"/>
      <c r="D34" s="299"/>
      <c r="E34" s="300"/>
      <c r="F34" s="291"/>
      <c r="G34" s="295"/>
      <c r="H34" s="293"/>
      <c r="I34" s="293"/>
      <c r="J34" s="293"/>
      <c r="K34" s="293"/>
      <c r="L34" s="296"/>
      <c r="M34" s="295"/>
      <c r="N34" s="295"/>
      <c r="O34" s="295"/>
      <c r="P34" s="293"/>
      <c r="Q34" s="293"/>
      <c r="R34" s="293"/>
      <c r="S34" s="294"/>
      <c r="U34" s="290">
        <v>0</v>
      </c>
      <c r="AF34" s="74"/>
      <c r="AH34" s="199"/>
    </row>
    <row r="35" spans="1:35" s="204" customFormat="1">
      <c r="B35" s="200"/>
      <c r="C35" s="200"/>
      <c r="D35" s="200"/>
      <c r="E35" s="213"/>
      <c r="F35" s="208"/>
      <c r="H35" s="203"/>
      <c r="I35" s="203"/>
      <c r="J35" s="203"/>
      <c r="K35" s="203"/>
      <c r="L35" s="203"/>
      <c r="P35" s="200"/>
      <c r="Q35" s="205"/>
      <c r="R35" s="200"/>
      <c r="S35" s="214"/>
      <c r="U35" s="210"/>
      <c r="AF35" s="205"/>
      <c r="AH35" s="215"/>
    </row>
    <row r="36" spans="1:35" s="204" customFormat="1">
      <c r="B36" s="200"/>
      <c r="C36" s="200"/>
      <c r="D36" s="200"/>
      <c r="E36" s="218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</row>
    <row r="37" spans="1:35">
      <c r="G37" s="208"/>
      <c r="H37" s="209"/>
      <c r="I37" s="203"/>
      <c r="J37" s="203"/>
      <c r="K37" s="203"/>
      <c r="L37" s="203"/>
      <c r="M37" s="204"/>
      <c r="N37" s="204"/>
      <c r="O37" s="204"/>
      <c r="P37" s="205"/>
      <c r="Q37" s="205"/>
      <c r="R37" s="205"/>
      <c r="S37" s="201"/>
      <c r="T37" s="201"/>
      <c r="U37" s="210"/>
      <c r="V37" s="204"/>
      <c r="AF37" s="74"/>
      <c r="AH37" s="199"/>
    </row>
    <row r="38" spans="1:35">
      <c r="B38" s="149"/>
      <c r="C38" s="149"/>
      <c r="D38" s="149"/>
      <c r="E38" s="149"/>
      <c r="G38" s="208"/>
      <c r="H38" s="209"/>
      <c r="I38" s="203"/>
      <c r="J38" s="203"/>
      <c r="K38" s="203"/>
      <c r="L38" s="203"/>
      <c r="M38" s="204"/>
      <c r="N38" s="204"/>
      <c r="O38" s="204"/>
      <c r="P38" s="205"/>
      <c r="Q38" s="205"/>
      <c r="R38" s="205"/>
      <c r="S38" s="201"/>
      <c r="T38" s="201"/>
      <c r="U38" s="208"/>
      <c r="V38" s="204"/>
      <c r="AF38" s="74"/>
      <c r="AH38" s="199"/>
    </row>
    <row r="39" spans="1:35">
      <c r="G39" s="208"/>
      <c r="H39" s="209"/>
      <c r="I39" s="203"/>
      <c r="J39" s="203"/>
      <c r="K39" s="203"/>
      <c r="L39" s="203"/>
      <c r="M39" s="204"/>
      <c r="N39" s="204"/>
      <c r="O39" s="204"/>
      <c r="P39" s="205"/>
      <c r="Q39" s="205"/>
      <c r="R39" s="205"/>
      <c r="S39" s="201"/>
      <c r="T39" s="201"/>
      <c r="U39" s="208"/>
      <c r="V39" s="204"/>
      <c r="AF39" s="74"/>
      <c r="AH39" s="199"/>
    </row>
    <row r="40" spans="1:35">
      <c r="G40" s="208"/>
      <c r="H40" s="211"/>
      <c r="I40" s="211"/>
      <c r="J40" s="211"/>
      <c r="K40" s="211"/>
      <c r="L40" s="204"/>
      <c r="M40" s="203"/>
      <c r="N40" s="204"/>
      <c r="O40" s="204"/>
      <c r="P40" s="205"/>
      <c r="Q40" s="205"/>
      <c r="R40" s="205"/>
      <c r="S40" s="201"/>
      <c r="T40" s="201"/>
      <c r="U40" s="208"/>
      <c r="V40" s="204"/>
      <c r="AF40" s="74"/>
      <c r="AH40" s="199"/>
    </row>
    <row r="41" spans="1:35">
      <c r="G41" s="208"/>
      <c r="H41" s="211"/>
      <c r="I41" s="211"/>
      <c r="J41" s="211"/>
      <c r="K41" s="211"/>
      <c r="L41" s="212"/>
      <c r="M41" s="204"/>
      <c r="N41" s="204"/>
      <c r="O41" s="204"/>
      <c r="P41" s="205"/>
      <c r="Q41" s="205"/>
      <c r="R41" s="205"/>
      <c r="S41" s="201"/>
      <c r="T41" s="201"/>
      <c r="U41" s="208"/>
      <c r="V41" s="204"/>
      <c r="AF41" s="74"/>
      <c r="AH41" s="199"/>
    </row>
    <row r="42" spans="1:35">
      <c r="A42" s="204"/>
      <c r="B42" s="205"/>
      <c r="C42" s="205"/>
      <c r="D42" s="205"/>
      <c r="E42" s="206"/>
      <c r="H42" s="202"/>
      <c r="I42" s="202"/>
      <c r="J42" s="202"/>
      <c r="K42" s="202"/>
      <c r="L42" s="30"/>
      <c r="P42" s="74"/>
      <c r="Q42" s="74"/>
      <c r="R42" s="74"/>
      <c r="S42" s="201"/>
      <c r="T42" s="201"/>
      <c r="U42" s="185"/>
      <c r="AF42" s="74"/>
      <c r="AH42" s="199"/>
    </row>
    <row r="43" spans="1:35">
      <c r="B43" s="74"/>
      <c r="C43" s="74"/>
      <c r="D43" s="74"/>
      <c r="H43" s="202"/>
      <c r="I43" s="202"/>
      <c r="J43" s="202"/>
      <c r="K43" s="202"/>
      <c r="L43" s="193"/>
      <c r="P43" s="74"/>
      <c r="Q43" s="74"/>
      <c r="R43" s="74"/>
      <c r="S43" s="201"/>
      <c r="T43" s="201"/>
      <c r="U43" s="185"/>
      <c r="AF43" s="74"/>
      <c r="AH43" s="199"/>
    </row>
    <row r="44" spans="1:35">
      <c r="H44" s="202"/>
      <c r="I44" s="202"/>
      <c r="J44" s="202"/>
      <c r="K44" s="202"/>
      <c r="M44" s="203"/>
      <c r="P44" s="74"/>
      <c r="Q44" s="74"/>
      <c r="R44" s="74"/>
      <c r="S44" s="201"/>
      <c r="T44" s="201"/>
      <c r="U44" s="185"/>
      <c r="AF44" s="74"/>
      <c r="AH44" s="199"/>
    </row>
    <row r="45" spans="1:35">
      <c r="H45" s="202"/>
      <c r="I45" s="202"/>
      <c r="J45" s="202"/>
      <c r="K45" s="202"/>
      <c r="M45" s="203"/>
      <c r="P45" s="74"/>
      <c r="Q45" s="74"/>
      <c r="R45" s="74"/>
      <c r="S45" s="201"/>
      <c r="T45" s="201"/>
      <c r="U45" s="185"/>
      <c r="AF45" s="74"/>
      <c r="AH45" s="199"/>
    </row>
    <row r="46" spans="1:35">
      <c r="H46" s="202"/>
      <c r="I46" s="202"/>
      <c r="J46" s="202"/>
      <c r="K46" s="202"/>
      <c r="M46" s="203"/>
      <c r="P46" s="74"/>
      <c r="Q46" s="74"/>
      <c r="R46" s="74"/>
      <c r="S46" s="201"/>
      <c r="T46" s="201"/>
      <c r="U46" s="185"/>
      <c r="AF46" s="74"/>
      <c r="AH46" s="199"/>
    </row>
    <row r="47" spans="1:35">
      <c r="I47" s="202"/>
      <c r="J47" s="202"/>
      <c r="K47" s="202"/>
      <c r="P47" s="74"/>
      <c r="Q47" s="74"/>
      <c r="R47" s="74"/>
      <c r="S47" s="201"/>
      <c r="T47" s="201"/>
      <c r="U47" s="185"/>
    </row>
    <row r="48" spans="1:35">
      <c r="I48" s="202"/>
      <c r="J48" s="202"/>
      <c r="K48" s="202"/>
      <c r="P48" s="74"/>
      <c r="Q48" s="74"/>
      <c r="R48" s="74"/>
      <c r="S48" s="201"/>
      <c r="T48" s="201"/>
      <c r="U48" s="185"/>
    </row>
    <row r="49" spans="3:21">
      <c r="I49" s="202"/>
      <c r="J49" s="202"/>
      <c r="K49" s="202"/>
      <c r="P49" s="74"/>
      <c r="Q49" s="74"/>
      <c r="R49" s="74"/>
      <c r="S49" s="201"/>
      <c r="T49" s="201"/>
      <c r="U49" s="185"/>
    </row>
    <row r="50" spans="3:21">
      <c r="P50" s="74"/>
      <c r="Q50" s="74"/>
      <c r="R50" s="74"/>
      <c r="S50" s="201"/>
      <c r="T50" s="201"/>
    </row>
    <row r="51" spans="3:21">
      <c r="P51" s="74"/>
      <c r="Q51" s="74"/>
      <c r="R51" s="74"/>
      <c r="S51" s="201"/>
      <c r="T51" s="201"/>
    </row>
    <row r="52" spans="3:21">
      <c r="P52" s="74"/>
      <c r="Q52" s="74"/>
      <c r="R52" s="74"/>
      <c r="S52" s="201"/>
      <c r="T52" s="201"/>
    </row>
    <row r="53" spans="3:21">
      <c r="C53" s="174"/>
      <c r="D53" s="174"/>
      <c r="P53" s="74"/>
      <c r="Q53" s="74"/>
      <c r="R53" s="74"/>
      <c r="S53" s="201"/>
      <c r="T53" s="201"/>
    </row>
    <row r="54" spans="3:21">
      <c r="C54" s="175"/>
      <c r="D54" s="175"/>
      <c r="P54" s="74"/>
      <c r="Q54" s="74"/>
      <c r="R54" s="74"/>
      <c r="S54" s="201"/>
      <c r="T54" s="201"/>
    </row>
    <row r="55" spans="3:21">
      <c r="C55" s="175"/>
      <c r="D55" s="175"/>
      <c r="P55" s="74"/>
      <c r="Q55" s="74"/>
      <c r="R55" s="74"/>
      <c r="S55" s="201"/>
      <c r="T55" s="201"/>
    </row>
    <row r="56" spans="3:21">
      <c r="C56" s="175"/>
      <c r="D56" s="175"/>
      <c r="P56" s="74"/>
      <c r="Q56" s="74"/>
      <c r="R56" s="74"/>
      <c r="S56" s="201"/>
      <c r="T56" s="201"/>
    </row>
    <row r="57" spans="3:21">
      <c r="C57" s="175"/>
      <c r="D57" s="175"/>
      <c r="P57" s="74"/>
      <c r="Q57" s="74"/>
      <c r="R57" s="74"/>
      <c r="S57" s="201"/>
      <c r="T57" s="201"/>
    </row>
    <row r="58" spans="3:21">
      <c r="C58" s="175"/>
      <c r="D58" s="175"/>
      <c r="P58" s="74"/>
      <c r="Q58" s="74"/>
      <c r="R58" s="74"/>
      <c r="S58" s="201"/>
      <c r="T58" s="201"/>
    </row>
    <row r="59" spans="3:21">
      <c r="C59" s="175"/>
      <c r="D59" s="175"/>
      <c r="P59" s="74"/>
      <c r="Q59" s="74"/>
      <c r="R59" s="74"/>
    </row>
    <row r="60" spans="3:21">
      <c r="C60" s="175"/>
      <c r="D60" s="175"/>
    </row>
    <row r="61" spans="3:21">
      <c r="C61" s="175"/>
      <c r="D61" s="175"/>
    </row>
    <row r="62" spans="3:21">
      <c r="C62" s="175"/>
      <c r="D62" s="175"/>
    </row>
    <row r="63" spans="3:21">
      <c r="C63" s="175"/>
      <c r="D63" s="175"/>
    </row>
    <row r="64" spans="3:21">
      <c r="C64" s="175"/>
      <c r="D64" s="175"/>
    </row>
    <row r="65" spans="3:4">
      <c r="C65" s="175"/>
      <c r="D65" s="175"/>
    </row>
    <row r="66" spans="3:4">
      <c r="C66" s="175"/>
      <c r="D66" s="175"/>
    </row>
    <row r="67" spans="3:4">
      <c r="C67" s="175"/>
      <c r="D67" s="175"/>
    </row>
    <row r="68" spans="3:4">
      <c r="C68" s="175"/>
      <c r="D68" s="175"/>
    </row>
    <row r="69" spans="3:4">
      <c r="C69" s="175"/>
      <c r="D69" s="175"/>
    </row>
    <row r="70" spans="3:4">
      <c r="C70" s="175"/>
      <c r="D70" s="175"/>
    </row>
    <row r="71" spans="3:4">
      <c r="C71" s="175"/>
      <c r="D71" s="175"/>
    </row>
    <row r="72" spans="3:4">
      <c r="C72" s="175"/>
      <c r="D72" s="175"/>
    </row>
    <row r="73" spans="3:4">
      <c r="C73" s="175"/>
      <c r="D73" s="175"/>
    </row>
    <row r="74" spans="3:4">
      <c r="C74" s="175"/>
      <c r="D74" s="175"/>
    </row>
    <row r="75" spans="3:4">
      <c r="C75" s="175"/>
      <c r="D75" s="175"/>
    </row>
    <row r="76" spans="3:4">
      <c r="C76" s="175"/>
      <c r="D76" s="175"/>
    </row>
    <row r="77" spans="3:4">
      <c r="C77" s="175"/>
      <c r="D77" s="175"/>
    </row>
    <row r="78" spans="3:4">
      <c r="C78" s="175"/>
      <c r="D78" s="175"/>
    </row>
    <row r="79" spans="3:4">
      <c r="C79" s="175"/>
      <c r="D79" s="175"/>
    </row>
    <row r="80" spans="3:4">
      <c r="C80" s="175"/>
      <c r="D80" s="175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167</v>
      </c>
      <c r="H1" s="174" t="s">
        <v>168</v>
      </c>
      <c r="I1" s="174" t="s">
        <v>169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74" t="s">
        <v>98</v>
      </c>
      <c r="B2" s="174" t="s">
        <v>23</v>
      </c>
      <c r="C2" s="174" t="s">
        <v>6</v>
      </c>
      <c r="D2" s="175">
        <v>1</v>
      </c>
      <c r="E2" s="174">
        <v>2020</v>
      </c>
      <c r="F2" s="174" t="s">
        <v>7</v>
      </c>
      <c r="G2" s="16">
        <v>3099.299</v>
      </c>
      <c r="H2" s="16">
        <v>1064.597</v>
      </c>
      <c r="I2" s="16">
        <v>1896.0229999999999</v>
      </c>
      <c r="J2" s="57">
        <f t="shared" ref="J2:J33" si="0">SUM(G2:I2)</f>
        <v>6059.9189999999999</v>
      </c>
      <c r="L2" s="17"/>
      <c r="M2" s="37"/>
      <c r="N2" s="37"/>
      <c r="O2" s="58"/>
      <c r="P2" s="58"/>
      <c r="Q2" s="58"/>
      <c r="R2" s="57"/>
    </row>
    <row r="3" spans="1:18">
      <c r="A3" s="174" t="s">
        <v>98</v>
      </c>
      <c r="B3" s="174" t="s">
        <v>23</v>
      </c>
      <c r="C3" s="174" t="s">
        <v>6</v>
      </c>
      <c r="D3" s="175">
        <v>1</v>
      </c>
      <c r="E3" s="174">
        <v>2021</v>
      </c>
      <c r="F3" s="174" t="s">
        <v>7</v>
      </c>
      <c r="G3" s="16">
        <v>3075.6790000000001</v>
      </c>
      <c r="H3" s="16">
        <v>1053.1510000000001</v>
      </c>
      <c r="I3" s="16">
        <v>1908.3340000000001</v>
      </c>
      <c r="J3" s="57">
        <f t="shared" si="0"/>
        <v>6037.1639999999998</v>
      </c>
      <c r="L3" s="58"/>
      <c r="M3" s="37"/>
      <c r="N3" s="37"/>
      <c r="O3" s="58"/>
      <c r="P3" s="58"/>
      <c r="Q3" s="58"/>
      <c r="R3" s="57"/>
    </row>
    <row r="4" spans="1:18">
      <c r="A4" s="174" t="s">
        <v>98</v>
      </c>
      <c r="B4" s="174" t="s">
        <v>23</v>
      </c>
      <c r="C4" s="174" t="s">
        <v>6</v>
      </c>
      <c r="D4" s="175">
        <v>1</v>
      </c>
      <c r="E4" s="174">
        <v>2022</v>
      </c>
      <c r="F4" s="174" t="s">
        <v>7</v>
      </c>
      <c r="G4" s="16">
        <v>3118.9969999999998</v>
      </c>
      <c r="H4" s="16">
        <v>1069.183</v>
      </c>
      <c r="I4" s="16">
        <v>1966.9</v>
      </c>
      <c r="J4" s="57">
        <f t="shared" si="0"/>
        <v>6155.08</v>
      </c>
      <c r="L4" s="58"/>
      <c r="M4" s="37"/>
      <c r="N4" s="37"/>
      <c r="O4" s="58"/>
      <c r="P4" s="58"/>
      <c r="Q4" s="58"/>
      <c r="R4" s="57"/>
    </row>
    <row r="5" spans="1:18">
      <c r="A5" s="174" t="s">
        <v>98</v>
      </c>
      <c r="B5" s="174" t="s">
        <v>23</v>
      </c>
      <c r="C5" s="174" t="s">
        <v>6</v>
      </c>
      <c r="D5" s="175">
        <v>1</v>
      </c>
      <c r="E5" s="174">
        <v>2023</v>
      </c>
      <c r="F5" s="174" t="s">
        <v>7</v>
      </c>
      <c r="G5" s="16">
        <v>3149.8139999999999</v>
      </c>
      <c r="H5" s="16">
        <v>1080.152</v>
      </c>
      <c r="I5" s="16">
        <v>1963.9110000000001</v>
      </c>
      <c r="J5" s="57">
        <f t="shared" si="0"/>
        <v>6193.8770000000004</v>
      </c>
      <c r="L5" s="58"/>
      <c r="M5" s="37"/>
      <c r="N5" s="37"/>
      <c r="O5" s="58"/>
      <c r="P5" s="58"/>
      <c r="Q5" s="58"/>
      <c r="R5" s="57"/>
    </row>
    <row r="6" spans="1:18">
      <c r="A6" s="174" t="s">
        <v>98</v>
      </c>
      <c r="B6" s="174" t="s">
        <v>23</v>
      </c>
      <c r="C6" s="174" t="s">
        <v>6</v>
      </c>
      <c r="D6" s="175">
        <v>1</v>
      </c>
      <c r="E6" s="174">
        <v>2024</v>
      </c>
      <c r="F6" s="174" t="s">
        <v>7</v>
      </c>
      <c r="G6" s="16">
        <v>3154.6660000000002</v>
      </c>
      <c r="H6" s="16">
        <v>1078.7650000000001</v>
      </c>
      <c r="I6" s="16">
        <v>1941.7919999999999</v>
      </c>
      <c r="J6" s="57">
        <f t="shared" si="0"/>
        <v>6175.223</v>
      </c>
      <c r="L6" s="58"/>
      <c r="M6" s="37"/>
      <c r="N6" s="37"/>
      <c r="O6" s="58"/>
      <c r="P6" s="58"/>
      <c r="Q6" s="58"/>
      <c r="R6" s="57"/>
    </row>
    <row r="7" spans="1:18">
      <c r="A7" s="174" t="s">
        <v>98</v>
      </c>
      <c r="B7" s="174" t="s">
        <v>23</v>
      </c>
      <c r="C7" s="174" t="s">
        <v>6</v>
      </c>
      <c r="D7" s="175">
        <v>1</v>
      </c>
      <c r="E7" s="174">
        <v>2025</v>
      </c>
      <c r="F7" s="174" t="s">
        <v>7</v>
      </c>
      <c r="G7" s="16">
        <v>3145.96</v>
      </c>
      <c r="H7" s="16">
        <v>1081.796</v>
      </c>
      <c r="I7" s="16">
        <v>1933.568</v>
      </c>
      <c r="J7" s="57">
        <f t="shared" si="0"/>
        <v>6161.3240000000005</v>
      </c>
      <c r="L7" s="58"/>
      <c r="M7" s="37"/>
      <c r="N7" s="37"/>
      <c r="O7" s="58"/>
      <c r="P7" s="58"/>
      <c r="Q7" s="58"/>
      <c r="R7" s="57"/>
    </row>
    <row r="8" spans="1:18">
      <c r="A8" s="174" t="s">
        <v>98</v>
      </c>
      <c r="B8" s="174" t="s">
        <v>23</v>
      </c>
      <c r="C8" s="174" t="s">
        <v>6</v>
      </c>
      <c r="D8" s="175">
        <v>1</v>
      </c>
      <c r="E8" s="174">
        <v>2026</v>
      </c>
      <c r="F8" s="174" t="s">
        <v>7</v>
      </c>
      <c r="G8" s="16">
        <v>3133.5059999999999</v>
      </c>
      <c r="H8" s="16">
        <v>1078.3610000000001</v>
      </c>
      <c r="I8" s="16">
        <v>1933.1559999999999</v>
      </c>
      <c r="J8" s="57">
        <f t="shared" si="0"/>
        <v>6145.0230000000001</v>
      </c>
      <c r="L8" s="58"/>
      <c r="M8" s="37"/>
      <c r="N8" s="37"/>
      <c r="O8" s="58"/>
      <c r="P8" s="58"/>
      <c r="Q8" s="58"/>
      <c r="R8" s="57"/>
    </row>
    <row r="9" spans="1:18">
      <c r="A9" s="174" t="s">
        <v>98</v>
      </c>
      <c r="B9" s="174" t="s">
        <v>23</v>
      </c>
      <c r="C9" s="174" t="s">
        <v>6</v>
      </c>
      <c r="D9" s="175">
        <v>1</v>
      </c>
      <c r="E9" s="174">
        <v>2027</v>
      </c>
      <c r="F9" s="174" t="s">
        <v>7</v>
      </c>
      <c r="G9" s="16">
        <v>3122.056</v>
      </c>
      <c r="H9" s="16">
        <v>1072.799</v>
      </c>
      <c r="I9" s="16">
        <v>1937.472</v>
      </c>
      <c r="J9" s="57">
        <f t="shared" si="0"/>
        <v>6132.3269999999993</v>
      </c>
      <c r="L9" s="58"/>
      <c r="M9" s="37"/>
      <c r="N9" s="37"/>
      <c r="O9" s="58"/>
      <c r="P9" s="58"/>
      <c r="Q9" s="58"/>
      <c r="R9" s="57"/>
    </row>
    <row r="10" spans="1:18">
      <c r="A10" s="174" t="s">
        <v>98</v>
      </c>
      <c r="B10" s="174" t="s">
        <v>23</v>
      </c>
      <c r="C10" s="174" t="s">
        <v>6</v>
      </c>
      <c r="D10" s="175">
        <v>1</v>
      </c>
      <c r="E10" s="174">
        <v>2028</v>
      </c>
      <c r="F10" s="174" t="s">
        <v>7</v>
      </c>
      <c r="G10" s="16">
        <v>3087.3580000000002</v>
      </c>
      <c r="H10" s="16">
        <v>1058.3009999999999</v>
      </c>
      <c r="I10" s="16">
        <v>1974.9069999999999</v>
      </c>
      <c r="J10" s="57">
        <f t="shared" si="0"/>
        <v>6120.5659999999998</v>
      </c>
      <c r="L10" s="58"/>
      <c r="M10" s="37"/>
      <c r="N10" s="37"/>
      <c r="O10" s="58"/>
      <c r="P10" s="58"/>
      <c r="Q10" s="58"/>
      <c r="R10" s="57"/>
    </row>
    <row r="11" spans="1:18">
      <c r="A11" s="174" t="s">
        <v>98</v>
      </c>
      <c r="B11" s="174" t="s">
        <v>23</v>
      </c>
      <c r="C11" s="174" t="s">
        <v>6</v>
      </c>
      <c r="D11" s="175">
        <v>1</v>
      </c>
      <c r="E11" s="174">
        <v>2029</v>
      </c>
      <c r="F11" s="174" t="s">
        <v>7</v>
      </c>
      <c r="G11" s="16">
        <v>3124.5439999999999</v>
      </c>
      <c r="H11" s="16">
        <v>1066.2739999999999</v>
      </c>
      <c r="I11" s="16">
        <v>1928.826</v>
      </c>
      <c r="J11" s="57">
        <f t="shared" si="0"/>
        <v>6119.6439999999993</v>
      </c>
      <c r="L11" s="58"/>
      <c r="M11" s="37"/>
      <c r="N11" s="37"/>
      <c r="O11" s="58"/>
      <c r="P11" s="58"/>
      <c r="Q11" s="58"/>
      <c r="R11" s="57"/>
    </row>
    <row r="12" spans="1:18">
      <c r="A12" s="174" t="s">
        <v>98</v>
      </c>
      <c r="B12" s="174" t="s">
        <v>23</v>
      </c>
      <c r="C12" s="174" t="s">
        <v>6</v>
      </c>
      <c r="D12" s="175">
        <v>1</v>
      </c>
      <c r="E12" s="174">
        <v>2030</v>
      </c>
      <c r="F12" s="174" t="s">
        <v>7</v>
      </c>
      <c r="G12" s="16">
        <v>3117.047</v>
      </c>
      <c r="H12" s="16">
        <v>1070.4570000000001</v>
      </c>
      <c r="I12" s="16">
        <v>1920.6369999999999</v>
      </c>
      <c r="J12" s="57">
        <f t="shared" si="0"/>
        <v>6108.1409999999996</v>
      </c>
      <c r="L12" s="58"/>
      <c r="M12" s="37"/>
      <c r="N12" s="37"/>
      <c r="O12" s="58"/>
      <c r="P12" s="58"/>
      <c r="Q12" s="58"/>
      <c r="R12" s="57"/>
    </row>
    <row r="13" spans="1:18">
      <c r="A13" s="174" t="s">
        <v>98</v>
      </c>
      <c r="B13" s="174" t="s">
        <v>23</v>
      </c>
      <c r="C13" s="174" t="s">
        <v>6</v>
      </c>
      <c r="D13" s="175">
        <v>1</v>
      </c>
      <c r="E13" s="174">
        <v>2031</v>
      </c>
      <c r="F13" s="174" t="s">
        <v>7</v>
      </c>
      <c r="G13" s="16">
        <v>3116.2449999999999</v>
      </c>
      <c r="H13" s="16">
        <v>1070.424</v>
      </c>
      <c r="I13" s="16">
        <v>1914.3130000000001</v>
      </c>
      <c r="J13" s="57">
        <f t="shared" si="0"/>
        <v>6100.982</v>
      </c>
      <c r="L13" s="58"/>
      <c r="M13" s="37"/>
      <c r="N13" s="37"/>
      <c r="O13" s="58"/>
      <c r="P13" s="58"/>
      <c r="Q13" s="58"/>
      <c r="R13" s="57"/>
    </row>
    <row r="14" spans="1:18">
      <c r="A14" s="174" t="s">
        <v>98</v>
      </c>
      <c r="B14" s="174" t="s">
        <v>23</v>
      </c>
      <c r="C14" s="174" t="s">
        <v>6</v>
      </c>
      <c r="D14" s="175">
        <v>1</v>
      </c>
      <c r="E14" s="174">
        <v>2032</v>
      </c>
      <c r="F14" s="174" t="s">
        <v>7</v>
      </c>
      <c r="G14" s="16">
        <v>3110.17</v>
      </c>
      <c r="H14" s="16">
        <v>1069.127</v>
      </c>
      <c r="I14" s="16">
        <v>1913.0840000000001</v>
      </c>
      <c r="J14" s="57">
        <f t="shared" si="0"/>
        <v>6092.3810000000003</v>
      </c>
      <c r="L14" s="58"/>
      <c r="M14" s="37"/>
      <c r="N14" s="37"/>
      <c r="O14" s="58"/>
      <c r="P14" s="58"/>
      <c r="Q14" s="58"/>
      <c r="R14" s="57"/>
    </row>
    <row r="15" spans="1:18">
      <c r="A15" s="174" t="s">
        <v>98</v>
      </c>
      <c r="B15" s="174" t="s">
        <v>23</v>
      </c>
      <c r="C15" s="174" t="s">
        <v>6</v>
      </c>
      <c r="D15" s="175">
        <v>1</v>
      </c>
      <c r="E15" s="174">
        <v>2033</v>
      </c>
      <c r="F15" s="174" t="s">
        <v>7</v>
      </c>
      <c r="G15" s="16">
        <v>3086.6390000000001</v>
      </c>
      <c r="H15" s="16">
        <v>1057.673</v>
      </c>
      <c r="I15" s="16">
        <v>1944.405</v>
      </c>
      <c r="J15" s="57">
        <f t="shared" si="0"/>
        <v>6088.7169999999996</v>
      </c>
      <c r="L15" s="58"/>
      <c r="M15" s="37"/>
      <c r="N15" s="37"/>
      <c r="O15" s="58"/>
      <c r="P15" s="58"/>
      <c r="Q15" s="58"/>
      <c r="R15" s="57"/>
    </row>
    <row r="16" spans="1:18">
      <c r="A16" s="174" t="s">
        <v>98</v>
      </c>
      <c r="B16" s="174" t="s">
        <v>23</v>
      </c>
      <c r="C16" s="174" t="s">
        <v>6</v>
      </c>
      <c r="D16" s="175">
        <v>1</v>
      </c>
      <c r="E16" s="174">
        <v>2034</v>
      </c>
      <c r="F16" s="174" t="s">
        <v>7</v>
      </c>
      <c r="G16" s="16">
        <v>3096.4319999999998</v>
      </c>
      <c r="H16" s="16">
        <v>1059.69</v>
      </c>
      <c r="I16" s="16">
        <v>1927.952</v>
      </c>
      <c r="J16" s="57">
        <f t="shared" si="0"/>
        <v>6084.0739999999996</v>
      </c>
      <c r="L16" s="58"/>
      <c r="M16" s="37"/>
      <c r="N16" s="37"/>
      <c r="O16" s="58"/>
      <c r="P16" s="58"/>
      <c r="Q16" s="58"/>
      <c r="R16" s="57"/>
    </row>
    <row r="17" spans="1:18">
      <c r="A17" s="174" t="s">
        <v>98</v>
      </c>
      <c r="B17" s="174" t="s">
        <v>23</v>
      </c>
      <c r="C17" s="174" t="s">
        <v>6</v>
      </c>
      <c r="D17" s="175">
        <v>1</v>
      </c>
      <c r="E17" s="174">
        <v>2035</v>
      </c>
      <c r="F17" s="174" t="s">
        <v>7</v>
      </c>
      <c r="G17" s="16">
        <v>3106.3270000000002</v>
      </c>
      <c r="H17" s="16">
        <v>1058.692</v>
      </c>
      <c r="I17" s="16">
        <v>1916.431</v>
      </c>
      <c r="J17" s="57">
        <f t="shared" si="0"/>
        <v>6081.4500000000007</v>
      </c>
      <c r="L17" s="58"/>
      <c r="M17" s="37"/>
      <c r="N17" s="37"/>
      <c r="O17" s="58"/>
      <c r="P17" s="58"/>
      <c r="Q17" s="58"/>
      <c r="R17" s="57"/>
    </row>
    <row r="18" spans="1:18">
      <c r="A18" s="174" t="s">
        <v>98</v>
      </c>
      <c r="B18" s="174" t="s">
        <v>23</v>
      </c>
      <c r="C18" s="174" t="s">
        <v>6</v>
      </c>
      <c r="D18" s="175">
        <v>1</v>
      </c>
      <c r="E18" s="174">
        <v>2036</v>
      </c>
      <c r="F18" s="174" t="s">
        <v>7</v>
      </c>
      <c r="G18" s="16">
        <v>3108.86</v>
      </c>
      <c r="H18" s="16">
        <v>1067.1410000000001</v>
      </c>
      <c r="I18" s="16">
        <v>1900.74</v>
      </c>
      <c r="J18" s="57">
        <f t="shared" si="0"/>
        <v>6076.741</v>
      </c>
      <c r="L18" s="58"/>
      <c r="M18" s="37"/>
      <c r="N18" s="37"/>
      <c r="O18" s="58"/>
      <c r="P18" s="58"/>
      <c r="Q18" s="58"/>
      <c r="R18" s="57"/>
    </row>
    <row r="19" spans="1:18">
      <c r="A19" s="174" t="s">
        <v>98</v>
      </c>
      <c r="B19" s="174" t="s">
        <v>23</v>
      </c>
      <c r="C19" s="174" t="s">
        <v>6</v>
      </c>
      <c r="D19" s="175">
        <v>1</v>
      </c>
      <c r="E19" s="174">
        <v>2037</v>
      </c>
      <c r="F19" s="174" t="s">
        <v>7</v>
      </c>
      <c r="G19" s="16">
        <v>3100.681</v>
      </c>
      <c r="H19" s="16">
        <v>1064.4860000000001</v>
      </c>
      <c r="I19" s="16">
        <v>1911.0709999999999</v>
      </c>
      <c r="J19" s="57">
        <f t="shared" si="0"/>
        <v>6076.2380000000003</v>
      </c>
      <c r="L19" s="58"/>
      <c r="M19" s="37"/>
      <c r="N19" s="37"/>
      <c r="O19" s="58"/>
      <c r="P19" s="58"/>
      <c r="Q19" s="58"/>
      <c r="R19" s="57"/>
    </row>
    <row r="20" spans="1:18">
      <c r="A20" s="174" t="s">
        <v>98</v>
      </c>
      <c r="B20" s="174" t="s">
        <v>23</v>
      </c>
      <c r="C20" s="174" t="s">
        <v>6</v>
      </c>
      <c r="D20" s="175">
        <v>1</v>
      </c>
      <c r="E20" s="174">
        <v>2038</v>
      </c>
      <c r="F20" s="174" t="s">
        <v>7</v>
      </c>
      <c r="G20" s="16">
        <v>3094.9949999999999</v>
      </c>
      <c r="H20" s="16">
        <v>1060.8610000000001</v>
      </c>
      <c r="I20" s="16">
        <v>1918.6179999999999</v>
      </c>
      <c r="J20" s="57">
        <f t="shared" si="0"/>
        <v>6074.4740000000002</v>
      </c>
      <c r="L20" s="58"/>
      <c r="M20" s="37"/>
      <c r="N20" s="37"/>
      <c r="O20" s="58"/>
      <c r="P20" s="58"/>
      <c r="Q20" s="58"/>
      <c r="R20" s="57"/>
    </row>
    <row r="21" spans="1:18">
      <c r="A21" s="174" t="s">
        <v>98</v>
      </c>
      <c r="B21" s="174" t="s">
        <v>23</v>
      </c>
      <c r="C21" s="174" t="s">
        <v>6</v>
      </c>
      <c r="D21" s="175">
        <v>1</v>
      </c>
      <c r="E21" s="174">
        <v>2039</v>
      </c>
      <c r="F21" s="174" t="s">
        <v>7</v>
      </c>
      <c r="G21" s="16">
        <v>3080.1390000000001</v>
      </c>
      <c r="H21" s="16">
        <v>1053.671</v>
      </c>
      <c r="I21" s="16">
        <v>1938.972</v>
      </c>
      <c r="J21" s="57">
        <f t="shared" si="0"/>
        <v>6072.7820000000002</v>
      </c>
      <c r="L21" s="58"/>
      <c r="M21" s="37"/>
      <c r="N21" s="37"/>
      <c r="O21" s="58"/>
      <c r="P21" s="58"/>
      <c r="Q21" s="58"/>
      <c r="R21" s="57"/>
    </row>
    <row r="22" spans="1:18">
      <c r="A22" s="174" t="s">
        <v>98</v>
      </c>
      <c r="B22" s="174" t="s">
        <v>23</v>
      </c>
      <c r="C22" s="174" t="s">
        <v>6</v>
      </c>
      <c r="D22" s="175">
        <v>1</v>
      </c>
      <c r="E22" s="174">
        <v>2040</v>
      </c>
      <c r="F22" s="174" t="s">
        <v>7</v>
      </c>
      <c r="G22" s="16">
        <v>3091.5050000000001</v>
      </c>
      <c r="H22" s="16">
        <v>1050.837</v>
      </c>
      <c r="I22" s="16">
        <v>1927.547</v>
      </c>
      <c r="J22" s="161">
        <f t="shared" si="0"/>
        <v>6069.889000000001</v>
      </c>
      <c r="L22" s="58"/>
      <c r="M22" s="37"/>
      <c r="N22" s="37"/>
      <c r="O22" s="58"/>
      <c r="P22" s="58"/>
      <c r="Q22" s="58"/>
      <c r="R22" s="57"/>
    </row>
    <row r="23" spans="1:18">
      <c r="A23" s="174" t="s">
        <v>98</v>
      </c>
      <c r="B23" s="174" t="s">
        <v>23</v>
      </c>
      <c r="C23" s="174" t="s">
        <v>6</v>
      </c>
      <c r="D23" s="175">
        <v>1</v>
      </c>
      <c r="E23" s="174">
        <v>2041</v>
      </c>
      <c r="F23" s="174" t="s">
        <v>7</v>
      </c>
      <c r="G23" s="16">
        <v>3099.6480000000001</v>
      </c>
      <c r="H23" s="16">
        <v>1061.5809999999999</v>
      </c>
      <c r="I23" s="16">
        <v>1908.2180000000001</v>
      </c>
      <c r="J23" s="161">
        <f t="shared" si="0"/>
        <v>6069.4470000000001</v>
      </c>
      <c r="L23" s="58"/>
      <c r="M23" s="37"/>
      <c r="N23" s="37"/>
      <c r="O23" s="58"/>
      <c r="P23" s="58"/>
      <c r="Q23" s="58"/>
      <c r="R23" s="57"/>
    </row>
    <row r="24" spans="1:18">
      <c r="A24" s="174" t="s">
        <v>98</v>
      </c>
      <c r="B24" s="174" t="s">
        <v>23</v>
      </c>
      <c r="C24" s="174" t="s">
        <v>6</v>
      </c>
      <c r="D24" s="175">
        <v>1</v>
      </c>
      <c r="E24" s="174">
        <v>2042</v>
      </c>
      <c r="F24" s="174" t="s">
        <v>7</v>
      </c>
      <c r="G24" s="16">
        <v>3100.8620000000001</v>
      </c>
      <c r="H24" s="16">
        <v>1062.1590000000001</v>
      </c>
      <c r="I24" s="16">
        <v>1903.184</v>
      </c>
      <c r="J24" s="161">
        <f t="shared" si="0"/>
        <v>6066.2050000000008</v>
      </c>
      <c r="L24" s="58"/>
      <c r="M24" s="37"/>
      <c r="N24" s="37"/>
      <c r="O24" s="58"/>
      <c r="P24" s="58"/>
      <c r="Q24" s="58"/>
      <c r="R24" s="57"/>
    </row>
    <row r="25" spans="1:18">
      <c r="A25" s="174" t="s">
        <v>98</v>
      </c>
      <c r="B25" s="174" t="s">
        <v>23</v>
      </c>
      <c r="C25" s="174" t="s">
        <v>6</v>
      </c>
      <c r="D25" s="175">
        <v>1</v>
      </c>
      <c r="E25" s="174">
        <v>2043</v>
      </c>
      <c r="F25" s="174" t="s">
        <v>7</v>
      </c>
      <c r="G25" s="16">
        <v>3095.12</v>
      </c>
      <c r="H25" s="16">
        <v>1061.011</v>
      </c>
      <c r="I25" s="16">
        <v>1906.819</v>
      </c>
      <c r="J25" s="161">
        <f t="shared" si="0"/>
        <v>6062.9499999999989</v>
      </c>
      <c r="L25" s="58"/>
      <c r="M25" s="37"/>
      <c r="N25" s="37"/>
      <c r="O25" s="58"/>
      <c r="P25" s="58"/>
      <c r="Q25" s="58"/>
      <c r="R25" s="57"/>
    </row>
    <row r="26" spans="1:18">
      <c r="A26" s="174" t="s">
        <v>98</v>
      </c>
      <c r="B26" s="174" t="s">
        <v>23</v>
      </c>
      <c r="C26" s="174" t="s">
        <v>6</v>
      </c>
      <c r="D26" s="175">
        <v>1</v>
      </c>
      <c r="E26" s="174">
        <v>2044</v>
      </c>
      <c r="F26" s="174" t="s">
        <v>7</v>
      </c>
      <c r="G26" s="16">
        <v>3075.37</v>
      </c>
      <c r="H26" s="16">
        <v>1050.643</v>
      </c>
      <c r="I26" s="16">
        <v>1931.4680000000001</v>
      </c>
      <c r="J26" s="161">
        <f t="shared" si="0"/>
        <v>6057.4809999999998</v>
      </c>
      <c r="L26" s="58"/>
      <c r="M26" s="37"/>
      <c r="N26" s="37"/>
      <c r="O26" s="58"/>
      <c r="P26" s="58"/>
      <c r="Q26" s="58"/>
      <c r="R26" s="57"/>
    </row>
    <row r="27" spans="1:18">
      <c r="A27" s="174" t="s">
        <v>98</v>
      </c>
      <c r="B27" s="174" t="s">
        <v>23</v>
      </c>
      <c r="C27" s="174" t="s">
        <v>6</v>
      </c>
      <c r="D27" s="175">
        <v>1</v>
      </c>
      <c r="E27" s="174">
        <v>2045</v>
      </c>
      <c r="F27" s="174" t="s">
        <v>7</v>
      </c>
      <c r="G27" s="16">
        <v>3085.386</v>
      </c>
      <c r="H27" s="16">
        <v>1052.873</v>
      </c>
      <c r="I27" s="16">
        <v>1919.0139999999999</v>
      </c>
      <c r="J27" s="161">
        <f t="shared" si="0"/>
        <v>6057.2730000000001</v>
      </c>
      <c r="L27" s="58"/>
      <c r="M27" s="37"/>
      <c r="N27" s="37"/>
      <c r="O27" s="58"/>
      <c r="P27" s="58"/>
      <c r="Q27" s="58"/>
      <c r="R27" s="57"/>
    </row>
    <row r="28" spans="1:18">
      <c r="A28" s="174" t="s">
        <v>98</v>
      </c>
      <c r="B28" s="174" t="s">
        <v>23</v>
      </c>
      <c r="C28" s="174" t="s">
        <v>6</v>
      </c>
      <c r="D28" s="175">
        <v>1</v>
      </c>
      <c r="E28" s="174">
        <v>2046</v>
      </c>
      <c r="F28" s="174" t="s">
        <v>7</v>
      </c>
      <c r="G28" s="16">
        <v>3094.328</v>
      </c>
      <c r="H28" s="16">
        <v>1051.5429999999999</v>
      </c>
      <c r="I28" s="16">
        <v>1907.0150000000001</v>
      </c>
      <c r="J28" s="161">
        <f t="shared" si="0"/>
        <v>6052.8860000000004</v>
      </c>
      <c r="L28" s="58"/>
      <c r="M28" s="37"/>
      <c r="N28" s="37"/>
      <c r="O28" s="58"/>
      <c r="P28" s="58"/>
      <c r="Q28" s="58"/>
      <c r="R28" s="57"/>
    </row>
    <row r="29" spans="1:18">
      <c r="A29" s="174" t="s">
        <v>98</v>
      </c>
      <c r="B29" s="174" t="s">
        <v>23</v>
      </c>
      <c r="C29" s="174" t="s">
        <v>6</v>
      </c>
      <c r="D29" s="175">
        <v>1</v>
      </c>
      <c r="E29" s="174">
        <v>2047</v>
      </c>
      <c r="F29" s="174" t="s">
        <v>7</v>
      </c>
      <c r="G29" s="16">
        <v>3089.306</v>
      </c>
      <c r="H29" s="16">
        <v>1056.174</v>
      </c>
      <c r="I29" s="16">
        <v>1900.7260000000001</v>
      </c>
      <c r="J29" s="161">
        <f t="shared" si="0"/>
        <v>6046.2060000000001</v>
      </c>
      <c r="L29" s="58"/>
      <c r="M29" s="37"/>
      <c r="N29" s="59"/>
      <c r="O29" s="58"/>
      <c r="P29" s="58"/>
      <c r="Q29" s="58"/>
      <c r="R29" s="57"/>
    </row>
    <row r="30" spans="1:18">
      <c r="A30" s="174" t="s">
        <v>98</v>
      </c>
      <c r="B30" s="174" t="s">
        <v>23</v>
      </c>
      <c r="C30" s="174" t="s">
        <v>6</v>
      </c>
      <c r="D30" s="175">
        <v>1</v>
      </c>
      <c r="E30" s="174">
        <v>2048</v>
      </c>
      <c r="F30" s="174" t="s">
        <v>7</v>
      </c>
      <c r="G30" s="16">
        <v>3091.3589999999999</v>
      </c>
      <c r="H30" s="16">
        <v>1059.03</v>
      </c>
      <c r="I30" s="16">
        <v>1887.8520000000001</v>
      </c>
      <c r="J30" s="161">
        <f t="shared" si="0"/>
        <v>6038.241</v>
      </c>
      <c r="L30" s="58"/>
      <c r="M30" s="37"/>
      <c r="N30" s="59"/>
      <c r="O30" s="58"/>
      <c r="P30" s="58"/>
      <c r="Q30" s="58"/>
      <c r="R30" s="57"/>
    </row>
    <row r="31" spans="1:18">
      <c r="A31" s="174" t="s">
        <v>98</v>
      </c>
      <c r="B31" s="174" t="s">
        <v>23</v>
      </c>
      <c r="C31" s="174" t="s">
        <v>6</v>
      </c>
      <c r="D31" s="175">
        <v>1</v>
      </c>
      <c r="E31" s="174">
        <v>2049</v>
      </c>
      <c r="F31" s="174" t="s">
        <v>7</v>
      </c>
      <c r="G31" s="16">
        <v>3027.0920000000001</v>
      </c>
      <c r="H31" s="16">
        <v>1028.796</v>
      </c>
      <c r="I31" s="16">
        <v>1904.289</v>
      </c>
      <c r="J31" s="161">
        <f t="shared" si="0"/>
        <v>5960.1769999999997</v>
      </c>
      <c r="L31" s="58"/>
      <c r="M31" s="37"/>
      <c r="N31" s="59"/>
      <c r="O31" s="58"/>
      <c r="P31" s="58"/>
      <c r="Q31" s="58"/>
      <c r="R31" s="57"/>
    </row>
    <row r="32" spans="1:18">
      <c r="A32" s="174" t="s">
        <v>98</v>
      </c>
      <c r="B32" s="174" t="s">
        <v>23</v>
      </c>
      <c r="C32" s="174" t="s">
        <v>75</v>
      </c>
      <c r="D32" s="175">
        <v>1</v>
      </c>
      <c r="E32" s="174">
        <v>2020</v>
      </c>
      <c r="F32" s="187" t="s">
        <v>9</v>
      </c>
      <c r="G32" s="16">
        <v>98858.983930873495</v>
      </c>
      <c r="H32" s="16">
        <v>26682.350029504501</v>
      </c>
      <c r="I32" s="16">
        <v>51804.384422720897</v>
      </c>
      <c r="J32" s="161">
        <f t="shared" si="0"/>
        <v>177345.71838309889</v>
      </c>
      <c r="L32" s="58"/>
      <c r="M32" s="37"/>
      <c r="N32" s="59"/>
      <c r="O32" s="58"/>
      <c r="P32" s="58"/>
      <c r="Q32" s="58"/>
      <c r="R32" s="57"/>
    </row>
    <row r="33" spans="1:18">
      <c r="A33" s="174" t="s">
        <v>98</v>
      </c>
      <c r="B33" s="174" t="s">
        <v>23</v>
      </c>
      <c r="C33" s="174" t="s">
        <v>75</v>
      </c>
      <c r="D33" s="175">
        <v>1</v>
      </c>
      <c r="E33" s="174">
        <v>2021</v>
      </c>
      <c r="F33" s="187" t="s">
        <v>9</v>
      </c>
      <c r="G33" s="16">
        <v>98617.195241956404</v>
      </c>
      <c r="H33" s="16">
        <v>26788.809596135499</v>
      </c>
      <c r="I33" s="16">
        <v>52656.811150511297</v>
      </c>
      <c r="J33" s="161">
        <f t="shared" si="0"/>
        <v>178062.81598860319</v>
      </c>
      <c r="L33" s="58"/>
      <c r="M33" s="37"/>
      <c r="N33" s="59"/>
      <c r="O33" s="58"/>
      <c r="P33" s="58"/>
      <c r="Q33" s="58"/>
      <c r="R33" s="57"/>
    </row>
    <row r="34" spans="1:18">
      <c r="A34" s="174" t="s">
        <v>98</v>
      </c>
      <c r="B34" s="174" t="s">
        <v>23</v>
      </c>
      <c r="C34" s="174" t="s">
        <v>75</v>
      </c>
      <c r="D34" s="175">
        <v>1</v>
      </c>
      <c r="E34" s="174">
        <v>2022</v>
      </c>
      <c r="F34" s="187" t="s">
        <v>9</v>
      </c>
      <c r="G34" s="16">
        <v>103809.59140364701</v>
      </c>
      <c r="H34" s="16">
        <v>28408.6973695202</v>
      </c>
      <c r="I34" s="16">
        <v>56053.5209263168</v>
      </c>
      <c r="J34" s="161">
        <f t="shared" ref="J34:J61" si="1">SUM(G34:I34)</f>
        <v>188271.809699484</v>
      </c>
      <c r="L34" s="58"/>
      <c r="M34" s="37"/>
      <c r="N34" s="59"/>
      <c r="O34" s="58"/>
      <c r="P34" s="58"/>
      <c r="Q34" s="58"/>
      <c r="R34" s="57"/>
    </row>
    <row r="35" spans="1:18">
      <c r="A35" s="174" t="s">
        <v>98</v>
      </c>
      <c r="B35" s="174" t="s">
        <v>23</v>
      </c>
      <c r="C35" s="174" t="s">
        <v>75</v>
      </c>
      <c r="D35" s="175">
        <v>1</v>
      </c>
      <c r="E35" s="174">
        <v>2023</v>
      </c>
      <c r="F35" s="187" t="s">
        <v>9</v>
      </c>
      <c r="G35" s="16">
        <v>108881.81756718</v>
      </c>
      <c r="H35" s="16">
        <v>29870.729976841401</v>
      </c>
      <c r="I35" s="16">
        <v>58651.5593498487</v>
      </c>
      <c r="J35" s="161">
        <f t="shared" si="1"/>
        <v>197404.10689387011</v>
      </c>
      <c r="L35" s="58"/>
      <c r="M35" s="37"/>
      <c r="N35" s="59"/>
      <c r="O35" s="58"/>
      <c r="P35" s="58"/>
      <c r="Q35" s="58"/>
      <c r="R35" s="57"/>
    </row>
    <row r="36" spans="1:18">
      <c r="A36" s="174" t="s">
        <v>98</v>
      </c>
      <c r="B36" s="174" t="s">
        <v>23</v>
      </c>
      <c r="C36" s="174" t="s">
        <v>75</v>
      </c>
      <c r="D36" s="175">
        <v>1</v>
      </c>
      <c r="E36" s="174">
        <v>2024</v>
      </c>
      <c r="F36" s="187" t="s">
        <v>9</v>
      </c>
      <c r="G36" s="16">
        <v>113642.327002405</v>
      </c>
      <c r="H36" s="16">
        <v>31138.371372751899</v>
      </c>
      <c r="I36" s="16">
        <v>60746.8300324624</v>
      </c>
      <c r="J36" s="161">
        <f t="shared" si="1"/>
        <v>205527.52840761931</v>
      </c>
      <c r="L36" s="58"/>
      <c r="M36" s="37"/>
      <c r="N36" s="59"/>
      <c r="O36" s="58"/>
      <c r="P36" s="58"/>
      <c r="Q36" s="58"/>
      <c r="R36" s="57"/>
    </row>
    <row r="37" spans="1:18">
      <c r="A37" s="174" t="s">
        <v>98</v>
      </c>
      <c r="B37" s="174" t="s">
        <v>23</v>
      </c>
      <c r="C37" s="174" t="s">
        <v>75</v>
      </c>
      <c r="D37" s="175">
        <v>1</v>
      </c>
      <c r="E37" s="174">
        <v>2025</v>
      </c>
      <c r="F37" s="187" t="s">
        <v>9</v>
      </c>
      <c r="G37" s="16">
        <v>116955.927537849</v>
      </c>
      <c r="H37" s="16">
        <v>32147.8018631661</v>
      </c>
      <c r="I37" s="16">
        <v>62385.686520241703</v>
      </c>
      <c r="J37" s="161">
        <f t="shared" si="1"/>
        <v>211489.41592125679</v>
      </c>
      <c r="L37" s="58"/>
      <c r="M37" s="37"/>
      <c r="N37" s="59"/>
      <c r="O37" s="58"/>
      <c r="P37" s="58"/>
      <c r="Q37" s="58"/>
      <c r="R37" s="57"/>
    </row>
    <row r="38" spans="1:18">
      <c r="A38" s="174" t="s">
        <v>98</v>
      </c>
      <c r="B38" s="174" t="s">
        <v>23</v>
      </c>
      <c r="C38" s="174" t="s">
        <v>75</v>
      </c>
      <c r="D38" s="175">
        <v>1</v>
      </c>
      <c r="E38" s="174">
        <v>2026</v>
      </c>
      <c r="F38" s="187" t="s">
        <v>9</v>
      </c>
      <c r="G38" s="16">
        <v>120076.18223083</v>
      </c>
      <c r="H38" s="16">
        <v>32999.146611265904</v>
      </c>
      <c r="I38" s="16">
        <v>64194.1081885147</v>
      </c>
      <c r="J38" s="161">
        <f t="shared" si="1"/>
        <v>217269.43703061063</v>
      </c>
      <c r="L38" s="58"/>
      <c r="M38" s="37"/>
      <c r="N38" s="59"/>
      <c r="O38" s="58"/>
      <c r="P38" s="58"/>
      <c r="Q38" s="58"/>
      <c r="R38" s="57"/>
    </row>
    <row r="39" spans="1:18">
      <c r="A39" s="174" t="s">
        <v>98</v>
      </c>
      <c r="B39" s="174" t="s">
        <v>23</v>
      </c>
      <c r="C39" s="174" t="s">
        <v>75</v>
      </c>
      <c r="D39" s="175">
        <v>1</v>
      </c>
      <c r="E39" s="174">
        <v>2027</v>
      </c>
      <c r="F39" s="187" t="s">
        <v>9</v>
      </c>
      <c r="G39" s="16">
        <v>124223.39833348599</v>
      </c>
      <c r="H39" s="16">
        <v>34235.395228073801</v>
      </c>
      <c r="I39" s="16">
        <v>66766.612930072501</v>
      </c>
      <c r="J39" s="161">
        <f t="shared" si="1"/>
        <v>225225.40649163231</v>
      </c>
      <c r="L39" s="58"/>
      <c r="M39" s="37"/>
      <c r="N39" s="59"/>
      <c r="O39" s="58"/>
      <c r="P39" s="58"/>
      <c r="Q39" s="58"/>
      <c r="R39" s="57"/>
    </row>
    <row r="40" spans="1:18">
      <c r="A40" s="174" t="s">
        <v>98</v>
      </c>
      <c r="B40" s="174" t="s">
        <v>23</v>
      </c>
      <c r="C40" s="174" t="s">
        <v>75</v>
      </c>
      <c r="D40" s="175">
        <v>1</v>
      </c>
      <c r="E40" s="174">
        <v>2028</v>
      </c>
      <c r="F40" s="187" t="s">
        <v>9</v>
      </c>
      <c r="G40" s="16">
        <v>150794.99567839701</v>
      </c>
      <c r="H40" s="16">
        <v>43357.527146838402</v>
      </c>
      <c r="I40" s="16">
        <v>85681.847388241207</v>
      </c>
      <c r="J40" s="161">
        <f t="shared" si="1"/>
        <v>279834.37021347659</v>
      </c>
      <c r="L40" s="58"/>
      <c r="M40" s="37"/>
      <c r="N40" s="59"/>
      <c r="O40" s="58"/>
      <c r="P40" s="58"/>
      <c r="Q40" s="58"/>
      <c r="R40" s="57"/>
    </row>
    <row r="41" spans="1:18">
      <c r="A41" s="174" t="s">
        <v>98</v>
      </c>
      <c r="B41" s="174" t="s">
        <v>23</v>
      </c>
      <c r="C41" s="174" t="s">
        <v>75</v>
      </c>
      <c r="D41" s="175">
        <v>1</v>
      </c>
      <c r="E41" s="174">
        <v>2029</v>
      </c>
      <c r="F41" s="187" t="s">
        <v>9</v>
      </c>
      <c r="G41" s="16">
        <v>153385.74319665399</v>
      </c>
      <c r="H41" s="16">
        <v>43541.120943520102</v>
      </c>
      <c r="I41" s="16">
        <v>83945.963370392405</v>
      </c>
      <c r="J41" s="161">
        <f t="shared" si="1"/>
        <v>280872.82751056651</v>
      </c>
      <c r="L41" s="58"/>
      <c r="M41" s="37"/>
      <c r="N41" s="59"/>
      <c r="O41" s="58"/>
      <c r="P41" s="58"/>
      <c r="Q41" s="58"/>
      <c r="R41" s="57"/>
    </row>
    <row r="42" spans="1:18">
      <c r="A42" s="174" t="s">
        <v>98</v>
      </c>
      <c r="B42" s="174" t="s">
        <v>23</v>
      </c>
      <c r="C42" s="174" t="s">
        <v>75</v>
      </c>
      <c r="D42" s="175">
        <v>1</v>
      </c>
      <c r="E42" s="174">
        <v>2030</v>
      </c>
      <c r="F42" s="187" t="s">
        <v>9</v>
      </c>
      <c r="G42" s="16">
        <v>156369.22691751199</v>
      </c>
      <c r="H42" s="16">
        <v>44569.190193522802</v>
      </c>
      <c r="I42" s="16">
        <v>85167.608665150197</v>
      </c>
      <c r="J42" s="161">
        <f t="shared" si="1"/>
        <v>286106.02577618498</v>
      </c>
    </row>
    <row r="43" spans="1:18">
      <c r="A43" s="174" t="s">
        <v>98</v>
      </c>
      <c r="B43" s="174" t="s">
        <v>23</v>
      </c>
      <c r="C43" s="174" t="s">
        <v>75</v>
      </c>
      <c r="D43" s="175">
        <v>1</v>
      </c>
      <c r="E43" s="174">
        <v>2031</v>
      </c>
      <c r="F43" s="187" t="s">
        <v>9</v>
      </c>
      <c r="G43" s="16">
        <v>159058.682845053</v>
      </c>
      <c r="H43" s="16">
        <v>44855.911102294798</v>
      </c>
      <c r="I43" s="16">
        <v>86021.597105701105</v>
      </c>
      <c r="J43" s="161">
        <f t="shared" si="1"/>
        <v>289936.19105304894</v>
      </c>
    </row>
    <row r="44" spans="1:18">
      <c r="A44" s="174" t="s">
        <v>98</v>
      </c>
      <c r="B44" s="174" t="s">
        <v>23</v>
      </c>
      <c r="C44" s="174" t="s">
        <v>75</v>
      </c>
      <c r="D44" s="175">
        <v>1</v>
      </c>
      <c r="E44" s="174">
        <v>2032</v>
      </c>
      <c r="F44" s="187" t="s">
        <v>9</v>
      </c>
      <c r="G44" s="16">
        <v>163990.92761629599</v>
      </c>
      <c r="H44" s="16">
        <v>45693.180987933498</v>
      </c>
      <c r="I44" s="16">
        <v>87479.561910885299</v>
      </c>
      <c r="J44" s="161">
        <f t="shared" si="1"/>
        <v>297163.67051511479</v>
      </c>
    </row>
    <row r="45" spans="1:18">
      <c r="A45" s="174" t="s">
        <v>98</v>
      </c>
      <c r="B45" s="174" t="s">
        <v>23</v>
      </c>
      <c r="C45" s="174" t="s">
        <v>75</v>
      </c>
      <c r="D45" s="175">
        <v>1</v>
      </c>
      <c r="E45" s="174">
        <v>2033</v>
      </c>
      <c r="F45" s="187" t="s">
        <v>9</v>
      </c>
      <c r="G45" s="16">
        <v>166576.545113309</v>
      </c>
      <c r="H45" s="16">
        <v>45998.243690855197</v>
      </c>
      <c r="I45" s="16">
        <v>89858.253473083998</v>
      </c>
      <c r="J45" s="161">
        <f t="shared" si="1"/>
        <v>302433.04227724817</v>
      </c>
    </row>
    <row r="46" spans="1:18">
      <c r="A46" s="174" t="s">
        <v>98</v>
      </c>
      <c r="B46" s="174" t="s">
        <v>23</v>
      </c>
      <c r="C46" s="174" t="s">
        <v>75</v>
      </c>
      <c r="D46" s="175">
        <v>1</v>
      </c>
      <c r="E46" s="174">
        <v>2034</v>
      </c>
      <c r="F46" s="187" t="s">
        <v>9</v>
      </c>
      <c r="G46" s="16">
        <v>170542.689131791</v>
      </c>
      <c r="H46" s="16">
        <v>47513.648812503699</v>
      </c>
      <c r="I46" s="16">
        <v>91966.461023495503</v>
      </c>
      <c r="J46" s="161">
        <f t="shared" si="1"/>
        <v>310022.79896779021</v>
      </c>
    </row>
    <row r="47" spans="1:18">
      <c r="A47" s="174" t="s">
        <v>98</v>
      </c>
      <c r="B47" s="174" t="s">
        <v>23</v>
      </c>
      <c r="C47" s="174" t="s">
        <v>75</v>
      </c>
      <c r="D47" s="175">
        <v>1</v>
      </c>
      <c r="E47" s="174">
        <v>2035</v>
      </c>
      <c r="F47" s="187" t="s">
        <v>9</v>
      </c>
      <c r="G47" s="16">
        <v>177586.28156886401</v>
      </c>
      <c r="H47" s="16">
        <v>48601.475026024003</v>
      </c>
      <c r="I47" s="16">
        <v>94686.885305774194</v>
      </c>
      <c r="J47" s="161">
        <f t="shared" si="1"/>
        <v>320874.64190066222</v>
      </c>
    </row>
    <row r="48" spans="1:18">
      <c r="A48" s="174" t="s">
        <v>98</v>
      </c>
      <c r="B48" s="174" t="s">
        <v>23</v>
      </c>
      <c r="C48" s="174" t="s">
        <v>75</v>
      </c>
      <c r="D48" s="175">
        <v>1</v>
      </c>
      <c r="E48" s="174">
        <v>2036</v>
      </c>
      <c r="F48" s="187" t="s">
        <v>9</v>
      </c>
      <c r="G48" s="16">
        <v>178413.35721685001</v>
      </c>
      <c r="H48" s="16">
        <v>49829.577348457497</v>
      </c>
      <c r="I48" s="16">
        <v>94198.891303875702</v>
      </c>
      <c r="J48" s="161">
        <f t="shared" si="1"/>
        <v>322441.82586918323</v>
      </c>
    </row>
    <row r="49" spans="1:10">
      <c r="A49" s="174" t="s">
        <v>98</v>
      </c>
      <c r="B49" s="174" t="s">
        <v>23</v>
      </c>
      <c r="C49" s="174" t="s">
        <v>75</v>
      </c>
      <c r="D49" s="175">
        <v>1</v>
      </c>
      <c r="E49" s="174">
        <v>2037</v>
      </c>
      <c r="F49" s="187" t="s">
        <v>9</v>
      </c>
      <c r="G49" s="16">
        <v>182870.68781960101</v>
      </c>
      <c r="H49" s="16">
        <v>51077.0678762108</v>
      </c>
      <c r="I49" s="16">
        <v>97457.988634683206</v>
      </c>
      <c r="J49" s="161">
        <f t="shared" si="1"/>
        <v>331405.74433049501</v>
      </c>
    </row>
    <row r="50" spans="1:10">
      <c r="A50" s="174" t="s">
        <v>98</v>
      </c>
      <c r="B50" s="174" t="s">
        <v>23</v>
      </c>
      <c r="C50" s="174" t="s">
        <v>75</v>
      </c>
      <c r="D50" s="175">
        <v>1</v>
      </c>
      <c r="E50" s="174">
        <v>2038</v>
      </c>
      <c r="F50" s="187" t="s">
        <v>9</v>
      </c>
      <c r="G50" s="16">
        <v>188949.16843239201</v>
      </c>
      <c r="H50" s="16">
        <v>52459.416080897099</v>
      </c>
      <c r="I50" s="16">
        <v>101011.639377036</v>
      </c>
      <c r="J50" s="161">
        <f t="shared" si="1"/>
        <v>342420.22389032511</v>
      </c>
    </row>
    <row r="51" spans="1:10">
      <c r="A51" s="174" t="s">
        <v>98</v>
      </c>
      <c r="B51" s="174" t="s">
        <v>23</v>
      </c>
      <c r="C51" s="174" t="s">
        <v>75</v>
      </c>
      <c r="D51" s="175">
        <v>1</v>
      </c>
      <c r="E51" s="174">
        <v>2039</v>
      </c>
      <c r="F51" s="187" t="s">
        <v>9</v>
      </c>
      <c r="G51" s="16">
        <v>193420.31460790199</v>
      </c>
      <c r="H51" s="16">
        <v>53307.4246123923</v>
      </c>
      <c r="I51" s="16">
        <v>103737.13642418</v>
      </c>
      <c r="J51" s="161">
        <f t="shared" si="1"/>
        <v>350464.87564447429</v>
      </c>
    </row>
    <row r="52" spans="1:10">
      <c r="A52" s="174" t="s">
        <v>98</v>
      </c>
      <c r="B52" s="174" t="s">
        <v>23</v>
      </c>
      <c r="C52" s="174" t="s">
        <v>75</v>
      </c>
      <c r="D52" s="175">
        <v>1</v>
      </c>
      <c r="E52" s="174">
        <v>2040</v>
      </c>
      <c r="F52" s="187" t="s">
        <v>9</v>
      </c>
      <c r="G52" s="16">
        <v>196659.57928529699</v>
      </c>
      <c r="H52" s="16">
        <v>54225.653181863599</v>
      </c>
      <c r="I52" s="16">
        <v>105568.65771635099</v>
      </c>
      <c r="J52" s="161">
        <f t="shared" si="1"/>
        <v>356453.8901835116</v>
      </c>
    </row>
    <row r="53" spans="1:10">
      <c r="A53" s="174" t="s">
        <v>98</v>
      </c>
      <c r="B53" s="174" t="s">
        <v>23</v>
      </c>
      <c r="C53" s="174" t="s">
        <v>75</v>
      </c>
      <c r="D53" s="175">
        <v>1</v>
      </c>
      <c r="E53" s="174">
        <v>2041</v>
      </c>
      <c r="F53" s="187" t="s">
        <v>9</v>
      </c>
      <c r="G53" s="16">
        <v>198505.37389062799</v>
      </c>
      <c r="H53" s="16">
        <v>56337.830365914699</v>
      </c>
      <c r="I53" s="16">
        <v>106286.33922907901</v>
      </c>
      <c r="J53" s="161">
        <f t="shared" si="1"/>
        <v>361129.54348562169</v>
      </c>
    </row>
    <row r="54" spans="1:10">
      <c r="A54" s="174" t="s">
        <v>98</v>
      </c>
      <c r="B54" s="174" t="s">
        <v>23</v>
      </c>
      <c r="C54" s="174" t="s">
        <v>75</v>
      </c>
      <c r="D54" s="175">
        <v>1</v>
      </c>
      <c r="E54" s="174">
        <v>2042</v>
      </c>
      <c r="F54" s="187" t="s">
        <v>9</v>
      </c>
      <c r="G54" s="16">
        <v>203080.92272323501</v>
      </c>
      <c r="H54" s="16">
        <v>58066.708183479197</v>
      </c>
      <c r="I54" s="16">
        <v>109064.533462559</v>
      </c>
      <c r="J54" s="161">
        <f t="shared" si="1"/>
        <v>370212.16436927323</v>
      </c>
    </row>
    <row r="55" spans="1:10">
      <c r="A55" s="174" t="s">
        <v>98</v>
      </c>
      <c r="B55" s="174" t="s">
        <v>23</v>
      </c>
      <c r="C55" s="174" t="s">
        <v>75</v>
      </c>
      <c r="D55" s="175">
        <v>1</v>
      </c>
      <c r="E55" s="174">
        <v>2043</v>
      </c>
      <c r="F55" s="187" t="s">
        <v>9</v>
      </c>
      <c r="G55" s="16">
        <v>204633.55944434201</v>
      </c>
      <c r="H55" s="16">
        <v>59532.633948421797</v>
      </c>
      <c r="I55" s="16">
        <v>111317.200468974</v>
      </c>
      <c r="J55" s="161">
        <f t="shared" si="1"/>
        <v>375483.3938617378</v>
      </c>
    </row>
    <row r="56" spans="1:10">
      <c r="A56" s="174" t="s">
        <v>98</v>
      </c>
      <c r="B56" s="174" t="s">
        <v>23</v>
      </c>
      <c r="C56" s="174" t="s">
        <v>75</v>
      </c>
      <c r="D56" s="175">
        <v>1</v>
      </c>
      <c r="E56" s="174">
        <v>2044</v>
      </c>
      <c r="F56" s="187" t="s">
        <v>9</v>
      </c>
      <c r="G56" s="16">
        <v>210669.74637147601</v>
      </c>
      <c r="H56" s="16">
        <v>61689.214501056798</v>
      </c>
      <c r="I56" s="16">
        <v>116618.271862611</v>
      </c>
      <c r="J56" s="161">
        <f t="shared" si="1"/>
        <v>388977.2327351438</v>
      </c>
    </row>
    <row r="57" spans="1:10">
      <c r="A57" s="174" t="s">
        <v>98</v>
      </c>
      <c r="B57" s="174" t="s">
        <v>23</v>
      </c>
      <c r="C57" s="174" t="s">
        <v>75</v>
      </c>
      <c r="D57" s="175">
        <v>1</v>
      </c>
      <c r="E57" s="174">
        <v>2045</v>
      </c>
      <c r="F57" s="187" t="s">
        <v>9</v>
      </c>
      <c r="G57" s="16">
        <v>213310.61706124601</v>
      </c>
      <c r="H57" s="16">
        <v>63826.6459286686</v>
      </c>
      <c r="I57" s="16">
        <v>118620.25081052601</v>
      </c>
      <c r="J57" s="161">
        <f t="shared" si="1"/>
        <v>395757.51380044065</v>
      </c>
    </row>
    <row r="58" spans="1:10">
      <c r="A58" s="174" t="s">
        <v>98</v>
      </c>
      <c r="B58" s="174" t="s">
        <v>23</v>
      </c>
      <c r="C58" s="174" t="s">
        <v>75</v>
      </c>
      <c r="D58" s="175">
        <v>1</v>
      </c>
      <c r="E58" s="174">
        <v>2046</v>
      </c>
      <c r="F58" s="187" t="s">
        <v>9</v>
      </c>
      <c r="G58" s="16">
        <v>219001.478883512</v>
      </c>
      <c r="H58" s="16">
        <v>65705.0165539148</v>
      </c>
      <c r="I58" s="16">
        <v>121813.111294225</v>
      </c>
      <c r="J58" s="161">
        <f t="shared" si="1"/>
        <v>406519.60673165182</v>
      </c>
    </row>
    <row r="59" spans="1:10">
      <c r="A59" s="174" t="s">
        <v>98</v>
      </c>
      <c r="B59" s="174" t="s">
        <v>23</v>
      </c>
      <c r="C59" s="174" t="s">
        <v>75</v>
      </c>
      <c r="D59" s="175">
        <v>1</v>
      </c>
      <c r="E59" s="174">
        <v>2047</v>
      </c>
      <c r="F59" s="187" t="s">
        <v>9</v>
      </c>
      <c r="G59" s="16">
        <v>223911.09652115099</v>
      </c>
      <c r="H59" s="16">
        <v>67934.552779118094</v>
      </c>
      <c r="I59" s="16">
        <v>124507.96032840099</v>
      </c>
      <c r="J59" s="161">
        <f t="shared" si="1"/>
        <v>416353.60962867009</v>
      </c>
    </row>
    <row r="60" spans="1:10">
      <c r="A60" s="174" t="s">
        <v>98</v>
      </c>
      <c r="B60" s="174" t="s">
        <v>23</v>
      </c>
      <c r="C60" s="174" t="s">
        <v>75</v>
      </c>
      <c r="D60" s="175">
        <v>1</v>
      </c>
      <c r="E60" s="174">
        <v>2048</v>
      </c>
      <c r="F60" s="187" t="s">
        <v>9</v>
      </c>
      <c r="G60" s="16">
        <v>229009.57932485401</v>
      </c>
      <c r="H60" s="16">
        <v>69925.275807079699</v>
      </c>
      <c r="I60" s="16">
        <v>126603.613051205</v>
      </c>
      <c r="J60" s="161">
        <f t="shared" si="1"/>
        <v>425538.4681831387</v>
      </c>
    </row>
    <row r="61" spans="1:10">
      <c r="A61" s="174" t="s">
        <v>98</v>
      </c>
      <c r="B61" s="174" t="s">
        <v>23</v>
      </c>
      <c r="C61" s="174" t="s">
        <v>75</v>
      </c>
      <c r="D61" s="175">
        <v>1</v>
      </c>
      <c r="E61" s="174">
        <v>2049</v>
      </c>
      <c r="F61" s="187" t="s">
        <v>9</v>
      </c>
      <c r="G61" s="16">
        <v>224829.26979161601</v>
      </c>
      <c r="H61" s="16">
        <v>69317.796019794405</v>
      </c>
      <c r="I61" s="16">
        <v>129324.42027186</v>
      </c>
      <c r="J61" s="161">
        <f t="shared" si="1"/>
        <v>423471.4860832704</v>
      </c>
    </row>
    <row r="62" spans="1:10">
      <c r="A62" s="37"/>
      <c r="B62" s="37"/>
      <c r="C62" s="37"/>
      <c r="D62" s="37"/>
      <c r="E62" s="174"/>
      <c r="F62" s="58"/>
      <c r="G62" s="173"/>
      <c r="H62" s="173"/>
      <c r="I62" s="173"/>
      <c r="J62" s="57"/>
    </row>
    <row r="63" spans="1:10">
      <c r="A63" s="37"/>
      <c r="B63" s="37"/>
      <c r="C63" s="37"/>
      <c r="D63" s="37"/>
      <c r="E63" s="37"/>
      <c r="F63" s="58"/>
      <c r="G63" s="162"/>
      <c r="H63" s="162"/>
      <c r="I63" s="163"/>
    </row>
    <row r="64" spans="1:10">
      <c r="A64" s="37"/>
      <c r="B64" s="37"/>
      <c r="C64" s="37"/>
      <c r="D64" s="37"/>
      <c r="E64" s="37"/>
      <c r="F64" s="58"/>
      <c r="G64" s="162"/>
      <c r="H64" s="162"/>
      <c r="I64" s="163"/>
    </row>
    <row r="65" spans="1:9">
      <c r="A65" s="37"/>
      <c r="B65" s="37"/>
      <c r="C65" s="37"/>
      <c r="D65" s="37"/>
      <c r="E65" s="37"/>
      <c r="F65" s="58"/>
      <c r="G65" s="162"/>
      <c r="H65" s="162"/>
      <c r="I65" s="163"/>
    </row>
    <row r="66" spans="1:9">
      <c r="A66" s="37"/>
      <c r="B66" s="37"/>
      <c r="C66" s="37"/>
      <c r="D66" s="37"/>
      <c r="E66" s="37"/>
      <c r="F66" s="58"/>
      <c r="G66" s="162"/>
      <c r="H66" s="162"/>
      <c r="I66" s="163"/>
    </row>
    <row r="67" spans="1:9">
      <c r="A67" s="37"/>
      <c r="B67" s="37"/>
      <c r="C67" s="37"/>
      <c r="D67" s="37"/>
      <c r="E67" s="37"/>
      <c r="F67" s="58"/>
      <c r="G67" s="162"/>
      <c r="H67" s="162"/>
      <c r="I67" s="163"/>
    </row>
    <row r="68" spans="1:9">
      <c r="A68" s="37"/>
      <c r="B68" s="37"/>
      <c r="C68" s="37"/>
      <c r="D68" s="37"/>
      <c r="E68" s="37"/>
      <c r="F68" s="58"/>
      <c r="G68" s="162"/>
      <c r="H68" s="162"/>
      <c r="I68" s="163"/>
    </row>
    <row r="69" spans="1:9">
      <c r="A69" s="37"/>
      <c r="B69" s="37"/>
      <c r="C69" s="37"/>
      <c r="D69" s="37"/>
      <c r="E69" s="37"/>
      <c r="F69" s="58"/>
      <c r="G69" s="162"/>
      <c r="H69" s="162"/>
      <c r="I69" s="163"/>
    </row>
    <row r="70" spans="1:9">
      <c r="A70" s="37"/>
      <c r="B70" s="37"/>
      <c r="C70" s="37"/>
      <c r="D70" s="37"/>
      <c r="E70" s="37"/>
      <c r="F70" s="58"/>
      <c r="G70" s="162"/>
      <c r="H70" s="162"/>
      <c r="I70" s="163"/>
    </row>
    <row r="71" spans="1:9">
      <c r="A71" s="37"/>
      <c r="B71" s="37"/>
      <c r="C71" s="37"/>
      <c r="D71" s="37"/>
      <c r="E71" s="37"/>
      <c r="F71" s="58"/>
      <c r="G71" s="162"/>
      <c r="H71" s="162"/>
      <c r="I71" s="163"/>
    </row>
    <row r="72" spans="1:9">
      <c r="A72" s="37"/>
      <c r="B72" s="37"/>
      <c r="C72" s="37"/>
      <c r="D72" s="37"/>
      <c r="E72" s="37"/>
      <c r="F72" s="58"/>
      <c r="G72" s="162"/>
      <c r="H72" s="162"/>
      <c r="I72" s="163"/>
    </row>
    <row r="73" spans="1:9">
      <c r="A73" s="37"/>
      <c r="B73" s="37"/>
      <c r="C73" s="37"/>
      <c r="D73" s="37"/>
      <c r="E73" s="37"/>
      <c r="F73" s="58"/>
      <c r="G73" s="162"/>
      <c r="H73" s="162"/>
      <c r="I73" s="163"/>
    </row>
    <row r="74" spans="1:9">
      <c r="A74" s="37"/>
      <c r="B74" s="37"/>
      <c r="C74" s="37"/>
      <c r="D74" s="37"/>
      <c r="E74" s="37"/>
      <c r="F74" s="58"/>
      <c r="G74" s="162"/>
      <c r="H74" s="162"/>
      <c r="I74" s="163"/>
    </row>
    <row r="75" spans="1:9">
      <c r="A75" s="37"/>
      <c r="B75" s="37"/>
      <c r="C75" s="37"/>
      <c r="D75" s="37"/>
      <c r="E75" s="37"/>
      <c r="F75" s="58"/>
      <c r="G75" s="162"/>
      <c r="H75" s="162"/>
      <c r="I75" s="163"/>
    </row>
    <row r="76" spans="1:9">
      <c r="A76" s="37"/>
      <c r="B76" s="37"/>
      <c r="C76" s="37"/>
      <c r="D76" s="37"/>
      <c r="E76" s="37"/>
      <c r="F76" s="58"/>
      <c r="G76" s="162"/>
      <c r="H76" s="162"/>
      <c r="I76" s="163"/>
    </row>
    <row r="77" spans="1:9">
      <c r="A77" s="37"/>
      <c r="B77" s="37"/>
      <c r="C77" s="37"/>
      <c r="D77" s="37"/>
      <c r="E77" s="37"/>
      <c r="F77" s="58"/>
      <c r="G77" s="162"/>
      <c r="H77" s="162"/>
      <c r="I77" s="163"/>
    </row>
    <row r="78" spans="1:9">
      <c r="A78" s="37"/>
      <c r="B78" s="37"/>
      <c r="C78" s="37"/>
      <c r="D78" s="37"/>
      <c r="E78" s="37"/>
      <c r="F78" s="58"/>
      <c r="G78" s="162"/>
      <c r="H78" s="162"/>
      <c r="I78" s="163"/>
    </row>
    <row r="79" spans="1:9">
      <c r="A79" s="37"/>
      <c r="B79" s="37"/>
      <c r="C79" s="37"/>
      <c r="D79" s="37"/>
      <c r="E79" s="37"/>
      <c r="F79" s="58"/>
      <c r="G79" s="162"/>
      <c r="H79" s="162"/>
      <c r="I79" s="163"/>
    </row>
    <row r="80" spans="1:9">
      <c r="A80" s="37"/>
      <c r="B80" s="37"/>
      <c r="C80" s="37"/>
      <c r="D80" s="37"/>
      <c r="E80" s="37"/>
      <c r="F80" s="58"/>
      <c r="G80" s="162"/>
      <c r="H80" s="162"/>
      <c r="I80" s="163"/>
    </row>
    <row r="81" spans="1:9">
      <c r="A81" s="37"/>
      <c r="B81" s="37"/>
      <c r="C81" s="37"/>
      <c r="D81" s="37"/>
      <c r="E81" s="37"/>
      <c r="F81" s="58"/>
      <c r="G81" s="162"/>
      <c r="H81" s="162"/>
      <c r="I81" s="163"/>
    </row>
    <row r="82" spans="1:9">
      <c r="A82" s="37"/>
      <c r="B82" s="37"/>
      <c r="C82" s="37"/>
      <c r="D82" s="37"/>
      <c r="E82" s="37"/>
      <c r="F82" s="58"/>
      <c r="G82" s="162"/>
      <c r="H82" s="162"/>
      <c r="I82" s="163"/>
    </row>
    <row r="83" spans="1:9">
      <c r="A83" s="37"/>
      <c r="B83" s="37"/>
      <c r="C83" s="37"/>
      <c r="D83" s="37"/>
      <c r="E83" s="37"/>
      <c r="F83" s="58"/>
      <c r="G83" s="162"/>
      <c r="H83" s="162"/>
      <c r="I83" s="163"/>
    </row>
    <row r="84" spans="1:9">
      <c r="A84" s="37"/>
      <c r="B84" s="37"/>
      <c r="C84" s="37"/>
      <c r="D84" s="37"/>
      <c r="E84" s="37"/>
      <c r="F84" s="58"/>
      <c r="G84" s="162"/>
      <c r="H84" s="162"/>
      <c r="I84" s="163"/>
    </row>
    <row r="85" spans="1:9">
      <c r="A85" s="37"/>
      <c r="B85" s="37"/>
      <c r="C85" s="37"/>
      <c r="D85" s="37"/>
      <c r="E85" s="37"/>
      <c r="F85" s="58"/>
      <c r="G85" s="162"/>
      <c r="H85" s="162"/>
      <c r="I85" s="163"/>
    </row>
    <row r="86" spans="1:9">
      <c r="A86" s="37"/>
      <c r="B86" s="37"/>
      <c r="C86" s="37"/>
      <c r="D86" s="37"/>
      <c r="E86" s="37"/>
      <c r="F86" s="58"/>
      <c r="G86" s="162"/>
      <c r="H86" s="162"/>
      <c r="I86" s="163"/>
    </row>
    <row r="87" spans="1:9">
      <c r="A87" s="37"/>
      <c r="B87" s="37"/>
      <c r="C87" s="37"/>
      <c r="D87" s="37"/>
      <c r="E87" s="37"/>
      <c r="F87" s="58"/>
      <c r="G87" s="162"/>
      <c r="H87" s="162"/>
      <c r="I87" s="163"/>
    </row>
    <row r="88" spans="1:9">
      <c r="A88" s="37"/>
      <c r="B88" s="37"/>
      <c r="C88" s="37"/>
      <c r="D88" s="37"/>
      <c r="E88" s="37"/>
      <c r="F88" s="58"/>
      <c r="G88" s="162"/>
      <c r="H88" s="162"/>
      <c r="I88" s="163"/>
    </row>
    <row r="89" spans="1:9">
      <c r="A89" s="37"/>
      <c r="B89" s="37"/>
      <c r="C89" s="37"/>
      <c r="D89" s="37"/>
      <c r="E89" s="37"/>
      <c r="F89" s="58"/>
      <c r="G89" s="162"/>
      <c r="H89" s="162"/>
      <c r="I89" s="163"/>
    </row>
    <row r="90" spans="1:9">
      <c r="A90" s="37"/>
      <c r="B90" s="37"/>
      <c r="C90" s="37"/>
      <c r="D90" s="37"/>
      <c r="E90" s="37"/>
      <c r="F90" s="58"/>
      <c r="G90" s="162"/>
      <c r="H90" s="162"/>
      <c r="I90" s="162"/>
    </row>
    <row r="91" spans="1:9">
      <c r="A91" s="37"/>
      <c r="B91" s="37"/>
      <c r="C91" s="37"/>
      <c r="D91" s="37"/>
      <c r="E91" s="37"/>
      <c r="F91" s="58"/>
      <c r="G91" s="162"/>
      <c r="H91" s="162"/>
      <c r="I91" s="162"/>
    </row>
    <row r="92" spans="1:9">
      <c r="A92" s="37"/>
      <c r="B92" s="37"/>
      <c r="C92" s="37"/>
      <c r="D92" s="37"/>
      <c r="E92" s="37"/>
      <c r="F92" s="58"/>
      <c r="G92" s="162"/>
      <c r="H92" s="162"/>
      <c r="I92" s="162"/>
    </row>
    <row r="93" spans="1:9">
      <c r="A93" s="37"/>
      <c r="B93" s="37"/>
      <c r="C93" s="37"/>
      <c r="D93" s="37"/>
      <c r="E93" s="37"/>
      <c r="F93" s="58"/>
      <c r="G93" s="162"/>
      <c r="H93" s="162"/>
      <c r="I93" s="162"/>
    </row>
    <row r="94" spans="1:9">
      <c r="A94" s="37"/>
      <c r="B94" s="37"/>
      <c r="C94" s="37"/>
      <c r="D94" s="37"/>
      <c r="E94" s="37"/>
      <c r="F94" s="58"/>
      <c r="G94" s="162"/>
      <c r="H94" s="162"/>
      <c r="I94" s="162"/>
    </row>
    <row r="95" spans="1:9">
      <c r="A95" s="37"/>
      <c r="B95" s="37"/>
      <c r="C95" s="37"/>
      <c r="D95" s="37"/>
      <c r="E95" s="37"/>
      <c r="F95" s="58"/>
      <c r="G95" s="162"/>
      <c r="H95" s="162"/>
      <c r="I95" s="162"/>
    </row>
    <row r="96" spans="1:9">
      <c r="A96" s="37"/>
      <c r="B96" s="37"/>
      <c r="C96" s="37"/>
      <c r="D96" s="37"/>
      <c r="E96" s="37"/>
      <c r="F96" s="58"/>
      <c r="G96" s="162"/>
      <c r="H96" s="162"/>
      <c r="I96" s="162"/>
    </row>
    <row r="97" spans="1:9">
      <c r="A97" s="37"/>
      <c r="B97" s="37"/>
      <c r="C97" s="37"/>
      <c r="D97" s="37"/>
      <c r="E97" s="37"/>
      <c r="F97" s="58"/>
      <c r="G97" s="162"/>
      <c r="H97" s="162"/>
      <c r="I97" s="162"/>
    </row>
    <row r="98" spans="1:9">
      <c r="A98" s="37"/>
      <c r="B98" s="37"/>
      <c r="C98" s="37"/>
      <c r="D98" s="37"/>
      <c r="E98" s="37"/>
      <c r="F98" s="58"/>
      <c r="G98" s="162"/>
      <c r="H98" s="162"/>
      <c r="I98" s="162"/>
    </row>
    <row r="99" spans="1:9">
      <c r="A99" s="37"/>
      <c r="B99" s="37"/>
      <c r="C99" s="37"/>
      <c r="D99" s="37"/>
      <c r="E99" s="37"/>
      <c r="F99" s="58"/>
      <c r="G99" s="162"/>
      <c r="H99" s="162"/>
      <c r="I99" s="162"/>
    </row>
    <row r="100" spans="1:9">
      <c r="A100" s="37"/>
      <c r="B100" s="37"/>
      <c r="C100" s="37"/>
      <c r="D100" s="37"/>
      <c r="E100" s="37"/>
      <c r="F100" s="58"/>
      <c r="G100" s="162"/>
      <c r="H100" s="162"/>
      <c r="I100" s="162"/>
    </row>
    <row r="101" spans="1:9">
      <c r="A101" s="37"/>
      <c r="B101" s="37"/>
      <c r="C101" s="37"/>
      <c r="D101" s="37"/>
      <c r="E101" s="37"/>
      <c r="F101" s="58"/>
      <c r="G101" s="162"/>
      <c r="H101" s="162"/>
      <c r="I101" s="162"/>
    </row>
    <row r="102" spans="1:9">
      <c r="A102" s="37"/>
      <c r="B102" s="37"/>
      <c r="C102" s="37"/>
      <c r="D102" s="37"/>
      <c r="E102" s="37"/>
      <c r="F102" s="58"/>
      <c r="G102" s="162"/>
      <c r="H102" s="162"/>
      <c r="I102" s="162"/>
    </row>
    <row r="103" spans="1:9">
      <c r="A103" s="37"/>
      <c r="B103" s="37"/>
      <c r="C103" s="37"/>
      <c r="D103" s="37"/>
      <c r="E103" s="37"/>
      <c r="F103" s="58"/>
      <c r="G103" s="162"/>
      <c r="H103" s="162"/>
      <c r="I103" s="162"/>
    </row>
    <row r="104" spans="1:9">
      <c r="A104" s="37"/>
      <c r="B104" s="37"/>
      <c r="C104" s="37"/>
      <c r="D104" s="37"/>
      <c r="E104" s="37"/>
      <c r="F104" s="58"/>
      <c r="G104" s="162"/>
      <c r="H104" s="162"/>
      <c r="I104" s="162"/>
    </row>
    <row r="105" spans="1:9">
      <c r="A105" s="37"/>
      <c r="B105" s="37"/>
      <c r="C105" s="37"/>
      <c r="D105" s="37"/>
      <c r="E105" s="37"/>
      <c r="F105" s="58"/>
      <c r="G105" s="162"/>
      <c r="H105" s="162"/>
      <c r="I105" s="162"/>
    </row>
    <row r="106" spans="1:9">
      <c r="A106" s="37"/>
      <c r="B106" s="37"/>
      <c r="C106" s="37"/>
      <c r="D106" s="37"/>
      <c r="E106" s="37"/>
      <c r="F106" s="58"/>
      <c r="G106" s="162"/>
      <c r="H106" s="162"/>
      <c r="I106" s="162"/>
    </row>
    <row r="107" spans="1:9">
      <c r="A107" s="37"/>
      <c r="B107" s="37"/>
      <c r="C107" s="37"/>
      <c r="D107" s="37"/>
      <c r="E107" s="37"/>
      <c r="F107" s="58"/>
      <c r="G107" s="162"/>
      <c r="H107" s="162"/>
      <c r="I107" s="162"/>
    </row>
    <row r="108" spans="1:9">
      <c r="A108" s="37"/>
      <c r="B108" s="37"/>
      <c r="C108" s="37"/>
      <c r="D108" s="37"/>
      <c r="E108" s="37"/>
      <c r="F108" s="58"/>
      <c r="G108" s="162"/>
      <c r="H108" s="162"/>
      <c r="I108" s="162"/>
    </row>
    <row r="109" spans="1:9">
      <c r="A109" s="37"/>
      <c r="B109" s="37"/>
      <c r="C109" s="37"/>
      <c r="D109" s="37"/>
      <c r="E109" s="37"/>
      <c r="F109" s="58"/>
      <c r="G109" s="162"/>
      <c r="H109" s="162"/>
      <c r="I109" s="162"/>
    </row>
    <row r="110" spans="1:9">
      <c r="A110" s="37"/>
      <c r="B110" s="37"/>
      <c r="C110" s="37"/>
      <c r="D110" s="37"/>
      <c r="E110" s="37"/>
      <c r="F110" s="58"/>
      <c r="G110" s="162"/>
      <c r="H110" s="162"/>
      <c r="I110" s="162"/>
    </row>
    <row r="111" spans="1:9">
      <c r="A111" s="37"/>
      <c r="B111" s="37"/>
      <c r="C111" s="37"/>
      <c r="D111" s="37"/>
      <c r="E111" s="37"/>
      <c r="F111" s="58"/>
      <c r="G111" s="162"/>
      <c r="H111" s="162"/>
      <c r="I111" s="162"/>
    </row>
    <row r="112" spans="1:9">
      <c r="A112" s="37"/>
      <c r="B112" s="37"/>
      <c r="C112" s="37"/>
      <c r="D112" s="37"/>
      <c r="E112" s="37"/>
      <c r="F112" s="58"/>
      <c r="G112" s="162"/>
      <c r="H112" s="162"/>
      <c r="I112" s="162"/>
    </row>
    <row r="113" spans="1:9">
      <c r="A113" s="37"/>
      <c r="B113" s="37"/>
      <c r="C113" s="37"/>
      <c r="D113" s="37"/>
      <c r="E113" s="37"/>
      <c r="F113" s="58"/>
      <c r="G113" s="162"/>
      <c r="H113" s="162"/>
      <c r="I113" s="162"/>
    </row>
    <row r="114" spans="1:9">
      <c r="A114" s="37"/>
      <c r="B114" s="37"/>
      <c r="C114" s="37"/>
      <c r="D114" s="37"/>
      <c r="E114" s="37"/>
      <c r="F114" s="58"/>
      <c r="G114" s="162"/>
      <c r="H114" s="162"/>
      <c r="I114" s="162"/>
    </row>
    <row r="115" spans="1:9">
      <c r="A115" s="37"/>
      <c r="B115" s="37"/>
      <c r="C115" s="37"/>
      <c r="D115" s="37"/>
      <c r="E115" s="37"/>
      <c r="F115" s="58"/>
      <c r="G115" s="162"/>
      <c r="H115" s="162"/>
      <c r="I115" s="162"/>
    </row>
    <row r="116" spans="1:9">
      <c r="A116" s="37"/>
      <c r="B116" s="37"/>
      <c r="C116" s="37"/>
      <c r="D116" s="37"/>
      <c r="E116" s="37"/>
      <c r="F116" s="58"/>
      <c r="G116" s="162"/>
      <c r="H116" s="162"/>
      <c r="I116" s="162"/>
    </row>
    <row r="117" spans="1:9">
      <c r="A117" s="37"/>
      <c r="B117" s="37"/>
      <c r="C117" s="37"/>
      <c r="D117" s="37"/>
      <c r="E117" s="37"/>
      <c r="F117" s="58"/>
      <c r="G117" s="162"/>
      <c r="H117" s="162"/>
      <c r="I117" s="163"/>
    </row>
    <row r="118" spans="1:9">
      <c r="A118" s="37"/>
      <c r="B118" s="37"/>
      <c r="C118" s="37"/>
      <c r="D118" s="37"/>
      <c r="E118" s="37"/>
      <c r="F118" s="58"/>
      <c r="G118" s="162"/>
      <c r="H118" s="162"/>
      <c r="I118" s="163"/>
    </row>
    <row r="119" spans="1:9">
      <c r="A119" s="37"/>
      <c r="B119" s="37"/>
      <c r="C119" s="37"/>
      <c r="D119" s="37"/>
      <c r="E119" s="37"/>
      <c r="F119" s="58"/>
      <c r="G119" s="162"/>
      <c r="H119" s="162"/>
      <c r="I119" s="163"/>
    </row>
    <row r="120" spans="1:9">
      <c r="A120" s="37"/>
      <c r="B120" s="37"/>
      <c r="C120" s="37"/>
      <c r="D120" s="37"/>
      <c r="E120" s="37"/>
      <c r="F120" s="58"/>
      <c r="G120" s="162"/>
      <c r="H120" s="162"/>
      <c r="I120" s="163"/>
    </row>
    <row r="121" spans="1:9">
      <c r="A121" s="37"/>
      <c r="B121" s="37"/>
      <c r="C121" s="37"/>
      <c r="D121" s="37"/>
      <c r="E121" s="37"/>
      <c r="F121" s="58"/>
      <c r="G121" s="162"/>
      <c r="H121" s="162"/>
      <c r="I121" s="163"/>
    </row>
    <row r="122" spans="1:9">
      <c r="A122" s="37"/>
      <c r="B122" s="37"/>
      <c r="C122" s="37"/>
      <c r="D122" s="37"/>
      <c r="E122" s="37"/>
      <c r="F122" s="58"/>
      <c r="G122" s="162"/>
      <c r="H122" s="162"/>
      <c r="I122" s="163"/>
    </row>
    <row r="123" spans="1:9">
      <c r="A123" s="37"/>
      <c r="B123" s="37"/>
      <c r="C123" s="37"/>
      <c r="D123" s="37"/>
      <c r="E123" s="37"/>
      <c r="F123" s="58"/>
      <c r="G123" s="162"/>
      <c r="H123" s="162"/>
      <c r="I123" s="163"/>
    </row>
    <row r="124" spans="1:9">
      <c r="A124" s="37"/>
      <c r="B124" s="37"/>
      <c r="C124" s="37"/>
      <c r="D124" s="37"/>
      <c r="E124" s="37"/>
      <c r="F124" s="58"/>
      <c r="G124" s="162"/>
      <c r="H124" s="162"/>
      <c r="I124" s="163"/>
    </row>
    <row r="125" spans="1:9">
      <c r="A125" s="37"/>
      <c r="B125" s="37"/>
      <c r="C125" s="37"/>
      <c r="D125" s="37"/>
      <c r="E125" s="37"/>
      <c r="F125" s="58"/>
      <c r="G125" s="162"/>
      <c r="H125" s="162"/>
      <c r="I125" s="163"/>
    </row>
    <row r="126" spans="1:9">
      <c r="A126" s="37"/>
      <c r="B126" s="37"/>
      <c r="C126" s="37"/>
      <c r="D126" s="37"/>
      <c r="E126" s="37"/>
      <c r="F126" s="58"/>
      <c r="G126" s="162"/>
      <c r="H126" s="162"/>
      <c r="I126" s="163"/>
    </row>
    <row r="127" spans="1:9">
      <c r="A127" s="37"/>
      <c r="B127" s="37"/>
      <c r="C127" s="37"/>
      <c r="D127" s="37"/>
      <c r="E127" s="37"/>
      <c r="F127" s="58"/>
      <c r="G127" s="162"/>
      <c r="H127" s="162"/>
      <c r="I127" s="163"/>
    </row>
    <row r="128" spans="1:9">
      <c r="A128" s="37"/>
      <c r="B128" s="37"/>
      <c r="C128" s="37"/>
      <c r="D128" s="37"/>
      <c r="E128" s="37"/>
      <c r="F128" s="58"/>
      <c r="G128" s="162"/>
      <c r="H128" s="162"/>
      <c r="I128" s="163"/>
    </row>
    <row r="129" spans="1:9">
      <c r="A129" s="37"/>
      <c r="B129" s="37"/>
      <c r="C129" s="37"/>
      <c r="D129" s="37"/>
      <c r="E129" s="37"/>
      <c r="F129" s="58"/>
      <c r="G129" s="162"/>
      <c r="H129" s="162"/>
      <c r="I129" s="163"/>
    </row>
    <row r="130" spans="1:9">
      <c r="A130" s="37"/>
      <c r="B130" s="37"/>
      <c r="C130" s="37"/>
      <c r="D130" s="37"/>
      <c r="E130" s="37"/>
      <c r="F130" s="58"/>
      <c r="G130" s="162"/>
      <c r="H130" s="162"/>
      <c r="I130" s="163"/>
    </row>
    <row r="131" spans="1:9">
      <c r="A131" s="37"/>
      <c r="B131" s="37"/>
      <c r="C131" s="37"/>
      <c r="D131" s="37"/>
      <c r="E131" s="37"/>
      <c r="F131" s="58"/>
      <c r="G131" s="162"/>
      <c r="H131" s="162"/>
      <c r="I131" s="163"/>
    </row>
    <row r="132" spans="1:9">
      <c r="A132" s="37"/>
      <c r="B132" s="37"/>
      <c r="C132" s="37"/>
      <c r="D132" s="37"/>
      <c r="E132" s="37"/>
      <c r="F132" s="58"/>
      <c r="G132" s="162"/>
      <c r="H132" s="162"/>
      <c r="I132" s="163"/>
    </row>
    <row r="133" spans="1:9">
      <c r="A133" s="37"/>
      <c r="B133" s="37"/>
      <c r="C133" s="37"/>
      <c r="D133" s="37"/>
      <c r="E133" s="37"/>
      <c r="F133" s="58"/>
      <c r="G133" s="162"/>
      <c r="H133" s="162"/>
      <c r="I133" s="163"/>
    </row>
    <row r="134" spans="1:9">
      <c r="A134" s="37"/>
      <c r="B134" s="37"/>
      <c r="C134" s="37"/>
      <c r="D134" s="37"/>
      <c r="E134" s="37"/>
      <c r="F134" s="58"/>
      <c r="G134" s="162"/>
      <c r="H134" s="162"/>
      <c r="I134" s="163"/>
    </row>
    <row r="135" spans="1:9">
      <c r="A135" s="37"/>
      <c r="B135" s="37"/>
      <c r="C135" s="37"/>
      <c r="D135" s="37"/>
      <c r="E135" s="37"/>
      <c r="F135" s="58"/>
      <c r="G135" s="162"/>
      <c r="H135" s="162"/>
      <c r="I135" s="163"/>
    </row>
    <row r="136" spans="1:9">
      <c r="A136" s="37"/>
      <c r="B136" s="37"/>
      <c r="C136" s="37"/>
      <c r="D136" s="37"/>
      <c r="E136" s="37"/>
      <c r="F136" s="58"/>
      <c r="G136" s="162"/>
      <c r="H136" s="162"/>
      <c r="I136" s="163"/>
    </row>
    <row r="137" spans="1:9">
      <c r="A137" s="37"/>
      <c r="B137" s="37"/>
      <c r="C137" s="37"/>
      <c r="D137" s="37"/>
      <c r="E137" s="37"/>
      <c r="F137" s="58"/>
      <c r="G137" s="162"/>
      <c r="H137" s="162"/>
      <c r="I137" s="163"/>
    </row>
    <row r="138" spans="1:9">
      <c r="A138" s="37"/>
      <c r="B138" s="37"/>
      <c r="C138" s="37"/>
      <c r="D138" s="37"/>
      <c r="E138" s="37"/>
      <c r="F138" s="58"/>
      <c r="G138" s="162"/>
      <c r="H138" s="162"/>
      <c r="I138" s="163"/>
    </row>
    <row r="139" spans="1:9">
      <c r="A139" s="37"/>
      <c r="B139" s="37"/>
      <c r="C139" s="37"/>
      <c r="D139" s="37"/>
      <c r="E139" s="37"/>
      <c r="F139" s="58"/>
      <c r="G139" s="162"/>
      <c r="H139" s="162"/>
      <c r="I139" s="163"/>
    </row>
    <row r="140" spans="1:9">
      <c r="A140" s="37"/>
      <c r="B140" s="37"/>
      <c r="C140" s="37"/>
      <c r="D140" s="37"/>
      <c r="E140" s="37"/>
      <c r="F140" s="58"/>
      <c r="G140" s="162"/>
      <c r="H140" s="162"/>
      <c r="I140" s="163"/>
    </row>
    <row r="141" spans="1:9">
      <c r="A141" s="37"/>
      <c r="B141" s="37"/>
      <c r="C141" s="37"/>
      <c r="D141" s="37"/>
      <c r="E141" s="37"/>
      <c r="F141" s="58"/>
      <c r="G141" s="162"/>
      <c r="H141" s="162"/>
      <c r="I141" s="163"/>
    </row>
    <row r="142" spans="1:9">
      <c r="A142" s="37"/>
      <c r="B142" s="37"/>
      <c r="C142" s="37"/>
      <c r="D142" s="37"/>
      <c r="E142" s="37"/>
      <c r="F142" s="58"/>
      <c r="G142" s="162"/>
      <c r="H142" s="162"/>
      <c r="I142" s="163"/>
    </row>
    <row r="143" spans="1:9">
      <c r="A143" s="37"/>
      <c r="B143" s="37"/>
      <c r="C143" s="37"/>
      <c r="D143" s="37"/>
      <c r="E143" s="37"/>
      <c r="F143" s="58"/>
      <c r="G143" s="162"/>
      <c r="H143" s="162"/>
      <c r="I143" s="163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71">
        <v>0</v>
      </c>
      <c r="H2" s="171">
        <v>0</v>
      </c>
      <c r="I2" s="171">
        <v>0</v>
      </c>
      <c r="J2" s="171">
        <v>0</v>
      </c>
      <c r="K2" s="171">
        <v>0</v>
      </c>
      <c r="L2" s="171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71">
        <v>0</v>
      </c>
      <c r="G3" s="171">
        <v>0</v>
      </c>
      <c r="H3" s="171">
        <v>0</v>
      </c>
      <c r="I3" s="171">
        <v>0</v>
      </c>
      <c r="J3" s="171">
        <v>0</v>
      </c>
      <c r="K3" s="171">
        <v>0</v>
      </c>
      <c r="L3" s="171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82">
        <v>2021</v>
      </c>
      <c r="F4" s="171">
        <v>0</v>
      </c>
      <c r="G4" s="171">
        <v>0</v>
      </c>
      <c r="H4" s="171">
        <v>0</v>
      </c>
      <c r="I4" s="171">
        <v>0</v>
      </c>
      <c r="J4" s="171">
        <v>0</v>
      </c>
      <c r="K4" s="171">
        <v>0</v>
      </c>
      <c r="L4" s="171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82">
        <v>2022</v>
      </c>
      <c r="F5" s="171">
        <v>0</v>
      </c>
      <c r="G5" s="171">
        <v>0</v>
      </c>
      <c r="H5" s="171">
        <v>0</v>
      </c>
      <c r="I5" s="171">
        <v>0</v>
      </c>
      <c r="J5" s="171">
        <v>0</v>
      </c>
      <c r="K5" s="171">
        <v>0</v>
      </c>
      <c r="L5" s="171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82">
        <v>2023</v>
      </c>
      <c r="F6" s="171">
        <v>0</v>
      </c>
      <c r="G6" s="171">
        <v>0</v>
      </c>
      <c r="H6" s="171">
        <v>0</v>
      </c>
      <c r="I6" s="171">
        <v>0</v>
      </c>
      <c r="J6" s="171">
        <v>0</v>
      </c>
      <c r="K6" s="171">
        <v>0</v>
      </c>
      <c r="L6" s="171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82">
        <v>2024</v>
      </c>
      <c r="F7" s="171">
        <v>0</v>
      </c>
      <c r="G7" s="171">
        <v>0</v>
      </c>
      <c r="H7" s="171">
        <v>0</v>
      </c>
      <c r="I7" s="171">
        <v>0</v>
      </c>
      <c r="J7" s="171">
        <v>0</v>
      </c>
      <c r="K7" s="171">
        <v>0</v>
      </c>
      <c r="L7" s="171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82">
        <v>2025</v>
      </c>
      <c r="F8" s="171">
        <v>0</v>
      </c>
      <c r="G8" s="171">
        <v>0</v>
      </c>
      <c r="H8" s="171">
        <v>0</v>
      </c>
      <c r="I8" s="171">
        <v>0</v>
      </c>
      <c r="J8" s="171">
        <v>0</v>
      </c>
      <c r="K8" s="171">
        <v>0</v>
      </c>
      <c r="L8" s="171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82">
        <v>2026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171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82">
        <v>2027</v>
      </c>
      <c r="F10" s="171">
        <v>0</v>
      </c>
      <c r="G10" s="171">
        <v>0</v>
      </c>
      <c r="H10" s="171">
        <v>0</v>
      </c>
      <c r="I10" s="171">
        <v>0</v>
      </c>
      <c r="J10" s="171">
        <v>0</v>
      </c>
      <c r="K10" s="171">
        <v>0</v>
      </c>
      <c r="L10" s="171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82">
        <v>2028</v>
      </c>
      <c r="F11" s="171">
        <v>0</v>
      </c>
      <c r="G11" s="171">
        <v>0</v>
      </c>
      <c r="H11" s="171">
        <v>0</v>
      </c>
      <c r="I11" s="171">
        <v>0</v>
      </c>
      <c r="J11" s="171">
        <v>0</v>
      </c>
      <c r="K11" s="171">
        <v>0</v>
      </c>
      <c r="L11" s="171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82">
        <v>2029</v>
      </c>
      <c r="F12" s="171">
        <v>0</v>
      </c>
      <c r="G12" s="171">
        <v>0</v>
      </c>
      <c r="H12" s="171">
        <v>0</v>
      </c>
      <c r="I12" s="171">
        <v>0</v>
      </c>
      <c r="J12" s="171">
        <v>0</v>
      </c>
      <c r="K12" s="171">
        <v>0</v>
      </c>
      <c r="L12" s="171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82">
        <v>2030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71">
        <v>0</v>
      </c>
      <c r="L13" s="171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82">
        <v>2031</v>
      </c>
      <c r="F14" s="171">
        <v>0</v>
      </c>
      <c r="G14" s="171">
        <v>0</v>
      </c>
      <c r="H14" s="171">
        <v>0</v>
      </c>
      <c r="I14" s="171">
        <v>0</v>
      </c>
      <c r="J14" s="171">
        <v>0</v>
      </c>
      <c r="K14" s="171">
        <v>0</v>
      </c>
      <c r="L14" s="171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82">
        <v>2032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  <c r="K15" s="171">
        <v>0</v>
      </c>
      <c r="L15" s="171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82">
        <v>2033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  <c r="K16" s="171">
        <v>0</v>
      </c>
      <c r="L16" s="171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82">
        <v>2034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  <c r="K17" s="171">
        <v>0</v>
      </c>
      <c r="L17" s="171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82">
        <v>2035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  <c r="K18" s="171">
        <v>0</v>
      </c>
      <c r="L18" s="171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82">
        <v>2036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  <c r="K19" s="171">
        <v>0</v>
      </c>
      <c r="L19" s="171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82">
        <v>2037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  <c r="K20" s="171">
        <v>0</v>
      </c>
      <c r="L20" s="171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82">
        <v>2038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  <c r="K21" s="171">
        <v>0</v>
      </c>
      <c r="L21" s="171">
        <v>0</v>
      </c>
    </row>
    <row r="22" spans="1:12" s="158" customFormat="1"/>
    <row r="23" spans="1:12">
      <c r="F23" t="s">
        <v>116</v>
      </c>
    </row>
    <row r="24" spans="1:12">
      <c r="E24" s="182">
        <v>2019</v>
      </c>
      <c r="F24" s="171">
        <v>0</v>
      </c>
    </row>
    <row r="25" spans="1:12">
      <c r="E25" s="182">
        <v>2020</v>
      </c>
      <c r="F25" s="171">
        <v>0</v>
      </c>
    </row>
    <row r="26" spans="1:12">
      <c r="E26" s="182">
        <v>2021</v>
      </c>
      <c r="F26" s="171">
        <v>0</v>
      </c>
    </row>
    <row r="27" spans="1:12">
      <c r="E27" s="182">
        <v>2022</v>
      </c>
      <c r="F27" s="171">
        <v>0</v>
      </c>
    </row>
    <row r="28" spans="1:12">
      <c r="E28" s="182">
        <v>2023</v>
      </c>
      <c r="F28" s="171">
        <v>0</v>
      </c>
    </row>
    <row r="29" spans="1:12">
      <c r="E29" s="182">
        <v>2024</v>
      </c>
      <c r="F29" s="171">
        <v>0</v>
      </c>
    </row>
    <row r="30" spans="1:12">
      <c r="E30" s="182">
        <v>2025</v>
      </c>
      <c r="F30" s="171">
        <v>0</v>
      </c>
    </row>
    <row r="31" spans="1:12">
      <c r="E31" s="182">
        <v>2026</v>
      </c>
      <c r="F31" s="171">
        <v>0</v>
      </c>
    </row>
    <row r="32" spans="1:12">
      <c r="E32" s="182">
        <v>2027</v>
      </c>
      <c r="F32" s="171">
        <v>0</v>
      </c>
    </row>
    <row r="33" spans="5:6">
      <c r="E33" s="182">
        <v>2028</v>
      </c>
      <c r="F33" s="171">
        <v>0</v>
      </c>
    </row>
    <row r="34" spans="5:6">
      <c r="E34" s="182">
        <v>2029</v>
      </c>
      <c r="F34" s="171">
        <v>0</v>
      </c>
    </row>
    <row r="35" spans="5:6">
      <c r="E35" s="182">
        <v>2030</v>
      </c>
      <c r="F35" s="171">
        <v>0</v>
      </c>
    </row>
    <row r="36" spans="5:6">
      <c r="E36" s="182">
        <v>2031</v>
      </c>
      <c r="F36" s="171">
        <v>0</v>
      </c>
    </row>
    <row r="37" spans="5:6">
      <c r="E37" s="182">
        <v>2032</v>
      </c>
      <c r="F37" s="171">
        <v>0</v>
      </c>
    </row>
    <row r="38" spans="5:6">
      <c r="E38" s="182">
        <v>2033</v>
      </c>
      <c r="F38" s="171">
        <v>0</v>
      </c>
    </row>
    <row r="39" spans="5:6">
      <c r="E39" s="182">
        <v>2034</v>
      </c>
      <c r="F39" s="171">
        <v>0</v>
      </c>
    </row>
    <row r="40" spans="5:6">
      <c r="E40" s="182">
        <v>2035</v>
      </c>
      <c r="F40" s="171">
        <v>0</v>
      </c>
    </row>
    <row r="41" spans="5:6">
      <c r="E41" s="182">
        <v>2036</v>
      </c>
      <c r="F41" s="171">
        <v>0</v>
      </c>
    </row>
    <row r="42" spans="5:6">
      <c r="E42" s="182">
        <v>2037</v>
      </c>
      <c r="F42" s="171">
        <v>0</v>
      </c>
    </row>
    <row r="43" spans="5:6">
      <c r="E43" s="182">
        <v>2038</v>
      </c>
      <c r="F43" s="171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tabSelected="1" zoomScale="85" zoomScaleNormal="85" workbookViewId="0">
      <selection activeCell="H33" sqref="H33"/>
    </sheetView>
  </sheetViews>
  <sheetFormatPr defaultColWidth="9"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21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21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21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21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21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21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21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21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21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21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opLeftCell="P13" zoomScale="70" zoomScaleNormal="70" zoomScalePageLayoutView="70" workbookViewId="0">
      <selection activeCell="K18" sqref="K18"/>
    </sheetView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2.125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21.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315" t="s">
        <v>127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</row>
    <row r="2" spans="2:43">
      <c r="B2" s="315" t="s">
        <v>123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</row>
    <row r="3" spans="2:43">
      <c r="B3" s="316" t="s">
        <v>187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317"/>
      <c r="Z3" s="317"/>
      <c r="AA3" s="317"/>
      <c r="AB3" s="317"/>
      <c r="AC3" s="317"/>
      <c r="AD3" s="317"/>
      <c r="AE3" s="317"/>
      <c r="AF3" s="317"/>
      <c r="AG3" s="317"/>
      <c r="AH3" s="317"/>
      <c r="AI3" s="317"/>
      <c r="AJ3" s="317"/>
    </row>
    <row r="4" spans="2:43">
      <c r="B4" s="315" t="s">
        <v>19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</row>
    <row r="5" spans="2:43" s="38" customFormat="1" ht="15.75" customHeight="1">
      <c r="B5" s="7"/>
      <c r="C5" s="318" t="s">
        <v>105</v>
      </c>
      <c r="D5" s="319"/>
      <c r="E5" s="319"/>
      <c r="F5" s="319"/>
      <c r="G5" s="319"/>
      <c r="H5" s="319"/>
      <c r="I5" s="319"/>
      <c r="J5" s="319"/>
      <c r="K5" s="320"/>
      <c r="L5" s="87"/>
      <c r="N5" s="321" t="s">
        <v>66</v>
      </c>
      <c r="O5" s="322"/>
      <c r="P5" s="322"/>
      <c r="Q5" s="322"/>
      <c r="R5" s="322"/>
      <c r="S5" s="322"/>
      <c r="T5" s="322"/>
      <c r="U5" s="322"/>
      <c r="V5" s="322"/>
      <c r="W5" s="322"/>
      <c r="X5" s="323" t="s">
        <v>44</v>
      </c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5"/>
      <c r="AJ5" s="191" t="s">
        <v>99</v>
      </c>
      <c r="AK5" s="312" t="s">
        <v>65</v>
      </c>
      <c r="AL5" s="313"/>
      <c r="AM5" s="313"/>
      <c r="AN5" s="314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172</v>
      </c>
      <c r="AL6" s="41" t="s">
        <v>173</v>
      </c>
      <c r="AM6" s="41" t="s">
        <v>174</v>
      </c>
    </row>
    <row r="7" spans="2:43" s="40" customFormat="1" ht="78.75">
      <c r="B7" s="144"/>
      <c r="C7" s="89" t="s">
        <v>15</v>
      </c>
      <c r="D7" s="90" t="s">
        <v>14</v>
      </c>
      <c r="E7" s="91" t="s">
        <v>16</v>
      </c>
      <c r="F7" s="159" t="s">
        <v>180</v>
      </c>
      <c r="G7" s="110" t="s">
        <v>181</v>
      </c>
      <c r="H7" s="110" t="s">
        <v>182</v>
      </c>
      <c r="I7" s="110" t="s">
        <v>90</v>
      </c>
      <c r="J7" s="101" t="s">
        <v>107</v>
      </c>
      <c r="K7" s="106" t="s">
        <v>68</v>
      </c>
      <c r="L7" s="222" t="s">
        <v>186</v>
      </c>
      <c r="M7" s="90"/>
      <c r="N7" s="329" t="s">
        <v>110</v>
      </c>
      <c r="O7" s="328"/>
      <c r="P7" s="329" t="s">
        <v>118</v>
      </c>
      <c r="Q7" s="328"/>
      <c r="R7" s="326" t="s">
        <v>29</v>
      </c>
      <c r="S7" s="328"/>
      <c r="T7" s="326" t="s">
        <v>30</v>
      </c>
      <c r="U7" s="328"/>
      <c r="V7" s="326" t="s">
        <v>46</v>
      </c>
      <c r="W7" s="327"/>
      <c r="X7" s="190" t="s">
        <v>170</v>
      </c>
      <c r="Y7" s="79" t="s">
        <v>171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23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5">
        <f>'ST NFL Load &amp; Load Cost'!J32</f>
        <v>177345.71838309889</v>
      </c>
      <c r="D9" s="130">
        <f>'LT New Units Info'!AT32+'ST Existing Units Info'!L32+'ST Existing Units Info'!L92</f>
        <v>142839.7098198825</v>
      </c>
      <c r="E9" s="130">
        <f>'LT New Units Info'!AT92+'ST Existing Units Info'!L122</f>
        <v>10825.903189663921</v>
      </c>
      <c r="F9" s="130">
        <v>53708.784019742561</v>
      </c>
      <c r="G9" s="136">
        <f>'LT New Units Info'!AT62+'LT New Units Info'!AT122+'ST Existing Units Info'!L62+'Existing System FOM OGC'!U5</f>
        <v>28481.731455064692</v>
      </c>
      <c r="H9" s="130">
        <f>'LT New Units Info'!AT212+'LT Battery'!F24</f>
        <v>0</v>
      </c>
      <c r="I9" s="130">
        <f>'ST Physical Contracts'!K2-'ST Physical Contracts'!L2</f>
        <v>-3268.7626831071402</v>
      </c>
      <c r="J9" s="130">
        <f>'LT New Units Info'!AT152+'ST Existing Units Info'!L152-'LT Battery'!L2</f>
        <v>173953.54391650565</v>
      </c>
      <c r="K9" s="137">
        <f>SUM(C9:I9)-J9</f>
        <v>235979.54026783968</v>
      </c>
      <c r="L9" s="224">
        <f>+K9/(1.0713)^(B9-2019)</f>
        <v>220274.00379710604</v>
      </c>
      <c r="M9" s="172">
        <v>2020</v>
      </c>
      <c r="N9" s="133">
        <v>0</v>
      </c>
      <c r="O9" s="70">
        <f>SUM('LT New Units Info'!G182:Q182)</f>
        <v>1302</v>
      </c>
      <c r="P9" s="134">
        <f>Q9</f>
        <v>0</v>
      </c>
      <c r="Q9" s="183">
        <f>SUM('LT New Units Info'!S182:T182,'LT New Units Info'!W182:AD182,'LT New Units Info'!AG182:AR182)</f>
        <v>0</v>
      </c>
      <c r="R9" s="48">
        <f>S9</f>
        <v>0</v>
      </c>
      <c r="S9" s="47">
        <f>'LT New Units Info'!R182</f>
        <v>0</v>
      </c>
      <c r="T9" s="165">
        <f>U9</f>
        <v>0</v>
      </c>
      <c r="U9" s="166">
        <f>'LT New Units Info'!AE182+'LT New Units Info'!AF182</f>
        <v>0</v>
      </c>
      <c r="V9" s="165">
        <f>W9</f>
        <v>0</v>
      </c>
      <c r="W9" s="166">
        <f>'LT New Units Info'!U182+'LT New Units Info'!V182</f>
        <v>0</v>
      </c>
      <c r="X9" s="61">
        <f>SUM('LT New Units Info'!H2:P2,'ST Existing Units Info'!L2)</f>
        <v>5800.6557569253309</v>
      </c>
      <c r="Y9" s="167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5912.5027569253307</v>
      </c>
      <c r="AB9" s="67">
        <f>'ST NFL Load &amp; Load Cost'!J2</f>
        <v>6059.9189999999999</v>
      </c>
      <c r="AC9" s="67">
        <f>SUM('LT New Units Info'!R2,'LT New Units Info'!W2:AD2,'LT New Units Info'!AG2:AR2)</f>
        <v>0</v>
      </c>
      <c r="AD9" s="66">
        <f>AB9-AC9</f>
        <v>6059.9189999999999</v>
      </c>
      <c r="AE9" s="132">
        <f>AA9-AD9</f>
        <v>-147.41624307466918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8">
        <f>'ST LT CO2 Emissions'!B2+'ST LT CO2 Emissions'!B34</f>
        <v>5769805.1132922089</v>
      </c>
      <c r="AK9" s="42">
        <f t="shared" ref="AK9:AK28" si="1">C9/AB9</f>
        <v>29.265361200883856</v>
      </c>
      <c r="AL9" s="111">
        <f t="shared" ref="AL9:AL28" si="2">J9/(AA9+AC9)</f>
        <v>29.421304491190874</v>
      </c>
      <c r="AM9" s="112">
        <f t="shared" ref="AM9:AM28" si="3">K9/(AB9)</f>
        <v>38.941038695045215</v>
      </c>
      <c r="AN9" s="11">
        <v>2020</v>
      </c>
      <c r="AP9" s="6"/>
      <c r="AQ9" s="6"/>
    </row>
    <row r="10" spans="2:43">
      <c r="B10" s="1">
        <f>B9+1</f>
        <v>2021</v>
      </c>
      <c r="C10" s="135">
        <f>'ST NFL Load &amp; Load Cost'!J33</f>
        <v>178062.81598860319</v>
      </c>
      <c r="D10" s="130">
        <f>'LT New Units Info'!AT33+'ST Existing Units Info'!L33+'ST Existing Units Info'!L93</f>
        <v>133471.66996066776</v>
      </c>
      <c r="E10" s="130">
        <f>'LT New Units Info'!AT93+'ST Existing Units Info'!L123</f>
        <v>11812.606059460199</v>
      </c>
      <c r="F10" s="130">
        <v>72591.989634965124</v>
      </c>
      <c r="G10" s="136">
        <f>'LT New Units Info'!AT63+'LT New Units Info'!AT123+'ST Existing Units Info'!L63+'Existing System FOM OGC'!U6</f>
        <v>27896.156567047754</v>
      </c>
      <c r="H10" s="130">
        <f>'LT New Units Info'!AT213+'LT Battery'!F25</f>
        <v>0</v>
      </c>
      <c r="I10" s="130">
        <f>'ST Physical Contracts'!K3-'ST Physical Contracts'!L3</f>
        <v>-3279.6236629355299</v>
      </c>
      <c r="J10" s="130">
        <f>'LT New Units Info'!AT153+'ST Existing Units Info'!L153-'LT Battery'!L3</f>
        <v>161162.00576045155</v>
      </c>
      <c r="K10" s="137">
        <f t="shared" ref="K10:K28" si="4">SUM(C10:I10)-J10</f>
        <v>259393.60878735699</v>
      </c>
      <c r="L10" s="224">
        <f>+K10/(1.0713)^(B10-2019)+L9</f>
        <v>446288.89888318768</v>
      </c>
      <c r="M10" s="172">
        <f>M9+1</f>
        <v>2021</v>
      </c>
      <c r="N10" s="133">
        <f>O10-O9</f>
        <v>0</v>
      </c>
      <c r="O10" s="70">
        <f>SUM('LT New Units Info'!G183:Q183)</f>
        <v>1302</v>
      </c>
      <c r="P10" s="134">
        <f>Q10-Q9</f>
        <v>0</v>
      </c>
      <c r="Q10" s="183">
        <f>SUM('LT New Units Info'!S183:T183,'LT New Units Info'!W183:AD183,'LT New Units Info'!AG183:AR183)</f>
        <v>0</v>
      </c>
      <c r="R10" s="48">
        <f>S10-S9</f>
        <v>0</v>
      </c>
      <c r="S10" s="47">
        <f>'LT New Units Info'!R183</f>
        <v>0</v>
      </c>
      <c r="T10" s="165">
        <f>U10-U9</f>
        <v>0</v>
      </c>
      <c r="U10" s="166">
        <f>'LT New Units Info'!AE183+'LT New Units Info'!AF183</f>
        <v>0</v>
      </c>
      <c r="V10" s="165">
        <f>W10-W9</f>
        <v>0</v>
      </c>
      <c r="W10" s="166">
        <f>'LT New Units Info'!U183+'LT New Units Info'!V183</f>
        <v>0</v>
      </c>
      <c r="X10" s="61">
        <f>SUM('LT New Units Info'!H3:P3,'ST Existing Units Info'!L3)</f>
        <v>5272.8461677442156</v>
      </c>
      <c r="Y10" s="167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5384.2261677442157</v>
      </c>
      <c r="AB10" s="67">
        <f>'ST NFL Load &amp; Load Cost'!J3</f>
        <v>6037.1639999999998</v>
      </c>
      <c r="AC10" s="67">
        <f>SUM('LT New Units Info'!R3,'LT New Units Info'!W3:AD3,'LT New Units Info'!AG3:AR3)</f>
        <v>0</v>
      </c>
      <c r="AD10" s="66">
        <f t="shared" ref="AD10:AD28" si="6">AB10-AC10</f>
        <v>6037.1639999999998</v>
      </c>
      <c r="AE10" s="132">
        <f t="shared" ref="AE10:AE28" si="7">AA10-AD10</f>
        <v>-652.93783225578409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8">
        <f>'ST LT CO2 Emissions'!B3+'ST LT CO2 Emissions'!B35</f>
        <v>5267945.2310610097</v>
      </c>
      <c r="AK10" s="42">
        <f t="shared" si="1"/>
        <v>29.494447390960921</v>
      </c>
      <c r="AL10" s="111">
        <f t="shared" si="2"/>
        <v>29.93225038092563</v>
      </c>
      <c r="AM10" s="112">
        <f t="shared" si="3"/>
        <v>42.966135885551061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5">
        <f>'ST NFL Load &amp; Load Cost'!J34</f>
        <v>188271.809699484</v>
      </c>
      <c r="D11" s="130">
        <f>'LT New Units Info'!AT34+'ST Existing Units Info'!L34+'ST Existing Units Info'!L94</f>
        <v>147067.93167580283</v>
      </c>
      <c r="E11" s="130">
        <f>'LT New Units Info'!AT94+'ST Existing Units Info'!L124</f>
        <v>14413.07407429291</v>
      </c>
      <c r="F11" s="130">
        <v>75934.982609057159</v>
      </c>
      <c r="G11" s="136">
        <f>'LT New Units Info'!AT64+'LT New Units Info'!AT124+'ST Existing Units Info'!L64+'Existing System FOM OGC'!U7</f>
        <v>34364.997882809577</v>
      </c>
      <c r="H11" s="130">
        <f>'LT New Units Info'!AT214+'LT Battery'!F26</f>
        <v>1212.3282307301993</v>
      </c>
      <c r="I11" s="130">
        <f>'ST Physical Contracts'!K4-'ST Physical Contracts'!L4</f>
        <v>-4818.9774724833605</v>
      </c>
      <c r="J11" s="130">
        <f>'LT New Units Info'!AT154+'ST Existing Units Info'!L154-'LT Battery'!L4</f>
        <v>191144.7173415416</v>
      </c>
      <c r="K11" s="137">
        <f t="shared" si="4"/>
        <v>265301.42935815168</v>
      </c>
      <c r="L11" s="224">
        <f t="shared" ref="L11:L38" si="10">+K11/(1.0713)^(B11-2019)+L10</f>
        <v>662066.45753012539</v>
      </c>
      <c r="M11" s="172">
        <f t="shared" ref="M11:M38" si="11">M10+1</f>
        <v>2022</v>
      </c>
      <c r="N11" s="133">
        <f t="shared" ref="N11:N28" si="12">O11-O10</f>
        <v>-216.77999999999997</v>
      </c>
      <c r="O11" s="70">
        <f>SUM('LT New Units Info'!G184:Q184)</f>
        <v>1085.22</v>
      </c>
      <c r="P11" s="134">
        <f t="shared" ref="P11:P28" si="13">Q11-Q10</f>
        <v>2.24393661</v>
      </c>
      <c r="Q11" s="183">
        <f>SUM('LT New Units Info'!S184:T184,'LT New Units Info'!W184:AD184,'LT New Units Info'!AG184:AR184)</f>
        <v>2.24393661</v>
      </c>
      <c r="R11" s="48">
        <f t="shared" ref="R11:R28" si="14">S11-S10</f>
        <v>0</v>
      </c>
      <c r="S11" s="47">
        <f>'LT New Units Info'!R184</f>
        <v>0</v>
      </c>
      <c r="T11" s="165">
        <f t="shared" ref="T11:T28" si="15">U11-U10</f>
        <v>0</v>
      </c>
      <c r="U11" s="166">
        <f>'LT New Units Info'!AE184+'LT New Units Info'!AF184</f>
        <v>0</v>
      </c>
      <c r="V11" s="165">
        <f t="shared" ref="V11:V28" si="16">W11-W10</f>
        <v>0</v>
      </c>
      <c r="W11" s="166">
        <f>'LT New Units Info'!U184+'LT New Units Info'!V184</f>
        <v>0</v>
      </c>
      <c r="X11" s="61">
        <f>SUM('LT New Units Info'!H4:P4,'ST Existing Units Info'!L4)</f>
        <v>6095.9562722300179</v>
      </c>
      <c r="Y11" s="167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6252.1505362667276</v>
      </c>
      <c r="AB11" s="67">
        <f>'ST NFL Load &amp; Load Cost'!J4</f>
        <v>6155.08</v>
      </c>
      <c r="AC11" s="67">
        <f>SUM('LT New Units Info'!R4,'LT New Units Info'!W4:AD4,'LT New Units Info'!AG4:AR4)</f>
        <v>16.000000006089998</v>
      </c>
      <c r="AD11" s="66">
        <f t="shared" si="6"/>
        <v>6139.07999999391</v>
      </c>
      <c r="AE11" s="132">
        <f t="shared" si="7"/>
        <v>113.07053627281766</v>
      </c>
      <c r="AF11" s="49">
        <f t="shared" si="8"/>
        <v>1087.46393661</v>
      </c>
      <c r="AG11" s="50">
        <f>'LT Region Planning Peak Load'!G4*1.0887</f>
        <v>1076.4160585463999</v>
      </c>
      <c r="AH11" s="62">
        <f t="shared" si="0"/>
        <v>11.047878063600137</v>
      </c>
      <c r="AI11" s="99">
        <f>(AF11-'LT Region Planning Peak Load'!G4)/'LT Region Planning Peak Load'!G4*100</f>
        <v>9.9873955230734701</v>
      </c>
      <c r="AJ11" s="128">
        <f>'ST LT CO2 Emissions'!B4+'ST LT CO2 Emissions'!B36</f>
        <v>6138111.1198785314</v>
      </c>
      <c r="AK11" s="42">
        <f t="shared" si="1"/>
        <v>30.588036174913082</v>
      </c>
      <c r="AL11" s="111">
        <f t="shared" si="2"/>
        <v>30.494595851745533</v>
      </c>
      <c r="AM11" s="112">
        <f t="shared" si="3"/>
        <v>43.102840151249325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5">
        <f>'ST NFL Load &amp; Load Cost'!J35</f>
        <v>197404.10689387011</v>
      </c>
      <c r="D12" s="130">
        <f>'LT New Units Info'!AT35+'ST Existing Units Info'!L35+'ST Existing Units Info'!L95</f>
        <v>110707.47071589823</v>
      </c>
      <c r="E12" s="130">
        <f>'LT New Units Info'!AT95+'ST Existing Units Info'!L125</f>
        <v>7801.1914559731849</v>
      </c>
      <c r="F12" s="130">
        <v>69537.021213086104</v>
      </c>
      <c r="G12" s="136">
        <f>'LT New Units Info'!AT65+'LT New Units Info'!AT125+'ST Existing Units Info'!L65+'Existing System FOM OGC'!U8</f>
        <v>15338.50696740198</v>
      </c>
      <c r="H12" s="130">
        <f>'LT New Units Info'!AT215+'LT Battery'!F27</f>
        <v>10257.0593674713</v>
      </c>
      <c r="I12" s="130">
        <f>'ST Physical Contracts'!K5-'ST Physical Contracts'!L5</f>
        <v>-5009.61439086065</v>
      </c>
      <c r="J12" s="130">
        <f>'LT New Units Info'!AT155+'ST Existing Units Info'!L155-'LT Battery'!L5</f>
        <v>159809.60746944422</v>
      </c>
      <c r="K12" s="137">
        <f t="shared" si="4"/>
        <v>246226.13475339609</v>
      </c>
      <c r="L12" s="224">
        <f t="shared" si="10"/>
        <v>849001.07256706897</v>
      </c>
      <c r="M12" s="172">
        <f t="shared" si="11"/>
        <v>2023</v>
      </c>
      <c r="N12" s="133">
        <f t="shared" si="12"/>
        <v>-50</v>
      </c>
      <c r="O12" s="70">
        <f>SUM('LT New Units Info'!G185:Q185)</f>
        <v>1035.22</v>
      </c>
      <c r="P12" s="134">
        <f t="shared" si="13"/>
        <v>1.9025759299999998</v>
      </c>
      <c r="Q12" s="183">
        <f>SUM('LT New Units Info'!S185:T185,'LT New Units Info'!W185:AD185,'LT New Units Info'!AG185:AR185)</f>
        <v>4.1465125399999998</v>
      </c>
      <c r="R12" s="48">
        <f t="shared" si="14"/>
        <v>1.022</v>
      </c>
      <c r="S12" s="47">
        <f>'LT New Units Info'!R185</f>
        <v>1.022</v>
      </c>
      <c r="T12" s="165">
        <f t="shared" si="15"/>
        <v>0</v>
      </c>
      <c r="U12" s="166">
        <f>'LT New Units Info'!AE185+'LT New Units Info'!AF185</f>
        <v>0</v>
      </c>
      <c r="V12" s="165">
        <f t="shared" si="16"/>
        <v>51.712000000000003</v>
      </c>
      <c r="W12" s="166">
        <f>'LT New Units Info'!U185+'LT New Units Info'!V185</f>
        <v>51.712000000000003</v>
      </c>
      <c r="X12" s="61">
        <f>SUM('LT New Units Info'!H5:P5,'ST Existing Units Info'!L5)</f>
        <v>4755.9810713999996</v>
      </c>
      <c r="Y12" s="167">
        <f>'ST Physical Contracts'!J5</f>
        <v>155.69033771775</v>
      </c>
      <c r="Z12" s="67">
        <f>'LT New Units Info'!AE5+'LT New Units Info'!AF5+'LT New Units Info'!U5+'LT New Units Info'!V5</f>
        <v>210.95917870740001</v>
      </c>
      <c r="AA12" s="66">
        <f t="shared" si="5"/>
        <v>5122.6305878251487</v>
      </c>
      <c r="AB12" s="67">
        <f>'ST NFL Load &amp; Load Cost'!J5</f>
        <v>6193.8770000000004</v>
      </c>
      <c r="AC12" s="67">
        <f>SUM('LT New Units Info'!R5,'LT New Units Info'!W5:AD5,'LT New Units Info'!AG5:AR5)</f>
        <v>33.160609137240002</v>
      </c>
      <c r="AD12" s="66">
        <f t="shared" si="6"/>
        <v>6160.7163908627608</v>
      </c>
      <c r="AE12" s="132">
        <f t="shared" si="7"/>
        <v>-1038.0858030376121</v>
      </c>
      <c r="AF12" s="49">
        <f t="shared" si="8"/>
        <v>1092.10051254</v>
      </c>
      <c r="AG12" s="50">
        <f>'LT Region Planning Peak Load'!G5*1.0887</f>
        <v>1076.6534256299999</v>
      </c>
      <c r="AH12" s="62">
        <f t="shared" si="0"/>
        <v>15.447086910000053</v>
      </c>
      <c r="AI12" s="99">
        <f>(AF12-'LT Region Planning Peak Load'!G5)/'LT Region Planning Peak Load'!G5*100</f>
        <v>10.431992291909204</v>
      </c>
      <c r="AJ12" s="128">
        <f>'ST LT CO2 Emissions'!B5+'ST LT CO2 Emissions'!B37</f>
        <v>4742434.368447734</v>
      </c>
      <c r="AK12" s="42">
        <f t="shared" si="1"/>
        <v>31.870847111408587</v>
      </c>
      <c r="AL12" s="111">
        <f t="shared" si="2"/>
        <v>30.996136454012809</v>
      </c>
      <c r="AM12" s="112">
        <f t="shared" si="3"/>
        <v>39.753152145804009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5">
        <f>'ST NFL Load &amp; Load Cost'!J36</f>
        <v>205527.52840761931</v>
      </c>
      <c r="D13" s="130">
        <f>'LT New Units Info'!AT36+'ST Existing Units Info'!L36+'ST Existing Units Info'!L96</f>
        <v>108913.42425611394</v>
      </c>
      <c r="E13" s="130">
        <f>'LT New Units Info'!AT96+'ST Existing Units Info'!L126</f>
        <v>7519.6011275244655</v>
      </c>
      <c r="F13" s="130">
        <v>61229.540922719723</v>
      </c>
      <c r="G13" s="136">
        <f>'LT New Units Info'!AT66+'LT New Units Info'!AT126+'ST Existing Units Info'!L66+'Existing System FOM OGC'!U9</f>
        <v>15439.943773017045</v>
      </c>
      <c r="H13" s="130">
        <f>'LT New Units Info'!AT216+'LT Battery'!F28</f>
        <v>24614.547590980983</v>
      </c>
      <c r="I13" s="130">
        <f>'ST Physical Contracts'!K6-'ST Physical Contracts'!L6</f>
        <v>-5208.5340214971302</v>
      </c>
      <c r="J13" s="130">
        <f>'LT New Units Info'!AT156+'ST Existing Units Info'!L156-'LT Battery'!L6</f>
        <v>168897.46324460555</v>
      </c>
      <c r="K13" s="137">
        <f t="shared" si="4"/>
        <v>249138.58881187279</v>
      </c>
      <c r="L13" s="224">
        <f t="shared" si="10"/>
        <v>1025558.2899723324</v>
      </c>
      <c r="M13" s="172">
        <f t="shared" si="11"/>
        <v>2024</v>
      </c>
      <c r="N13" s="133">
        <f t="shared" si="12"/>
        <v>-100</v>
      </c>
      <c r="O13" s="70">
        <f>SUM('LT New Units Info'!G186:Q186)</f>
        <v>935.22</v>
      </c>
      <c r="P13" s="134">
        <f t="shared" si="13"/>
        <v>5.8899336600000005</v>
      </c>
      <c r="Q13" s="183">
        <f>SUM('LT New Units Info'!S186:T186,'LT New Units Info'!W186:AD186,'LT New Units Info'!AG186:AR186)</f>
        <v>10.0364462</v>
      </c>
      <c r="R13" s="48">
        <f t="shared" si="14"/>
        <v>0.5109999999999999</v>
      </c>
      <c r="S13" s="47">
        <f>'LT New Units Info'!R186</f>
        <v>1.5329999999999999</v>
      </c>
      <c r="T13" s="165">
        <f t="shared" si="15"/>
        <v>0</v>
      </c>
      <c r="U13" s="166">
        <f>'LT New Units Info'!AE186+'LT New Units Info'!AF186</f>
        <v>0</v>
      </c>
      <c r="V13" s="165">
        <f t="shared" si="16"/>
        <v>77.567999999999998</v>
      </c>
      <c r="W13" s="166">
        <f>'LT New Units Info'!U186+'LT New Units Info'!V186</f>
        <v>129.28</v>
      </c>
      <c r="X13" s="61">
        <f>SUM('LT New Units Info'!H6:P6,'ST Existing Units Info'!L6)</f>
        <v>4432.8192366777603</v>
      </c>
      <c r="Y13" s="167">
        <f>'ST Physical Contracts'!J6</f>
        <v>155.0559856431</v>
      </c>
      <c r="Z13" s="67">
        <f>'LT New Units Info'!AE6+'LT New Units Info'!AF6+'LT New Units Info'!U6+'LT New Units Info'!V6</f>
        <v>537.84207127399998</v>
      </c>
      <c r="AA13" s="66">
        <f t="shared" si="5"/>
        <v>5125.7172935948602</v>
      </c>
      <c r="AB13" s="67">
        <f>'ST NFL Load &amp; Load Cost'!J6</f>
        <v>6175.223</v>
      </c>
      <c r="AC13" s="67">
        <f>SUM('LT New Units Info'!R6,'LT New Units Info'!W6:AD6,'LT New Units Info'!AG6:AR6)</f>
        <v>63.692832855440003</v>
      </c>
      <c r="AD13" s="66">
        <f t="shared" si="6"/>
        <v>6111.5301671445595</v>
      </c>
      <c r="AE13" s="132">
        <f t="shared" si="7"/>
        <v>-985.81287354969936</v>
      </c>
      <c r="AF13" s="49">
        <f t="shared" si="8"/>
        <v>1076.0694462000001</v>
      </c>
      <c r="AG13" s="50">
        <f>'LT Region Planning Peak Load'!G6*1.0887</f>
        <v>1073.7127812813899</v>
      </c>
      <c r="AH13" s="62">
        <f t="shared" si="0"/>
        <v>2.3566649186102495</v>
      </c>
      <c r="AI13" s="99">
        <f>(AF13-'LT Region Planning Peak Load'!G6)/'LT Region Planning Peak Load'!G6*100</f>
        <v>9.1089559984401891</v>
      </c>
      <c r="AJ13" s="128">
        <f>'ST LT CO2 Emissions'!B6+'ST LT CO2 Emissions'!B38</f>
        <v>4400120.9001210174</v>
      </c>
      <c r="AK13" s="42">
        <f t="shared" si="1"/>
        <v>33.282608321613537</v>
      </c>
      <c r="AL13" s="111">
        <f t="shared" si="2"/>
        <v>32.546562928942379</v>
      </c>
      <c r="AM13" s="112">
        <f t="shared" si="3"/>
        <v>40.344873183020724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5">
        <f>'ST NFL Load &amp; Load Cost'!J37</f>
        <v>211489.41592125679</v>
      </c>
      <c r="D14" s="130">
        <f>'LT New Units Info'!AT37+'ST Existing Units Info'!L37+'ST Existing Units Info'!L97</f>
        <v>111920.36816134573</v>
      </c>
      <c r="E14" s="130">
        <f>'LT New Units Info'!AT97+'ST Existing Units Info'!L127</f>
        <v>7951.1268588837156</v>
      </c>
      <c r="F14" s="130">
        <v>56321.083531574106</v>
      </c>
      <c r="G14" s="136">
        <f>'LT New Units Info'!AT67+'LT New Units Info'!AT127+'ST Existing Units Info'!L67+'Existing System FOM OGC'!U10</f>
        <v>15784.556147505804</v>
      </c>
      <c r="H14" s="130">
        <f>'LT New Units Info'!AT217+'LT Battery'!F29</f>
        <v>23587.200032924826</v>
      </c>
      <c r="I14" s="130">
        <f>'ST Physical Contracts'!K7-'ST Physical Contracts'!L7</f>
        <v>-5368.2964107076696</v>
      </c>
      <c r="J14" s="130">
        <f>'LT New Units Info'!AT157+'ST Existing Units Info'!L157-'LT Battery'!L7</f>
        <v>173951.91138344293</v>
      </c>
      <c r="K14" s="137">
        <f t="shared" si="4"/>
        <v>247733.54285934044</v>
      </c>
      <c r="L14" s="224">
        <f t="shared" si="10"/>
        <v>1189435.3575637066</v>
      </c>
      <c r="M14" s="172">
        <f t="shared" si="11"/>
        <v>2025</v>
      </c>
      <c r="N14" s="133">
        <f t="shared" si="12"/>
        <v>0</v>
      </c>
      <c r="O14" s="70">
        <f>SUM('LT New Units Info'!G187:Q187)</f>
        <v>935.22</v>
      </c>
      <c r="P14" s="134">
        <f t="shared" si="13"/>
        <v>-0.4437346299999998</v>
      </c>
      <c r="Q14" s="183">
        <f>SUM('LT New Units Info'!S187:T187,'LT New Units Info'!W187:AD187,'LT New Units Info'!AG187:AR187)</f>
        <v>9.5927115700000005</v>
      </c>
      <c r="R14" s="48">
        <f t="shared" si="14"/>
        <v>0</v>
      </c>
      <c r="S14" s="47">
        <f>'LT New Units Info'!R187</f>
        <v>1.5329999999999999</v>
      </c>
      <c r="T14" s="165">
        <f t="shared" si="15"/>
        <v>0</v>
      </c>
      <c r="U14" s="166">
        <f>'LT New Units Info'!AE187+'LT New Units Info'!AF187</f>
        <v>0</v>
      </c>
      <c r="V14" s="165">
        <f t="shared" si="16"/>
        <v>0</v>
      </c>
      <c r="W14" s="166">
        <f>'LT New Units Info'!U187+'LT New Units Info'!V187</f>
        <v>129.28</v>
      </c>
      <c r="X14" s="61">
        <f>SUM('LT New Units Info'!H7:P7,'ST Existing Units Info'!L7)</f>
        <v>4422.7555000000002</v>
      </c>
      <c r="Y14" s="167">
        <f>'ST Physical Contracts'!J7</f>
        <v>154.6128683352799</v>
      </c>
      <c r="Z14" s="67">
        <f>'LT New Units Info'!AE7+'LT New Units Info'!AF7+'LT New Units Info'!U7+'LT New Units Info'!V7</f>
        <v>527.39794676380006</v>
      </c>
      <c r="AA14" s="66">
        <f t="shared" si="5"/>
        <v>5104.7663150990802</v>
      </c>
      <c r="AB14" s="67">
        <f>'ST NFL Load &amp; Load Cost'!J7</f>
        <v>6161.3240000000005</v>
      </c>
      <c r="AC14" s="67">
        <f>SUM('LT New Units Info'!R7,'LT New Units Info'!W7:AD7,'LT New Units Info'!AG7:AR7)</f>
        <v>60.981453776989994</v>
      </c>
      <c r="AD14" s="66">
        <f t="shared" si="6"/>
        <v>6100.3425462230107</v>
      </c>
      <c r="AE14" s="132">
        <f t="shared" si="7"/>
        <v>-995.57623112393048</v>
      </c>
      <c r="AF14" s="49">
        <f t="shared" si="8"/>
        <v>1075.62571157</v>
      </c>
      <c r="AG14" s="50">
        <f>'LT Region Planning Peak Load'!G7*1.0887</f>
        <v>1070.8975854386401</v>
      </c>
      <c r="AH14" s="62">
        <f t="shared" si="0"/>
        <v>4.7281261313598861</v>
      </c>
      <c r="AI14" s="99">
        <f>(AF14-'LT Region Planning Peak Load'!G7)/'LT Region Planning Peak Load'!G7*100</f>
        <v>9.3506725674988953</v>
      </c>
      <c r="AJ14" s="128">
        <f>'ST LT CO2 Emissions'!B7+'ST LT CO2 Emissions'!B39</f>
        <v>4419865.6617003568</v>
      </c>
      <c r="AK14" s="42">
        <f t="shared" si="1"/>
        <v>34.325319675001147</v>
      </c>
      <c r="AL14" s="111">
        <f t="shared" si="2"/>
        <v>33.674100859417351</v>
      </c>
      <c r="AM14" s="112">
        <f t="shared" si="3"/>
        <v>40.207842155247867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5">
        <f>'ST NFL Load &amp; Load Cost'!J38</f>
        <v>217269.43703061063</v>
      </c>
      <c r="D15" s="130">
        <f>'LT New Units Info'!AT38+'ST Existing Units Info'!L38+'ST Existing Units Info'!L98</f>
        <v>120731.5978740463</v>
      </c>
      <c r="E15" s="130">
        <f>'LT New Units Info'!AT98+'ST Existing Units Info'!L128</f>
        <v>8526.0862327229552</v>
      </c>
      <c r="F15" s="130">
        <v>50029.80577516387</v>
      </c>
      <c r="G15" s="136">
        <f>'LT New Units Info'!AT68+'LT New Units Info'!AT128+'ST Existing Units Info'!L68+'Existing System FOM OGC'!U11</f>
        <v>16445.581607404114</v>
      </c>
      <c r="H15" s="130">
        <f>'LT New Units Info'!AT218+'LT Battery'!F30</f>
        <v>23577.102791144676</v>
      </c>
      <c r="I15" s="130">
        <f>'ST Physical Contracts'!K8-'ST Physical Contracts'!L8</f>
        <v>-5504.4940457483399</v>
      </c>
      <c r="J15" s="130">
        <f>'LT New Units Info'!AT158+'ST Existing Units Info'!L158-'LT Battery'!L8</f>
        <v>184529.66809166406</v>
      </c>
      <c r="K15" s="137">
        <f t="shared" si="4"/>
        <v>246545.44917368019</v>
      </c>
      <c r="L15" s="224">
        <f t="shared" si="10"/>
        <v>1341672.0207249776</v>
      </c>
      <c r="M15" s="172">
        <f t="shared" si="11"/>
        <v>2026</v>
      </c>
      <c r="N15" s="133">
        <f t="shared" si="12"/>
        <v>0</v>
      </c>
      <c r="O15" s="70">
        <f>SUM('LT New Units Info'!G188:Q188)</f>
        <v>935.22</v>
      </c>
      <c r="P15" s="134">
        <f t="shared" si="13"/>
        <v>-0.50322968999999951</v>
      </c>
      <c r="Q15" s="183">
        <f>SUM('LT New Units Info'!S188:T188,'LT New Units Info'!W188:AD188,'LT New Units Info'!AG188:AR188)</f>
        <v>9.089481880000001</v>
      </c>
      <c r="R15" s="48">
        <f t="shared" si="14"/>
        <v>0</v>
      </c>
      <c r="S15" s="47">
        <f>'LT New Units Info'!R188</f>
        <v>1.5329999999999999</v>
      </c>
      <c r="T15" s="165">
        <f t="shared" si="15"/>
        <v>0</v>
      </c>
      <c r="U15" s="166">
        <f>'LT New Units Info'!AE188+'LT New Units Info'!AF188</f>
        <v>0</v>
      </c>
      <c r="V15" s="165">
        <f t="shared" si="16"/>
        <v>0</v>
      </c>
      <c r="W15" s="166">
        <f>'LT New Units Info'!U188+'LT New Units Info'!V188</f>
        <v>129.28</v>
      </c>
      <c r="X15" s="61">
        <f>SUM('LT New Units Info'!H8:P8,'ST Existing Units Info'!L8)</f>
        <v>4567.7765000000009</v>
      </c>
      <c r="Y15" s="167">
        <f>'ST Physical Contracts'!J8</f>
        <v>154.04731400258001</v>
      </c>
      <c r="Z15" s="67">
        <f>'LT New Units Info'!AE8+'LT New Units Info'!AF8+'LT New Units Info'!U8+'LT New Units Info'!V8</f>
        <v>527.39794676324993</v>
      </c>
      <c r="AA15" s="66">
        <f t="shared" si="5"/>
        <v>5249.2217607658304</v>
      </c>
      <c r="AB15" s="67">
        <f>'ST NFL Load &amp; Load Cost'!J8</f>
        <v>6145.0230000000001</v>
      </c>
      <c r="AC15" s="67">
        <f>SUM('LT New Units Info'!R8,'LT New Units Info'!W8:AD8,'LT New Units Info'!AG8:AR8)</f>
        <v>57.747453772699998</v>
      </c>
      <c r="AD15" s="66">
        <f t="shared" si="6"/>
        <v>6087.2755462272999</v>
      </c>
      <c r="AE15" s="132">
        <f t="shared" si="7"/>
        <v>-838.05378546146949</v>
      </c>
      <c r="AF15" s="49">
        <f t="shared" si="8"/>
        <v>1075.1224818800001</v>
      </c>
      <c r="AG15" s="50">
        <f>'LT Region Planning Peak Load'!G8*1.0887</f>
        <v>1068.39688301811</v>
      </c>
      <c r="AH15" s="62">
        <f t="shared" si="0"/>
        <v>6.7255988618901483</v>
      </c>
      <c r="AI15" s="99">
        <f>(AF15-'LT Region Planning Peak Load'!G8)/'LT Region Planning Peak Load'!G8*100</f>
        <v>9.5553407752609143</v>
      </c>
      <c r="AJ15" s="128">
        <f>'ST LT CO2 Emissions'!B8+'ST LT CO2 Emissions'!B40</f>
        <v>4568059.2739040339</v>
      </c>
      <c r="AK15" s="42">
        <f t="shared" si="1"/>
        <v>35.356977025246387</v>
      </c>
      <c r="AL15" s="111">
        <f t="shared" si="2"/>
        <v>34.771196257581813</v>
      </c>
      <c r="AM15" s="112">
        <f t="shared" si="3"/>
        <v>40.121159704964519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5">
        <f>'ST NFL Load &amp; Load Cost'!J39</f>
        <v>225225.40649163231</v>
      </c>
      <c r="D16" s="130">
        <f>'LT New Units Info'!AT39+'ST Existing Units Info'!L39+'ST Existing Units Info'!L99</f>
        <v>118742.12835776761</v>
      </c>
      <c r="E16" s="130">
        <f>'LT New Units Info'!AT99+'ST Existing Units Info'!L129</f>
        <v>8349.6821655852309</v>
      </c>
      <c r="F16" s="130">
        <v>48814.806706505587</v>
      </c>
      <c r="G16" s="136">
        <f>'LT New Units Info'!AT69+'LT New Units Info'!AT129+'ST Existing Units Info'!L69+'Existing System FOM OGC'!U12</f>
        <v>16450.864126911569</v>
      </c>
      <c r="H16" s="130">
        <f>'LT New Units Info'!AT219+'LT Battery'!F31</f>
        <v>23565.262880983722</v>
      </c>
      <c r="I16" s="130">
        <f>'ST Physical Contracts'!K9-'ST Physical Contracts'!L9</f>
        <v>-5700.7358772326597</v>
      </c>
      <c r="J16" s="130">
        <f>'LT New Units Info'!AT159+'ST Existing Units Info'!L159-'LT Battery'!L9</f>
        <v>181156.2301457884</v>
      </c>
      <c r="K16" s="137">
        <f t="shared" si="4"/>
        <v>254291.18470636493</v>
      </c>
      <c r="L16" s="224">
        <f t="shared" si="10"/>
        <v>1488241.1358199811</v>
      </c>
      <c r="M16" s="172">
        <f t="shared" si="11"/>
        <v>2027</v>
      </c>
      <c r="N16" s="133">
        <f t="shared" si="12"/>
        <v>0</v>
      </c>
      <c r="O16" s="70">
        <f>SUM('LT New Units Info'!G189:Q189)</f>
        <v>935.22</v>
      </c>
      <c r="P16" s="134">
        <f t="shared" si="13"/>
        <v>-0.51606995000000033</v>
      </c>
      <c r="Q16" s="183">
        <f>SUM('LT New Units Info'!S189:T189,'LT New Units Info'!W189:AD189,'LT New Units Info'!AG189:AR189)</f>
        <v>8.5734119300000007</v>
      </c>
      <c r="R16" s="48">
        <f t="shared" si="14"/>
        <v>0.51100000000000012</v>
      </c>
      <c r="S16" s="47">
        <f>'LT New Units Info'!R189</f>
        <v>2.044</v>
      </c>
      <c r="T16" s="165">
        <f t="shared" si="15"/>
        <v>0</v>
      </c>
      <c r="U16" s="166">
        <f>'LT New Units Info'!AE189+'LT New Units Info'!AF189</f>
        <v>0</v>
      </c>
      <c r="V16" s="165">
        <f t="shared" si="16"/>
        <v>0</v>
      </c>
      <c r="W16" s="166">
        <f>'LT New Units Info'!U189+'LT New Units Info'!V189</f>
        <v>129.28</v>
      </c>
      <c r="X16" s="61">
        <f>SUM('LT New Units Info'!H9:P9,'ST Existing Units Info'!L9)</f>
        <v>4291.8422813659208</v>
      </c>
      <c r="Y16" s="167">
        <f>'ST Physical Contracts'!J9</f>
        <v>153.58587243741999</v>
      </c>
      <c r="Z16" s="67">
        <f>'LT New Units Info'!AE9+'LT New Units Info'!AF9+'LT New Units Info'!U9+'LT New Units Info'!V9</f>
        <v>527.3979467652</v>
      </c>
      <c r="AA16" s="66">
        <f t="shared" si="5"/>
        <v>4972.8261005685408</v>
      </c>
      <c r="AB16" s="67">
        <f>'ST NFL Load &amp; Load Cost'!J9</f>
        <v>6132.3269999999993</v>
      </c>
      <c r="AC16" s="67">
        <f>SUM('LT New Units Info'!R9,'LT New Units Info'!W9:AD9,'LT New Units Info'!AG9:AR9)</f>
        <v>55.933758301940003</v>
      </c>
      <c r="AD16" s="66">
        <f t="shared" si="6"/>
        <v>6076.3932416980597</v>
      </c>
      <c r="AE16" s="132">
        <f t="shared" si="7"/>
        <v>-1103.5671411295189</v>
      </c>
      <c r="AF16" s="49">
        <f t="shared" si="8"/>
        <v>1075.1174119300001</v>
      </c>
      <c r="AG16" s="50">
        <f>'LT Region Planning Peak Load'!G9*1.0887</f>
        <v>1066.96494726267</v>
      </c>
      <c r="AH16" s="62">
        <f t="shared" si="0"/>
        <v>8.1524646673301504</v>
      </c>
      <c r="AI16" s="99">
        <f>(AF16-'LT Region Planning Peak Load'!G9)/'LT Region Planning Peak Load'!G9*100</f>
        <v>9.7018537835842551</v>
      </c>
      <c r="AJ16" s="128">
        <f>'ST LT CO2 Emissions'!B9+'ST LT CO2 Emissions'!B41</f>
        <v>4297963.7104233121</v>
      </c>
      <c r="AK16" s="42">
        <f t="shared" si="1"/>
        <v>36.727559781406363</v>
      </c>
      <c r="AL16" s="111">
        <f t="shared" si="2"/>
        <v>36.024036786373458</v>
      </c>
      <c r="AM16" s="112">
        <f t="shared" si="3"/>
        <v>41.467323041704226</v>
      </c>
      <c r="AN16" s="11">
        <f t="shared" si="17"/>
        <v>2027</v>
      </c>
      <c r="AO16" s="5"/>
      <c r="AP16" s="6"/>
      <c r="AQ16" s="6"/>
    </row>
    <row r="17" spans="2:43">
      <c r="B17" s="281">
        <f t="shared" si="9"/>
        <v>2028</v>
      </c>
      <c r="C17" s="282">
        <f>'ST NFL Load &amp; Load Cost'!J40</f>
        <v>279834.37021347659</v>
      </c>
      <c r="D17" s="283">
        <f>'LT New Units Info'!AT40+'ST Existing Units Info'!L40+'ST Existing Units Info'!L100</f>
        <v>86065.64871483625</v>
      </c>
      <c r="E17" s="283">
        <f>'LT New Units Info'!AT100+'ST Existing Units Info'!L130</f>
        <v>47721.228639476314</v>
      </c>
      <c r="F17" s="283">
        <v>49255.252343599852</v>
      </c>
      <c r="G17" s="284">
        <f>'LT New Units Info'!AT70+'LT New Units Info'!AT130+'ST Existing Units Info'!L70+'Existing System FOM OGC'!U13</f>
        <v>20908.545037736396</v>
      </c>
      <c r="H17" s="283">
        <f>'LT New Units Info'!AT220+'LT Battery'!F32</f>
        <v>35400.761175250664</v>
      </c>
      <c r="I17" s="283">
        <f>'ST Physical Contracts'!K10-'ST Physical Contracts'!L10</f>
        <v>-7053.7330867887194</v>
      </c>
      <c r="J17" s="283">
        <f>'LT New Units Info'!AT160+'ST Existing Units Info'!L160-'LT Battery'!L10</f>
        <v>189574.7206220841</v>
      </c>
      <c r="K17" s="285">
        <f t="shared" si="4"/>
        <v>322557.35241550318</v>
      </c>
      <c r="L17" s="224">
        <f t="shared" si="10"/>
        <v>1661784.0961650489</v>
      </c>
      <c r="M17" s="172">
        <f t="shared" si="11"/>
        <v>2028</v>
      </c>
      <c r="N17" s="133">
        <f t="shared" si="12"/>
        <v>0</v>
      </c>
      <c r="O17" s="70">
        <f>SUM('LT New Units Info'!G190:Q190)</f>
        <v>935.22</v>
      </c>
      <c r="P17" s="134">
        <f t="shared" si="13"/>
        <v>-0.57244310000000098</v>
      </c>
      <c r="Q17" s="183">
        <f>SUM('LT New Units Info'!S190:T190,'LT New Units Info'!W190:AD190,'LT New Units Info'!AG190:AR190)</f>
        <v>8.0009688299999997</v>
      </c>
      <c r="R17" s="48">
        <f t="shared" si="14"/>
        <v>0</v>
      </c>
      <c r="S17" s="47">
        <f>'LT New Units Info'!R190</f>
        <v>2.044</v>
      </c>
      <c r="T17" s="165">
        <f t="shared" si="15"/>
        <v>12.3</v>
      </c>
      <c r="U17" s="166">
        <f>'LT New Units Info'!AE190+'LT New Units Info'!AF190</f>
        <v>12.3</v>
      </c>
      <c r="V17" s="165">
        <f t="shared" si="16"/>
        <v>0</v>
      </c>
      <c r="W17" s="166">
        <f>'LT New Units Info'!U190+'LT New Units Info'!V190</f>
        <v>129.28</v>
      </c>
      <c r="X17" s="61">
        <f>SUM('LT New Units Info'!H10:P10,'ST Existing Units Info'!L10)</f>
        <v>3081.4437737448252</v>
      </c>
      <c r="Y17" s="167">
        <f>'ST Physical Contracts'!J10</f>
        <v>153.11448507087999</v>
      </c>
      <c r="Z17" s="67">
        <f>'LT New Units Info'!AE10+'LT New Units Info'!AF10+'LT New Units Info'!U10+'LT New Units Info'!V10</f>
        <v>863.11371621550006</v>
      </c>
      <c r="AA17" s="66">
        <f t="shared" si="5"/>
        <v>4097.6719750312059</v>
      </c>
      <c r="AB17" s="67">
        <f>'ST NFL Load &amp; Load Cost'!J10</f>
        <v>6120.5659999999998</v>
      </c>
      <c r="AC17" s="67">
        <f>SUM('LT New Units Info'!R10,'LT New Units Info'!W10:AD10,'LT New Units Info'!AG10:AR10)</f>
        <v>52.036930424259999</v>
      </c>
      <c r="AD17" s="66">
        <f t="shared" si="6"/>
        <v>6068.5290695757394</v>
      </c>
      <c r="AE17" s="132">
        <f t="shared" si="7"/>
        <v>-1970.8570945445335</v>
      </c>
      <c r="AF17" s="49">
        <f t="shared" si="8"/>
        <v>1086.84496883</v>
      </c>
      <c r="AG17" s="50">
        <f>'LT Region Planning Peak Load'!G10*1.0887</f>
        <v>1066.0315923414898</v>
      </c>
      <c r="AH17" s="62">
        <f t="shared" si="0"/>
        <v>20.81337648851013</v>
      </c>
      <c r="AI17" s="99">
        <f>(AF17-'LT Region Planning Peak Load'!G10)/'LT Region Planning Peak Load'!G10*100</f>
        <v>10.995595821533792</v>
      </c>
      <c r="AJ17" s="128">
        <f>'ST LT CO2 Emissions'!B10+'ST LT CO2 Emissions'!B42</f>
        <v>3059632.9913011491</v>
      </c>
      <c r="AK17" s="42">
        <f t="shared" si="1"/>
        <v>45.720341911757281</v>
      </c>
      <c r="AL17" s="111">
        <f t="shared" si="2"/>
        <v>45.683859986626373</v>
      </c>
      <c r="AM17" s="112">
        <f t="shared" si="3"/>
        <v>52.700575798954411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5">
        <f>'ST NFL Load &amp; Load Cost'!J41</f>
        <v>280872.82751056651</v>
      </c>
      <c r="D18" s="130">
        <f>'LT New Units Info'!AT41+'ST Existing Units Info'!L41+'ST Existing Units Info'!L101</f>
        <v>88802.709706929658</v>
      </c>
      <c r="E18" s="130">
        <f>'LT New Units Info'!AT101+'ST Existing Units Info'!L131</f>
        <v>51548.277270261402</v>
      </c>
      <c r="F18" s="130">
        <v>47861.252343599852</v>
      </c>
      <c r="G18" s="136">
        <f>'LT New Units Info'!AT71+'LT New Units Info'!AT131+'ST Existing Units Info'!L71+'Existing System FOM OGC'!U14</f>
        <v>21874.198147775216</v>
      </c>
      <c r="H18" s="130">
        <f>'LT New Units Info'!AT221+'LT Battery'!F33</f>
        <v>35385.265073102419</v>
      </c>
      <c r="I18" s="130">
        <f>'ST Physical Contracts'!K11-'ST Physical Contracts'!L11</f>
        <v>-7082.6261477191892</v>
      </c>
      <c r="J18" s="130">
        <f>'LT New Units Info'!AT161+'ST Existing Units Info'!L161-'LT Battery'!L11</f>
        <v>194602.89889347478</v>
      </c>
      <c r="K18" s="137">
        <f t="shared" si="4"/>
        <v>324659.00501104112</v>
      </c>
      <c r="L18" s="224">
        <f t="shared" si="10"/>
        <v>1824832.444651095</v>
      </c>
      <c r="M18" s="172">
        <f t="shared" si="11"/>
        <v>2029</v>
      </c>
      <c r="N18" s="133">
        <f t="shared" si="12"/>
        <v>0</v>
      </c>
      <c r="O18" s="70">
        <f>SUM('LT New Units Info'!G191:Q191)</f>
        <v>935.22</v>
      </c>
      <c r="P18" s="134">
        <f t="shared" si="13"/>
        <v>-0.68782923000000018</v>
      </c>
      <c r="Q18" s="183">
        <f>SUM('LT New Units Info'!S191:T191,'LT New Units Info'!W191:AD191,'LT New Units Info'!AG191:AR191)</f>
        <v>7.3131395999999995</v>
      </c>
      <c r="R18" s="48">
        <f t="shared" si="14"/>
        <v>0.51100000000000012</v>
      </c>
      <c r="S18" s="47">
        <f>'LT New Units Info'!R191</f>
        <v>2.5550000000000002</v>
      </c>
      <c r="T18" s="165">
        <f t="shared" si="15"/>
        <v>0</v>
      </c>
      <c r="U18" s="166">
        <f>'LT New Units Info'!AE191+'LT New Units Info'!AF191</f>
        <v>12.3</v>
      </c>
      <c r="V18" s="165">
        <f t="shared" si="16"/>
        <v>0</v>
      </c>
      <c r="W18" s="166">
        <f>'LT New Units Info'!U191+'LT New Units Info'!V191</f>
        <v>129.28</v>
      </c>
      <c r="X18" s="61">
        <f>SUM('LT New Units Info'!H11:P11,'ST Existing Units Info'!L11)</f>
        <v>3194.3838094085099</v>
      </c>
      <c r="Y18" s="167">
        <f>'ST Physical Contracts'!J11</f>
        <v>152.91130539568002</v>
      </c>
      <c r="Z18" s="67">
        <f>'LT New Units Info'!AE11+'LT New Units Info'!AF11+'LT New Units Info'!U11+'LT New Units Info'!V11</f>
        <v>851.51794738084004</v>
      </c>
      <c r="AA18" s="66">
        <f t="shared" si="5"/>
        <v>4198.8130621850296</v>
      </c>
      <c r="AB18" s="67">
        <f>'ST NFL Load &amp; Load Cost'!J11</f>
        <v>6119.6439999999993</v>
      </c>
      <c r="AC18" s="67">
        <f>SUM('LT New Units Info'!R11,'LT New Units Info'!W11:AD11,'LT New Units Info'!AG11:AR11)</f>
        <v>49.065643945520016</v>
      </c>
      <c r="AD18" s="66">
        <f t="shared" si="6"/>
        <v>6070.5783560544796</v>
      </c>
      <c r="AE18" s="132">
        <f t="shared" si="7"/>
        <v>-1871.76529386945</v>
      </c>
      <c r="AF18" s="49">
        <f t="shared" si="8"/>
        <v>1086.6681395999999</v>
      </c>
      <c r="AG18" s="50">
        <f>'LT Region Planning Peak Load'!G11*1.0887</f>
        <v>1066.1558834503801</v>
      </c>
      <c r="AH18" s="62">
        <f t="shared" si="0"/>
        <v>20.512256149619816</v>
      </c>
      <c r="AI18" s="99">
        <f>(AF18-'LT Region Planning Peak Load'!G11)/'LT Region Planning Peak Load'!G11*100</f>
        <v>10.964599262334842</v>
      </c>
      <c r="AJ18" s="128">
        <f>'ST LT CO2 Emissions'!B11+'ST LT CO2 Emissions'!B43</f>
        <v>3194417.9923881749</v>
      </c>
      <c r="AK18" s="42">
        <f t="shared" si="1"/>
        <v>45.896922682196305</v>
      </c>
      <c r="AL18" s="111">
        <f t="shared" si="2"/>
        <v>45.811783329082203</v>
      </c>
      <c r="AM18" s="112">
        <f t="shared" si="3"/>
        <v>53.051943056008021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5">
        <f>'ST NFL Load &amp; Load Cost'!J42</f>
        <v>286106.02577618498</v>
      </c>
      <c r="D19" s="130">
        <f>'LT New Units Info'!AT42+'ST Existing Units Info'!L42+'ST Existing Units Info'!L102</f>
        <v>87026.989043544207</v>
      </c>
      <c r="E19" s="130">
        <f>'LT New Units Info'!AT102+'ST Existing Units Info'!L132</f>
        <v>50895.238988989506</v>
      </c>
      <c r="F19" s="130">
        <v>40606.372343599855</v>
      </c>
      <c r="G19" s="136">
        <f>'LT New Units Info'!AT72+'LT New Units Info'!AT132+'ST Existing Units Info'!L72+'Existing System FOM OGC'!U15</f>
        <v>29490.802939589106</v>
      </c>
      <c r="H19" s="130">
        <f>'LT New Units Info'!AT222+'LT Battery'!F34</f>
        <v>48195.105499161567</v>
      </c>
      <c r="I19" s="130">
        <f>'ST Physical Contracts'!K12-'ST Physical Contracts'!L12</f>
        <v>-7214.1870538983894</v>
      </c>
      <c r="J19" s="130">
        <f>'LT New Units Info'!AT162+'ST Existing Units Info'!L162-'LT Battery'!L12</f>
        <v>207760.1974209465</v>
      </c>
      <c r="K19" s="137">
        <f t="shared" si="4"/>
        <v>327346.15011622437</v>
      </c>
      <c r="L19" s="224">
        <f t="shared" si="10"/>
        <v>1978288.8721686441</v>
      </c>
      <c r="M19" s="172">
        <f t="shared" si="11"/>
        <v>2030</v>
      </c>
      <c r="N19" s="133">
        <f t="shared" si="12"/>
        <v>0</v>
      </c>
      <c r="O19" s="70">
        <f>SUM('LT New Units Info'!G192:Q192)</f>
        <v>935.22</v>
      </c>
      <c r="P19" s="134">
        <f t="shared" si="13"/>
        <v>0.13353881000000012</v>
      </c>
      <c r="Q19" s="183">
        <f>SUM('LT New Units Info'!S192:T192,'LT New Units Info'!W192:AD192,'LT New Units Info'!AG192:AR192)</f>
        <v>7.4466784099999996</v>
      </c>
      <c r="R19" s="48">
        <f t="shared" si="14"/>
        <v>0.51099999999999968</v>
      </c>
      <c r="S19" s="47">
        <f>'LT New Units Info'!R192</f>
        <v>3.0659999999999998</v>
      </c>
      <c r="T19" s="165">
        <f t="shared" si="15"/>
        <v>12.3</v>
      </c>
      <c r="U19" s="166">
        <f>'LT New Units Info'!AE192+'LT New Units Info'!AF192</f>
        <v>24.6</v>
      </c>
      <c r="V19" s="165">
        <f t="shared" si="16"/>
        <v>0</v>
      </c>
      <c r="W19" s="166">
        <f>'LT New Units Info'!U192+'LT New Units Info'!V192</f>
        <v>129.28</v>
      </c>
      <c r="X19" s="61">
        <f>SUM('LT New Units Info'!H12:P12,'ST Existing Units Info'!L12)</f>
        <v>3058.3462835105802</v>
      </c>
      <c r="Y19" s="167">
        <f>'ST Physical Contracts'!J12</f>
        <v>152.48116887360999</v>
      </c>
      <c r="Z19" s="67">
        <f>'LT New Units Info'!AE12+'LT New Units Info'!AF12+'LT New Units Info'!U12+'LT New Units Info'!V12</f>
        <v>1175.637948004309</v>
      </c>
      <c r="AA19" s="66">
        <f t="shared" si="5"/>
        <v>4386.4654003884989</v>
      </c>
      <c r="AB19" s="67">
        <f>'ST NFL Load &amp; Load Cost'!J12</f>
        <v>6108.1409999999996</v>
      </c>
      <c r="AC19" s="67">
        <f>SUM('LT New Units Info'!R12,'LT New Units Info'!W12:AD12,'LT New Units Info'!AG12:AR12)</f>
        <v>49.512367417140013</v>
      </c>
      <c r="AD19" s="66">
        <f t="shared" si="6"/>
        <v>6058.6286325828596</v>
      </c>
      <c r="AE19" s="132">
        <f t="shared" si="7"/>
        <v>-1672.1632321943607</v>
      </c>
      <c r="AF19" s="49">
        <f t="shared" si="8"/>
        <v>1099.6126784100002</v>
      </c>
      <c r="AG19" s="50">
        <f>'LT Region Planning Peak Load'!G12*1.0887</f>
        <v>1065.1819442972101</v>
      </c>
      <c r="AH19" s="62">
        <f t="shared" si="0"/>
        <v>34.430734112790105</v>
      </c>
      <c r="AI19" s="99">
        <f>(AF19-'LT Region Planning Peak Load'!G12)/'LT Region Planning Peak Load'!G12*100</f>
        <v>12.389092717378572</v>
      </c>
      <c r="AJ19" s="128">
        <f>'ST LT CO2 Emissions'!B12+'ST LT CO2 Emissions'!B44</f>
        <v>3052402.9875832065</v>
      </c>
      <c r="AK19" s="42">
        <f t="shared" si="1"/>
        <v>46.840114819907562</v>
      </c>
      <c r="AL19" s="111">
        <f t="shared" si="2"/>
        <v>46.835265705968581</v>
      </c>
      <c r="AM19" s="112">
        <f t="shared" si="3"/>
        <v>53.591780234972376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5">
        <f>'ST NFL Load &amp; Load Cost'!J43</f>
        <v>289936.19105304894</v>
      </c>
      <c r="D20" s="130">
        <f>'LT New Units Info'!AT43+'ST Existing Units Info'!L43+'ST Existing Units Info'!L103</f>
        <v>84705.514724500012</v>
      </c>
      <c r="E20" s="130">
        <f>'LT New Units Info'!AT103+'ST Existing Units Info'!L133</f>
        <v>54362.637899947287</v>
      </c>
      <c r="F20" s="130">
        <v>39599.836343599847</v>
      </c>
      <c r="G20" s="136">
        <f>'LT New Units Info'!AT73+'LT New Units Info'!AT133+'ST Existing Units Info'!L73+'Existing System FOM OGC'!U16</f>
        <v>41012.558966058474</v>
      </c>
      <c r="H20" s="130">
        <f>'LT New Units Info'!AT223+'LT Battery'!F35</f>
        <v>92847.848255633115</v>
      </c>
      <c r="I20" s="130">
        <f>'ST Physical Contracts'!K13-'ST Physical Contracts'!L13</f>
        <v>-7321.1078296739597</v>
      </c>
      <c r="J20" s="130">
        <f>'LT New Units Info'!AT163+'ST Existing Units Info'!L163-'LT Battery'!L13</f>
        <v>233442.09506447407</v>
      </c>
      <c r="K20" s="137">
        <f t="shared" si="4"/>
        <v>361701.38434863975</v>
      </c>
      <c r="L20" s="224">
        <f t="shared" si="10"/>
        <v>2136565.544894693</v>
      </c>
      <c r="M20" s="172">
        <f t="shared" si="11"/>
        <v>2031</v>
      </c>
      <c r="N20" s="133">
        <f t="shared" si="12"/>
        <v>-139.89999999999998</v>
      </c>
      <c r="O20" s="70">
        <f>SUM('LT New Units Info'!G193:Q193)</f>
        <v>795.32</v>
      </c>
      <c r="P20" s="134">
        <f t="shared" si="13"/>
        <v>3.0750451800000027</v>
      </c>
      <c r="Q20" s="183">
        <f>SUM('LT New Units Info'!S193:T193,'LT New Units Info'!W193:AD193,'LT New Units Info'!AG193:AR193)</f>
        <v>10.521723590000002</v>
      </c>
      <c r="R20" s="48">
        <f t="shared" si="14"/>
        <v>0.51100000000000012</v>
      </c>
      <c r="S20" s="47">
        <f>'LT New Units Info'!R193</f>
        <v>3.577</v>
      </c>
      <c r="T20" s="165">
        <f t="shared" si="15"/>
        <v>0</v>
      </c>
      <c r="U20" s="166">
        <f>'LT New Units Info'!AE193+'LT New Units Info'!AF193</f>
        <v>24.6</v>
      </c>
      <c r="V20" s="165">
        <f t="shared" si="16"/>
        <v>103.42400000000001</v>
      </c>
      <c r="W20" s="166">
        <f>'LT New Units Info'!U193+'LT New Units Info'!V193</f>
        <v>232.70400000000001</v>
      </c>
      <c r="X20" s="61">
        <f>SUM('LT New Units Info'!H13:P13,'ST Existing Units Info'!L13)</f>
        <v>3104.38993812226</v>
      </c>
      <c r="Y20" s="167">
        <f>'ST Physical Contracts'!J13</f>
        <v>152.17212302920001</v>
      </c>
      <c r="Z20" s="67">
        <f>'LT New Units Info'!AE13+'LT New Units Info'!AF13+'LT New Units Info'!U13+'LT New Units Info'!V13</f>
        <v>1597.55630542074</v>
      </c>
      <c r="AA20" s="66">
        <f t="shared" si="5"/>
        <v>4854.1183665722001</v>
      </c>
      <c r="AB20" s="67">
        <f>'ST NFL Load &amp; Load Cost'!J13</f>
        <v>6100.982</v>
      </c>
      <c r="AC20" s="67">
        <f>SUM('LT New Units Info'!R13,'LT New Units Info'!W13:AD13,'LT New Units Info'!AG13:AR13)</f>
        <v>61.025249635600019</v>
      </c>
      <c r="AD20" s="66">
        <f t="shared" si="6"/>
        <v>6039.9567503644002</v>
      </c>
      <c r="AE20" s="132">
        <f t="shared" si="7"/>
        <v>-1185.8383837922001</v>
      </c>
      <c r="AF20" s="49">
        <f t="shared" si="8"/>
        <v>1066.72272359</v>
      </c>
      <c r="AG20" s="50">
        <f>'LT Region Planning Peak Load'!G13*1.0887</f>
        <v>1065.14507209674</v>
      </c>
      <c r="AH20" s="62">
        <f t="shared" si="0"/>
        <v>1.5776514932599639</v>
      </c>
      <c r="AI20" s="99">
        <f>(AF20-'LT Region Planning Peak Load'!G13)/'LT Region Planning Peak Load'!G13*100</f>
        <v>9.0312540137214441</v>
      </c>
      <c r="AJ20" s="128">
        <f>'ST LT CO2 Emissions'!B13+'ST LT CO2 Emissions'!B45</f>
        <v>3146839.9800220104</v>
      </c>
      <c r="AK20" s="42">
        <f t="shared" si="1"/>
        <v>47.522872720006212</v>
      </c>
      <c r="AL20" s="111">
        <f t="shared" si="2"/>
        <v>47.494460649062901</v>
      </c>
      <c r="AM20" s="112">
        <f t="shared" si="3"/>
        <v>59.285764873366247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5">
        <f>'ST NFL Load &amp; Load Cost'!J44</f>
        <v>297163.67051511479</v>
      </c>
      <c r="D21" s="130">
        <f>'LT New Units Info'!AT44+'ST Existing Units Info'!L44+'ST Existing Units Info'!L104</f>
        <v>88065.710311275587</v>
      </c>
      <c r="E21" s="130">
        <f>'LT New Units Info'!AT104+'ST Existing Units Info'!L134</f>
        <v>57831.948971196158</v>
      </c>
      <c r="F21" s="130">
        <v>39501.473143599855</v>
      </c>
      <c r="G21" s="136">
        <f>'LT New Units Info'!AT74+'LT New Units Info'!AT134+'ST Existing Units Info'!L74+'Existing System FOM OGC'!U17</f>
        <v>41729.338290992862</v>
      </c>
      <c r="H21" s="130">
        <f>'LT New Units Info'!AT224+'LT Battery'!F36</f>
        <v>92809.29988434691</v>
      </c>
      <c r="I21" s="130">
        <f>'ST Physical Contracts'!K14-'ST Physical Contracts'!L14</f>
        <v>-7508.9184264065998</v>
      </c>
      <c r="J21" s="130">
        <f>'LT New Units Info'!AT164+'ST Existing Units Info'!L164-'LT Battery'!L14</f>
        <v>246534.06418566778</v>
      </c>
      <c r="K21" s="137">
        <f t="shared" si="4"/>
        <v>363058.45850445179</v>
      </c>
      <c r="L21" s="224">
        <f t="shared" si="10"/>
        <v>2284862.4868532908</v>
      </c>
      <c r="M21" s="172">
        <f t="shared" si="11"/>
        <v>2032</v>
      </c>
      <c r="N21" s="133">
        <f t="shared" si="12"/>
        <v>0</v>
      </c>
      <c r="O21" s="70">
        <f>SUM('LT New Units Info'!G194:Q194)</f>
        <v>795.32</v>
      </c>
      <c r="P21" s="134">
        <f t="shared" si="13"/>
        <v>-0.23970779000000242</v>
      </c>
      <c r="Q21" s="183">
        <f>SUM('LT New Units Info'!S194:T194,'LT New Units Info'!W194:AD194,'LT New Units Info'!AG194:AR194)</f>
        <v>10.2820158</v>
      </c>
      <c r="R21" s="48">
        <f t="shared" si="14"/>
        <v>0</v>
      </c>
      <c r="S21" s="47">
        <f>'LT New Units Info'!R194</f>
        <v>3.577</v>
      </c>
      <c r="T21" s="165">
        <f t="shared" si="15"/>
        <v>0</v>
      </c>
      <c r="U21" s="166">
        <f>'LT New Units Info'!AE194+'LT New Units Info'!AF194</f>
        <v>24.6</v>
      </c>
      <c r="V21" s="165">
        <f t="shared" si="16"/>
        <v>0</v>
      </c>
      <c r="W21" s="166">
        <f>'LT New Units Info'!U194+'LT New Units Info'!V194</f>
        <v>232.70400000000001</v>
      </c>
      <c r="X21" s="61">
        <f>SUM('LT New Units Info'!H14:P14,'ST Existing Units Info'!L14)</f>
        <v>3200.6234591514999</v>
      </c>
      <c r="Y21" s="167">
        <f>'ST Physical Contracts'!J14</f>
        <v>151.83264153258</v>
      </c>
      <c r="Z21" s="67">
        <f>'LT New Units Info'!AE14+'LT New Units Info'!AF14+'LT New Units Info'!U14+'LT New Units Info'!V14</f>
        <v>1618.6590181543002</v>
      </c>
      <c r="AA21" s="66">
        <f t="shared" si="5"/>
        <v>4971.1151188383801</v>
      </c>
      <c r="AB21" s="67">
        <f>'ST NFL Load &amp; Load Cost'!J14</f>
        <v>6092.3810000000003</v>
      </c>
      <c r="AC21" s="67">
        <f>SUM('LT New Units Info'!R14,'LT New Units Info'!W14:AD14,'LT New Units Info'!AG14:AR14)</f>
        <v>57.550800764830008</v>
      </c>
      <c r="AD21" s="66">
        <f t="shared" si="6"/>
        <v>6034.8301992351699</v>
      </c>
      <c r="AE21" s="132">
        <f t="shared" si="7"/>
        <v>-1063.7150803967897</v>
      </c>
      <c r="AF21" s="49">
        <f t="shared" si="8"/>
        <v>1066.4830158</v>
      </c>
      <c r="AG21" s="50">
        <f>'LT Region Planning Peak Load'!G14*1.0887</f>
        <v>1065.17999443551</v>
      </c>
      <c r="AH21" s="62">
        <f t="shared" si="0"/>
        <v>1.3030213644899504</v>
      </c>
      <c r="AI21" s="99">
        <f>(AF21-'LT Region Planning Peak Load'!G14)/'LT Region Planning Peak Load'!G14*100</f>
        <v>9.0031793093121308</v>
      </c>
      <c r="AJ21" s="128">
        <f>'ST LT CO2 Emissions'!B14+'ST LT CO2 Emissions'!B46</f>
        <v>3240391.5671157152</v>
      </c>
      <c r="AK21" s="42">
        <f t="shared" si="1"/>
        <v>48.776278193224421</v>
      </c>
      <c r="AL21" s="111">
        <f t="shared" si="2"/>
        <v>49.025739257127</v>
      </c>
      <c r="AM21" s="112">
        <f t="shared" si="3"/>
        <v>59.592211732071874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5">
        <f>'ST NFL Load &amp; Load Cost'!J45</f>
        <v>302433.04227724817</v>
      </c>
      <c r="D22" s="130">
        <f>'LT New Units Info'!AT45+'ST Existing Units Info'!L45+'ST Existing Units Info'!L105</f>
        <v>83925.516905857003</v>
      </c>
      <c r="E22" s="130">
        <f>'LT New Units Info'!AT105+'ST Existing Units Info'!L135</f>
        <v>57108.414803898064</v>
      </c>
      <c r="F22" s="130">
        <v>39427.877303599846</v>
      </c>
      <c r="G22" s="136">
        <f>'LT New Units Info'!AT75+'LT New Units Info'!AT135+'ST Existing Units Info'!L75+'Existing System FOM OGC'!U18</f>
        <v>42299.327418380773</v>
      </c>
      <c r="H22" s="130">
        <f>'LT New Units Info'!AT225+'LT Battery'!F37</f>
        <v>92272.299656571908</v>
      </c>
      <c r="I22" s="130">
        <f>'ST Physical Contracts'!K15-'ST Physical Contracts'!L15</f>
        <v>-7630.89689741851</v>
      </c>
      <c r="J22" s="130">
        <f>'LT New Units Info'!AT165+'ST Existing Units Info'!L165-'LT Battery'!L15</f>
        <v>242625.89667380878</v>
      </c>
      <c r="K22" s="137">
        <f t="shared" si="4"/>
        <v>367209.68479432852</v>
      </c>
      <c r="L22" s="224">
        <f t="shared" si="10"/>
        <v>2424872.3586702272</v>
      </c>
      <c r="M22" s="172">
        <f t="shared" si="11"/>
        <v>2033</v>
      </c>
      <c r="N22" s="133">
        <f t="shared" si="12"/>
        <v>0</v>
      </c>
      <c r="O22" s="70">
        <f>SUM('LT New Units Info'!G195:Q195)</f>
        <v>795.32</v>
      </c>
      <c r="P22" s="134">
        <f t="shared" si="13"/>
        <v>-0.61957482000000041</v>
      </c>
      <c r="Q22" s="183">
        <f>SUM('LT New Units Info'!S195:T195,'LT New Units Info'!W195:AD195,'LT New Units Info'!AG195:AR195)</f>
        <v>9.6624409799999995</v>
      </c>
      <c r="R22" s="48">
        <f t="shared" si="14"/>
        <v>0.51100000000000012</v>
      </c>
      <c r="S22" s="47">
        <f>'LT New Units Info'!R195</f>
        <v>4.0880000000000001</v>
      </c>
      <c r="T22" s="165">
        <f t="shared" si="15"/>
        <v>0</v>
      </c>
      <c r="U22" s="166">
        <f>'LT New Units Info'!AE195+'LT New Units Info'!AF195</f>
        <v>24.6</v>
      </c>
      <c r="V22" s="165">
        <f t="shared" si="16"/>
        <v>0</v>
      </c>
      <c r="W22" s="166">
        <f>'LT New Units Info'!U195+'LT New Units Info'!V195</f>
        <v>232.70400000000001</v>
      </c>
      <c r="X22" s="61">
        <f>SUM('LT New Units Info'!H15:P15,'ST Existing Units Info'!L15)</f>
        <v>3061.2172529981954</v>
      </c>
      <c r="Y22" s="167">
        <f>'ST Physical Contracts'!J15</f>
        <v>151.37528161054001</v>
      </c>
      <c r="Z22" s="67">
        <f>'LT New Units Info'!AE15+'LT New Units Info'!AF15+'LT New Units Info'!U15+'LT New Units Info'!V15</f>
        <v>1597.5563054103811</v>
      </c>
      <c r="AA22" s="66">
        <f t="shared" si="5"/>
        <v>4810.1488400191165</v>
      </c>
      <c r="AB22" s="67">
        <f>'ST NFL Load &amp; Load Cost'!J15</f>
        <v>6088.7169999999996</v>
      </c>
      <c r="AC22" s="67">
        <f>SUM('LT New Units Info'!R15,'LT New Units Info'!W15:AD15,'LT New Units Info'!AG15:AR15)</f>
        <v>55.230554173480002</v>
      </c>
      <c r="AD22" s="66">
        <f t="shared" si="6"/>
        <v>6033.4864458265192</v>
      </c>
      <c r="AE22" s="132">
        <f t="shared" si="7"/>
        <v>-1223.3376058074027</v>
      </c>
      <c r="AF22" s="49">
        <f t="shared" si="8"/>
        <v>1066.3744409800001</v>
      </c>
      <c r="AG22" s="50">
        <f>'LT Region Planning Peak Load'!G15*1.0887</f>
        <v>1065.0411240005699</v>
      </c>
      <c r="AH22" s="62">
        <f t="shared" si="0"/>
        <v>1.3333169794302648</v>
      </c>
      <c r="AI22" s="99">
        <f>(AF22-'LT Region Planning Peak Load'!G15)/'LT Region Planning Peak Load'!G15*100</f>
        <v>9.0062935348499149</v>
      </c>
      <c r="AJ22" s="128">
        <f>'ST LT CO2 Emissions'!B15+'ST LT CO2 Emissions'!B47</f>
        <v>3097617.0500892787</v>
      </c>
      <c r="AK22" s="42">
        <f t="shared" si="1"/>
        <v>49.671062438482224</v>
      </c>
      <c r="AL22" s="111">
        <f t="shared" si="2"/>
        <v>49.867826744079061</v>
      </c>
      <c r="AM22" s="112">
        <f t="shared" si="3"/>
        <v>60.309862454492226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5">
        <f>'ST NFL Load &amp; Load Cost'!J46</f>
        <v>310022.79896779021</v>
      </c>
      <c r="D23" s="130">
        <f>'LT New Units Info'!AT46+'ST Existing Units Info'!L46+'ST Existing Units Info'!L106</f>
        <v>86308.35924912573</v>
      </c>
      <c r="E23" s="130">
        <f>'LT New Units Info'!AT106+'ST Existing Units Info'!L136</f>
        <v>60005.539014600756</v>
      </c>
      <c r="F23" s="130">
        <v>39388.922295599848</v>
      </c>
      <c r="G23" s="136">
        <f>'LT New Units Info'!AT76+'LT New Units Info'!AT136+'ST Existing Units Info'!L76+'Existing System FOM OGC'!U19</f>
        <v>43101.931796769561</v>
      </c>
      <c r="H23" s="130">
        <f>'LT New Units Info'!AT226+'LT Battery'!F38</f>
        <v>92494.220488487204</v>
      </c>
      <c r="I23" s="130">
        <f>'ST Physical Contracts'!K16-'ST Physical Contracts'!L16</f>
        <v>-7806.711442799171</v>
      </c>
      <c r="J23" s="130">
        <f>'LT New Units Info'!AT166+'ST Existing Units Info'!L166-'LT Battery'!L16</f>
        <v>250576.93331256404</v>
      </c>
      <c r="K23" s="137">
        <f t="shared" si="4"/>
        <v>372938.12705700996</v>
      </c>
      <c r="L23" s="224">
        <f t="shared" si="10"/>
        <v>2557602.7001513587</v>
      </c>
      <c r="M23" s="172">
        <f t="shared" si="11"/>
        <v>2034</v>
      </c>
      <c r="N23" s="133">
        <f t="shared" si="12"/>
        <v>0</v>
      </c>
      <c r="O23" s="70">
        <f>SUM('LT New Units Info'!G196:Q196)</f>
        <v>795.32</v>
      </c>
      <c r="P23" s="134">
        <f t="shared" si="13"/>
        <v>-0.30921076000000092</v>
      </c>
      <c r="Q23" s="183">
        <f>SUM('LT New Units Info'!S196:T196,'LT New Units Info'!W196:AD196,'LT New Units Info'!AG196:AR196)</f>
        <v>9.3532302199999986</v>
      </c>
      <c r="R23" s="48">
        <f t="shared" si="14"/>
        <v>0.51100000000000012</v>
      </c>
      <c r="S23" s="47">
        <f>'LT New Units Info'!R196</f>
        <v>4.5990000000000002</v>
      </c>
      <c r="T23" s="165">
        <f t="shared" si="15"/>
        <v>0</v>
      </c>
      <c r="U23" s="166">
        <f>'LT New Units Info'!AE196+'LT New Units Info'!AF196</f>
        <v>24.6</v>
      </c>
      <c r="V23" s="165">
        <f t="shared" si="16"/>
        <v>0</v>
      </c>
      <c r="W23" s="166">
        <f>'LT New Units Info'!U196+'LT New Units Info'!V196</f>
        <v>232.70400000000001</v>
      </c>
      <c r="X23" s="61">
        <f>SUM('LT New Units Info'!H16:P16,'ST Existing Units Info'!L16)</f>
        <v>3105.49999722027</v>
      </c>
      <c r="Y23" s="167">
        <f>'ST Physical Contracts'!J16</f>
        <v>151.14447521291999</v>
      </c>
      <c r="Z23" s="67">
        <f>'LT New Units Info'!AE16+'LT New Units Info'!AF16+'LT New Units Info'!U16+'LT New Units Info'!V16</f>
        <v>1597.55630541454</v>
      </c>
      <c r="AA23" s="66">
        <f t="shared" si="5"/>
        <v>4854.20077784773</v>
      </c>
      <c r="AB23" s="67">
        <f>'ST NFL Load &amp; Load Cost'!J16</f>
        <v>6084.0739999999996</v>
      </c>
      <c r="AC23" s="67">
        <f>SUM('LT New Units Info'!R16,'LT New Units Info'!W16:AD16,'LT New Units Info'!AG16:AR16)</f>
        <v>54.499858714210006</v>
      </c>
      <c r="AD23" s="66">
        <f t="shared" si="6"/>
        <v>6029.5741412857897</v>
      </c>
      <c r="AE23" s="132">
        <f t="shared" si="7"/>
        <v>-1175.3733634380596</v>
      </c>
      <c r="AF23" s="49">
        <f t="shared" si="8"/>
        <v>1066.5762302200001</v>
      </c>
      <c r="AG23" s="50">
        <f>'LT Region Planning Peak Load'!G16*1.0887</f>
        <v>1065.7748395390799</v>
      </c>
      <c r="AH23" s="62">
        <f t="shared" si="0"/>
        <v>0.80139068092012167</v>
      </c>
      <c r="AI23" s="99">
        <f>(AF23-'LT Region Planning Peak Load'!G16)/'LT Region Planning Peak Load'!G16*100</f>
        <v>8.9518628852877598</v>
      </c>
      <c r="AJ23" s="128">
        <f>'ST LT CO2 Emissions'!B16+'ST LT CO2 Emissions'!B48</f>
        <v>3148496.1398867141</v>
      </c>
      <c r="AK23" s="42">
        <f t="shared" si="1"/>
        <v>50.956447763092662</v>
      </c>
      <c r="AL23" s="111">
        <f t="shared" si="2"/>
        <v>51.047507653281627</v>
      </c>
      <c r="AM23" s="112">
        <f t="shared" si="3"/>
        <v>61.297434425848529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5">
        <f>'ST NFL Load &amp; Load Cost'!J47</f>
        <v>320874.64190066222</v>
      </c>
      <c r="D24" s="130">
        <f>'LT New Units Info'!AT47+'ST Existing Units Info'!L47+'ST Existing Units Info'!L107</f>
        <v>96095.010913497943</v>
      </c>
      <c r="E24" s="130">
        <f>'LT New Units Info'!AT107+'ST Existing Units Info'!L137</f>
        <v>69059.884940362899</v>
      </c>
      <c r="F24" s="130">
        <v>39704.896285999843</v>
      </c>
      <c r="G24" s="136">
        <f>'LT New Units Info'!AT77+'LT New Units Info'!AT137+'ST Existing Units Info'!L77+'Existing System FOM OGC'!U20</f>
        <v>44788.393990488141</v>
      </c>
      <c r="H24" s="130">
        <f>'LT New Units Info'!AT227+'LT Battery'!F39</f>
        <v>92857.753045476551</v>
      </c>
      <c r="I24" s="130">
        <f>'ST Physical Contracts'!K17-'ST Physical Contracts'!L17</f>
        <v>-8090.2296682576498</v>
      </c>
      <c r="J24" s="130">
        <f>'LT New Units Info'!AT167+'ST Existing Units Info'!L167-'LT Battery'!L17</f>
        <v>278564.88898807572</v>
      </c>
      <c r="K24" s="137">
        <f t="shared" si="4"/>
        <v>376725.46242015419</v>
      </c>
      <c r="L24" s="224">
        <f t="shared" si="10"/>
        <v>2682757.4383346615</v>
      </c>
      <c r="M24" s="172">
        <f t="shared" si="11"/>
        <v>2035</v>
      </c>
      <c r="N24" s="133">
        <f t="shared" si="12"/>
        <v>0</v>
      </c>
      <c r="O24" s="70">
        <f>SUM('LT New Units Info'!G197:Q197)</f>
        <v>795.32</v>
      </c>
      <c r="P24" s="134">
        <f t="shared" si="13"/>
        <v>-2.0239999999969172E-3</v>
      </c>
      <c r="Q24" s="183">
        <f>SUM('LT New Units Info'!S197:T197,'LT New Units Info'!W197:AD197,'LT New Units Info'!AG197:AR197)</f>
        <v>9.3512062200000017</v>
      </c>
      <c r="R24" s="48">
        <f t="shared" si="14"/>
        <v>0</v>
      </c>
      <c r="S24" s="47">
        <f>'LT New Units Info'!R197</f>
        <v>4.5990000000000002</v>
      </c>
      <c r="T24" s="165">
        <f t="shared" si="15"/>
        <v>0</v>
      </c>
      <c r="U24" s="166">
        <f>'LT New Units Info'!AE197+'LT New Units Info'!AF197</f>
        <v>24.6</v>
      </c>
      <c r="V24" s="165">
        <f t="shared" si="16"/>
        <v>0</v>
      </c>
      <c r="W24" s="166">
        <f>'LT New Units Info'!U197+'LT New Units Info'!V197</f>
        <v>232.70400000000001</v>
      </c>
      <c r="X24" s="61">
        <f>SUM('LT New Units Info'!H17:P17,'ST Existing Units Info'!L17)</f>
        <v>3447.4740517477048</v>
      </c>
      <c r="Y24" s="167">
        <f>'ST Physical Contracts'!J17</f>
        <v>150.93273784012001</v>
      </c>
      <c r="Z24" s="67">
        <f>'LT New Units Info'!AE17+'LT New Units Info'!AF17+'LT New Units Info'!U17+'LT New Units Info'!V17</f>
        <v>1597.5563054099</v>
      </c>
      <c r="AA24" s="66">
        <f t="shared" si="5"/>
        <v>5195.9630949977245</v>
      </c>
      <c r="AB24" s="67">
        <f>'ST NFL Load &amp; Load Cost'!J17</f>
        <v>6081.4500000000007</v>
      </c>
      <c r="AC24" s="67">
        <f>SUM('LT New Units Info'!R17,'LT New Units Info'!W17:AD17,'LT New Units Info'!AG17:AR17)</f>
        <v>53.789858753970002</v>
      </c>
      <c r="AD24" s="66">
        <f t="shared" si="6"/>
        <v>6027.6601412460304</v>
      </c>
      <c r="AE24" s="132">
        <f t="shared" si="7"/>
        <v>-831.69704624830592</v>
      </c>
      <c r="AF24" s="49">
        <f t="shared" si="8"/>
        <v>1066.5742062200002</v>
      </c>
      <c r="AG24" s="50">
        <f>'LT Region Planning Peak Load'!G17*1.0887</f>
        <v>1066.1847549034198</v>
      </c>
      <c r="AH24" s="62">
        <f t="shared" si="0"/>
        <v>0.38945131658033461</v>
      </c>
      <c r="AI24" s="99">
        <f>(AF24-'LT Region Planning Peak Load'!G17)/'LT Region Planning Peak Load'!G17*100</f>
        <v>8.9097675587097758</v>
      </c>
      <c r="AJ24" s="128">
        <f>'ST LT CO2 Emissions'!B17+'ST LT CO2 Emissions'!B49</f>
        <v>3506318.4931076281</v>
      </c>
      <c r="AK24" s="42">
        <f t="shared" si="1"/>
        <v>52.762851277353619</v>
      </c>
      <c r="AL24" s="111">
        <f t="shared" si="2"/>
        <v>53.062475785456058</v>
      </c>
      <c r="AM24" s="112">
        <f t="shared" si="3"/>
        <v>61.94665127891443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5">
        <f>'ST NFL Load &amp; Load Cost'!J48</f>
        <v>322441.82586918323</v>
      </c>
      <c r="D25" s="130">
        <f>'LT New Units Info'!AT48+'ST Existing Units Info'!L48+'ST Existing Units Info'!L108</f>
        <v>86720.454365648271</v>
      </c>
      <c r="E25" s="130">
        <f>'LT New Units Info'!AT108+'ST Existing Units Info'!L138</f>
        <v>62348.522010299297</v>
      </c>
      <c r="F25" s="130">
        <v>39524.601074479848</v>
      </c>
      <c r="G25" s="136">
        <f>'LT New Units Info'!AT78+'LT New Units Info'!AT138+'ST Existing Units Info'!L78+'Existing System FOM OGC'!U21</f>
        <v>44320.89417256297</v>
      </c>
      <c r="H25" s="130">
        <f>'LT New Units Info'!AT228+'LT Battery'!F40</f>
        <v>93103.402883801697</v>
      </c>
      <c r="I25" s="130">
        <f>'ST Physical Contracts'!K18-'ST Physical Contracts'!L18</f>
        <v>-8122.8041274499592</v>
      </c>
      <c r="J25" s="130">
        <f>'LT New Units Info'!AT168+'ST Existing Units Info'!L168-'LT Battery'!L18</f>
        <v>258697.14370290496</v>
      </c>
      <c r="K25" s="137">
        <f t="shared" si="4"/>
        <v>381639.75254562043</v>
      </c>
      <c r="L25" s="224">
        <f t="shared" si="10"/>
        <v>2801106.5008475101</v>
      </c>
      <c r="M25" s="172">
        <f t="shared" si="11"/>
        <v>2036</v>
      </c>
      <c r="N25" s="133">
        <f t="shared" si="12"/>
        <v>0</v>
      </c>
      <c r="O25" s="70">
        <f>SUM('LT New Units Info'!G198:Q198)</f>
        <v>795.32</v>
      </c>
      <c r="P25" s="134">
        <f t="shared" si="13"/>
        <v>0.25766128999999971</v>
      </c>
      <c r="Q25" s="183">
        <f>SUM('LT New Units Info'!S198:T198,'LT New Units Info'!W198:AD198,'LT New Units Info'!AG198:AR198)</f>
        <v>9.6088675100000014</v>
      </c>
      <c r="R25" s="48">
        <f t="shared" si="14"/>
        <v>0.51100000000000012</v>
      </c>
      <c r="S25" s="47">
        <f>'LT New Units Info'!R198</f>
        <v>5.1100000000000003</v>
      </c>
      <c r="T25" s="165">
        <f t="shared" si="15"/>
        <v>0</v>
      </c>
      <c r="U25" s="166">
        <f>'LT New Units Info'!AE198+'LT New Units Info'!AF198</f>
        <v>24.6</v>
      </c>
      <c r="V25" s="165">
        <f t="shared" si="16"/>
        <v>0</v>
      </c>
      <c r="W25" s="166">
        <f>'LT New Units Info'!U198+'LT New Units Info'!V198</f>
        <v>232.70400000000001</v>
      </c>
      <c r="X25" s="61">
        <f>SUM('LT New Units Info'!H18:P18,'ST Existing Units Info'!L18)</f>
        <v>3023.1724094040046</v>
      </c>
      <c r="Y25" s="167">
        <f>'ST Physical Contracts'!J18</f>
        <v>150.75010451863</v>
      </c>
      <c r="Z25" s="67">
        <f>'LT New Units Info'!AE18+'LT New Units Info'!AF18+'LT New Units Info'!U18+'LT New Units Info'!V18</f>
        <v>1618.6590181619299</v>
      </c>
      <c r="AA25" s="66">
        <f t="shared" si="5"/>
        <v>4792.581532084565</v>
      </c>
      <c r="AB25" s="67">
        <f>'ST NFL Load &amp; Load Cost'!J18</f>
        <v>6076.741</v>
      </c>
      <c r="AC25" s="67">
        <f>SUM('LT New Units Info'!R18,'LT New Units Info'!W18:AD18,'LT New Units Info'!AG18:AR18)</f>
        <v>56.142093445730019</v>
      </c>
      <c r="AD25" s="66">
        <f t="shared" si="6"/>
        <v>6020.5989065542699</v>
      </c>
      <c r="AE25" s="132">
        <f t="shared" si="7"/>
        <v>-1228.0173744697049</v>
      </c>
      <c r="AF25" s="49">
        <f t="shared" si="8"/>
        <v>1067.3428675100001</v>
      </c>
      <c r="AG25" s="50">
        <f>'LT Region Planning Peak Load'!G18*1.0887</f>
        <v>1067.3074838549701</v>
      </c>
      <c r="AH25" s="62">
        <f t="shared" si="0"/>
        <v>3.5383655030045702E-2</v>
      </c>
      <c r="AI25" s="99">
        <f>(AF25-'LT Region Planning Peak Load'!G18)/'LT Region Planning Peak Load'!G18*100</f>
        <v>8.8736092865283922</v>
      </c>
      <c r="AJ25" s="128">
        <f>'ST LT CO2 Emissions'!B18+'ST LT CO2 Emissions'!B50</f>
        <v>3064179.2853242671</v>
      </c>
      <c r="AK25" s="42">
        <f t="shared" si="1"/>
        <v>53.061637129043881</v>
      </c>
      <c r="AL25" s="111">
        <f t="shared" si="2"/>
        <v>53.35365834026306</v>
      </c>
      <c r="AM25" s="112">
        <f t="shared" si="3"/>
        <v>62.803359982862595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5">
        <f>'ST NFL Load &amp; Load Cost'!J49</f>
        <v>331405.74433049501</v>
      </c>
      <c r="D26" s="130">
        <f>'LT New Units Info'!AT49+'ST Existing Units Info'!L49+'ST Existing Units Info'!L109</f>
        <v>83008.684813144937</v>
      </c>
      <c r="E26" s="130">
        <f>'LT New Units Info'!AT109+'ST Existing Units Info'!L139</f>
        <v>57729.86973519023</v>
      </c>
      <c r="F26" s="130">
        <v>39509.554020655851</v>
      </c>
      <c r="G26" s="136">
        <f>'LT New Units Info'!AT79+'LT New Units Info'!AT139+'ST Existing Units Info'!L79+'Existing System FOM OGC'!U22</f>
        <v>44175.115973388827</v>
      </c>
      <c r="H26" s="130">
        <f>'LT New Units Info'!AT229+'LT Battery'!F41</f>
        <v>92534.556826790693</v>
      </c>
      <c r="I26" s="130">
        <f>'ST Physical Contracts'!K19-'ST Physical Contracts'!L19</f>
        <v>-8331.5863605096201</v>
      </c>
      <c r="J26" s="130">
        <f>'LT New Units Info'!AT169+'ST Existing Units Info'!L169-'LT Battery'!L19</f>
        <v>249106.59120646206</v>
      </c>
      <c r="K26" s="137">
        <f t="shared" si="4"/>
        <v>390925.34813269385</v>
      </c>
      <c r="L26" s="224">
        <f t="shared" si="10"/>
        <v>2914266.7625503214</v>
      </c>
      <c r="M26" s="172">
        <f t="shared" si="11"/>
        <v>2037</v>
      </c>
      <c r="N26" s="133">
        <f t="shared" si="12"/>
        <v>0</v>
      </c>
      <c r="O26" s="70">
        <f>SUM('LT New Units Info'!G199:Q199)</f>
        <v>795.32</v>
      </c>
      <c r="P26" s="134">
        <f t="shared" si="13"/>
        <v>-0.31150599000000057</v>
      </c>
      <c r="Q26" s="183">
        <f>SUM('LT New Units Info'!S199:T199,'LT New Units Info'!W199:AD199,'LT New Units Info'!AG199:AR199)</f>
        <v>9.2973615200000008</v>
      </c>
      <c r="R26" s="48">
        <f t="shared" si="14"/>
        <v>0</v>
      </c>
      <c r="S26" s="47">
        <f>'LT New Units Info'!R199</f>
        <v>5.1100000000000003</v>
      </c>
      <c r="T26" s="165">
        <f t="shared" si="15"/>
        <v>0</v>
      </c>
      <c r="U26" s="166">
        <f>'LT New Units Info'!AE199+'LT New Units Info'!AF199</f>
        <v>24.6</v>
      </c>
      <c r="V26" s="165">
        <f t="shared" si="16"/>
        <v>0</v>
      </c>
      <c r="W26" s="166">
        <f>'LT New Units Info'!U199+'LT New Units Info'!V199</f>
        <v>232.70400000000001</v>
      </c>
      <c r="X26" s="61">
        <f>SUM('LT New Units Info'!H19:P19,'ST Existing Units Info'!L19)</f>
        <v>2708.369841723395</v>
      </c>
      <c r="Y26" s="167">
        <f>'ST Physical Contracts'!J19</f>
        <v>150.52344883769001</v>
      </c>
      <c r="Z26" s="67">
        <f>'LT New Units Info'!AE19+'LT New Units Info'!AF19+'LT New Units Info'!U19+'LT New Units Info'!V19</f>
        <v>1597.5563054165298</v>
      </c>
      <c r="AA26" s="66">
        <f t="shared" si="5"/>
        <v>4456.449595977615</v>
      </c>
      <c r="AB26" s="67">
        <f>'ST NFL Load &amp; Load Cost'!J19</f>
        <v>6076.2380000000003</v>
      </c>
      <c r="AC26" s="67">
        <f>SUM('LT New Units Info'!R19,'LT New Units Info'!W19:AD19,'LT New Units Info'!AG19:AR19)</f>
        <v>54.818163280839997</v>
      </c>
      <c r="AD26" s="66">
        <f t="shared" si="6"/>
        <v>6021.4198367191602</v>
      </c>
      <c r="AE26" s="132">
        <f t="shared" si="7"/>
        <v>-1564.9702407415452</v>
      </c>
      <c r="AF26" s="49">
        <f t="shared" si="8"/>
        <v>1067.03136152</v>
      </c>
      <c r="AG26" s="50">
        <f>'LT Region Planning Peak Load'!G19*1.0887</f>
        <v>1067.0111234933399</v>
      </c>
      <c r="AH26" s="62">
        <f t="shared" si="0"/>
        <v>2.0238026660081232E-2</v>
      </c>
      <c r="AI26" s="99">
        <f>(AF26-'LT Region Planning Peak Load'!G19)/'LT Region Planning Peak Load'!G19*100</f>
        <v>8.8720649400123062</v>
      </c>
      <c r="AJ26" s="128">
        <f>'ST LT CO2 Emissions'!B19+'ST LT CO2 Emissions'!B51</f>
        <v>2745360.9241490047</v>
      </c>
      <c r="AK26" s="42">
        <f t="shared" si="1"/>
        <v>54.541271150092378</v>
      </c>
      <c r="AL26" s="111">
        <f t="shared" si="2"/>
        <v>55.218755458534176</v>
      </c>
      <c r="AM26" s="112">
        <f t="shared" si="3"/>
        <v>64.336740616923464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5">
        <f>'ST NFL Load &amp; Load Cost'!J50</f>
        <v>342420.22389032511</v>
      </c>
      <c r="D27" s="130">
        <f>'LT New Units Info'!AT50+'ST Existing Units Info'!L50+'ST Existing Units Info'!L110</f>
        <v>91549.399584497296</v>
      </c>
      <c r="E27" s="130">
        <f>'LT New Units Info'!AT110+'ST Existing Units Info'!L140</f>
        <v>66016.137841719712</v>
      </c>
      <c r="F27" s="130">
        <v>39511.170196067047</v>
      </c>
      <c r="G27" s="136">
        <f>'LT New Units Info'!AT80+'LT New Units Info'!AT140+'ST Existing Units Info'!L80+'Existing System FOM OGC'!U23</f>
        <v>53141.109177175189</v>
      </c>
      <c r="H27" s="130">
        <f>'LT New Units Info'!AT230+'LT Battery'!F42</f>
        <v>105422.54213226429</v>
      </c>
      <c r="I27" s="130">
        <f>'ST Physical Contracts'!K20-'ST Physical Contracts'!L20</f>
        <v>-8602.9239634325604</v>
      </c>
      <c r="J27" s="130">
        <f>'LT New Units Info'!AT170+'ST Existing Units Info'!L170-'LT Battery'!L20</f>
        <v>289486.29709166125</v>
      </c>
      <c r="K27" s="137">
        <f t="shared" si="4"/>
        <v>399971.36176695477</v>
      </c>
      <c r="L27" s="224">
        <f t="shared" si="10"/>
        <v>3022339.9357705181</v>
      </c>
      <c r="M27" s="172">
        <f t="shared" si="11"/>
        <v>2038</v>
      </c>
      <c r="N27" s="133">
        <f t="shared" si="12"/>
        <v>0</v>
      </c>
      <c r="O27" s="70">
        <f>SUM('LT New Units Info'!G200:Q200)</f>
        <v>795.32</v>
      </c>
      <c r="P27" s="134">
        <f t="shared" si="13"/>
        <v>-0.45897463999999921</v>
      </c>
      <c r="Q27" s="183">
        <f>SUM('LT New Units Info'!S200:T200,'LT New Units Info'!W200:AD200,'LT New Units Info'!AG200:AR200)</f>
        <v>8.8383868800000016</v>
      </c>
      <c r="R27" s="48">
        <f t="shared" si="14"/>
        <v>0.51100000000000012</v>
      </c>
      <c r="S27" s="47">
        <f>'LT New Units Info'!R200</f>
        <v>5.6210000000000004</v>
      </c>
      <c r="T27" s="165">
        <f t="shared" si="15"/>
        <v>12.299999999999997</v>
      </c>
      <c r="U27" s="166">
        <f>'LT New Units Info'!AE200+'LT New Units Info'!AF200</f>
        <v>36.9</v>
      </c>
      <c r="V27" s="165">
        <f t="shared" si="16"/>
        <v>0</v>
      </c>
      <c r="W27" s="166">
        <f>'LT New Units Info'!U200+'LT New Units Info'!V200</f>
        <v>232.70400000000001</v>
      </c>
      <c r="X27" s="61">
        <f>SUM('LT New Units Info'!H20:P20,'ST Existing Units Info'!L20)</f>
        <v>2993.8238751129352</v>
      </c>
      <c r="Y27" s="167">
        <f>'ST Physical Contracts'!J20</f>
        <v>150.20788659753998</v>
      </c>
      <c r="Z27" s="67">
        <f>'LT New Units Info'!AE20+'LT New Units Info'!AF20+'LT New Units Info'!U20+'LT New Units Info'!V20</f>
        <v>1921.6763060357698</v>
      </c>
      <c r="AA27" s="66">
        <f t="shared" si="5"/>
        <v>5065.7080677462454</v>
      </c>
      <c r="AB27" s="67">
        <f>'ST NFL Load &amp; Load Cost'!J20</f>
        <v>6074.4740000000002</v>
      </c>
      <c r="AC27" s="67">
        <f>SUM('LT New Units Info'!R20,'LT New Units Info'!W20:AD20,'LT New Units Info'!AG20:AR20)</f>
        <v>54.504467828209997</v>
      </c>
      <c r="AD27" s="66">
        <f t="shared" si="6"/>
        <v>6019.96953217179</v>
      </c>
      <c r="AE27" s="132">
        <f t="shared" si="7"/>
        <v>-954.26146442554455</v>
      </c>
      <c r="AF27" s="49">
        <f t="shared" si="8"/>
        <v>1079.38338688</v>
      </c>
      <c r="AG27" s="50">
        <f>'LT Region Planning Peak Load'!G20*1.0887</f>
        <v>1067.56811896158</v>
      </c>
      <c r="AH27" s="62">
        <f t="shared" si="0"/>
        <v>11.815267918419977</v>
      </c>
      <c r="AI27" s="99">
        <f>(AF27-'LT Region Planning Peak Load'!G20)/'LT Region Planning Peak Load'!G20*100</f>
        <v>10.074914417573265</v>
      </c>
      <c r="AJ27" s="128">
        <f>'ST LT CO2 Emissions'!B20+'ST LT CO2 Emissions'!B52</f>
        <v>3037873.5445526275</v>
      </c>
      <c r="AK27" s="42">
        <f t="shared" si="1"/>
        <v>56.370349743916115</v>
      </c>
      <c r="AL27" s="111">
        <f t="shared" si="2"/>
        <v>56.537945462293727</v>
      </c>
      <c r="AM27" s="112">
        <f t="shared" si="3"/>
        <v>65.844608400160197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5">
        <f>'ST NFL Load &amp; Load Cost'!J51</f>
        <v>350464.87564447429</v>
      </c>
      <c r="D28" s="130">
        <f>'LT New Units Info'!AT51+'ST Existing Units Info'!L51+'ST Existing Units Info'!L111</f>
        <v>94575.689957635943</v>
      </c>
      <c r="E28" s="130">
        <f>'LT New Units Info'!AT111+'ST Existing Units Info'!L141</f>
        <v>70437.712261842447</v>
      </c>
      <c r="F28" s="130">
        <v>38809.2193880704</v>
      </c>
      <c r="G28" s="136">
        <f>'LT New Units Info'!AT81+'LT New Units Info'!AT141+'ST Existing Units Info'!L81+'Existing System FOM OGC'!U24</f>
        <v>54138.414134845021</v>
      </c>
      <c r="H28" s="130">
        <f>'LT New Units Info'!AT231+'LT Battery'!F43</f>
        <v>104737.64273086225</v>
      </c>
      <c r="I28" s="130">
        <f>'ST Physical Contracts'!K21-'ST Physical Contracts'!L21</f>
        <v>-8789.7600222566398</v>
      </c>
      <c r="J28" s="130">
        <f>'LT New Units Info'!AT171+'ST Existing Units Info'!L171-'LT Battery'!L21</f>
        <v>300543.41825272102</v>
      </c>
      <c r="K28" s="137">
        <f t="shared" si="4"/>
        <v>403830.37584275269</v>
      </c>
      <c r="L28" s="224">
        <f t="shared" si="10"/>
        <v>3124193.6533245402</v>
      </c>
      <c r="M28" s="172">
        <f t="shared" si="11"/>
        <v>2039</v>
      </c>
      <c r="N28" s="133">
        <f t="shared" si="12"/>
        <v>0</v>
      </c>
      <c r="O28" s="70">
        <f>SUM('LT New Units Info'!G201:Q201)</f>
        <v>795.32</v>
      </c>
      <c r="P28" s="134">
        <f t="shared" si="13"/>
        <v>-4.6729619600000012</v>
      </c>
      <c r="Q28" s="183">
        <f>SUM('LT New Units Info'!S201:T201,'LT New Units Info'!W201:AD201,'LT New Units Info'!AG201:AR201)</f>
        <v>4.1654249200000004</v>
      </c>
      <c r="R28" s="48">
        <f t="shared" si="14"/>
        <v>0</v>
      </c>
      <c r="S28" s="47">
        <f>'LT New Units Info'!R201</f>
        <v>5.6210000000000004</v>
      </c>
      <c r="T28" s="165">
        <f t="shared" si="15"/>
        <v>0</v>
      </c>
      <c r="U28" s="166">
        <f>'LT New Units Info'!AE201+'LT New Units Info'!AF201</f>
        <v>36.9</v>
      </c>
      <c r="V28" s="165">
        <f t="shared" si="16"/>
        <v>0</v>
      </c>
      <c r="W28" s="166">
        <f>'LT New Units Info'!U201+'LT New Units Info'!V201</f>
        <v>232.70400000000001</v>
      </c>
      <c r="X28" s="61">
        <f>SUM('LT New Units Info'!H21:P21,'ST Existing Units Info'!L21)</f>
        <v>3096.1349964441401</v>
      </c>
      <c r="Y28" s="167">
        <f>'ST Physical Contracts'!J21</f>
        <v>149.88937217295</v>
      </c>
      <c r="Z28" s="67">
        <f>'LT New Units Info'!AE21+'LT New Units Info'!AF21+'LT New Units Info'!U21+'LT New Units Info'!V21</f>
        <v>1921.6763060323201</v>
      </c>
      <c r="AA28" s="66">
        <f t="shared" si="5"/>
        <v>5167.7006746494098</v>
      </c>
      <c r="AB28" s="67">
        <f>'ST NFL Load &amp; Load Cost'!J21</f>
        <v>6072.7820000000002</v>
      </c>
      <c r="AC28" s="67">
        <f>SUM('LT New Units Info'!R21,'LT New Units Info'!W21:AD21,'LT New Units Info'!AG21:AR21)</f>
        <v>36.390927738080002</v>
      </c>
      <c r="AD28" s="66">
        <f t="shared" si="6"/>
        <v>6036.3910722619203</v>
      </c>
      <c r="AE28" s="132">
        <f t="shared" si="7"/>
        <v>-868.69039761251042</v>
      </c>
      <c r="AF28" s="49">
        <f t="shared" si="8"/>
        <v>1074.7104249199999</v>
      </c>
      <c r="AG28" s="50">
        <f>'LT Region Planning Peak Load'!G21*1.0887</f>
        <v>1068.0529941515401</v>
      </c>
      <c r="AH28" s="62">
        <f t="shared" si="0"/>
        <v>6.6574307684597898</v>
      </c>
      <c r="AI28" s="99">
        <f>(AF28-'LT Region Planning Peak Load'!G21)/'LT Region Planning Peak Load'!G21*100</f>
        <v>9.5486128513576283</v>
      </c>
      <c r="AJ28" s="128">
        <f>'ST LT CO2 Emissions'!B21+'ST LT CO2 Emissions'!B53</f>
        <v>3136865.8913821145</v>
      </c>
      <c r="AK28" s="42">
        <f t="shared" si="1"/>
        <v>57.710761829499937</v>
      </c>
      <c r="AL28" s="111">
        <f t="shared" si="2"/>
        <v>57.751369732777228</v>
      </c>
      <c r="AM28" s="112">
        <f t="shared" si="3"/>
        <v>66.498414703961487</v>
      </c>
      <c r="AN28" s="11">
        <f t="shared" si="17"/>
        <v>2039</v>
      </c>
      <c r="AO28" s="5"/>
      <c r="AP28" s="6"/>
      <c r="AQ28" s="6"/>
    </row>
    <row r="29" spans="2:43" s="221" customFormat="1">
      <c r="B29" s="172">
        <f t="shared" si="9"/>
        <v>2040</v>
      </c>
      <c r="C29" s="135">
        <f>'ST NFL Load &amp; Load Cost'!J52</f>
        <v>356453.8901835116</v>
      </c>
      <c r="D29" s="130">
        <f>'LT New Units Info'!AT52+'ST Existing Units Info'!L52+'ST Existing Units Info'!L112</f>
        <v>92791.797491504651</v>
      </c>
      <c r="E29" s="130">
        <f>'LT New Units Info'!AT112+'ST Existing Units Info'!L142</f>
        <v>70181.339121195095</v>
      </c>
      <c r="F29" s="130">
        <v>38273.722750610046</v>
      </c>
      <c r="G29" s="136">
        <f>'LT New Units Info'!AT82+'LT New Units Info'!AT142+'ST Existing Units Info'!L82+'Existing System FOM OGC'!U25</f>
        <v>54563.246728573919</v>
      </c>
      <c r="H29" s="130">
        <f>'LT New Units Info'!AT232+'LT Battery'!F44</f>
        <v>104737.64273086622</v>
      </c>
      <c r="I29" s="130">
        <f>'ST Physical Contracts'!K22-'ST Physical Contracts'!L22</f>
        <v>-8922.8472006675602</v>
      </c>
      <c r="J29" s="130">
        <f>'LT New Units Info'!AT172+'ST Existing Units Info'!L172-'LT Battery'!L22</f>
        <v>300941.35975033097</v>
      </c>
      <c r="K29" s="137">
        <f t="shared" ref="K29:K38" si="18">SUM(C29:I29)-J29</f>
        <v>407137.43205526291</v>
      </c>
      <c r="L29" s="224">
        <f t="shared" si="10"/>
        <v>3220047.121224605</v>
      </c>
      <c r="M29" s="172">
        <f t="shared" si="11"/>
        <v>2040</v>
      </c>
      <c r="N29" s="133">
        <f t="shared" ref="N29:N38" si="19">O29-O28</f>
        <v>0</v>
      </c>
      <c r="O29" s="70">
        <f>SUM('LT New Units Info'!G202:Q202)</f>
        <v>795.32</v>
      </c>
      <c r="P29" s="134">
        <f t="shared" ref="P29:P38" si="20">Q29-Q28</f>
        <v>-0.29479462000000023</v>
      </c>
      <c r="Q29" s="183">
        <f>SUM('LT New Units Info'!S202:T202,'LT New Units Info'!W202:AD202,'LT New Units Info'!AG202:AR202)</f>
        <v>3.8706303000000002</v>
      </c>
      <c r="R29" s="48">
        <f t="shared" ref="R29:R38" si="21">S29-S28</f>
        <v>0.51099999999999923</v>
      </c>
      <c r="S29" s="47">
        <f>'LT New Units Info'!R202</f>
        <v>6.1319999999999997</v>
      </c>
      <c r="T29" s="165">
        <f t="shared" ref="T29:T38" si="22">U29-U28</f>
        <v>0</v>
      </c>
      <c r="U29" s="166">
        <f>'LT New Units Info'!AE202+'LT New Units Info'!AF202</f>
        <v>36.9</v>
      </c>
      <c r="V29" s="165">
        <f t="shared" ref="V29:V38" si="23">W29-W28</f>
        <v>0</v>
      </c>
      <c r="W29" s="166">
        <f>'LT New Units Info'!U202+'LT New Units Info'!V202</f>
        <v>232.70400000000001</v>
      </c>
      <c r="X29" s="61">
        <f>SUM('LT New Units Info'!H22:P22,'ST Existing Units Info'!L22)</f>
        <v>2978.1072175383447</v>
      </c>
      <c r="Y29" s="167">
        <f>'ST Physical Contracts'!J22</f>
        <v>149.77953049292</v>
      </c>
      <c r="Z29" s="67">
        <f>'LT New Units Info'!AE22+'LT New Units Info'!AF22+'LT New Units Info'!U22+'LT New Units Info'!V22</f>
        <v>1943.9306630968811</v>
      </c>
      <c r="AA29" s="66">
        <f t="shared" ref="AA29:AA38" si="24">SUM(X29:Z29)</f>
        <v>5071.817411128146</v>
      </c>
      <c r="AB29" s="67">
        <f>'ST NFL Load &amp; Load Cost'!J22</f>
        <v>6069.889000000001</v>
      </c>
      <c r="AC29" s="67">
        <f>SUM('LT New Units Info'!R22,'LT New Units Info'!W22:AD22,'LT New Units Info'!AG22:AR22)</f>
        <v>37.036748900820001</v>
      </c>
      <c r="AD29" s="66">
        <f t="shared" ref="AD29:AD38" si="25">AB29-AC29</f>
        <v>6032.8522510991806</v>
      </c>
      <c r="AE29" s="132">
        <f t="shared" ref="AE29:AE38" si="26">AA29-AD29</f>
        <v>-961.03483997103467</v>
      </c>
      <c r="AF29" s="49">
        <f t="shared" ref="AF29:AF38" si="27">O29+Q29+S29+U29+W29</f>
        <v>1074.9266302999999</v>
      </c>
      <c r="AG29" s="50">
        <f>'LT Region Planning Peak Load'!G22*1.0887</f>
        <v>1069.8726037835399</v>
      </c>
      <c r="AH29" s="62">
        <f t="shared" ref="AH29:AH38" si="28">AF29-AG29</f>
        <v>5.0540265164599987</v>
      </c>
      <c r="AI29" s="99">
        <f>(AF29-'LT Region Planning Peak Load'!G22)/'LT Region Planning Peak Load'!G22*100</f>
        <v>9.3842966227017452</v>
      </c>
      <c r="AJ29" s="128">
        <f>'ST LT CO2 Emissions'!B22+'ST LT CO2 Emissions'!B54</f>
        <v>3023461.2692865441</v>
      </c>
      <c r="AK29" s="42">
        <f t="shared" ref="AK29:AK38" si="29">C29/AB29</f>
        <v>58.724943764789032</v>
      </c>
      <c r="AL29" s="111">
        <f t="shared" ref="AL29:AL38" si="30">J29/(AA29+AC29)</f>
        <v>58.905842743536972</v>
      </c>
      <c r="AM29" s="112">
        <f t="shared" ref="AM29:AM38" si="31">K29/(AB29)</f>
        <v>67.074938611770804</v>
      </c>
      <c r="AN29" s="11">
        <f t="shared" si="17"/>
        <v>2040</v>
      </c>
      <c r="AP29" s="6"/>
      <c r="AQ29" s="6"/>
    </row>
    <row r="30" spans="2:43" s="221" customFormat="1">
      <c r="B30" s="172">
        <f t="shared" si="9"/>
        <v>2041</v>
      </c>
      <c r="C30" s="135">
        <f>'ST NFL Load &amp; Load Cost'!J53</f>
        <v>361129.54348562169</v>
      </c>
      <c r="D30" s="130">
        <f>'LT New Units Info'!AT53+'ST Existing Units Info'!L53+'ST Existing Units Info'!L113</f>
        <v>98071.926017912439</v>
      </c>
      <c r="E30" s="130">
        <f>'LT New Units Info'!AT113+'ST Existing Units Info'!L143</f>
        <v>75455.178715589092</v>
      </c>
      <c r="F30" s="130">
        <v>37325.653592258052</v>
      </c>
      <c r="G30" s="136">
        <f>'LT New Units Info'!AT83+'LT New Units Info'!AT143+'ST Existing Units Info'!L83+'Existing System FOM OGC'!U26</f>
        <v>55774.063738142504</v>
      </c>
      <c r="H30" s="130">
        <f>'LT New Units Info'!AT233+'LT Battery'!F45</f>
        <v>104737.64273086225</v>
      </c>
      <c r="I30" s="130">
        <f>'ST Physical Contracts'!K23-'ST Physical Contracts'!L23</f>
        <v>-9008.0208127351107</v>
      </c>
      <c r="J30" s="130">
        <f>'LT New Units Info'!AT173+'ST Existing Units Info'!L173-'LT Battery'!L23</f>
        <v>308932.29064995091</v>
      </c>
      <c r="K30" s="137">
        <f t="shared" si="18"/>
        <v>414553.69681769999</v>
      </c>
      <c r="L30" s="224">
        <f t="shared" si="10"/>
        <v>3311150.9195926166</v>
      </c>
      <c r="M30" s="172">
        <f t="shared" si="11"/>
        <v>2041</v>
      </c>
      <c r="N30" s="133">
        <f t="shared" si="19"/>
        <v>0</v>
      </c>
      <c r="O30" s="70">
        <f>SUM('LT New Units Info'!G203:Q203)</f>
        <v>795.32</v>
      </c>
      <c r="P30" s="134">
        <f t="shared" si="20"/>
        <v>-0.2163501000000001</v>
      </c>
      <c r="Q30" s="183">
        <f>SUM('LT New Units Info'!S203:T203,'LT New Units Info'!W203:AD203,'LT New Units Info'!AG203:AR203)</f>
        <v>3.6542802000000001</v>
      </c>
      <c r="R30" s="48">
        <f t="shared" si="21"/>
        <v>0</v>
      </c>
      <c r="S30" s="47">
        <f>'LT New Units Info'!R203</f>
        <v>6.1319999999999997</v>
      </c>
      <c r="T30" s="165">
        <f t="shared" si="22"/>
        <v>0</v>
      </c>
      <c r="U30" s="166">
        <f>'LT New Units Info'!AE203+'LT New Units Info'!AF203</f>
        <v>36.9</v>
      </c>
      <c r="V30" s="165">
        <f t="shared" si="23"/>
        <v>0</v>
      </c>
      <c r="W30" s="166">
        <f>'LT New Units Info'!U203+'LT New Units Info'!V203</f>
        <v>232.70400000000001</v>
      </c>
      <c r="X30" s="61">
        <f>SUM('LT New Units Info'!H23:P23,'ST Existing Units Info'!L23)</f>
        <v>3098.9635219024153</v>
      </c>
      <c r="Y30" s="167">
        <f>'ST Physical Contracts'!J23</f>
        <v>149.49746581432001</v>
      </c>
      <c r="Z30" s="67">
        <f>'LT New Units Info'!AE23+'LT New Units Info'!AF23+'LT New Units Info'!U23+'LT New Units Info'!V23</f>
        <v>1921.6763060355902</v>
      </c>
      <c r="AA30" s="66">
        <f t="shared" si="24"/>
        <v>5170.1372937523256</v>
      </c>
      <c r="AB30" s="67">
        <f>'ST NFL Load &amp; Load Cost'!J23</f>
        <v>6069.4470000000001</v>
      </c>
      <c r="AC30" s="67">
        <f>SUM('LT New Units Info'!R23,'LT New Units Info'!W23:AD23,'LT New Units Info'!AG23:AR23)</f>
        <v>36.142231879180002</v>
      </c>
      <c r="AD30" s="66">
        <f t="shared" si="25"/>
        <v>6033.30476812082</v>
      </c>
      <c r="AE30" s="132">
        <f t="shared" si="26"/>
        <v>-863.16747436849437</v>
      </c>
      <c r="AF30" s="49">
        <f t="shared" si="27"/>
        <v>1074.7102801999999</v>
      </c>
      <c r="AG30" s="50">
        <f>'LT Region Planning Peak Load'!G23*1.0887</f>
        <v>1070.0594788119299</v>
      </c>
      <c r="AH30" s="62">
        <f t="shared" si="28"/>
        <v>4.6508013880700219</v>
      </c>
      <c r="AI30" s="99">
        <f>(AF30-'LT Region Planning Peak Load'!G23)/'LT Region Planning Peak Load'!G23*100</f>
        <v>9.3431818717977748</v>
      </c>
      <c r="AJ30" s="128">
        <f>'ST LT CO2 Emissions'!B23+'ST LT CO2 Emissions'!B55</f>
        <v>3145012.8960576686</v>
      </c>
      <c r="AK30" s="42">
        <f t="shared" si="29"/>
        <v>59.499579366229192</v>
      </c>
      <c r="AL30" s="111">
        <f t="shared" si="30"/>
        <v>59.33839877959268</v>
      </c>
      <c r="AM30" s="112">
        <f t="shared" si="31"/>
        <v>68.301724492807992</v>
      </c>
      <c r="AN30" s="11">
        <f t="shared" si="17"/>
        <v>2041</v>
      </c>
      <c r="AP30" s="6"/>
      <c r="AQ30" s="6"/>
    </row>
    <row r="31" spans="2:43" s="221" customFormat="1">
      <c r="B31" s="172">
        <f t="shared" si="9"/>
        <v>2042</v>
      </c>
      <c r="C31" s="135">
        <f>'ST NFL Load &amp; Load Cost'!J54</f>
        <v>370212.16436927323</v>
      </c>
      <c r="D31" s="130">
        <f>'LT New Units Info'!AT54+'ST Existing Units Info'!L54+'ST Existing Units Info'!L114</f>
        <v>88857.752097643533</v>
      </c>
      <c r="E31" s="130">
        <f>'LT New Units Info'!AT114+'ST Existing Units Info'!L144</f>
        <v>68977.234980748748</v>
      </c>
      <c r="F31" s="130">
        <v>35970.318918714664</v>
      </c>
      <c r="G31" s="136">
        <f>'LT New Units Info'!AT84+'LT New Units Info'!AT144+'ST Existing Units Info'!L84+'Existing System FOM OGC'!U27</f>
        <v>55355.29898766613</v>
      </c>
      <c r="H31" s="130">
        <f>'LT New Units Info'!AT234+'LT Battery'!F46</f>
        <v>104737.64273086225</v>
      </c>
      <c r="I31" s="130">
        <f>'ST Physical Contracts'!K24-'ST Physical Contracts'!L24</f>
        <v>-9223.3685125180709</v>
      </c>
      <c r="J31" s="130">
        <f>'LT New Units Info'!AT174+'ST Existing Units Info'!L174-'LT Battery'!L24</f>
        <v>297044.07054957957</v>
      </c>
      <c r="K31" s="137">
        <f t="shared" si="18"/>
        <v>417842.97302281088</v>
      </c>
      <c r="L31" s="224">
        <f t="shared" si="10"/>
        <v>3396866.0894177668</v>
      </c>
      <c r="M31" s="172">
        <f t="shared" si="11"/>
        <v>2042</v>
      </c>
      <c r="N31" s="133">
        <f t="shared" si="19"/>
        <v>0</v>
      </c>
      <c r="O31" s="70">
        <f>SUM('LT New Units Info'!G204:Q204)</f>
        <v>795.32</v>
      </c>
      <c r="P31" s="134">
        <f t="shared" si="20"/>
        <v>-0.16856235000000019</v>
      </c>
      <c r="Q31" s="183">
        <f>SUM('LT New Units Info'!S204:T204,'LT New Units Info'!W204:AD204,'LT New Units Info'!AG204:AR204)</f>
        <v>3.4857178499999999</v>
      </c>
      <c r="R31" s="48">
        <f t="shared" si="21"/>
        <v>0.51100000000000012</v>
      </c>
      <c r="S31" s="47">
        <f>'LT New Units Info'!R204</f>
        <v>6.6429999999999998</v>
      </c>
      <c r="T31" s="165">
        <f t="shared" si="22"/>
        <v>0</v>
      </c>
      <c r="U31" s="166">
        <f>'LT New Units Info'!AE204+'LT New Units Info'!AF204</f>
        <v>36.9</v>
      </c>
      <c r="V31" s="165">
        <f t="shared" si="23"/>
        <v>0</v>
      </c>
      <c r="W31" s="166">
        <f>'LT New Units Info'!U204+'LT New Units Info'!V204</f>
        <v>232.70400000000001</v>
      </c>
      <c r="X31" s="61">
        <f>SUM('LT New Units Info'!H24:P24,'ST Existing Units Info'!L24)</f>
        <v>2742.03135337916</v>
      </c>
      <c r="Y31" s="167">
        <f>'ST Physical Contracts'!J24</f>
        <v>149.20806349174001</v>
      </c>
      <c r="Z31" s="67">
        <f>'LT New Units Info'!AE24+'LT New Units Info'!AF24+'LT New Units Info'!U24+'LT New Units Info'!V24</f>
        <v>1921.67630603829</v>
      </c>
      <c r="AA31" s="66">
        <f t="shared" si="24"/>
        <v>4812.9157229091907</v>
      </c>
      <c r="AB31" s="67">
        <f>'ST NFL Load &amp; Load Cost'!J24</f>
        <v>6066.2050000000008</v>
      </c>
      <c r="AC31" s="67">
        <f>SUM('LT New Units Info'!R24,'LT New Units Info'!W24:AD24,'LT New Units Info'!AG24:AR24)</f>
        <v>37.282536403279998</v>
      </c>
      <c r="AD31" s="66">
        <f t="shared" si="25"/>
        <v>6028.9224635967212</v>
      </c>
      <c r="AE31" s="132">
        <f t="shared" si="26"/>
        <v>-1216.0067406875305</v>
      </c>
      <c r="AF31" s="49">
        <f t="shared" si="27"/>
        <v>1075.0527178500001</v>
      </c>
      <c r="AG31" s="50">
        <f>'LT Region Planning Peak Load'!G24*1.0887</f>
        <v>1070.55293742156</v>
      </c>
      <c r="AH31" s="62">
        <f t="shared" si="28"/>
        <v>4.49978042844009</v>
      </c>
      <c r="AI31" s="99">
        <f>(AF31-'LT Region Planning Peak Load'!G24)/'LT Region Planning Peak Load'!G24*100</f>
        <v>9.3276056709761477</v>
      </c>
      <c r="AJ31" s="128">
        <f>'ST LT CO2 Emissions'!B24+'ST LT CO2 Emissions'!B56</f>
        <v>2782513.7749108793</v>
      </c>
      <c r="AK31" s="42">
        <f t="shared" si="29"/>
        <v>61.028627349269136</v>
      </c>
      <c r="AL31" s="111">
        <f t="shared" si="30"/>
        <v>61.24369658070151</v>
      </c>
      <c r="AM31" s="112">
        <f t="shared" si="31"/>
        <v>68.880457060519845</v>
      </c>
      <c r="AN31" s="11">
        <f t="shared" si="17"/>
        <v>2042</v>
      </c>
      <c r="AP31" s="6"/>
      <c r="AQ31" s="6"/>
    </row>
    <row r="32" spans="2:43" s="221" customFormat="1">
      <c r="B32" s="172">
        <f t="shared" si="9"/>
        <v>2043</v>
      </c>
      <c r="C32" s="135">
        <f>'ST NFL Load &amp; Load Cost'!J55</f>
        <v>375483.3938617378</v>
      </c>
      <c r="D32" s="130">
        <f>'LT New Units Info'!AT55+'ST Existing Units Info'!L55+'ST Existing Units Info'!L115</f>
        <v>94383.240340383956</v>
      </c>
      <c r="E32" s="130">
        <f>'LT New Units Info'!AT115+'ST Existing Units Info'!L145</f>
        <v>75441.80006257497</v>
      </c>
      <c r="F32" s="130">
        <v>35618.247796108924</v>
      </c>
      <c r="G32" s="136">
        <f>'LT New Units Info'!AT85+'LT New Units Info'!AT145+'ST Existing Units Info'!L85+'Existing System FOM OGC'!U28</f>
        <v>57192.793258752718</v>
      </c>
      <c r="H32" s="130">
        <f>'LT New Units Info'!AT235+'LT Battery'!F47</f>
        <v>104737.64273086225</v>
      </c>
      <c r="I32" s="130">
        <f>'ST Physical Contracts'!K25-'ST Physical Contracts'!L25</f>
        <v>-9318.3414264838702</v>
      </c>
      <c r="J32" s="130">
        <f>'LT New Units Info'!AT175+'ST Existing Units Info'!L175-'LT Battery'!L25</f>
        <v>309732.51249417872</v>
      </c>
      <c r="K32" s="137">
        <f t="shared" si="18"/>
        <v>423806.264129758</v>
      </c>
      <c r="L32" s="224">
        <f t="shared" si="10"/>
        <v>3478018.3932790393</v>
      </c>
      <c r="M32" s="172">
        <f t="shared" si="11"/>
        <v>2043</v>
      </c>
      <c r="N32" s="133">
        <f t="shared" si="19"/>
        <v>0</v>
      </c>
      <c r="O32" s="70">
        <f>SUM('LT New Units Info'!G205:Q205)</f>
        <v>795.32</v>
      </c>
      <c r="P32" s="134">
        <f t="shared" si="20"/>
        <v>-0.11724945000000009</v>
      </c>
      <c r="Q32" s="183">
        <f>SUM('LT New Units Info'!S205:T205,'LT New Units Info'!W205:AD205,'LT New Units Info'!AG205:AR205)</f>
        <v>3.3684683999999998</v>
      </c>
      <c r="R32" s="48">
        <f t="shared" si="21"/>
        <v>0.51100000000000012</v>
      </c>
      <c r="S32" s="47">
        <f>'LT New Units Info'!R205</f>
        <v>7.1539999999999999</v>
      </c>
      <c r="T32" s="165">
        <f t="shared" si="22"/>
        <v>0</v>
      </c>
      <c r="U32" s="166">
        <f>'LT New Units Info'!AE205+'LT New Units Info'!AF205</f>
        <v>36.9</v>
      </c>
      <c r="V32" s="165">
        <f t="shared" si="23"/>
        <v>0</v>
      </c>
      <c r="W32" s="166">
        <f>'LT New Units Info'!U205+'LT New Units Info'!V205</f>
        <v>232.70400000000001</v>
      </c>
      <c r="X32" s="61">
        <f>SUM('LT New Units Info'!H25:P25,'ST Existing Units Info'!L25)</f>
        <v>2887.6431778583001</v>
      </c>
      <c r="Y32" s="167">
        <f>'ST Physical Contracts'!J25</f>
        <v>148.99568818085001</v>
      </c>
      <c r="Z32" s="67">
        <f>'LT New Units Info'!AE25+'LT New Units Info'!AF25+'LT New Units Info'!U25+'LT New Units Info'!V25</f>
        <v>1921.67630604189</v>
      </c>
      <c r="AA32" s="66">
        <f t="shared" si="24"/>
        <v>4958.3151720810401</v>
      </c>
      <c r="AB32" s="67">
        <f>'ST NFL Load &amp; Load Cost'!J25</f>
        <v>6062.9499999999989</v>
      </c>
      <c r="AC32" s="67">
        <f>SUM('LT New Units Info'!R25,'LT New Units Info'!W25:AD25,'LT New Units Info'!AG25:AR25)</f>
        <v>38.632840906969996</v>
      </c>
      <c r="AD32" s="66">
        <f t="shared" si="25"/>
        <v>6024.3171590930287</v>
      </c>
      <c r="AE32" s="132">
        <f t="shared" si="26"/>
        <v>-1066.0019870119886</v>
      </c>
      <c r="AF32" s="49">
        <f t="shared" si="27"/>
        <v>1075.4464684</v>
      </c>
      <c r="AG32" s="50">
        <f>'LT Region Planning Peak Load'!G25*1.0887</f>
        <v>1070.76831287403</v>
      </c>
      <c r="AH32" s="62">
        <f t="shared" si="28"/>
        <v>4.6781555259699417</v>
      </c>
      <c r="AI32" s="99">
        <f>(AF32-'LT Region Planning Peak Load'!G25)/'LT Region Planning Peak Load'!G25*100</f>
        <v>9.3456498543978324</v>
      </c>
      <c r="AJ32" s="128">
        <f>'ST LT CO2 Emissions'!B25+'ST LT CO2 Emissions'!B57</f>
        <v>2942341.6579624275</v>
      </c>
      <c r="AK32" s="42">
        <f t="shared" si="29"/>
        <v>61.930808247097183</v>
      </c>
      <c r="AL32" s="111">
        <f t="shared" si="30"/>
        <v>61.9843375774824</v>
      </c>
      <c r="AM32" s="112">
        <f t="shared" si="31"/>
        <v>69.900999369903772</v>
      </c>
      <c r="AN32" s="11">
        <f t="shared" si="17"/>
        <v>2043</v>
      </c>
      <c r="AP32" s="6"/>
      <c r="AQ32" s="6"/>
    </row>
    <row r="33" spans="1:43" s="221" customFormat="1">
      <c r="B33" s="172">
        <f t="shared" si="9"/>
        <v>2044</v>
      </c>
      <c r="C33" s="135">
        <f>'ST NFL Load &amp; Load Cost'!J56</f>
        <v>388977.2327351438</v>
      </c>
      <c r="D33" s="130">
        <f>'LT New Units Info'!AT56+'ST Existing Units Info'!L56+'ST Existing Units Info'!L116</f>
        <v>101003.6537251283</v>
      </c>
      <c r="E33" s="130">
        <f>'LT New Units Info'!AT116+'ST Existing Units Info'!L146</f>
        <v>81711.104461120412</v>
      </c>
      <c r="F33" s="130">
        <v>35243.347849100901</v>
      </c>
      <c r="G33" s="136">
        <f>'LT New Units Info'!AT86+'LT New Units Info'!AT146+'ST Existing Units Info'!L86+'Existing System FOM OGC'!U29</f>
        <v>58117.132436484615</v>
      </c>
      <c r="H33" s="130">
        <f>'LT New Units Info'!AT236+'LT Battery'!F48</f>
        <v>104737.64273086622</v>
      </c>
      <c r="I33" s="130">
        <f>'ST Physical Contracts'!K26-'ST Physical Contracts'!L26</f>
        <v>-9629.8897744677306</v>
      </c>
      <c r="J33" s="130">
        <f>'LT New Units Info'!AT176+'ST Existing Units Info'!L176-'LT Battery'!L26</f>
        <v>329818.35021263355</v>
      </c>
      <c r="K33" s="137">
        <f t="shared" si="18"/>
        <v>430341.87395074306</v>
      </c>
      <c r="L33" s="224">
        <f t="shared" si="10"/>
        <v>3554937.8102751612</v>
      </c>
      <c r="M33" s="172">
        <f t="shared" si="11"/>
        <v>2044</v>
      </c>
      <c r="N33" s="133">
        <f t="shared" si="19"/>
        <v>0</v>
      </c>
      <c r="O33" s="70">
        <f>SUM('LT New Units Info'!G206:Q206)</f>
        <v>795.32</v>
      </c>
      <c r="P33" s="134">
        <f t="shared" si="20"/>
        <v>-6.6039149999999935E-2</v>
      </c>
      <c r="Q33" s="183">
        <f>SUM('LT New Units Info'!S206:T206,'LT New Units Info'!W206:AD206,'LT New Units Info'!AG206:AR206)</f>
        <v>3.3024292499999999</v>
      </c>
      <c r="R33" s="48">
        <f t="shared" si="21"/>
        <v>0</v>
      </c>
      <c r="S33" s="47">
        <f>'LT New Units Info'!R206</f>
        <v>7.1539999999999999</v>
      </c>
      <c r="T33" s="165">
        <f t="shared" si="22"/>
        <v>0</v>
      </c>
      <c r="U33" s="166">
        <f>'LT New Units Info'!AE206+'LT New Units Info'!AF206</f>
        <v>36.9</v>
      </c>
      <c r="V33" s="165">
        <f t="shared" si="23"/>
        <v>0</v>
      </c>
      <c r="W33" s="166">
        <f>'LT New Units Info'!U206+'LT New Units Info'!V206</f>
        <v>232.70400000000001</v>
      </c>
      <c r="X33" s="61">
        <f>SUM('LT New Units Info'!H26:P26,'ST Existing Units Info'!L26)</f>
        <v>3029.855468268845</v>
      </c>
      <c r="Y33" s="167">
        <f>'ST Physical Contracts'!J26</f>
        <v>148.61558273047001</v>
      </c>
      <c r="Z33" s="67">
        <f>'LT New Units Info'!AE26+'LT New Units Info'!AF26+'LT New Units Info'!U26+'LT New Units Info'!V26</f>
        <v>1943.9306630953799</v>
      </c>
      <c r="AA33" s="66">
        <f t="shared" si="24"/>
        <v>5122.4017140946953</v>
      </c>
      <c r="AB33" s="67">
        <f>'ST NFL Load &amp; Load Cost'!J26</f>
        <v>6057.4809999999998</v>
      </c>
      <c r="AC33" s="67">
        <f>SUM('LT New Units Info'!R26,'LT New Units Info'!W26:AD26,'LT New Units Info'!AG26:AR26)</f>
        <v>38.373944064159993</v>
      </c>
      <c r="AD33" s="66">
        <f t="shared" si="25"/>
        <v>6019.1070559358395</v>
      </c>
      <c r="AE33" s="132">
        <f t="shared" si="26"/>
        <v>-896.70534184114422</v>
      </c>
      <c r="AF33" s="49">
        <f t="shared" si="27"/>
        <v>1075.3804292500001</v>
      </c>
      <c r="AG33" s="50">
        <f>'LT Region Planning Peak Load'!G26*1.0887</f>
        <v>1071.2701272561601</v>
      </c>
      <c r="AH33" s="62">
        <f t="shared" si="28"/>
        <v>4.1103019938400394</v>
      </c>
      <c r="AI33" s="99">
        <f>(AF33-'LT Region Planning Peak Load'!G26)/'LT Region Planning Peak Load'!G26*100</f>
        <v>9.2877177788159937</v>
      </c>
      <c r="AJ33" s="128">
        <f>'ST LT CO2 Emissions'!B26+'ST LT CO2 Emissions'!B58</f>
        <v>3084196.2087889761</v>
      </c>
      <c r="AK33" s="42">
        <f t="shared" si="29"/>
        <v>64.214354570017434</v>
      </c>
      <c r="AL33" s="111">
        <f t="shared" si="30"/>
        <v>63.908678086250831</v>
      </c>
      <c r="AM33" s="112">
        <f t="shared" si="31"/>
        <v>71.043041480566444</v>
      </c>
      <c r="AN33" s="11">
        <f t="shared" si="17"/>
        <v>2044</v>
      </c>
      <c r="AP33" s="6"/>
      <c r="AQ33" s="6"/>
    </row>
    <row r="34" spans="1:43" s="221" customFormat="1">
      <c r="B34" s="172">
        <f t="shared" si="9"/>
        <v>2045</v>
      </c>
      <c r="C34" s="135">
        <f>'ST NFL Load &amp; Load Cost'!J57</f>
        <v>395757.51380044065</v>
      </c>
      <c r="D34" s="130">
        <f>'LT New Units Info'!AT57+'ST Existing Units Info'!L57+'ST Existing Units Info'!L117</f>
        <v>94150.929464165703</v>
      </c>
      <c r="E34" s="130">
        <f>'LT New Units Info'!AT117+'ST Existing Units Info'!L147</f>
        <v>77449.05052362007</v>
      </c>
      <c r="F34" s="130">
        <v>34950.817239698546</v>
      </c>
      <c r="G34" s="136">
        <f>'LT New Units Info'!AT87+'LT New Units Info'!AT147+'ST Existing Units Info'!L87+'Existing System FOM OGC'!U30</f>
        <v>58621.524663142831</v>
      </c>
      <c r="H34" s="130">
        <f>'LT New Units Info'!AT237+'LT Battery'!F49</f>
        <v>104737.64273086225</v>
      </c>
      <c r="I34" s="130">
        <f>'ST Physical Contracts'!K27-'ST Physical Contracts'!L27</f>
        <v>-9764.8318852394605</v>
      </c>
      <c r="J34" s="130">
        <f>'LT New Units Info'!AT177+'ST Existing Units Info'!L177-'LT Battery'!L27</f>
        <v>319008.44651778694</v>
      </c>
      <c r="K34" s="137">
        <f t="shared" si="18"/>
        <v>436894.20001890371</v>
      </c>
      <c r="L34" s="224">
        <f t="shared" si="10"/>
        <v>3627831.1001465167</v>
      </c>
      <c r="M34" s="172">
        <f t="shared" si="11"/>
        <v>2045</v>
      </c>
      <c r="N34" s="133">
        <f t="shared" si="19"/>
        <v>0</v>
      </c>
      <c r="O34" s="70">
        <f>SUM('LT New Units Info'!G207:Q207)</f>
        <v>795.32</v>
      </c>
      <c r="P34" s="134">
        <f t="shared" si="20"/>
        <v>-1.8329249999999853E-2</v>
      </c>
      <c r="Q34" s="183">
        <f>SUM('LT New Units Info'!S207:T207,'LT New Units Info'!W207:AD207,'LT New Units Info'!AG207:AR207)</f>
        <v>3.2841</v>
      </c>
      <c r="R34" s="48">
        <f t="shared" si="21"/>
        <v>0.51100000000000012</v>
      </c>
      <c r="S34" s="47">
        <f>'LT New Units Info'!R207</f>
        <v>7.665</v>
      </c>
      <c r="T34" s="165">
        <f t="shared" si="22"/>
        <v>0</v>
      </c>
      <c r="U34" s="166">
        <f>'LT New Units Info'!AE207+'LT New Units Info'!AF207</f>
        <v>36.9</v>
      </c>
      <c r="V34" s="165">
        <f t="shared" si="23"/>
        <v>0</v>
      </c>
      <c r="W34" s="166">
        <f>'LT New Units Info'!U207+'LT New Units Info'!V207</f>
        <v>232.70400000000001</v>
      </c>
      <c r="X34" s="61">
        <f>SUM('LT New Units Info'!H27:P27,'ST Existing Units Info'!L27)</f>
        <v>2777.3997809928801</v>
      </c>
      <c r="Y34" s="167">
        <f>'ST Physical Contracts'!J27</f>
        <v>148.42799807217</v>
      </c>
      <c r="Z34" s="67">
        <f>'LT New Units Info'!AE27+'LT New Units Info'!AF27+'LT New Units Info'!U27+'LT New Units Info'!V27</f>
        <v>1921.6763060300411</v>
      </c>
      <c r="AA34" s="66">
        <f t="shared" si="24"/>
        <v>4847.5040850950909</v>
      </c>
      <c r="AB34" s="67">
        <f>'ST NFL Load &amp; Load Cost'!J27</f>
        <v>6057.2730000000001</v>
      </c>
      <c r="AC34" s="67">
        <f>SUM('LT New Units Info'!R27,'LT New Units Info'!W27:AD27,'LT New Units Info'!AG27:AR27)</f>
        <v>40.118145896500003</v>
      </c>
      <c r="AD34" s="66">
        <f t="shared" si="25"/>
        <v>6017.1548541034999</v>
      </c>
      <c r="AE34" s="132">
        <f t="shared" si="26"/>
        <v>-1169.650769008409</v>
      </c>
      <c r="AF34" s="49">
        <f t="shared" si="27"/>
        <v>1075.8731</v>
      </c>
      <c r="AG34" s="50">
        <f>'LT Region Planning Peak Load'!G27*1.0887</f>
        <v>1071.9753350763001</v>
      </c>
      <c r="AH34" s="62">
        <f t="shared" si="28"/>
        <v>3.8977649236999241</v>
      </c>
      <c r="AI34" s="99">
        <f>(AF34-'LT Region Planning Peak Load'!G27)/'LT Region Planning Peak Load'!G27*100</f>
        <v>9.2658576782114235</v>
      </c>
      <c r="AJ34" s="128">
        <f>'ST LT CO2 Emissions'!B27+'ST LT CO2 Emissions'!B59</f>
        <v>2828328.7048133276</v>
      </c>
      <c r="AK34" s="42">
        <f t="shared" si="29"/>
        <v>65.335921593832836</v>
      </c>
      <c r="AL34" s="111">
        <f t="shared" si="30"/>
        <v>65.268638090523439</v>
      </c>
      <c r="AM34" s="112">
        <f t="shared" si="31"/>
        <v>72.12720972274218</v>
      </c>
      <c r="AN34" s="11">
        <f t="shared" si="17"/>
        <v>2045</v>
      </c>
      <c r="AP34" s="6"/>
      <c r="AQ34" s="6"/>
    </row>
    <row r="35" spans="1:43" s="221" customFormat="1">
      <c r="B35" s="172">
        <f t="shared" si="9"/>
        <v>2046</v>
      </c>
      <c r="C35" s="135">
        <f>'ST NFL Load &amp; Load Cost'!J58</f>
        <v>406519.60673165182</v>
      </c>
      <c r="D35" s="130">
        <f>'LT New Units Info'!AT58+'ST Existing Units Info'!L58+'ST Existing Units Info'!L118</f>
        <v>99256.353449992966</v>
      </c>
      <c r="E35" s="130">
        <f>'LT New Units Info'!AT118+'ST Existing Units Info'!L148</f>
        <v>83038.533876478992</v>
      </c>
      <c r="F35" s="130">
        <v>34638.753136292791</v>
      </c>
      <c r="G35" s="136">
        <f>'LT New Units Info'!AT88+'LT New Units Info'!AT148+'ST Existing Units Info'!L88+'Existing System FOM OGC'!U31</f>
        <v>59456.069039111557</v>
      </c>
      <c r="H35" s="130">
        <f>'LT New Units Info'!AT238+'LT Battery'!F50</f>
        <v>103923.3684188686</v>
      </c>
      <c r="I35" s="130">
        <f>'ST Physical Contracts'!K28-'ST Physical Contracts'!L28</f>
        <v>-10009.17926248205</v>
      </c>
      <c r="J35" s="130">
        <f>'LT New Units Info'!AT178+'ST Existing Units Info'!L178-'LT Battery'!L28</f>
        <v>331615.68815836444</v>
      </c>
      <c r="K35" s="137">
        <f t="shared" si="18"/>
        <v>445207.81723155029</v>
      </c>
      <c r="L35" s="224">
        <f t="shared" si="10"/>
        <v>3697167.7651238162</v>
      </c>
      <c r="M35" s="172">
        <f t="shared" si="11"/>
        <v>2046</v>
      </c>
      <c r="N35" s="133">
        <f t="shared" si="19"/>
        <v>0</v>
      </c>
      <c r="O35" s="70">
        <f>SUM('LT New Units Info'!G208:Q208)</f>
        <v>795.32</v>
      </c>
      <c r="P35" s="134">
        <f t="shared" si="20"/>
        <v>-3.2841</v>
      </c>
      <c r="Q35" s="183">
        <f>SUM('LT New Units Info'!S208:T208,'LT New Units Info'!W208:AD208,'LT New Units Info'!AG208:AR208)</f>
        <v>0</v>
      </c>
      <c r="R35" s="48">
        <f t="shared" si="21"/>
        <v>0.51100000000000012</v>
      </c>
      <c r="S35" s="47">
        <f>'LT New Units Info'!R208</f>
        <v>8.1760000000000002</v>
      </c>
      <c r="T35" s="165">
        <f t="shared" si="22"/>
        <v>0</v>
      </c>
      <c r="U35" s="166">
        <f>'LT New Units Info'!AE208+'LT New Units Info'!AF208</f>
        <v>36.9</v>
      </c>
      <c r="V35" s="165">
        <f t="shared" si="23"/>
        <v>0</v>
      </c>
      <c r="W35" s="166">
        <f>'LT New Units Info'!U208+'LT New Units Info'!V208</f>
        <v>232.70400000000001</v>
      </c>
      <c r="X35" s="61">
        <f>SUM('LT New Units Info'!H28:P28,'ST Existing Units Info'!L28)</f>
        <v>2873.16211964587</v>
      </c>
      <c r="Y35" s="167">
        <f>'ST Physical Contracts'!J28</f>
        <v>148.15067309161</v>
      </c>
      <c r="Z35" s="67">
        <f>'LT New Units Info'!AE28+'LT New Units Info'!AF28+'LT New Units Info'!U28+'LT New Units Info'!V28</f>
        <v>1921.6763060331618</v>
      </c>
      <c r="AA35" s="66">
        <f t="shared" si="24"/>
        <v>4942.9890987706422</v>
      </c>
      <c r="AB35" s="67">
        <f>'ST NFL Load &amp; Load Cost'!J28</f>
        <v>6052.8860000000004</v>
      </c>
      <c r="AC35" s="67">
        <f>SUM('LT New Units Info'!R28,'LT New Units Info'!W28:AD28,'LT New Units Info'!AG28:AR28)</f>
        <v>29.284872824480001</v>
      </c>
      <c r="AD35" s="66">
        <f t="shared" si="25"/>
        <v>6023.6011271755206</v>
      </c>
      <c r="AE35" s="132">
        <f t="shared" si="26"/>
        <v>-1080.6120284048784</v>
      </c>
      <c r="AF35" s="49">
        <f t="shared" si="27"/>
        <v>1073.1000000000001</v>
      </c>
      <c r="AG35" s="50">
        <f>'LT Region Planning Peak Load'!G28*1.0887</f>
        <v>1071.9122460000001</v>
      </c>
      <c r="AH35" s="62">
        <f t="shared" si="28"/>
        <v>1.1877540000000408</v>
      </c>
      <c r="AI35" s="99">
        <f>(AF35-'LT Region Planning Peak Load'!G28)/'LT Region Planning Peak Load'!G28*100</f>
        <v>8.9906356009669182</v>
      </c>
      <c r="AJ35" s="128">
        <f>'ST LT CO2 Emissions'!B28+'ST LT CO2 Emissions'!B60</f>
        <v>2932987.495656793</v>
      </c>
      <c r="AK35" s="42">
        <f t="shared" si="29"/>
        <v>67.161285828223399</v>
      </c>
      <c r="AL35" s="111">
        <f t="shared" si="30"/>
        <v>66.692963833604097</v>
      </c>
      <c r="AM35" s="112">
        <f t="shared" si="31"/>
        <v>73.552982367675568</v>
      </c>
      <c r="AN35" s="11">
        <f t="shared" si="17"/>
        <v>2046</v>
      </c>
      <c r="AP35" s="6"/>
      <c r="AQ35" s="6"/>
    </row>
    <row r="36" spans="1:43" s="221" customFormat="1">
      <c r="B36" s="172">
        <f t="shared" si="9"/>
        <v>2047</v>
      </c>
      <c r="C36" s="135">
        <f>'ST NFL Load &amp; Load Cost'!J59</f>
        <v>416353.60962867009</v>
      </c>
      <c r="D36" s="130">
        <f>'LT New Units Info'!AT59+'ST Existing Units Info'!L59+'ST Existing Units Info'!L119</f>
        <v>108564.08120940975</v>
      </c>
      <c r="E36" s="130">
        <f>'LT New Units Info'!AT119+'ST Existing Units Info'!L149</f>
        <v>91925.448185255285</v>
      </c>
      <c r="F36" s="130">
        <v>34266.513421797776</v>
      </c>
      <c r="G36" s="136">
        <f>'LT New Units Info'!AT89+'LT New Units Info'!AT149+'ST Existing Units Info'!L89+'Existing System FOM OGC'!U32</f>
        <v>61699.756126097345</v>
      </c>
      <c r="H36" s="130">
        <f>'LT New Units Info'!AT239+'LT Battery'!F51</f>
        <v>103923.3684188686</v>
      </c>
      <c r="I36" s="130">
        <f>'ST Physical Contracts'!K29-'ST Physical Contracts'!L29</f>
        <v>-10235.058830774349</v>
      </c>
      <c r="J36" s="130">
        <f>'LT New Units Info'!AT179+'ST Existing Units Info'!L179-'LT Battery'!L29</f>
        <v>355616.68802613008</v>
      </c>
      <c r="K36" s="137">
        <f t="shared" si="18"/>
        <v>450881.03013319441</v>
      </c>
      <c r="L36" s="224">
        <f t="shared" si="10"/>
        <v>3762714.4944699435</v>
      </c>
      <c r="M36" s="172">
        <f t="shared" si="11"/>
        <v>2047</v>
      </c>
      <c r="N36" s="133">
        <f t="shared" si="19"/>
        <v>0</v>
      </c>
      <c r="O36" s="70">
        <f>SUM('LT New Units Info'!G209:Q209)</f>
        <v>795.32</v>
      </c>
      <c r="P36" s="134">
        <f t="shared" si="20"/>
        <v>0</v>
      </c>
      <c r="Q36" s="183">
        <f>SUM('LT New Units Info'!S209:T209,'LT New Units Info'!W209:AD209,'LT New Units Info'!AG209:AR209)</f>
        <v>0</v>
      </c>
      <c r="R36" s="48">
        <f t="shared" si="21"/>
        <v>0.51099999999999923</v>
      </c>
      <c r="S36" s="47">
        <f>'LT New Units Info'!R209</f>
        <v>8.6869999999999994</v>
      </c>
      <c r="T36" s="165">
        <f t="shared" si="22"/>
        <v>0</v>
      </c>
      <c r="U36" s="166">
        <f>'LT New Units Info'!AE209+'LT New Units Info'!AF209</f>
        <v>36.9</v>
      </c>
      <c r="V36" s="165">
        <f t="shared" si="23"/>
        <v>0</v>
      </c>
      <c r="W36" s="166">
        <f>'LT New Units Info'!U209+'LT New Units Info'!V209</f>
        <v>232.70400000000001</v>
      </c>
      <c r="X36" s="61">
        <f>SUM('LT New Units Info'!H29:P29,'ST Existing Units Info'!L29)</f>
        <v>3080.7527504334198</v>
      </c>
      <c r="Y36" s="167">
        <f>'ST Physical Contracts'!J29</f>
        <v>147.75435472491</v>
      </c>
      <c r="Z36" s="67">
        <f>'LT New Units Info'!AE29+'LT New Units Info'!AF29+'LT New Units Info'!U29+'LT New Units Info'!V29</f>
        <v>1921.6763060366111</v>
      </c>
      <c r="AA36" s="66">
        <f t="shared" si="24"/>
        <v>5150.1834111949411</v>
      </c>
      <c r="AB36" s="67">
        <f>'ST NFL Load &amp; Load Cost'!J29</f>
        <v>6046.2060000000001</v>
      </c>
      <c r="AC36" s="67">
        <f>SUM('LT New Units Info'!R29,'LT New Units Info'!W29:AD29,'LT New Units Info'!AG29:AR29)</f>
        <v>31.115177367169998</v>
      </c>
      <c r="AD36" s="66">
        <f t="shared" si="25"/>
        <v>6015.0908226328302</v>
      </c>
      <c r="AE36" s="132">
        <f t="shared" si="26"/>
        <v>-864.9074114378891</v>
      </c>
      <c r="AF36" s="49">
        <f t="shared" si="27"/>
        <v>1073.6110000000001</v>
      </c>
      <c r="AG36" s="50">
        <f>'LT Region Planning Peak Load'!G29*1.0887</f>
        <v>1071.4876530000001</v>
      </c>
      <c r="AH36" s="62">
        <f t="shared" si="28"/>
        <v>2.123346999999967</v>
      </c>
      <c r="AI36" s="99">
        <f>(AF36-'LT Region Planning Peak Load'!G29)/'LT Region Planning Peak Load'!G29*100</f>
        <v>9.0857456385454078</v>
      </c>
      <c r="AJ36" s="128">
        <f>'ST LT CO2 Emissions'!B29+'ST LT CO2 Emissions'!B61</f>
        <v>3141548.0649666432</v>
      </c>
      <c r="AK36" s="42">
        <f t="shared" si="29"/>
        <v>68.861962299774447</v>
      </c>
      <c r="AL36" s="111">
        <f t="shared" si="30"/>
        <v>68.63466406108418</v>
      </c>
      <c r="AM36" s="112">
        <f t="shared" si="31"/>
        <v>74.572555108640756</v>
      </c>
      <c r="AN36" s="11">
        <f t="shared" si="17"/>
        <v>2047</v>
      </c>
      <c r="AP36" s="6"/>
      <c r="AQ36" s="6"/>
    </row>
    <row r="37" spans="1:43" s="221" customFormat="1">
      <c r="B37" s="172">
        <f t="shared" si="9"/>
        <v>2048</v>
      </c>
      <c r="C37" s="135">
        <f>'ST NFL Load &amp; Load Cost'!J60</f>
        <v>425538.4681831387</v>
      </c>
      <c r="D37" s="130">
        <f>'LT New Units Info'!AT60+'ST Existing Units Info'!L60+'ST Existing Units Info'!L120</f>
        <v>102847.76992571907</v>
      </c>
      <c r="E37" s="130">
        <f>'LT New Units Info'!AT120+'ST Existing Units Info'!L150</f>
        <v>88349.765990655345</v>
      </c>
      <c r="F37" s="130">
        <v>33796.935174809812</v>
      </c>
      <c r="G37" s="136">
        <f>'LT New Units Info'!AT90+'LT New Units Info'!AT150+'ST Existing Units Info'!L90+'Existing System FOM OGC'!U33</f>
        <v>61919.683283133381</v>
      </c>
      <c r="H37" s="130">
        <f>'LT New Units Info'!AT240+'LT Battery'!F52</f>
        <v>103923.36841887201</v>
      </c>
      <c r="I37" s="130">
        <f>'ST Physical Contracts'!K30-'ST Physical Contracts'!L30</f>
        <v>-10469.121358331649</v>
      </c>
      <c r="J37" s="130">
        <f>'LT New Units Info'!AT180+'ST Existing Units Info'!L180-'LT Battery'!L30</f>
        <v>349946.05537604942</v>
      </c>
      <c r="K37" s="137">
        <f t="shared" si="18"/>
        <v>455960.81424194732</v>
      </c>
      <c r="L37" s="224">
        <f t="shared" si="10"/>
        <v>3824588.1076779044</v>
      </c>
      <c r="M37" s="172">
        <f t="shared" si="11"/>
        <v>2048</v>
      </c>
      <c r="N37" s="133">
        <f t="shared" si="19"/>
        <v>0</v>
      </c>
      <c r="O37" s="70">
        <f>SUM('LT New Units Info'!G210:Q210)</f>
        <v>795.32</v>
      </c>
      <c r="P37" s="134">
        <f t="shared" si="20"/>
        <v>0</v>
      </c>
      <c r="Q37" s="183">
        <f>SUM('LT New Units Info'!S210:T210,'LT New Units Info'!W210:AD210,'LT New Units Info'!AG210:AR210)</f>
        <v>0</v>
      </c>
      <c r="R37" s="48">
        <f t="shared" si="21"/>
        <v>0.51100000000000101</v>
      </c>
      <c r="S37" s="47">
        <f>'LT New Units Info'!R210</f>
        <v>9.1980000000000004</v>
      </c>
      <c r="T37" s="165">
        <f t="shared" si="22"/>
        <v>0</v>
      </c>
      <c r="U37" s="166">
        <f>'LT New Units Info'!AE210+'LT New Units Info'!AF210</f>
        <v>36.9</v>
      </c>
      <c r="V37" s="165">
        <f t="shared" si="23"/>
        <v>0</v>
      </c>
      <c r="W37" s="166">
        <f>'LT New Units Info'!U210+'LT New Units Info'!V210</f>
        <v>232.70400000000001</v>
      </c>
      <c r="X37" s="61">
        <f>SUM('LT New Units Info'!H30:P30,'ST Existing Units Info'!L30)</f>
        <v>2868.7922523339253</v>
      </c>
      <c r="Y37" s="167">
        <f>'ST Physical Contracts'!J30</f>
        <v>147.65893118888999</v>
      </c>
      <c r="Z37" s="67">
        <f>'LT New Units Info'!AE30+'LT New Units Info'!AF30+'LT New Units Info'!U30+'LT New Units Info'!V30</f>
        <v>1943.9306630950209</v>
      </c>
      <c r="AA37" s="66">
        <f t="shared" si="24"/>
        <v>4960.3818466178363</v>
      </c>
      <c r="AB37" s="67">
        <f>'ST NFL Load &amp; Load Cost'!J30</f>
        <v>6038.241</v>
      </c>
      <c r="AC37" s="67">
        <f>SUM('LT New Units Info'!R30,'LT New Units Info'!W30:AD30,'LT New Units Info'!AG30:AR30)</f>
        <v>32.95975679208</v>
      </c>
      <c r="AD37" s="66">
        <f t="shared" si="25"/>
        <v>6005.2812432079199</v>
      </c>
      <c r="AE37" s="132">
        <f t="shared" si="26"/>
        <v>-1044.8993965900836</v>
      </c>
      <c r="AF37" s="49">
        <f t="shared" si="27"/>
        <v>1074.1220000000001</v>
      </c>
      <c r="AG37" s="50">
        <f>'LT Region Planning Peak Load'!G30*1.0887</f>
        <v>1071.3243479999999</v>
      </c>
      <c r="AH37" s="62">
        <f t="shared" si="28"/>
        <v>2.7976520000001983</v>
      </c>
      <c r="AI37" s="99">
        <f>(AF37-'LT Region Planning Peak Load'!G30)/'LT Region Planning Peak Load'!G30*100</f>
        <v>9.1543026706231565</v>
      </c>
      <c r="AJ37" s="128">
        <f>'ST LT CO2 Emissions'!B30+'ST LT CO2 Emissions'!B62</f>
        <v>2921892.4286526977</v>
      </c>
      <c r="AK37" s="42">
        <f t="shared" si="29"/>
        <v>70.473912548892756</v>
      </c>
      <c r="AL37" s="111">
        <f t="shared" si="30"/>
        <v>70.082538542340828</v>
      </c>
      <c r="AM37" s="112">
        <f t="shared" si="31"/>
        <v>75.512192084076688</v>
      </c>
      <c r="AN37" s="11">
        <f t="shared" si="17"/>
        <v>2048</v>
      </c>
      <c r="AP37" s="6"/>
      <c r="AQ37" s="6"/>
    </row>
    <row r="38" spans="1:43" s="19" customFormat="1">
      <c r="B38" s="172">
        <f t="shared" si="9"/>
        <v>2049</v>
      </c>
      <c r="C38" s="135">
        <f>'ST NFL Load &amp; Load Cost'!J61</f>
        <v>423471.4860832704</v>
      </c>
      <c r="D38" s="130">
        <f>'LT New Units Info'!AT61+'ST Existing Units Info'!L61+'ST Existing Units Info'!L121</f>
        <v>93725.385981850326</v>
      </c>
      <c r="E38" s="130">
        <f>'LT New Units Info'!AT121+'ST Existing Units Info'!L151</f>
        <v>81351.004851379781</v>
      </c>
      <c r="F38" s="130">
        <v>33797.318876652738</v>
      </c>
      <c r="G38" s="136">
        <f>'LT New Units Info'!AT91+'LT New Units Info'!AT151+'ST Existing Units Info'!L91+'Existing System FOM OGC'!U34</f>
        <v>61030.175150096198</v>
      </c>
      <c r="H38" s="130">
        <f>'LT New Units Info'!AT241+'LT Battery'!F53</f>
        <v>103923.3684188686</v>
      </c>
      <c r="I38" s="130">
        <f>'ST Physical Contracts'!K31-'ST Physical Contracts'!L31</f>
        <v>-10393.16539732433</v>
      </c>
      <c r="J38" s="130">
        <f>'LT New Units Info'!AT181+'ST Existing Units Info'!L181-'LT Battery'!L31</f>
        <v>330106.24938248389</v>
      </c>
      <c r="K38" s="137">
        <f t="shared" si="18"/>
        <v>456799.32458230981</v>
      </c>
      <c r="L38" s="224">
        <f t="shared" si="10"/>
        <v>3882449.9564279602</v>
      </c>
      <c r="M38" s="172">
        <f t="shared" si="11"/>
        <v>2049</v>
      </c>
      <c r="N38" s="133">
        <f t="shared" si="19"/>
        <v>0</v>
      </c>
      <c r="O38" s="70">
        <f>SUM('LT New Units Info'!G211:Q211)</f>
        <v>795.32</v>
      </c>
      <c r="P38" s="134">
        <f t="shared" si="20"/>
        <v>0</v>
      </c>
      <c r="Q38" s="183">
        <f>SUM('LT New Units Info'!S211:T211,'LT New Units Info'!W211:AD211,'LT New Units Info'!AG211:AR211)</f>
        <v>0</v>
      </c>
      <c r="R38" s="48">
        <f t="shared" si="21"/>
        <v>0</v>
      </c>
      <c r="S38" s="47">
        <f>'LT New Units Info'!R211</f>
        <v>9.1980000000000004</v>
      </c>
      <c r="T38" s="165">
        <f t="shared" si="22"/>
        <v>0</v>
      </c>
      <c r="U38" s="166">
        <f>'LT New Units Info'!AE211+'LT New Units Info'!AF211</f>
        <v>36.9</v>
      </c>
      <c r="V38" s="165">
        <f t="shared" si="23"/>
        <v>0</v>
      </c>
      <c r="W38" s="166">
        <f>'LT New Units Info'!U211+'LT New Units Info'!V211</f>
        <v>232.70400000000001</v>
      </c>
      <c r="X38" s="61">
        <f>SUM('LT New Units Info'!H31:P31,'ST Existing Units Info'!L31)</f>
        <v>2547.6039979460747</v>
      </c>
      <c r="Y38" s="167">
        <f>'ST Physical Contracts'!J31</f>
        <v>145.59594759802002</v>
      </c>
      <c r="Z38" s="67">
        <f>'LT New Units Info'!AE31+'LT New Units Info'!AF31+'LT New Units Info'!U31+'LT New Units Info'!V31</f>
        <v>1921.6763060358601</v>
      </c>
      <c r="AA38" s="66">
        <f t="shared" si="24"/>
        <v>4614.8762515799544</v>
      </c>
      <c r="AB38" s="67">
        <f>'ST NFL Load &amp; Load Cost'!J31</f>
        <v>5960.1769999999997</v>
      </c>
      <c r="AC38" s="67">
        <f>SUM('LT New Units Info'!R31,'LT New Units Info'!W31:AD31,'LT New Units Info'!AG31:AR31)</f>
        <v>32.945481901619999</v>
      </c>
      <c r="AD38" s="66">
        <f t="shared" si="25"/>
        <v>5927.2315180983796</v>
      </c>
      <c r="AE38" s="132">
        <f t="shared" si="26"/>
        <v>-1312.3552665184252</v>
      </c>
      <c r="AF38" s="49">
        <f t="shared" si="27"/>
        <v>1074.1220000000001</v>
      </c>
      <c r="AG38" s="50">
        <f>'LT Region Planning Peak Load'!G31*1.0887</f>
        <v>1070.496936</v>
      </c>
      <c r="AH38" s="62">
        <f t="shared" si="28"/>
        <v>3.6250640000000658</v>
      </c>
      <c r="AI38" s="99">
        <f>(AF38-'LT Region Planning Peak Load'!G31)/'LT Region Planning Peak Load'!G31*100</f>
        <v>9.2386705719632349</v>
      </c>
      <c r="AJ38" s="128">
        <f>'ST LT CO2 Emissions'!B31+'ST LT CO2 Emissions'!B63</f>
        <v>2602226.9345100904</v>
      </c>
      <c r="AK38" s="42">
        <f t="shared" si="29"/>
        <v>71.050152719167642</v>
      </c>
      <c r="AL38" s="111">
        <f t="shared" si="30"/>
        <v>71.023861996361262</v>
      </c>
      <c r="AM38" s="112">
        <f t="shared" si="31"/>
        <v>76.641905866605953</v>
      </c>
      <c r="AN38" s="11">
        <f t="shared" si="17"/>
        <v>2049</v>
      </c>
    </row>
    <row r="39" spans="1:43">
      <c r="A39" s="114" t="s">
        <v>125</v>
      </c>
      <c r="B39" s="76"/>
      <c r="C39" s="129"/>
      <c r="D39" s="129"/>
      <c r="E39" s="138"/>
      <c r="F39" s="149"/>
      <c r="G39" s="139"/>
      <c r="H39" s="129"/>
      <c r="I39" s="129"/>
      <c r="J39" s="139"/>
      <c r="K39" s="139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20"/>
      <c r="AI39" s="219"/>
      <c r="AJ39"/>
    </row>
    <row r="40" spans="1:43" s="221" customFormat="1">
      <c r="A40" s="18" t="s">
        <v>185</v>
      </c>
      <c r="B40" s="18"/>
      <c r="C40" s="140">
        <f>NPV('End Effects'!$C$1,C9:C23)</f>
        <v>2072859.8012720789</v>
      </c>
      <c r="D40" s="140">
        <f>NPV('End Effects'!$C$1,D9:D23)</f>
        <v>1014958.4822777791</v>
      </c>
      <c r="E40" s="140">
        <f>NPV('End Effects'!$C$1,E9:E23)</f>
        <v>224673.05951110393</v>
      </c>
      <c r="F40" s="140">
        <f>NPV('End Effects'!$C$1,F9:F23)</f>
        <v>499702.44809859939</v>
      </c>
      <c r="G40" s="140">
        <f>NPV('End Effects'!$C$1,G9:G23)</f>
        <v>234027.39276773782</v>
      </c>
      <c r="H40" s="140">
        <f>NPV('End Effects'!$C$1,H9:H23)</f>
        <v>276010.92975024157</v>
      </c>
      <c r="I40" s="140">
        <f>NPV('End Effects'!$C$1,I9:I23)</f>
        <v>-50251.258789137995</v>
      </c>
      <c r="J40" s="140">
        <f>NPV('End Effects'!$C$1,J9:J23)</f>
        <v>1714378.1547370453</v>
      </c>
      <c r="K40" s="140">
        <f>NPV('End Effects'!$C$1,K9:K23)</f>
        <v>2557602.7001513583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20"/>
      <c r="AI40" s="219"/>
    </row>
    <row r="41" spans="1:43" s="9" customFormat="1" ht="16.5" customHeight="1">
      <c r="A41" s="18" t="s">
        <v>183</v>
      </c>
      <c r="B41" s="18"/>
      <c r="C41" s="140">
        <f>NPV('End Effects'!$C$1,C9:C38)</f>
        <v>3238206.8143707491</v>
      </c>
      <c r="D41" s="140">
        <f>NPV('End Effects'!$C$1,D9:D38)</f>
        <v>1316925.3232171589</v>
      </c>
      <c r="E41" s="140">
        <f>NPV('End Effects'!$C$1,E9:E38)</f>
        <v>457082.67589639669</v>
      </c>
      <c r="F41" s="140">
        <f>NPV('End Effects'!$C$1,F9:F38)</f>
        <v>619838.15721756348</v>
      </c>
      <c r="G41" s="140">
        <f>NPV('End Effects'!$C$1,G9:G38)</f>
        <v>405392.83227794268</v>
      </c>
      <c r="H41" s="140">
        <f>NPV('End Effects'!$C$1,H9:H38)</f>
        <v>601391.96755658102</v>
      </c>
      <c r="I41" s="140">
        <f>NPV('End Effects'!$C$1,I9:I38)</f>
        <v>-79302.18758049325</v>
      </c>
      <c r="J41" s="140">
        <f>NPV('End Effects'!$C$1,J9:J38)</f>
        <v>2677085.6265279404</v>
      </c>
      <c r="K41" s="140">
        <f>NPV('End Effects'!$C$1,K9:K38)</f>
        <v>3882449.9564279588</v>
      </c>
      <c r="L41" s="10"/>
      <c r="M41" s="53"/>
      <c r="O41" s="64"/>
      <c r="P41" s="168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20"/>
      <c r="AI41" s="219"/>
    </row>
    <row r="42" spans="1:43" s="25" customFormat="1" ht="15" customHeight="1">
      <c r="A42" s="76" t="s">
        <v>184</v>
      </c>
      <c r="B42" s="76"/>
      <c r="C42" s="141"/>
      <c r="D42" s="141"/>
      <c r="E42" s="141"/>
      <c r="F42" s="141"/>
      <c r="G42" s="141"/>
      <c r="H42" s="141"/>
      <c r="I42" s="141"/>
      <c r="J42" s="141"/>
      <c r="K42" s="177">
        <f>K38*'End Effects'!A35</f>
        <v>811526.63043556164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20"/>
      <c r="AI42" s="219"/>
    </row>
    <row r="43" spans="1:43">
      <c r="A43" s="76" t="s">
        <v>126</v>
      </c>
      <c r="B43" s="76"/>
      <c r="C43" s="142"/>
      <c r="D43" s="169"/>
      <c r="E43" s="169"/>
      <c r="F43" s="143"/>
      <c r="G43" s="143"/>
      <c r="H43" s="129"/>
      <c r="I43" s="129"/>
      <c r="J43" s="129"/>
      <c r="K43" s="131">
        <f>K42+K41</f>
        <v>4693976.5868635206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20"/>
      <c r="AI43" s="219"/>
      <c r="AJ43"/>
    </row>
    <row r="44" spans="1:43">
      <c r="B44" s="12"/>
      <c r="C44" s="29"/>
      <c r="D44" s="170"/>
      <c r="E44" s="169"/>
      <c r="F44" s="101"/>
      <c r="G44" s="143"/>
      <c r="K44" s="131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20"/>
      <c r="AI44" s="219"/>
      <c r="AJ44"/>
    </row>
    <row r="45" spans="1:43" s="76" customFormat="1">
      <c r="B45" s="12"/>
      <c r="C45" s="29"/>
      <c r="D45" s="170"/>
      <c r="E45" s="217"/>
      <c r="F45" s="101"/>
      <c r="G45" s="143"/>
      <c r="K45" s="131"/>
      <c r="R45" s="172"/>
      <c r="S45" s="172"/>
      <c r="T45" s="172"/>
      <c r="U45" s="173"/>
      <c r="V45" s="172"/>
      <c r="W45" s="172"/>
      <c r="X45" s="173"/>
      <c r="Y45" s="173"/>
      <c r="Z45" s="173"/>
      <c r="AA45" s="22"/>
      <c r="AB45" s="74"/>
      <c r="AC45" s="74"/>
      <c r="AD45" s="74"/>
      <c r="AE45" s="74"/>
      <c r="AF45" s="51"/>
      <c r="AG45" s="51"/>
      <c r="AH45" s="220"/>
      <c r="AI45" s="219"/>
    </row>
    <row r="46" spans="1:43" s="76" customFormat="1">
      <c r="B46" s="12"/>
      <c r="C46" s="29"/>
      <c r="D46" s="170"/>
      <c r="E46" s="217"/>
      <c r="F46" s="101"/>
      <c r="G46" s="143"/>
      <c r="K46" s="131"/>
      <c r="R46" s="172"/>
      <c r="S46" s="172"/>
      <c r="T46" s="172"/>
      <c r="U46" s="173"/>
      <c r="V46" s="172"/>
      <c r="W46" s="172"/>
      <c r="X46" s="173"/>
      <c r="Y46" s="173"/>
      <c r="Z46" s="173"/>
      <c r="AA46" s="22"/>
      <c r="AB46" s="74"/>
      <c r="AC46" s="74"/>
      <c r="AD46" s="74"/>
      <c r="AE46" s="74"/>
      <c r="AF46" s="51"/>
      <c r="AG46" s="51"/>
      <c r="AH46" s="220"/>
      <c r="AI46" s="219"/>
    </row>
    <row r="47" spans="1:43" s="76" customFormat="1">
      <c r="B47" s="221"/>
      <c r="C47" s="221"/>
      <c r="D47" s="221"/>
      <c r="E47" s="221"/>
      <c r="F47" s="221"/>
      <c r="G47" s="221" t="s">
        <v>201</v>
      </c>
      <c r="H47" s="221"/>
      <c r="I47" s="221"/>
      <c r="J47" s="221"/>
      <c r="K47" s="221"/>
      <c r="L47" s="221"/>
      <c r="M47" s="221"/>
      <c r="R47" s="172"/>
      <c r="S47" s="172"/>
      <c r="T47" s="172"/>
      <c r="U47" s="173"/>
      <c r="V47" s="172"/>
      <c r="W47" s="172"/>
      <c r="X47" s="173"/>
      <c r="Y47" s="173"/>
      <c r="Z47" s="173"/>
      <c r="AA47" s="22"/>
      <c r="AB47" s="74"/>
      <c r="AC47" s="74"/>
      <c r="AD47" s="74"/>
      <c r="AE47" s="74"/>
      <c r="AF47" s="51"/>
      <c r="AG47" s="51"/>
      <c r="AH47" s="220"/>
      <c r="AI47" s="219"/>
    </row>
    <row r="48" spans="1:43" s="76" customFormat="1">
      <c r="B48" s="225"/>
      <c r="C48" s="318" t="s">
        <v>105</v>
      </c>
      <c r="D48" s="319"/>
      <c r="E48" s="319"/>
      <c r="F48" s="319"/>
      <c r="G48" s="319"/>
      <c r="H48" s="319"/>
      <c r="I48" s="319"/>
      <c r="J48" s="320"/>
      <c r="K48" s="221"/>
      <c r="L48" s="221"/>
      <c r="M48" s="221"/>
      <c r="R48" s="172"/>
      <c r="S48" s="172"/>
      <c r="T48" s="172"/>
      <c r="U48" s="173"/>
      <c r="V48" s="172"/>
      <c r="W48" s="172"/>
      <c r="X48" s="173"/>
      <c r="Y48" s="173"/>
      <c r="Z48" s="173"/>
      <c r="AA48" s="22"/>
      <c r="AB48" s="74"/>
      <c r="AC48" s="74"/>
      <c r="AD48" s="74"/>
      <c r="AE48" s="74"/>
      <c r="AF48" s="51"/>
      <c r="AG48" s="51"/>
      <c r="AH48" s="220"/>
      <c r="AI48" s="219"/>
    </row>
    <row r="49" spans="2:35" s="76" customFormat="1">
      <c r="B49" s="233"/>
      <c r="C49" s="39" t="s">
        <v>33</v>
      </c>
      <c r="D49" s="39" t="s">
        <v>34</v>
      </c>
      <c r="E49" s="39" t="s">
        <v>35</v>
      </c>
      <c r="F49" s="39" t="s">
        <v>36</v>
      </c>
      <c r="G49" s="39" t="s">
        <v>37</v>
      </c>
      <c r="H49" s="39" t="s">
        <v>38</v>
      </c>
      <c r="I49" s="221" t="s">
        <v>80</v>
      </c>
      <c r="J49" s="39" t="s">
        <v>74</v>
      </c>
      <c r="K49" s="39" t="s">
        <v>81</v>
      </c>
      <c r="L49" s="221"/>
      <c r="M49" s="221"/>
      <c r="R49" s="172"/>
      <c r="S49" s="172"/>
      <c r="T49" s="172"/>
      <c r="U49" s="173"/>
      <c r="V49" s="172"/>
      <c r="W49" s="172"/>
      <c r="X49" s="173"/>
      <c r="Y49" s="173"/>
      <c r="Z49" s="173"/>
      <c r="AA49" s="22"/>
      <c r="AB49" s="74"/>
      <c r="AC49" s="74"/>
      <c r="AD49" s="74"/>
      <c r="AE49" s="74"/>
      <c r="AF49" s="51"/>
      <c r="AG49" s="51"/>
      <c r="AH49" s="220"/>
      <c r="AI49" s="219"/>
    </row>
    <row r="50" spans="2:35" s="76" customFormat="1" ht="78.75">
      <c r="B50" s="234"/>
      <c r="C50" s="235" t="s">
        <v>15</v>
      </c>
      <c r="D50" s="234" t="s">
        <v>14</v>
      </c>
      <c r="E50" s="236" t="s">
        <v>16</v>
      </c>
      <c r="F50" s="236" t="s">
        <v>202</v>
      </c>
      <c r="G50" s="303" t="s">
        <v>203</v>
      </c>
      <c r="H50" s="237" t="s">
        <v>204</v>
      </c>
      <c r="I50" s="110" t="s">
        <v>90</v>
      </c>
      <c r="J50" s="236" t="s">
        <v>205</v>
      </c>
      <c r="K50" s="238" t="s">
        <v>68</v>
      </c>
      <c r="L50" s="221"/>
      <c r="M50" s="81" t="s">
        <v>206</v>
      </c>
      <c r="R50" s="172"/>
      <c r="S50" s="172"/>
      <c r="T50" s="172"/>
      <c r="U50" s="173"/>
      <c r="V50" s="172"/>
      <c r="W50" s="172"/>
      <c r="X50" s="173"/>
      <c r="Y50" s="173"/>
      <c r="Z50" s="173"/>
      <c r="AA50" s="22"/>
      <c r="AB50" s="74"/>
      <c r="AC50" s="74"/>
      <c r="AD50" s="74"/>
      <c r="AE50" s="74"/>
      <c r="AF50" s="51"/>
      <c r="AG50" s="51"/>
      <c r="AH50" s="220"/>
      <c r="AI50" s="219"/>
    </row>
    <row r="51" spans="2:35" s="76" customFormat="1">
      <c r="B51" s="6"/>
      <c r="C51" s="63" t="s">
        <v>9</v>
      </c>
      <c r="D51" s="3" t="s">
        <v>9</v>
      </c>
      <c r="E51" s="3" t="s">
        <v>9</v>
      </c>
      <c r="F51" s="3" t="s">
        <v>9</v>
      </c>
      <c r="G51" s="3" t="s">
        <v>9</v>
      </c>
      <c r="H51" s="3" t="s">
        <v>9</v>
      </c>
      <c r="I51" s="3" t="s">
        <v>9</v>
      </c>
      <c r="J51" s="3" t="s">
        <v>9</v>
      </c>
      <c r="K51" s="3" t="s">
        <v>9</v>
      </c>
      <c r="L51" s="221"/>
      <c r="M51" s="221"/>
      <c r="R51" s="172"/>
      <c r="S51" s="172"/>
      <c r="T51" s="172"/>
      <c r="U51" s="173"/>
      <c r="V51" s="172"/>
      <c r="W51" s="172"/>
      <c r="X51" s="173"/>
      <c r="Y51" s="173"/>
      <c r="Z51" s="173"/>
      <c r="AA51" s="22"/>
      <c r="AB51" s="74"/>
      <c r="AC51" s="74"/>
      <c r="AD51" s="74"/>
      <c r="AE51" s="74"/>
      <c r="AF51" s="51"/>
      <c r="AG51" s="51"/>
      <c r="AH51" s="220"/>
      <c r="AI51" s="219"/>
    </row>
    <row r="52" spans="2:35" s="76" customFormat="1">
      <c r="B52" s="172">
        <v>2020</v>
      </c>
      <c r="C52" s="135">
        <v>177345.71838309889</v>
      </c>
      <c r="D52" s="130">
        <v>142839.7098198825</v>
      </c>
      <c r="E52" s="130">
        <v>10825.903189663921</v>
      </c>
      <c r="F52" s="130">
        <v>53708.784019742561</v>
      </c>
      <c r="G52" s="143">
        <v>28481.731455064692</v>
      </c>
      <c r="H52" s="130">
        <v>0</v>
      </c>
      <c r="I52" s="130">
        <v>-3268.7626831071402</v>
      </c>
      <c r="J52" s="149">
        <v>173953.54391650565</v>
      </c>
      <c r="K52" s="137">
        <v>235979.54026783968</v>
      </c>
      <c r="L52" s="221"/>
      <c r="M52" s="74">
        <v>6059.9189999999999</v>
      </c>
      <c r="R52" s="172"/>
      <c r="S52" s="172"/>
      <c r="T52" s="172"/>
      <c r="U52" s="173"/>
      <c r="V52" s="172"/>
      <c r="W52" s="172"/>
      <c r="X52" s="173"/>
      <c r="Y52" s="173"/>
      <c r="Z52" s="173"/>
      <c r="AA52" s="22"/>
      <c r="AB52" s="74"/>
      <c r="AC52" s="74"/>
      <c r="AD52" s="74"/>
      <c r="AE52" s="74"/>
      <c r="AF52" s="51"/>
      <c r="AG52" s="51"/>
      <c r="AH52" s="220"/>
      <c r="AI52" s="219"/>
    </row>
    <row r="53" spans="2:35" s="76" customFormat="1">
      <c r="B53" s="172">
        <v>2021</v>
      </c>
      <c r="C53" s="135">
        <v>178062.81598860319</v>
      </c>
      <c r="D53" s="130">
        <v>133471.66996066776</v>
      </c>
      <c r="E53" s="130">
        <v>11812.606059460199</v>
      </c>
      <c r="F53" s="130">
        <v>72591.989634965124</v>
      </c>
      <c r="G53" s="143">
        <v>27896.156567047754</v>
      </c>
      <c r="H53" s="130">
        <v>0</v>
      </c>
      <c r="I53" s="130">
        <v>-3279.6236629355299</v>
      </c>
      <c r="J53" s="149">
        <v>161162.00576045155</v>
      </c>
      <c r="K53" s="137">
        <v>259393.60878735699</v>
      </c>
      <c r="L53" s="221"/>
      <c r="M53" s="74">
        <v>6037.1639999999998</v>
      </c>
      <c r="R53" s="172"/>
      <c r="S53" s="172"/>
      <c r="T53" s="172"/>
      <c r="U53" s="173"/>
      <c r="V53" s="172"/>
      <c r="W53" s="172"/>
      <c r="X53" s="173"/>
      <c r="Y53" s="173"/>
      <c r="Z53" s="173"/>
      <c r="AA53" s="22"/>
      <c r="AB53" s="74"/>
      <c r="AC53" s="74"/>
      <c r="AD53" s="74"/>
      <c r="AE53" s="74"/>
      <c r="AF53" s="51"/>
      <c r="AG53" s="51"/>
      <c r="AH53" s="220"/>
      <c r="AI53" s="219"/>
    </row>
    <row r="54" spans="2:35" s="76" customFormat="1">
      <c r="B54" s="172">
        <v>2022</v>
      </c>
      <c r="C54" s="135">
        <v>188271.809699484</v>
      </c>
      <c r="D54" s="130">
        <v>147067.93167580283</v>
      </c>
      <c r="E54" s="130">
        <v>14413.07407429291</v>
      </c>
      <c r="F54" s="130">
        <v>75934.982609057159</v>
      </c>
      <c r="G54" s="143">
        <v>34364.997882809577</v>
      </c>
      <c r="H54" s="130">
        <v>4259.2280538122386</v>
      </c>
      <c r="I54" s="130">
        <v>-4818.9774724833605</v>
      </c>
      <c r="J54" s="149">
        <v>191864.32443809271</v>
      </c>
      <c r="K54" s="137">
        <v>267628.72208468261</v>
      </c>
      <c r="L54" s="221"/>
      <c r="M54" s="74">
        <v>6115.0799943212896</v>
      </c>
      <c r="R54" s="172"/>
      <c r="S54" s="172"/>
      <c r="T54" s="172"/>
      <c r="U54" s="173"/>
      <c r="V54" s="172"/>
      <c r="W54" s="172"/>
      <c r="X54" s="173"/>
      <c r="Y54" s="173"/>
      <c r="Z54" s="173"/>
      <c r="AA54" s="22"/>
      <c r="AB54" s="74"/>
      <c r="AC54" s="74"/>
      <c r="AD54" s="74"/>
      <c r="AE54" s="74"/>
      <c r="AF54" s="51"/>
      <c r="AG54" s="51"/>
      <c r="AH54" s="220"/>
      <c r="AI54" s="219"/>
    </row>
    <row r="55" spans="2:35" s="76" customFormat="1">
      <c r="B55" s="172">
        <v>2023</v>
      </c>
      <c r="C55" s="135">
        <v>197404.10689387011</v>
      </c>
      <c r="D55" s="130">
        <v>110707.47071589823</v>
      </c>
      <c r="E55" s="130">
        <v>7801.1914559731849</v>
      </c>
      <c r="F55" s="130">
        <v>69537.021213086104</v>
      </c>
      <c r="G55" s="143">
        <v>26023.917527402831</v>
      </c>
      <c r="H55" s="130">
        <v>19264.313280394061</v>
      </c>
      <c r="I55" s="130">
        <v>-5009.61439086065</v>
      </c>
      <c r="J55" s="149">
        <v>173999.34073146764</v>
      </c>
      <c r="K55" s="137">
        <v>251729.06596429623</v>
      </c>
      <c r="L55" s="221"/>
      <c r="M55" s="74">
        <v>6097.1768514078904</v>
      </c>
      <c r="R55" s="172"/>
      <c r="S55" s="172"/>
      <c r="T55" s="172"/>
      <c r="U55" s="173"/>
      <c r="V55" s="172"/>
      <c r="W55" s="172"/>
      <c r="X55" s="173"/>
      <c r="Y55" s="173"/>
      <c r="Z55" s="173"/>
      <c r="AA55" s="22"/>
      <c r="AB55" s="74"/>
      <c r="AC55" s="74"/>
      <c r="AD55" s="74"/>
      <c r="AE55" s="74"/>
      <c r="AF55" s="51"/>
      <c r="AG55" s="51"/>
      <c r="AH55" s="220"/>
      <c r="AI55" s="219"/>
    </row>
    <row r="56" spans="2:35" s="76" customFormat="1">
      <c r="B56" s="172">
        <v>2024</v>
      </c>
      <c r="C56" s="135">
        <v>205527.52840761931</v>
      </c>
      <c r="D56" s="130">
        <v>108913.42425611394</v>
      </c>
      <c r="E56" s="130">
        <v>7519.6011275244655</v>
      </c>
      <c r="F56" s="130">
        <v>61229.540922719723</v>
      </c>
      <c r="G56" s="143">
        <v>32606.005581236903</v>
      </c>
      <c r="H56" s="130">
        <v>41620.235200890769</v>
      </c>
      <c r="I56" s="130">
        <v>-5208.5340214971302</v>
      </c>
      <c r="J56" s="149">
        <v>193992.71766255383</v>
      </c>
      <c r="K56" s="137">
        <v>258215.08381205413</v>
      </c>
      <c r="L56" s="221"/>
      <c r="M56" s="74">
        <v>6042.0851630611096</v>
      </c>
      <c r="R56" s="172"/>
      <c r="S56" s="172"/>
      <c r="T56" s="172"/>
      <c r="U56" s="173"/>
      <c r="V56" s="172"/>
      <c r="W56" s="172"/>
      <c r="X56" s="173"/>
      <c r="Y56" s="173"/>
      <c r="Z56" s="173"/>
      <c r="AA56" s="22"/>
      <c r="AB56" s="74"/>
      <c r="AC56" s="74"/>
      <c r="AD56" s="74"/>
      <c r="AE56" s="74"/>
      <c r="AF56" s="51"/>
      <c r="AG56" s="51"/>
      <c r="AH56" s="220"/>
      <c r="AI56" s="219"/>
    </row>
    <row r="57" spans="2:35" s="76" customFormat="1">
      <c r="B57" s="172">
        <v>2025</v>
      </c>
      <c r="C57" s="135">
        <v>211489.41592125679</v>
      </c>
      <c r="D57" s="130">
        <v>111920.36816134573</v>
      </c>
      <c r="E57" s="130">
        <v>7951.1268588837156</v>
      </c>
      <c r="F57" s="130">
        <v>56321.083531574106</v>
      </c>
      <c r="G57" s="143">
        <v>33246.543347506675</v>
      </c>
      <c r="H57" s="130">
        <v>37721.981479758149</v>
      </c>
      <c r="I57" s="130">
        <v>-5368.2964107076696</v>
      </c>
      <c r="J57" s="149">
        <v>199718.92938085494</v>
      </c>
      <c r="K57" s="137">
        <v>253563.29350876261</v>
      </c>
      <c r="L57" s="221"/>
      <c r="M57" s="74">
        <v>6035.6155493348406</v>
      </c>
      <c r="R57" s="172"/>
      <c r="S57" s="172"/>
      <c r="T57" s="172"/>
      <c r="U57" s="173"/>
      <c r="V57" s="172"/>
      <c r="W57" s="172"/>
      <c r="X57" s="173"/>
      <c r="Y57" s="173"/>
      <c r="Z57" s="173"/>
      <c r="AA57" s="22"/>
      <c r="AB57" s="74"/>
      <c r="AC57" s="74"/>
      <c r="AD57" s="74"/>
      <c r="AE57" s="74"/>
      <c r="AF57" s="51"/>
      <c r="AG57" s="51"/>
      <c r="AH57" s="220"/>
      <c r="AI57" s="219"/>
    </row>
    <row r="58" spans="2:35" s="76" customFormat="1">
      <c r="B58" s="172">
        <v>2026</v>
      </c>
      <c r="C58" s="135">
        <v>217269.43703061063</v>
      </c>
      <c r="D58" s="130">
        <v>120731.5978740463</v>
      </c>
      <c r="E58" s="130">
        <v>8526.0862327229552</v>
      </c>
      <c r="F58" s="130">
        <v>50029.80577516387</v>
      </c>
      <c r="G58" s="143">
        <v>34251.876007404848</v>
      </c>
      <c r="H58" s="130">
        <v>36973.912530715454</v>
      </c>
      <c r="I58" s="130">
        <v>-5504.4940457483399</v>
      </c>
      <c r="J58" s="149">
        <v>211140.90164095792</v>
      </c>
      <c r="K58" s="137">
        <v>251137.31976395781</v>
      </c>
      <c r="L58" s="221"/>
      <c r="M58" s="74">
        <v>6030.9195461952804</v>
      </c>
      <c r="R58" s="172"/>
      <c r="S58" s="172"/>
      <c r="T58" s="172"/>
      <c r="U58" s="173"/>
      <c r="V58" s="172"/>
      <c r="W58" s="172"/>
      <c r="X58" s="173"/>
      <c r="Y58" s="173"/>
      <c r="Z58" s="173"/>
      <c r="AA58" s="22"/>
      <c r="AB58" s="74"/>
      <c r="AC58" s="74"/>
      <c r="AD58" s="74"/>
      <c r="AE58" s="74"/>
      <c r="AF58" s="51"/>
      <c r="AG58" s="51"/>
      <c r="AH58" s="220"/>
      <c r="AI58" s="219"/>
    </row>
    <row r="59" spans="2:35" s="76" customFormat="1">
      <c r="B59" s="172">
        <v>2027</v>
      </c>
      <c r="C59" s="135">
        <v>225225.40649163231</v>
      </c>
      <c r="D59" s="130">
        <v>118742.12835776761</v>
      </c>
      <c r="E59" s="130">
        <v>8349.6821655852309</v>
      </c>
      <c r="F59" s="130">
        <v>48814.806706505587</v>
      </c>
      <c r="G59" s="143">
        <v>34609.605726907321</v>
      </c>
      <c r="H59" s="130">
        <v>36962.0726205545</v>
      </c>
      <c r="I59" s="130">
        <v>-5700.7358772326597</v>
      </c>
      <c r="J59" s="149">
        <v>208354.73772850417</v>
      </c>
      <c r="K59" s="137">
        <v>258648.2284632157</v>
      </c>
      <c r="L59" s="221"/>
      <c r="M59" s="74">
        <v>6028.5862393151992</v>
      </c>
      <c r="R59" s="172"/>
      <c r="S59" s="172"/>
      <c r="T59" s="172"/>
      <c r="U59" s="173"/>
      <c r="V59" s="172"/>
      <c r="W59" s="172"/>
      <c r="X59" s="173"/>
      <c r="Y59" s="173"/>
      <c r="Z59" s="173"/>
      <c r="AA59" s="22"/>
      <c r="AB59" s="74"/>
      <c r="AC59" s="74"/>
      <c r="AD59" s="74"/>
      <c r="AE59" s="74"/>
      <c r="AF59" s="51"/>
      <c r="AG59" s="51"/>
      <c r="AH59" s="145"/>
      <c r="AI59" s="146"/>
    </row>
    <row r="60" spans="2:35" s="76" customFormat="1">
      <c r="B60" s="172">
        <v>2028</v>
      </c>
      <c r="C60" s="135">
        <v>279834.37021347659</v>
      </c>
      <c r="D60" s="130">
        <v>86065.64871483625</v>
      </c>
      <c r="E60" s="130">
        <v>47721.228639476314</v>
      </c>
      <c r="F60" s="130">
        <v>49255.252343599852</v>
      </c>
      <c r="G60" s="143">
        <v>32548.164877736337</v>
      </c>
      <c r="H60" s="130">
        <v>37481.302657131608</v>
      </c>
      <c r="I60" s="130">
        <v>-7053.7330867887194</v>
      </c>
      <c r="J60" s="149">
        <v>208870.99185497093</v>
      </c>
      <c r="K60" s="137">
        <v>316981.24250449729</v>
      </c>
      <c r="L60" s="221"/>
      <c r="M60" s="74">
        <v>6026.9780728693295</v>
      </c>
      <c r="R60" s="172"/>
      <c r="S60" s="172"/>
      <c r="T60" s="172"/>
      <c r="U60" s="173"/>
      <c r="V60" s="172"/>
      <c r="W60" s="172"/>
      <c r="X60" s="173"/>
      <c r="Y60" s="173"/>
      <c r="Z60" s="173"/>
      <c r="AA60" s="22"/>
      <c r="AB60" s="74"/>
      <c r="AC60" s="74"/>
      <c r="AD60" s="74"/>
      <c r="AE60" s="74"/>
      <c r="AF60" s="51"/>
      <c r="AH60" s="145"/>
      <c r="AI60" s="146"/>
    </row>
    <row r="61" spans="2:35" s="76" customFormat="1">
      <c r="B61" s="172">
        <v>2029</v>
      </c>
      <c r="C61" s="135">
        <v>280872.82751056651</v>
      </c>
      <c r="D61" s="130">
        <v>88802.709706929658</v>
      </c>
      <c r="E61" s="130">
        <v>51548.277270261402</v>
      </c>
      <c r="F61" s="130">
        <v>47861.252343599852</v>
      </c>
      <c r="G61" s="143">
        <v>33716.802947775243</v>
      </c>
      <c r="H61" s="130">
        <v>37810.792646355396</v>
      </c>
      <c r="I61" s="130">
        <v>-7082.6261477191892</v>
      </c>
      <c r="J61" s="149">
        <v>213880.43826233956</v>
      </c>
      <c r="K61" s="137">
        <v>319649.59801542934</v>
      </c>
      <c r="L61" s="221"/>
      <c r="M61" s="74">
        <v>6035.2217669986494</v>
      </c>
      <c r="R61" s="172"/>
      <c r="S61" s="172"/>
      <c r="T61" s="172"/>
      <c r="U61" s="173"/>
      <c r="V61" s="172"/>
      <c r="W61" s="172"/>
      <c r="X61" s="173"/>
      <c r="Y61" s="173"/>
      <c r="Z61" s="173"/>
      <c r="AA61" s="22"/>
      <c r="AB61" s="74"/>
      <c r="AC61" s="74"/>
      <c r="AD61" s="74"/>
      <c r="AE61" s="74"/>
      <c r="AF61" s="51"/>
      <c r="AH61" s="145"/>
      <c r="AI61" s="146"/>
    </row>
    <row r="62" spans="2:35" s="76" customFormat="1">
      <c r="B62" s="172">
        <v>2030</v>
      </c>
      <c r="C62" s="135">
        <v>286106.02577618498</v>
      </c>
      <c r="D62" s="130">
        <v>87026.989043544207</v>
      </c>
      <c r="E62" s="130">
        <v>50895.238988989506</v>
      </c>
      <c r="F62" s="130">
        <v>40606.372343599855</v>
      </c>
      <c r="G62" s="143">
        <v>37855.511339593344</v>
      </c>
      <c r="H62" s="130">
        <v>50934.1759245391</v>
      </c>
      <c r="I62" s="130">
        <v>-7214.1870538983894</v>
      </c>
      <c r="J62" s="149">
        <v>227740.90102754493</v>
      </c>
      <c r="K62" s="137">
        <v>318469.22533500771</v>
      </c>
      <c r="L62" s="221"/>
      <c r="M62" s="74">
        <v>6033.2996314482098</v>
      </c>
      <c r="R62" s="172"/>
      <c r="S62" s="172"/>
      <c r="T62" s="172"/>
      <c r="U62" s="173"/>
      <c r="V62" s="172"/>
      <c r="W62" s="172"/>
      <c r="X62" s="173"/>
      <c r="Y62" s="173"/>
      <c r="Z62" s="173"/>
      <c r="AA62" s="22"/>
      <c r="AB62" s="74"/>
      <c r="AC62" s="74"/>
      <c r="AD62" s="74"/>
      <c r="AE62" s="74"/>
      <c r="AF62" s="51"/>
      <c r="AH62" s="145"/>
      <c r="AI62" s="146"/>
    </row>
    <row r="63" spans="2:35" s="76" customFormat="1">
      <c r="B63" s="172">
        <v>2031</v>
      </c>
      <c r="C63" s="135">
        <v>289936.19105304894</v>
      </c>
      <c r="D63" s="130">
        <v>84705.514724500012</v>
      </c>
      <c r="E63" s="130">
        <v>54362.637899947287</v>
      </c>
      <c r="F63" s="130">
        <v>39599.836343599847</v>
      </c>
      <c r="G63" s="143">
        <v>48156.136415659465</v>
      </c>
      <c r="H63" s="130">
        <v>89909.117261998501</v>
      </c>
      <c r="I63" s="130">
        <v>-7321.1078296739597</v>
      </c>
      <c r="J63" s="149">
        <v>247493.63658238135</v>
      </c>
      <c r="K63" s="137">
        <v>351854.68928669882</v>
      </c>
      <c r="L63" s="221"/>
      <c r="M63" s="74">
        <v>6036.3103289727496</v>
      </c>
      <c r="R63" s="172"/>
      <c r="S63" s="172"/>
      <c r="T63" s="172"/>
      <c r="U63" s="173"/>
      <c r="V63" s="172"/>
      <c r="W63" s="172"/>
      <c r="X63" s="173"/>
      <c r="Y63" s="173"/>
      <c r="Z63" s="173"/>
      <c r="AA63" s="22"/>
      <c r="AB63" s="74"/>
      <c r="AC63" s="74"/>
      <c r="AD63" s="74"/>
      <c r="AE63" s="74"/>
    </row>
    <row r="64" spans="2:35" s="76" customFormat="1">
      <c r="B64" s="172">
        <v>2032</v>
      </c>
      <c r="C64" s="135">
        <v>297163.67051511479</v>
      </c>
      <c r="D64" s="130">
        <v>88065.710311275587</v>
      </c>
      <c r="E64" s="130">
        <v>57831.948971196158</v>
      </c>
      <c r="F64" s="130">
        <v>39501.473143599855</v>
      </c>
      <c r="G64" s="143">
        <v>48816.230514097304</v>
      </c>
      <c r="H64" s="130">
        <v>89909.117262000364</v>
      </c>
      <c r="I64" s="130">
        <v>-7508.9184264065998</v>
      </c>
      <c r="J64" s="149">
        <v>260631.97474447323</v>
      </c>
      <c r="K64" s="137">
        <v>353147.25754640414</v>
      </c>
      <c r="L64" s="221"/>
      <c r="M64" s="74">
        <v>6040.0077753595406</v>
      </c>
      <c r="R64" s="172"/>
      <c r="S64" s="172"/>
      <c r="T64" s="172"/>
      <c r="U64" s="173"/>
      <c r="V64" s="172"/>
      <c r="W64" s="172"/>
      <c r="X64" s="173"/>
      <c r="Y64" s="173"/>
      <c r="Z64" s="173"/>
      <c r="AA64" s="22"/>
      <c r="AB64" s="74"/>
      <c r="AC64" s="74"/>
      <c r="AD64" s="74"/>
      <c r="AE64" s="74"/>
    </row>
    <row r="65" spans="2:31" s="76" customFormat="1">
      <c r="B65" s="172">
        <v>2033</v>
      </c>
      <c r="C65" s="135">
        <v>302433.04227724817</v>
      </c>
      <c r="D65" s="130">
        <v>83925.516905857003</v>
      </c>
      <c r="E65" s="130">
        <v>57108.414803898064</v>
      </c>
      <c r="F65" s="130">
        <v>39427.877303599846</v>
      </c>
      <c r="G65" s="143">
        <v>49506.023019983411</v>
      </c>
      <c r="H65" s="130">
        <v>89909.117261998501</v>
      </c>
      <c r="I65" s="130">
        <v>-7630.89689741851</v>
      </c>
      <c r="J65" s="149">
        <v>256471.1381982491</v>
      </c>
      <c r="K65" s="137">
        <v>358207.95647691732</v>
      </c>
      <c r="L65" s="221"/>
      <c r="M65" s="74">
        <v>6043.5640235818701</v>
      </c>
      <c r="R65" s="172"/>
      <c r="S65" s="172"/>
      <c r="T65" s="172"/>
      <c r="U65" s="173"/>
      <c r="V65" s="172"/>
      <c r="W65" s="172"/>
      <c r="X65" s="173"/>
      <c r="Y65" s="173"/>
      <c r="Z65" s="173"/>
      <c r="AA65" s="22"/>
      <c r="AB65" s="74"/>
      <c r="AC65" s="74"/>
      <c r="AD65" s="74"/>
      <c r="AE65" s="74"/>
    </row>
    <row r="66" spans="2:31" s="76" customFormat="1">
      <c r="B66" s="172">
        <v>2034</v>
      </c>
      <c r="C66" s="135">
        <v>310022.79896779021</v>
      </c>
      <c r="D66" s="130">
        <v>86308.35924912573</v>
      </c>
      <c r="E66" s="130">
        <v>60005.539014600756</v>
      </c>
      <c r="F66" s="130">
        <v>39388.922295599848</v>
      </c>
      <c r="G66" s="143">
        <v>50231.588662371047</v>
      </c>
      <c r="H66" s="130">
        <v>89909.117261998501</v>
      </c>
      <c r="I66" s="130">
        <v>-7806.711442799171</v>
      </c>
      <c r="J66" s="149">
        <v>264730.68032919097</v>
      </c>
      <c r="K66" s="137">
        <v>363328.93367949588</v>
      </c>
      <c r="L66" s="221"/>
      <c r="M66" s="74">
        <v>6043.4047186611297</v>
      </c>
      <c r="R66" s="172"/>
      <c r="S66" s="172"/>
      <c r="T66" s="172"/>
      <c r="U66" s="173"/>
      <c r="V66" s="172"/>
      <c r="W66" s="172"/>
      <c r="X66" s="173"/>
      <c r="Y66" s="173"/>
      <c r="Z66" s="173"/>
      <c r="AA66" s="22"/>
      <c r="AB66" s="74"/>
      <c r="AC66" s="74"/>
      <c r="AD66" s="74"/>
      <c r="AE66" s="74"/>
    </row>
    <row r="67" spans="2:31" s="76" customFormat="1">
      <c r="B67" s="172">
        <v>2035</v>
      </c>
      <c r="C67" s="135">
        <v>320874.64190066222</v>
      </c>
      <c r="D67" s="130">
        <v>96095.010913497943</v>
      </c>
      <c r="E67" s="130">
        <v>69059.884940362899</v>
      </c>
      <c r="F67" s="130">
        <v>39704.896285999843</v>
      </c>
      <c r="G67" s="143">
        <v>52059.18691208688</v>
      </c>
      <c r="H67" s="130">
        <v>89909.117261998501</v>
      </c>
      <c r="I67" s="130">
        <v>-8090.2296682576498</v>
      </c>
      <c r="J67" s="149">
        <v>292936.23370305635</v>
      </c>
      <c r="K67" s="137">
        <v>366676.27484329429</v>
      </c>
      <c r="L67" s="221"/>
      <c r="M67" s="74">
        <v>6044.3887188712406</v>
      </c>
      <c r="R67" s="172"/>
      <c r="S67" s="172"/>
      <c r="T67" s="172"/>
      <c r="U67" s="173"/>
      <c r="V67" s="172"/>
      <c r="W67" s="172"/>
      <c r="X67" s="173"/>
      <c r="Y67" s="173"/>
      <c r="Z67" s="173"/>
      <c r="AA67" s="22"/>
      <c r="AB67" s="74"/>
      <c r="AC67" s="74"/>
      <c r="AD67" s="74"/>
      <c r="AE67" s="74"/>
    </row>
    <row r="68" spans="2:31" s="76" customFormat="1">
      <c r="B68" s="172">
        <v>2036</v>
      </c>
      <c r="C68" s="135">
        <v>322441.82586918323</v>
      </c>
      <c r="D68" s="130">
        <v>86720.454365648271</v>
      </c>
      <c r="E68" s="130">
        <v>62348.522010299297</v>
      </c>
      <c r="F68" s="130">
        <v>39524.601074479848</v>
      </c>
      <c r="G68" s="143">
        <v>51532.59700667108</v>
      </c>
      <c r="H68" s="130">
        <v>89909.117262000364</v>
      </c>
      <c r="I68" s="130">
        <v>-8122.8041274499592</v>
      </c>
      <c r="J68" s="149">
        <v>273128.62611438142</v>
      </c>
      <c r="K68" s="137">
        <v>371225.68734645069</v>
      </c>
      <c r="L68" s="221"/>
      <c r="M68" s="74">
        <v>6040.1104841836495</v>
      </c>
      <c r="R68" s="172"/>
      <c r="S68" s="172"/>
      <c r="T68" s="172"/>
      <c r="U68" s="173"/>
      <c r="V68" s="172"/>
      <c r="W68" s="172"/>
      <c r="X68" s="173"/>
      <c r="Y68" s="173"/>
      <c r="Z68" s="173"/>
      <c r="AA68" s="22"/>
      <c r="AB68" s="74"/>
      <c r="AC68" s="74"/>
      <c r="AD68" s="74"/>
      <c r="AE68" s="74"/>
    </row>
    <row r="69" spans="2:31" s="76" customFormat="1">
      <c r="B69" s="172">
        <v>2037</v>
      </c>
      <c r="C69" s="135">
        <v>331405.74433049501</v>
      </c>
      <c r="D69" s="130">
        <v>83008.684813144937</v>
      </c>
      <c r="E69" s="130">
        <v>57729.86973519023</v>
      </c>
      <c r="F69" s="130">
        <v>39509.554020655851</v>
      </c>
      <c r="G69" s="143">
        <v>51509.455299788387</v>
      </c>
      <c r="H69" s="130">
        <v>89909.117261998501</v>
      </c>
      <c r="I69" s="130">
        <v>-8331.5863605096201</v>
      </c>
      <c r="J69" s="149">
        <v>264010.98840287211</v>
      </c>
      <c r="K69" s="137">
        <v>380729.8506978912</v>
      </c>
      <c r="L69" s="221"/>
      <c r="M69" s="74">
        <v>6040.7004143712402</v>
      </c>
      <c r="R69" s="172"/>
      <c r="S69" s="172"/>
      <c r="T69" s="172"/>
      <c r="U69" s="173"/>
      <c r="V69" s="172"/>
      <c r="W69" s="172"/>
      <c r="X69" s="173"/>
      <c r="Y69" s="173"/>
      <c r="Z69" s="173"/>
      <c r="AA69" s="22"/>
      <c r="AB69" s="74"/>
      <c r="AC69" s="74"/>
      <c r="AD69" s="74"/>
      <c r="AE69" s="74"/>
    </row>
    <row r="70" spans="2:31" s="76" customFormat="1">
      <c r="B70" s="172">
        <v>2038</v>
      </c>
      <c r="C70" s="135">
        <v>342420.22389032511</v>
      </c>
      <c r="D70" s="130">
        <v>91549.399584497296</v>
      </c>
      <c r="E70" s="130">
        <v>66016.137841719712</v>
      </c>
      <c r="F70" s="130">
        <v>39511.170196067047</v>
      </c>
      <c r="G70" s="143">
        <v>52665.182853973281</v>
      </c>
      <c r="H70" s="130">
        <v>89240.655446230798</v>
      </c>
      <c r="I70" s="130">
        <v>-8602.9239634325604</v>
      </c>
      <c r="J70" s="149">
        <v>286610.56045175495</v>
      </c>
      <c r="K70" s="137">
        <v>386189.28539762564</v>
      </c>
      <c r="L70" s="221"/>
      <c r="M70" s="74">
        <v>6054.0416499025105</v>
      </c>
      <c r="R70" s="172"/>
      <c r="S70" s="172"/>
      <c r="T70" s="172"/>
      <c r="U70" s="173"/>
      <c r="V70" s="172"/>
      <c r="W70" s="172"/>
      <c r="X70" s="173"/>
      <c r="Y70" s="173"/>
      <c r="Z70" s="173"/>
      <c r="AA70" s="22"/>
      <c r="AB70" s="74"/>
      <c r="AC70" s="74"/>
      <c r="AD70" s="74"/>
      <c r="AE70" s="74"/>
    </row>
    <row r="71" spans="2:31" s="76" customFormat="1">
      <c r="B71" s="172">
        <v>2039</v>
      </c>
      <c r="C71" s="135">
        <v>350464.87564447429</v>
      </c>
      <c r="D71" s="130">
        <v>94575.689957635943</v>
      </c>
      <c r="E71" s="130">
        <v>70437.712261842447</v>
      </c>
      <c r="F71" s="130">
        <v>38809.2193880704</v>
      </c>
      <c r="G71" s="143">
        <v>53894.508950849602</v>
      </c>
      <c r="H71" s="130">
        <v>89240.655446230798</v>
      </c>
      <c r="I71" s="130">
        <v>-8789.7600222566398</v>
      </c>
      <c r="J71" s="149">
        <v>298637.65678596898</v>
      </c>
      <c r="K71" s="137">
        <v>389995.24484087789</v>
      </c>
      <c r="L71" s="221"/>
      <c r="M71" s="74">
        <v>6052.5886498953305</v>
      </c>
      <c r="R71" s="172"/>
      <c r="S71" s="172"/>
      <c r="T71" s="172"/>
      <c r="U71" s="173"/>
      <c r="V71" s="172"/>
      <c r="W71" s="172"/>
      <c r="X71" s="173"/>
      <c r="Y71" s="173"/>
      <c r="Z71" s="173"/>
      <c r="AA71" s="22"/>
      <c r="AB71" s="74"/>
      <c r="AC71" s="74"/>
      <c r="AD71" s="74"/>
      <c r="AE71" s="74"/>
    </row>
    <row r="72" spans="2:31" s="76" customFormat="1">
      <c r="B72" s="172">
        <v>2040</v>
      </c>
      <c r="C72" s="135">
        <v>356453.8901835116</v>
      </c>
      <c r="D72" s="130">
        <v>92791.797491504651</v>
      </c>
      <c r="E72" s="130">
        <v>70181.339121195095</v>
      </c>
      <c r="F72" s="130">
        <v>38273.722750610046</v>
      </c>
      <c r="G72" s="143">
        <v>54312.57153085871</v>
      </c>
      <c r="H72" s="130">
        <v>89240.655446231525</v>
      </c>
      <c r="I72" s="130">
        <v>-8922.8472006675602</v>
      </c>
      <c r="J72" s="149">
        <v>299121.80313981557</v>
      </c>
      <c r="K72" s="137">
        <v>393209.32618342841</v>
      </c>
      <c r="L72" s="221"/>
      <c r="M72" s="74">
        <v>6047.9158287620812</v>
      </c>
      <c r="R72" s="172"/>
      <c r="S72" s="172"/>
      <c r="T72" s="172"/>
      <c r="U72" s="173"/>
      <c r="V72" s="172"/>
      <c r="W72" s="172"/>
      <c r="X72" s="173"/>
      <c r="Y72" s="173"/>
      <c r="Z72" s="173"/>
      <c r="AA72" s="22"/>
      <c r="AB72" s="74"/>
      <c r="AC72" s="74"/>
      <c r="AD72" s="74"/>
      <c r="AE72" s="74"/>
    </row>
    <row r="73" spans="2:31" s="76" customFormat="1">
      <c r="B73" s="172">
        <v>2041</v>
      </c>
      <c r="C73" s="135">
        <v>361129.54348562169</v>
      </c>
      <c r="D73" s="130">
        <v>98071.926017912439</v>
      </c>
      <c r="E73" s="130">
        <v>75455.178715589092</v>
      </c>
      <c r="F73" s="130">
        <v>37325.653592258052</v>
      </c>
      <c r="G73" s="143">
        <v>55517.813045347037</v>
      </c>
      <c r="H73" s="130">
        <v>89240.655446230798</v>
      </c>
      <c r="I73" s="130">
        <v>-9008.0208127351107</v>
      </c>
      <c r="J73" s="149">
        <v>307086.89737049944</v>
      </c>
      <c r="K73" s="137">
        <v>400645.8521197245</v>
      </c>
      <c r="L73" s="221"/>
      <c r="M73" s="74">
        <v>6047.4833457690002</v>
      </c>
      <c r="R73" s="172"/>
      <c r="S73" s="172"/>
      <c r="T73" s="172"/>
      <c r="U73" s="173"/>
      <c r="V73" s="172"/>
      <c r="W73" s="172"/>
      <c r="X73" s="173"/>
      <c r="Y73" s="173"/>
      <c r="Z73" s="173"/>
      <c r="AA73" s="22"/>
      <c r="AB73" s="74"/>
      <c r="AC73" s="74"/>
      <c r="AD73" s="74"/>
      <c r="AE73" s="74"/>
    </row>
    <row r="74" spans="2:31" s="76" customFormat="1">
      <c r="B74" s="172">
        <v>2042</v>
      </c>
      <c r="C74" s="135">
        <v>370212.16436927323</v>
      </c>
      <c r="D74" s="130">
        <v>88857.752097643533</v>
      </c>
      <c r="E74" s="130">
        <v>68977.234980748748</v>
      </c>
      <c r="F74" s="130">
        <v>35970.318918714664</v>
      </c>
      <c r="G74" s="143">
        <v>55092.637645271367</v>
      </c>
      <c r="H74" s="130">
        <v>89240.655446230798</v>
      </c>
      <c r="I74" s="130">
        <v>-9223.3685125180709</v>
      </c>
      <c r="J74" s="149">
        <v>295194.72020578082</v>
      </c>
      <c r="K74" s="137">
        <v>403932.6747395834</v>
      </c>
      <c r="L74" s="221"/>
      <c r="M74" s="74">
        <v>6042.4110412643113</v>
      </c>
      <c r="R74" s="172"/>
      <c r="S74" s="172"/>
      <c r="T74" s="172"/>
      <c r="U74" s="173"/>
      <c r="V74" s="172"/>
      <c r="W74" s="172"/>
      <c r="X74" s="173"/>
      <c r="Y74" s="173"/>
      <c r="Z74" s="173"/>
      <c r="AA74" s="22"/>
      <c r="AB74" s="74"/>
      <c r="AC74" s="74"/>
      <c r="AD74" s="74"/>
      <c r="AE74" s="74"/>
    </row>
    <row r="75" spans="2:31" s="76" customFormat="1">
      <c r="B75" s="172">
        <v>2043</v>
      </c>
      <c r="C75" s="135">
        <v>375483.3938617378</v>
      </c>
      <c r="D75" s="130">
        <v>94383.240340383956</v>
      </c>
      <c r="E75" s="130">
        <v>75441.80006257497</v>
      </c>
      <c r="F75" s="130">
        <v>35618.247796108924</v>
      </c>
      <c r="G75" s="143">
        <v>56923.571017151029</v>
      </c>
      <c r="H75" s="130">
        <v>89240.655446230798</v>
      </c>
      <c r="I75" s="130">
        <v>-9318.3414264838702</v>
      </c>
      <c r="J75" s="149">
        <v>307885.78112297168</v>
      </c>
      <c r="K75" s="137">
        <v>409886.7859747319</v>
      </c>
      <c r="L75" s="221"/>
      <c r="M75" s="74">
        <v>6037.3257367276992</v>
      </c>
      <c r="W75" s="74"/>
      <c r="Z75" s="74"/>
      <c r="AA75" s="22"/>
      <c r="AB75" s="74"/>
      <c r="AC75" s="74"/>
      <c r="AD75" s="74"/>
      <c r="AE75" s="74"/>
    </row>
    <row r="76" spans="2:31" s="76" customFormat="1">
      <c r="B76" s="172">
        <v>2044</v>
      </c>
      <c r="C76" s="135">
        <v>388977.2327351438</v>
      </c>
      <c r="D76" s="130">
        <v>101003.6537251283</v>
      </c>
      <c r="E76" s="130">
        <v>81711.104461120412</v>
      </c>
      <c r="F76" s="130">
        <v>35243.347849100901</v>
      </c>
      <c r="G76" s="143">
        <v>57840.417953989672</v>
      </c>
      <c r="H76" s="130">
        <v>89240.655446231525</v>
      </c>
      <c r="I76" s="130">
        <v>-9629.8897744677306</v>
      </c>
      <c r="J76" s="149">
        <v>327958.22032341559</v>
      </c>
      <c r="K76" s="137">
        <v>416428.30207283143</v>
      </c>
      <c r="L76" s="221"/>
      <c r="M76" s="74">
        <v>6031.8456335963601</v>
      </c>
      <c r="W76" s="74"/>
      <c r="Z76" s="74"/>
      <c r="AA76" s="22"/>
      <c r="AB76" s="74"/>
      <c r="AC76" s="74"/>
      <c r="AD76" s="74"/>
      <c r="AE76" s="74"/>
    </row>
    <row r="77" spans="2:31" s="76" customFormat="1">
      <c r="B77" s="172">
        <v>2045</v>
      </c>
      <c r="C77" s="135">
        <v>395757.51380044065</v>
      </c>
      <c r="D77" s="130">
        <v>94150.929464165703</v>
      </c>
      <c r="E77" s="130">
        <v>77449.05052362007</v>
      </c>
      <c r="F77" s="130">
        <v>34950.817239698546</v>
      </c>
      <c r="G77" s="143">
        <v>58338.679791144394</v>
      </c>
      <c r="H77" s="130">
        <v>89240.655446230798</v>
      </c>
      <c r="I77" s="130">
        <v>-9764.8318852394605</v>
      </c>
      <c r="J77" s="149">
        <v>317075.09531908412</v>
      </c>
      <c r="K77" s="137">
        <v>423047.71906097664</v>
      </c>
      <c r="L77" s="221"/>
      <c r="M77" s="74">
        <v>6029.8184317426503</v>
      </c>
      <c r="W77" s="74"/>
      <c r="Z77" s="74"/>
      <c r="AA77" s="22"/>
      <c r="AB77" s="74"/>
      <c r="AC77" s="74"/>
      <c r="AD77" s="74"/>
      <c r="AE77" s="74"/>
    </row>
    <row r="78" spans="2:31" s="76" customFormat="1">
      <c r="B78" s="172">
        <v>2046</v>
      </c>
      <c r="C78" s="135">
        <v>406519.60673165182</v>
      </c>
      <c r="D78" s="130">
        <v>99256.353449992966</v>
      </c>
      <c r="E78" s="130">
        <v>83038.533876478992</v>
      </c>
      <c r="F78" s="130">
        <v>34638.753136292791</v>
      </c>
      <c r="G78" s="143">
        <v>59456.069039111717</v>
      </c>
      <c r="H78" s="130">
        <v>89240.655446230798</v>
      </c>
      <c r="I78" s="130">
        <v>-10009.17926248205</v>
      </c>
      <c r="J78" s="149">
        <v>330488.86492911947</v>
      </c>
      <c r="K78" s="137">
        <v>431651.92748815753</v>
      </c>
      <c r="L78" s="221"/>
      <c r="M78" s="74">
        <v>6023.6011271755206</v>
      </c>
      <c r="W78" s="74"/>
      <c r="Z78" s="74"/>
      <c r="AA78" s="22"/>
      <c r="AB78" s="74"/>
      <c r="AC78" s="74"/>
      <c r="AD78" s="74"/>
      <c r="AE78" s="74"/>
    </row>
    <row r="79" spans="2:31" s="76" customFormat="1">
      <c r="B79" s="172">
        <v>2047</v>
      </c>
      <c r="C79" s="135">
        <v>416353.60962867009</v>
      </c>
      <c r="D79" s="130">
        <v>108564.08120940975</v>
      </c>
      <c r="E79" s="130">
        <v>91925.448185255285</v>
      </c>
      <c r="F79" s="130">
        <v>34266.513421797776</v>
      </c>
      <c r="G79" s="143">
        <v>61699.756126097316</v>
      </c>
      <c r="H79" s="130">
        <v>89240.655446230798</v>
      </c>
      <c r="I79" s="130">
        <v>-10235.058830774349</v>
      </c>
      <c r="J79" s="149">
        <v>354456.63937457156</v>
      </c>
      <c r="K79" s="137">
        <v>437358.36581211508</v>
      </c>
      <c r="L79" s="221"/>
      <c r="M79" s="74">
        <v>6015.0908226328302</v>
      </c>
      <c r="W79" s="74"/>
      <c r="Z79" s="74"/>
      <c r="AA79" s="22"/>
      <c r="AB79" s="74"/>
      <c r="AC79" s="74"/>
      <c r="AD79" s="74"/>
      <c r="AE79" s="74"/>
    </row>
    <row r="80" spans="2:31" s="76" customFormat="1">
      <c r="B80" s="172">
        <v>2048</v>
      </c>
      <c r="C80" s="135">
        <v>425538.4681831387</v>
      </c>
      <c r="D80" s="130">
        <v>102847.76992571907</v>
      </c>
      <c r="E80" s="130">
        <v>88349.765990655345</v>
      </c>
      <c r="F80" s="130">
        <v>33796.935174809812</v>
      </c>
      <c r="G80" s="143">
        <v>61919.683283133476</v>
      </c>
      <c r="H80" s="130">
        <v>89240.655446231525</v>
      </c>
      <c r="I80" s="130">
        <v>-10469.121358331649</v>
      </c>
      <c r="J80" s="149">
        <v>348814.76052006503</v>
      </c>
      <c r="K80" s="137">
        <v>442409.39612529118</v>
      </c>
      <c r="L80" s="221"/>
      <c r="M80" s="74">
        <v>6005.2812432079199</v>
      </c>
      <c r="W80" s="74"/>
      <c r="Z80" s="74"/>
      <c r="AA80" s="22"/>
      <c r="AB80" s="74"/>
      <c r="AC80" s="74"/>
      <c r="AD80" s="74"/>
      <c r="AE80" s="74"/>
    </row>
    <row r="81" spans="1:31" s="76" customFormat="1">
      <c r="B81" s="172">
        <v>2049</v>
      </c>
      <c r="C81" s="135">
        <v>423471.4860832704</v>
      </c>
      <c r="D81" s="130">
        <v>93725.385981850326</v>
      </c>
      <c r="E81" s="130">
        <v>81351.004851379781</v>
      </c>
      <c r="F81" s="130">
        <v>33797.318876652738</v>
      </c>
      <c r="G81" s="143">
        <v>61030.175150096315</v>
      </c>
      <c r="H81" s="130">
        <v>89240.655446230798</v>
      </c>
      <c r="I81" s="130">
        <v>-10393.16539732433</v>
      </c>
      <c r="J81" s="149">
        <v>328907.9789945638</v>
      </c>
      <c r="K81" s="137">
        <v>443314.88199759217</v>
      </c>
      <c r="L81" s="221"/>
      <c r="M81" s="74">
        <v>5927.2315180983796</v>
      </c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4">
    <mergeCell ref="C48:J48"/>
    <mergeCell ref="V7:W7"/>
    <mergeCell ref="T7:U7"/>
    <mergeCell ref="R7:S7"/>
    <mergeCell ref="P7:Q7"/>
    <mergeCell ref="N7:O7"/>
    <mergeCell ref="AK5:AN5"/>
    <mergeCell ref="B4:AJ4"/>
    <mergeCell ref="B1:AJ1"/>
    <mergeCell ref="B2:AJ2"/>
    <mergeCell ref="B3:AJ3"/>
    <mergeCell ref="C5:K5"/>
    <mergeCell ref="N5:W5"/>
    <mergeCell ref="X5:AI5"/>
  </mergeCells>
  <pageMargins left="0.2" right="0.2" top="0.75" bottom="0.75" header="0.3" footer="0.3"/>
  <pageSetup paperSize="5" scale="10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:Y32"/>
  <sheetViews>
    <sheetView zoomScale="72" zoomScaleNormal="72" workbookViewId="0">
      <selection activeCell="N3" activeCellId="1" sqref="D22 N3"/>
    </sheetView>
  </sheetViews>
  <sheetFormatPr defaultColWidth="9" defaultRowHeight="15.75"/>
  <cols>
    <col min="1" max="3" width="9" style="221"/>
    <col min="4" max="4" width="11" style="221" customWidth="1"/>
    <col min="5" max="5" width="9.75" style="221" customWidth="1"/>
    <col min="6" max="6" width="10.75" style="221" customWidth="1"/>
    <col min="7" max="7" width="11.75" style="221" customWidth="1"/>
    <col min="8" max="8" width="4.5" style="221" customWidth="1"/>
    <col min="9" max="9" width="14" style="221" customWidth="1"/>
    <col min="10" max="10" width="9" style="221"/>
    <col min="11" max="11" width="9" style="221" customWidth="1"/>
    <col min="12" max="12" width="14.875" style="221" customWidth="1"/>
    <col min="13" max="13" width="9" style="221"/>
    <col min="14" max="14" width="12.125" style="221" customWidth="1"/>
    <col min="15" max="21" width="9" style="221"/>
    <col min="22" max="22" width="11.125" style="221" customWidth="1"/>
    <col min="23" max="23" width="12.25" style="221" customWidth="1"/>
    <col min="24" max="16384" width="9" style="221"/>
  </cols>
  <sheetData>
    <row r="3" spans="3:23" ht="16.5" thickBot="1">
      <c r="N3" s="19" t="s">
        <v>188</v>
      </c>
    </row>
    <row r="4" spans="3:23" ht="63" customHeight="1">
      <c r="D4" s="265" t="s">
        <v>189</v>
      </c>
      <c r="E4" s="266" t="s">
        <v>190</v>
      </c>
      <c r="F4" s="266" t="s">
        <v>191</v>
      </c>
      <c r="G4" s="267" t="s">
        <v>192</v>
      </c>
      <c r="I4" s="265" t="s">
        <v>193</v>
      </c>
      <c r="J4" s="266" t="s">
        <v>190</v>
      </c>
      <c r="K4" s="266" t="s">
        <v>194</v>
      </c>
      <c r="L4" s="267" t="s">
        <v>192</v>
      </c>
      <c r="N4" s="226" t="s">
        <v>195</v>
      </c>
      <c r="O4" s="279" t="s">
        <v>231</v>
      </c>
      <c r="Q4" s="226" t="s">
        <v>196</v>
      </c>
      <c r="S4" s="226" t="s">
        <v>222</v>
      </c>
      <c r="T4" s="226" t="s">
        <v>216</v>
      </c>
      <c r="V4" s="226" t="s">
        <v>201</v>
      </c>
      <c r="W4" s="226" t="s">
        <v>217</v>
      </c>
    </row>
    <row r="5" spans="3:23">
      <c r="C5" s="221">
        <f>+Summary!B9</f>
        <v>2020</v>
      </c>
      <c r="D5" s="268">
        <f>+Summary!K9</f>
        <v>235979.54026783968</v>
      </c>
      <c r="E5" s="269">
        <f>+Summary!AD9</f>
        <v>6059.9189999999999</v>
      </c>
      <c r="F5" s="270">
        <f>+D5/(E5*10)</f>
        <v>3.8941038695045211</v>
      </c>
      <c r="G5" s="271"/>
      <c r="I5" s="268">
        <f>+Summary!K52</f>
        <v>235979.54026783968</v>
      </c>
      <c r="J5" s="269">
        <f>+Summary!M52</f>
        <v>6059.9189999999999</v>
      </c>
      <c r="K5" s="270">
        <f>+I5/J5/10</f>
        <v>3.8941038695045216</v>
      </c>
      <c r="L5" s="271"/>
      <c r="M5" s="221">
        <f>+R5</f>
        <v>2020</v>
      </c>
      <c r="N5" s="228">
        <f>($D$25/100)*(+F5-K5)</f>
        <v>-5.6369723703634615E-15</v>
      </c>
      <c r="O5" s="156">
        <f t="shared" ref="O5:O11" si="0">N5/($D$25*(K5/100))</f>
        <v>-1.1404143924557609E-16</v>
      </c>
      <c r="Q5" s="221">
        <f>+D23*(1+$Q$21)</f>
        <v>8.544293533757866</v>
      </c>
      <c r="R5" s="221">
        <f>+C5</f>
        <v>2020</v>
      </c>
      <c r="S5" s="229">
        <f>(+Q5+K5)*($D$25/100)</f>
        <v>157.88472437207724</v>
      </c>
      <c r="T5" s="229">
        <f>(+Q5+F5)*($D$25/100)</f>
        <v>157.88472437207724</v>
      </c>
      <c r="U5" s="221">
        <f>+R5</f>
        <v>2020</v>
      </c>
      <c r="V5" s="230">
        <f>+S5-$E$22</f>
        <v>35.584724372077233</v>
      </c>
      <c r="W5" s="230">
        <f>+T5-$E$22</f>
        <v>35.584724372077233</v>
      </c>
    </row>
    <row r="6" spans="3:23">
      <c r="C6" s="221">
        <f>+Summary!B10</f>
        <v>2021</v>
      </c>
      <c r="D6" s="268">
        <f>+Summary!K10</f>
        <v>259393.60878735699</v>
      </c>
      <c r="E6" s="269">
        <f>+Summary!AD10</f>
        <v>6037.1639999999998</v>
      </c>
      <c r="F6" s="270">
        <f t="shared" ref="F6:F19" si="1">+D6/(E6*10)</f>
        <v>4.2966135885551067</v>
      </c>
      <c r="G6" s="271">
        <f>+F6-F5</f>
        <v>0.40250971905058552</v>
      </c>
      <c r="I6" s="268">
        <f>+Summary!K53</f>
        <v>259393.60878735699</v>
      </c>
      <c r="J6" s="269">
        <f>+Summary!M53</f>
        <v>6037.1639999999998</v>
      </c>
      <c r="K6" s="270">
        <f t="shared" ref="K6:K19" si="2">+I6/J6/10</f>
        <v>4.2966135885551058</v>
      </c>
      <c r="L6" s="271">
        <f>+K6-K5</f>
        <v>0.40250971905058419</v>
      </c>
      <c r="M6" s="221">
        <f t="shared" ref="M6:M19" si="3">+R6</f>
        <v>2021</v>
      </c>
      <c r="N6" s="228">
        <f t="shared" ref="N6:N19" si="4">($D$25/100)*(+F6-K6)</f>
        <v>1.1273944740726923E-14</v>
      </c>
      <c r="O6" s="156">
        <f t="shared" si="0"/>
        <v>2.0671591740666815E-16</v>
      </c>
      <c r="Q6" s="221">
        <f>+Q5*(1+$Q$21)</f>
        <v>8.7579008721018123</v>
      </c>
      <c r="R6" s="221">
        <f t="shared" ref="R6:R19" si="5">+C6</f>
        <v>2021</v>
      </c>
      <c r="S6" s="229">
        <f t="shared" ref="S6:S19" si="6">(+Q6+K6)*($D$25/100)</f>
        <v>165.70530355393848</v>
      </c>
      <c r="T6" s="229">
        <f t="shared" ref="T6:T19" si="7">(+Q6+F6)*($D$25/100)</f>
        <v>165.70530355393848</v>
      </c>
      <c r="U6" s="221">
        <f t="shared" ref="U6:U19" si="8">+R6</f>
        <v>2021</v>
      </c>
      <c r="V6" s="230">
        <f t="shared" ref="V6:W19" si="9">+S6-$E$22</f>
        <v>43.405303553938467</v>
      </c>
      <c r="W6" s="230">
        <f t="shared" si="9"/>
        <v>43.405303553938467</v>
      </c>
    </row>
    <row r="7" spans="3:23">
      <c r="C7" s="221">
        <f>+Summary!B11</f>
        <v>2022</v>
      </c>
      <c r="D7" s="268">
        <f>+Summary!K11</f>
        <v>265301.42935815168</v>
      </c>
      <c r="E7" s="269">
        <f>+Summary!AD11</f>
        <v>6139.07999999391</v>
      </c>
      <c r="F7" s="270">
        <f t="shared" si="1"/>
        <v>4.3215177088165468</v>
      </c>
      <c r="G7" s="271">
        <f t="shared" ref="G7:G19" si="10">+F7-F6</f>
        <v>2.4904120261440177E-2</v>
      </c>
      <c r="I7" s="268">
        <f>+Summary!K54</f>
        <v>267628.72208468261</v>
      </c>
      <c r="J7" s="269">
        <f>+Summary!M54</f>
        <v>6115.0799943212896</v>
      </c>
      <c r="K7" s="270">
        <f t="shared" si="2"/>
        <v>4.3765367310519805</v>
      </c>
      <c r="L7" s="271">
        <f t="shared" ref="L7:L19" si="11">+K7-K6</f>
        <v>7.9923142496874711E-2</v>
      </c>
      <c r="M7" s="221">
        <f t="shared" si="3"/>
        <v>2022</v>
      </c>
      <c r="N7" s="228">
        <f t="shared" si="4"/>
        <v>-0.69837478890843774</v>
      </c>
      <c r="O7" s="156">
        <f t="shared" si="0"/>
        <v>-1.2571360785131313E-2</v>
      </c>
      <c r="Q7" s="221">
        <f t="shared" ref="Q7:Q19" si="12">+Q6*(1+$Q$21)</f>
        <v>8.9768483939043566</v>
      </c>
      <c r="R7" s="221">
        <f t="shared" si="5"/>
        <v>2022</v>
      </c>
      <c r="S7" s="229">
        <f t="shared" si="6"/>
        <v>169.49896851944575</v>
      </c>
      <c r="T7" s="229">
        <f t="shared" si="7"/>
        <v>168.80059373053734</v>
      </c>
      <c r="U7" s="221">
        <f t="shared" si="8"/>
        <v>2022</v>
      </c>
      <c r="V7" s="230">
        <f t="shared" si="9"/>
        <v>47.198968519445742</v>
      </c>
      <c r="W7" s="230">
        <f t="shared" si="9"/>
        <v>46.500593730537332</v>
      </c>
    </row>
    <row r="8" spans="3:23">
      <c r="C8" s="221">
        <f>+Summary!B12</f>
        <v>2023</v>
      </c>
      <c r="D8" s="268">
        <f>+Summary!K12</f>
        <v>246226.13475339609</v>
      </c>
      <c r="E8" s="269">
        <f>+Summary!AD12</f>
        <v>6160.7163908627608</v>
      </c>
      <c r="F8" s="270">
        <f t="shared" si="1"/>
        <v>3.9967127056617193</v>
      </c>
      <c r="G8" s="271">
        <f t="shared" si="10"/>
        <v>-0.32480500315482752</v>
      </c>
      <c r="I8" s="268">
        <f>+Summary!K55</f>
        <v>251729.06596429623</v>
      </c>
      <c r="J8" s="269">
        <f>+Summary!M55</f>
        <v>6097.1768514078904</v>
      </c>
      <c r="K8" s="270">
        <f t="shared" si="2"/>
        <v>4.1286167696803782</v>
      </c>
      <c r="L8" s="271">
        <f t="shared" si="11"/>
        <v>-0.24791996137160233</v>
      </c>
      <c r="M8" s="221">
        <f t="shared" si="3"/>
        <v>2023</v>
      </c>
      <c r="N8" s="228">
        <f t="shared" si="4"/>
        <v>-1.6743022526101763</v>
      </c>
      <c r="O8" s="156">
        <f t="shared" si="0"/>
        <v>-3.1948730380434505E-2</v>
      </c>
      <c r="Q8" s="221">
        <f t="shared" si="12"/>
        <v>9.2012696037519639</v>
      </c>
      <c r="R8" s="221">
        <f t="shared" si="5"/>
        <v>2023</v>
      </c>
      <c r="S8" s="229">
        <f t="shared" si="6"/>
        <v>169.20069103343451</v>
      </c>
      <c r="T8" s="229">
        <f t="shared" si="7"/>
        <v>167.52638878082436</v>
      </c>
      <c r="U8" s="221">
        <f t="shared" si="8"/>
        <v>2023</v>
      </c>
      <c r="V8" s="230">
        <f t="shared" si="9"/>
        <v>46.900691033434498</v>
      </c>
      <c r="W8" s="230">
        <f t="shared" si="9"/>
        <v>45.226388780824351</v>
      </c>
    </row>
    <row r="9" spans="3:23">
      <c r="C9" s="221">
        <f>+Summary!B13</f>
        <v>2024</v>
      </c>
      <c r="D9" s="268">
        <f>+Summary!K13</f>
        <v>249138.58881187279</v>
      </c>
      <c r="E9" s="269">
        <f>+Summary!AD13</f>
        <v>6111.5301671445595</v>
      </c>
      <c r="F9" s="270">
        <f t="shared" si="1"/>
        <v>4.0765337321123916</v>
      </c>
      <c r="G9" s="271">
        <f t="shared" si="10"/>
        <v>7.9821026450672239E-2</v>
      </c>
      <c r="I9" s="268">
        <f>+Summary!K56</f>
        <v>258215.08381205413</v>
      </c>
      <c r="J9" s="269">
        <f>+Summary!M56</f>
        <v>6042.0851630611096</v>
      </c>
      <c r="K9" s="270">
        <f t="shared" si="2"/>
        <v>4.2736088095990077</v>
      </c>
      <c r="L9" s="271">
        <f t="shared" si="11"/>
        <v>0.14499203991862952</v>
      </c>
      <c r="M9" s="221">
        <f t="shared" si="3"/>
        <v>2024</v>
      </c>
      <c r="N9" s="228">
        <f t="shared" si="4"/>
        <v>-2.5015396502301139</v>
      </c>
      <c r="O9" s="156">
        <f t="shared" si="0"/>
        <v>-4.6114440105973965E-2</v>
      </c>
      <c r="Q9" s="221">
        <f t="shared" si="12"/>
        <v>9.431301343845762</v>
      </c>
      <c r="R9" s="221">
        <f t="shared" si="5"/>
        <v>2024</v>
      </c>
      <c r="S9" s="229">
        <f t="shared" si="6"/>
        <v>173.96099288105896</v>
      </c>
      <c r="T9" s="229">
        <f t="shared" si="7"/>
        <v>171.45945323082884</v>
      </c>
      <c r="U9" s="221">
        <f t="shared" si="8"/>
        <v>2024</v>
      </c>
      <c r="V9" s="230">
        <f t="shared" si="9"/>
        <v>51.660992881058945</v>
      </c>
      <c r="W9" s="230">
        <f t="shared" si="9"/>
        <v>49.159453230828831</v>
      </c>
    </row>
    <row r="10" spans="3:23">
      <c r="C10" s="221">
        <f>+Summary!B14</f>
        <v>2025</v>
      </c>
      <c r="D10" s="268">
        <f>+Summary!K14</f>
        <v>247733.54285934044</v>
      </c>
      <c r="E10" s="269">
        <f>+Summary!AD14</f>
        <v>6100.3425462230107</v>
      </c>
      <c r="F10" s="270">
        <f t="shared" si="1"/>
        <v>4.0609775759678142</v>
      </c>
      <c r="G10" s="271">
        <f t="shared" si="10"/>
        <v>-1.5556156144577393E-2</v>
      </c>
      <c r="I10" s="268">
        <f>+Summary!K57</f>
        <v>253563.29350876261</v>
      </c>
      <c r="J10" s="269">
        <f>+Summary!M57</f>
        <v>6035.6155493348406</v>
      </c>
      <c r="K10" s="270">
        <f t="shared" si="2"/>
        <v>4.2011173746264658</v>
      </c>
      <c r="L10" s="271">
        <f t="shared" si="11"/>
        <v>-7.2491434972541846E-2</v>
      </c>
      <c r="M10" s="221">
        <f t="shared" si="3"/>
        <v>2025</v>
      </c>
      <c r="N10" s="228">
        <f t="shared" si="4"/>
        <v>-1.7788411776404851</v>
      </c>
      <c r="O10" s="156">
        <f t="shared" si="0"/>
        <v>-3.3357744181358881E-2</v>
      </c>
      <c r="Q10" s="221">
        <f t="shared" si="12"/>
        <v>9.6670838774419057</v>
      </c>
      <c r="R10" s="221">
        <f t="shared" si="5"/>
        <v>2025</v>
      </c>
      <c r="S10" s="229">
        <f t="shared" si="6"/>
        <v>176.03370122625452</v>
      </c>
      <c r="T10" s="229">
        <f t="shared" si="7"/>
        <v>174.25486004861403</v>
      </c>
      <c r="U10" s="221">
        <f t="shared" si="8"/>
        <v>2025</v>
      </c>
      <c r="V10" s="230">
        <f t="shared" si="9"/>
        <v>53.73370122625451</v>
      </c>
      <c r="W10" s="230">
        <f t="shared" si="9"/>
        <v>51.954860048614023</v>
      </c>
    </row>
    <row r="11" spans="3:23">
      <c r="C11" s="221">
        <f>+Summary!B15</f>
        <v>2026</v>
      </c>
      <c r="D11" s="268">
        <f>+Summary!K15</f>
        <v>246545.44917368019</v>
      </c>
      <c r="E11" s="269">
        <f>+Summary!AD15</f>
        <v>6087.2755462272999</v>
      </c>
      <c r="F11" s="270">
        <f t="shared" si="1"/>
        <v>4.0501772476273272</v>
      </c>
      <c r="G11" s="271">
        <f t="shared" si="10"/>
        <v>-1.0800328340486942E-2</v>
      </c>
      <c r="I11" s="268">
        <f>+Summary!K58</f>
        <v>251137.31976395781</v>
      </c>
      <c r="J11" s="269">
        <f>+Summary!M58</f>
        <v>6030.9195461952804</v>
      </c>
      <c r="K11" s="270">
        <f t="shared" si="2"/>
        <v>4.1641629910714446</v>
      </c>
      <c r="L11" s="271">
        <f t="shared" si="11"/>
        <v>-3.6954383555021231E-2</v>
      </c>
      <c r="M11" s="221">
        <f t="shared" si="3"/>
        <v>2026</v>
      </c>
      <c r="N11" s="228">
        <f t="shared" si="4"/>
        <v>-1.4468590367839966</v>
      </c>
      <c r="O11" s="156">
        <f t="shared" si="0"/>
        <v>-2.737302638934138E-2</v>
      </c>
      <c r="Q11" s="221">
        <f t="shared" si="12"/>
        <v>9.9087609743779517</v>
      </c>
      <c r="R11" s="221">
        <f t="shared" si="5"/>
        <v>2026</v>
      </c>
      <c r="S11" s="229">
        <f t="shared" si="6"/>
        <v>178.63231486810434</v>
      </c>
      <c r="T11" s="229">
        <f t="shared" si="7"/>
        <v>177.18545583132035</v>
      </c>
      <c r="U11" s="221">
        <f t="shared" si="8"/>
        <v>2026</v>
      </c>
      <c r="V11" s="230">
        <f t="shared" si="9"/>
        <v>56.332314868104334</v>
      </c>
      <c r="W11" s="230">
        <f t="shared" si="9"/>
        <v>54.885455831320343</v>
      </c>
    </row>
    <row r="12" spans="3:23">
      <c r="C12" s="221">
        <f>+Summary!B16</f>
        <v>2027</v>
      </c>
      <c r="D12" s="268">
        <f>+Summary!K16</f>
        <v>254291.18470636493</v>
      </c>
      <c r="E12" s="269">
        <f>+Summary!AD16</f>
        <v>6076.3932416980597</v>
      </c>
      <c r="F12" s="270">
        <f t="shared" si="1"/>
        <v>4.1849033561775002</v>
      </c>
      <c r="G12" s="271">
        <f t="shared" si="10"/>
        <v>0.13472610855017297</v>
      </c>
      <c r="I12" s="268">
        <f>+Summary!K59</f>
        <v>258648.2284632157</v>
      </c>
      <c r="J12" s="269">
        <f>+Summary!M59</f>
        <v>6028.5862393151992</v>
      </c>
      <c r="K12" s="270">
        <f t="shared" si="2"/>
        <v>4.2903629175353082</v>
      </c>
      <c r="L12" s="271">
        <f t="shared" si="11"/>
        <v>0.12619992646386358</v>
      </c>
      <c r="M12" s="221">
        <f t="shared" si="3"/>
        <v>2027</v>
      </c>
      <c r="N12" s="228">
        <f t="shared" si="4"/>
        <v>-1.3386333655017759</v>
      </c>
      <c r="O12" s="156">
        <f>N12/($D$25*(K12/100))</f>
        <v>-2.4580568913361647E-2</v>
      </c>
      <c r="Q12" s="221">
        <f t="shared" si="12"/>
        <v>10.156479998737399</v>
      </c>
      <c r="R12" s="221">
        <f t="shared" si="5"/>
        <v>2027</v>
      </c>
      <c r="S12" s="229">
        <f t="shared" si="6"/>
        <v>183.3785927505549</v>
      </c>
      <c r="T12" s="229">
        <f t="shared" si="7"/>
        <v>182.03995938505312</v>
      </c>
      <c r="U12" s="221">
        <f t="shared" si="8"/>
        <v>2027</v>
      </c>
      <c r="V12" s="230">
        <f t="shared" si="9"/>
        <v>61.07859275055489</v>
      </c>
      <c r="W12" s="230">
        <f t="shared" si="9"/>
        <v>59.739959385053112</v>
      </c>
    </row>
    <row r="13" spans="3:23">
      <c r="C13" s="221">
        <f>+Summary!B17</f>
        <v>2028</v>
      </c>
      <c r="D13" s="268">
        <f>+Summary!K17</f>
        <v>322557.35241550318</v>
      </c>
      <c r="E13" s="269">
        <f>+Summary!AD17</f>
        <v>6068.5290695757394</v>
      </c>
      <c r="F13" s="270">
        <f t="shared" si="1"/>
        <v>5.3152477102339013</v>
      </c>
      <c r="G13" s="271">
        <f t="shared" si="10"/>
        <v>1.1303443540564011</v>
      </c>
      <c r="I13" s="268">
        <f>+Summary!K60</f>
        <v>316981.24250449729</v>
      </c>
      <c r="J13" s="269">
        <f>+Summary!M60</f>
        <v>6026.9780728693295</v>
      </c>
      <c r="K13" s="270">
        <f t="shared" si="2"/>
        <v>5.2593727515187156</v>
      </c>
      <c r="L13" s="271">
        <f t="shared" si="11"/>
        <v>0.96900983398340745</v>
      </c>
      <c r="M13" s="221">
        <f t="shared" si="3"/>
        <v>2028</v>
      </c>
      <c r="N13" s="228">
        <f t="shared" si="4"/>
        <v>0.70923947595809</v>
      </c>
      <c r="O13" s="156">
        <f t="shared" ref="O13:O19" si="13">N13/($D$25*(K13/100))</f>
        <v>1.0623882610155557E-2</v>
      </c>
      <c r="Q13" s="221">
        <f t="shared" si="12"/>
        <v>10.410391998705833</v>
      </c>
      <c r="R13" s="221">
        <f t="shared" si="5"/>
        <v>2028</v>
      </c>
      <c r="S13" s="229">
        <f t="shared" si="6"/>
        <v>198.90154722951692</v>
      </c>
      <c r="T13" s="229">
        <f t="shared" si="7"/>
        <v>199.61078670547502</v>
      </c>
      <c r="U13" s="221">
        <f t="shared" si="8"/>
        <v>2028</v>
      </c>
      <c r="V13" s="230">
        <f t="shared" si="9"/>
        <v>76.60154722951691</v>
      </c>
      <c r="W13" s="230">
        <f t="shared" si="9"/>
        <v>77.31078670547501</v>
      </c>
    </row>
    <row r="14" spans="3:23">
      <c r="C14" s="221">
        <f>+Summary!B18</f>
        <v>2029</v>
      </c>
      <c r="D14" s="268">
        <f>+Summary!K18</f>
        <v>324659.00501104112</v>
      </c>
      <c r="E14" s="269">
        <f>+Summary!AD18</f>
        <v>6070.5783560544796</v>
      </c>
      <c r="F14" s="270">
        <f t="shared" si="1"/>
        <v>5.3480737084505812</v>
      </c>
      <c r="G14" s="271">
        <f t="shared" si="10"/>
        <v>3.2825998216679864E-2</v>
      </c>
      <c r="I14" s="268">
        <f>+Summary!K61</f>
        <v>319649.59801542934</v>
      </c>
      <c r="J14" s="269">
        <f>+Summary!M61</f>
        <v>6035.2217669986494</v>
      </c>
      <c r="K14" s="270">
        <f t="shared" si="2"/>
        <v>5.2964018615407555</v>
      </c>
      <c r="L14" s="271">
        <f t="shared" si="11"/>
        <v>3.7029110022039902E-2</v>
      </c>
      <c r="M14" s="221">
        <f t="shared" si="3"/>
        <v>2029</v>
      </c>
      <c r="N14" s="228">
        <f t="shared" si="4"/>
        <v>0.65588797677538657</v>
      </c>
      <c r="O14" s="156">
        <f t="shared" si="13"/>
        <v>9.7560283869385193E-3</v>
      </c>
      <c r="Q14" s="221">
        <f t="shared" si="12"/>
        <v>10.670651798673479</v>
      </c>
      <c r="R14" s="221">
        <f t="shared" si="5"/>
        <v>2029</v>
      </c>
      <c r="S14" s="229">
        <f t="shared" si="6"/>
        <v>202.67513446031933</v>
      </c>
      <c r="T14" s="229">
        <f t="shared" si="7"/>
        <v>203.33102243709473</v>
      </c>
      <c r="U14" s="221">
        <f t="shared" si="8"/>
        <v>2029</v>
      </c>
      <c r="V14" s="230">
        <f t="shared" si="9"/>
        <v>80.375134460319316</v>
      </c>
      <c r="W14" s="230">
        <f t="shared" si="9"/>
        <v>81.03102243709472</v>
      </c>
    </row>
    <row r="15" spans="3:23">
      <c r="C15" s="221">
        <f>+Summary!B19</f>
        <v>2030</v>
      </c>
      <c r="D15" s="268">
        <f>+Summary!K19</f>
        <v>327346.15011622437</v>
      </c>
      <c r="E15" s="269">
        <f>+Summary!AD19</f>
        <v>6058.6286325828596</v>
      </c>
      <c r="F15" s="270">
        <f t="shared" si="1"/>
        <v>5.4029743357396232</v>
      </c>
      <c r="G15" s="271">
        <f t="shared" si="10"/>
        <v>5.4900627289041992E-2</v>
      </c>
      <c r="I15" s="268">
        <f>+Summary!K62</f>
        <v>318469.22533500771</v>
      </c>
      <c r="J15" s="269">
        <f>+Summary!M62</f>
        <v>6033.2996314482098</v>
      </c>
      <c r="K15" s="270">
        <f t="shared" si="2"/>
        <v>5.2785249331063575</v>
      </c>
      <c r="L15" s="271">
        <f t="shared" si="11"/>
        <v>-1.7876928434398032E-2</v>
      </c>
      <c r="M15" s="221">
        <f t="shared" si="3"/>
        <v>2030</v>
      </c>
      <c r="N15" s="228">
        <f t="shared" si="4"/>
        <v>1.579677750758252</v>
      </c>
      <c r="O15" s="156">
        <f t="shared" si="13"/>
        <v>2.3576549170532854E-2</v>
      </c>
      <c r="Q15" s="221">
        <f t="shared" si="12"/>
        <v>10.937418093640314</v>
      </c>
      <c r="R15" s="221">
        <f t="shared" si="5"/>
        <v>2030</v>
      </c>
      <c r="S15" s="229">
        <f t="shared" si="6"/>
        <v>205.83437015283775</v>
      </c>
      <c r="T15" s="229">
        <f t="shared" si="7"/>
        <v>207.41404790359604</v>
      </c>
      <c r="U15" s="221">
        <f t="shared" si="8"/>
        <v>2030</v>
      </c>
      <c r="V15" s="230">
        <f t="shared" si="9"/>
        <v>83.534370152837738</v>
      </c>
      <c r="W15" s="230">
        <f t="shared" si="9"/>
        <v>85.114047903596031</v>
      </c>
    </row>
    <row r="16" spans="3:23">
      <c r="C16" s="221">
        <f>+Summary!B20</f>
        <v>2031</v>
      </c>
      <c r="D16" s="268">
        <f>+Summary!K20</f>
        <v>361701.38434863975</v>
      </c>
      <c r="E16" s="269">
        <f>+Summary!AD20</f>
        <v>6039.9567503644002</v>
      </c>
      <c r="F16" s="270">
        <f t="shared" si="1"/>
        <v>5.9884763964049537</v>
      </c>
      <c r="G16" s="271">
        <f t="shared" si="10"/>
        <v>0.5855020606653305</v>
      </c>
      <c r="I16" s="268">
        <f>+Summary!K63</f>
        <v>351854.68928669882</v>
      </c>
      <c r="J16" s="269">
        <f>+Summary!M63</f>
        <v>6036.3103289727496</v>
      </c>
      <c r="K16" s="270">
        <f t="shared" si="2"/>
        <v>5.8289695212965791</v>
      </c>
      <c r="L16" s="271">
        <f t="shared" si="11"/>
        <v>0.55044458819022157</v>
      </c>
      <c r="M16" s="221">
        <f t="shared" si="3"/>
        <v>2031</v>
      </c>
      <c r="N16" s="228">
        <f t="shared" si="4"/>
        <v>2.0246739347089679</v>
      </c>
      <c r="O16" s="156">
        <f t="shared" si="13"/>
        <v>2.7364506629448688E-2</v>
      </c>
      <c r="Q16" s="221">
        <f t="shared" si="12"/>
        <v>11.210853545981321</v>
      </c>
      <c r="R16" s="221">
        <f t="shared" si="5"/>
        <v>2031</v>
      </c>
      <c r="S16" s="229">
        <f t="shared" si="6"/>
        <v>216.29215413398083</v>
      </c>
      <c r="T16" s="229">
        <f t="shared" si="7"/>
        <v>218.31682806868977</v>
      </c>
      <c r="U16" s="221">
        <f t="shared" si="8"/>
        <v>2031</v>
      </c>
      <c r="V16" s="230">
        <f t="shared" si="9"/>
        <v>93.992154133980819</v>
      </c>
      <c r="W16" s="230">
        <f t="shared" si="9"/>
        <v>96.016828068689762</v>
      </c>
    </row>
    <row r="17" spans="3:25">
      <c r="C17" s="221">
        <f>+Summary!B21</f>
        <v>2032</v>
      </c>
      <c r="D17" s="268">
        <f>+Summary!K21</f>
        <v>363058.45850445179</v>
      </c>
      <c r="E17" s="269">
        <f>+Summary!AD21</f>
        <v>6034.8301992351699</v>
      </c>
      <c r="F17" s="270">
        <f t="shared" si="1"/>
        <v>6.0160509329734637</v>
      </c>
      <c r="G17" s="271">
        <f t="shared" si="10"/>
        <v>2.7574536568510055E-2</v>
      </c>
      <c r="I17" s="268">
        <f>+Summary!K64</f>
        <v>353147.25754640414</v>
      </c>
      <c r="J17" s="269">
        <f>+Summary!M64</f>
        <v>6040.0077753595406</v>
      </c>
      <c r="K17" s="270">
        <f t="shared" si="2"/>
        <v>5.8468013731221156</v>
      </c>
      <c r="L17" s="271">
        <f t="shared" si="11"/>
        <v>1.7831851825536482E-2</v>
      </c>
      <c r="M17" s="221">
        <f t="shared" si="3"/>
        <v>2032</v>
      </c>
      <c r="N17" s="228">
        <f t="shared" si="4"/>
        <v>2.1483410797131124</v>
      </c>
      <c r="O17" s="156">
        <f t="shared" si="13"/>
        <v>2.8947376360242437E-2</v>
      </c>
      <c r="Q17" s="221">
        <f t="shared" si="12"/>
        <v>11.491124884630853</v>
      </c>
      <c r="R17" s="221">
        <f t="shared" si="5"/>
        <v>2032</v>
      </c>
      <c r="S17" s="229">
        <f t="shared" si="6"/>
        <v>220.07607729841101</v>
      </c>
      <c r="T17" s="229">
        <f t="shared" si="7"/>
        <v>222.22441837812414</v>
      </c>
      <c r="U17" s="221">
        <f t="shared" si="8"/>
        <v>2032</v>
      </c>
      <c r="V17" s="230">
        <f t="shared" si="9"/>
        <v>97.776077298410996</v>
      </c>
      <c r="W17" s="230">
        <f t="shared" si="9"/>
        <v>99.92441837812413</v>
      </c>
    </row>
    <row r="18" spans="3:25">
      <c r="C18" s="221">
        <f>+Summary!B22</f>
        <v>2033</v>
      </c>
      <c r="D18" s="268">
        <f>+Summary!K22</f>
        <v>367209.68479432852</v>
      </c>
      <c r="E18" s="269">
        <f>+Summary!AD22</f>
        <v>6033.4864458265192</v>
      </c>
      <c r="F18" s="270">
        <f t="shared" si="1"/>
        <v>6.0861939127804732</v>
      </c>
      <c r="G18" s="271">
        <f t="shared" si="10"/>
        <v>7.0142979807009453E-2</v>
      </c>
      <c r="I18" s="268">
        <f>+Summary!K65</f>
        <v>358207.95647691732</v>
      </c>
      <c r="J18" s="269">
        <f>+Summary!M65</f>
        <v>6043.5640235818701</v>
      </c>
      <c r="K18" s="270">
        <f t="shared" si="2"/>
        <v>5.9270979024826538</v>
      </c>
      <c r="L18" s="271">
        <f t="shared" si="11"/>
        <v>8.0296529360538216E-2</v>
      </c>
      <c r="M18" s="221">
        <f t="shared" si="3"/>
        <v>2033</v>
      </c>
      <c r="N18" s="228">
        <f t="shared" si="4"/>
        <v>2.019458690713654</v>
      </c>
      <c r="O18" s="156">
        <f t="shared" si="13"/>
        <v>2.6842143139086606E-2</v>
      </c>
      <c r="Q18" s="221">
        <f t="shared" si="12"/>
        <v>11.778403006746624</v>
      </c>
      <c r="R18" s="221">
        <f t="shared" si="5"/>
        <v>2033</v>
      </c>
      <c r="S18" s="229">
        <f t="shared" si="6"/>
        <v>224.74182487448365</v>
      </c>
      <c r="T18" s="229">
        <f t="shared" si="7"/>
        <v>226.76128356519726</v>
      </c>
      <c r="U18" s="221">
        <f t="shared" si="8"/>
        <v>2033</v>
      </c>
      <c r="V18" s="230">
        <f t="shared" si="9"/>
        <v>102.44182487448364</v>
      </c>
      <c r="W18" s="230">
        <f t="shared" si="9"/>
        <v>104.46128356519725</v>
      </c>
    </row>
    <row r="19" spans="3:25" ht="16.5" thickBot="1">
      <c r="C19" s="221">
        <f>+Summary!B23</f>
        <v>2034</v>
      </c>
      <c r="D19" s="272">
        <f>+Summary!K23</f>
        <v>372938.12705700996</v>
      </c>
      <c r="E19" s="273">
        <f>+Summary!AD23</f>
        <v>6029.5741412857897</v>
      </c>
      <c r="F19" s="274">
        <f t="shared" si="1"/>
        <v>6.1851487073261522</v>
      </c>
      <c r="G19" s="275">
        <f t="shared" si="10"/>
        <v>9.8954794545679015E-2</v>
      </c>
      <c r="I19" s="272">
        <f>+Summary!K66</f>
        <v>363328.93367949588</v>
      </c>
      <c r="J19" s="273">
        <f>+Summary!M66</f>
        <v>6043.4047186611297</v>
      </c>
      <c r="K19" s="274">
        <f t="shared" si="2"/>
        <v>6.0119907666880312</v>
      </c>
      <c r="L19" s="275">
        <f t="shared" si="11"/>
        <v>8.489286420537745E-2</v>
      </c>
      <c r="M19" s="221">
        <f t="shared" si="3"/>
        <v>2034</v>
      </c>
      <c r="N19" s="228">
        <f t="shared" si="4"/>
        <v>2.1979514598332153</v>
      </c>
      <c r="O19" s="156">
        <f t="shared" si="13"/>
        <v>2.8802096902339824E-2</v>
      </c>
      <c r="Q19" s="221">
        <f t="shared" si="12"/>
        <v>12.072863081915289</v>
      </c>
      <c r="R19" s="221">
        <f t="shared" si="5"/>
        <v>2034</v>
      </c>
      <c r="S19" s="229">
        <f t="shared" si="6"/>
        <v>229.55707818493815</v>
      </c>
      <c r="T19" s="229">
        <f t="shared" si="7"/>
        <v>231.75502964477135</v>
      </c>
      <c r="U19" s="221">
        <f t="shared" si="8"/>
        <v>2034</v>
      </c>
      <c r="V19" s="230">
        <f t="shared" si="9"/>
        <v>107.25707818493814</v>
      </c>
      <c r="W19" s="230">
        <f t="shared" si="9"/>
        <v>109.45502964477134</v>
      </c>
      <c r="Y19" s="231">
        <f>13/V19</f>
        <v>0.12120412209611692</v>
      </c>
    </row>
    <row r="20" spans="3:25">
      <c r="D20" s="227"/>
      <c r="E20" s="74"/>
    </row>
    <row r="21" spans="3:25">
      <c r="D21" s="227"/>
      <c r="E21" s="74"/>
      <c r="P21" s="221" t="s">
        <v>197</v>
      </c>
      <c r="Q21" s="154">
        <v>2.5000000000000001E-2</v>
      </c>
    </row>
    <row r="22" spans="3:25">
      <c r="C22" s="221" t="s">
        <v>223</v>
      </c>
      <c r="D22" s="330">
        <v>12.23</v>
      </c>
      <c r="E22" s="221">
        <f>+D22*10</f>
        <v>122.30000000000001</v>
      </c>
      <c r="K22" s="229"/>
    </row>
    <row r="23" spans="3:25">
      <c r="C23" s="221" t="s">
        <v>198</v>
      </c>
      <c r="D23" s="229">
        <f>+D22-F5</f>
        <v>8.3358961304954793</v>
      </c>
      <c r="K23" s="229"/>
    </row>
    <row r="24" spans="3:25">
      <c r="K24" s="229"/>
    </row>
    <row r="25" spans="3:25">
      <c r="C25" s="232" t="s">
        <v>199</v>
      </c>
      <c r="D25" s="264">
        <f>15232/12</f>
        <v>1269.3333333333333</v>
      </c>
      <c r="E25" s="221" t="s">
        <v>200</v>
      </c>
      <c r="K25" s="229"/>
    </row>
    <row r="26" spans="3:25">
      <c r="K26" s="229"/>
    </row>
    <row r="27" spans="3:25">
      <c r="K27" s="229"/>
    </row>
    <row r="28" spans="3:25">
      <c r="K28" s="229"/>
    </row>
    <row r="29" spans="3:25">
      <c r="K29" s="229"/>
    </row>
    <row r="30" spans="3:25">
      <c r="K30" s="229"/>
    </row>
    <row r="31" spans="3:25">
      <c r="K31" s="229"/>
    </row>
    <row r="32" spans="3:25">
      <c r="K32" s="229"/>
    </row>
  </sheetData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AF42"/>
  <sheetViews>
    <sheetView topLeftCell="H19" zoomScale="80" zoomScaleNormal="80" workbookViewId="0">
      <selection activeCell="T42" sqref="T42"/>
    </sheetView>
  </sheetViews>
  <sheetFormatPr defaultColWidth="9" defaultRowHeight="15.75"/>
  <cols>
    <col min="1" max="3" width="9" style="221"/>
    <col min="4" max="6" width="13.625" style="221" customWidth="1"/>
    <col min="7" max="7" width="11.375" style="221" customWidth="1"/>
    <col min="8" max="8" width="11.25" style="221" customWidth="1"/>
    <col min="9" max="11" width="9" style="221"/>
    <col min="12" max="12" width="13.5" style="221" customWidth="1"/>
    <col min="13" max="16384" width="9" style="221"/>
  </cols>
  <sheetData>
    <row r="4" spans="4:10" ht="16.5" thickBot="1">
      <c r="D4" s="221" t="s">
        <v>207</v>
      </c>
    </row>
    <row r="5" spans="4:10" ht="32.25" thickBot="1">
      <c r="D5" s="239" t="s">
        <v>47</v>
      </c>
      <c r="E5" s="240" t="s">
        <v>208</v>
      </c>
      <c r="F5" s="241" t="s">
        <v>215</v>
      </c>
      <c r="G5" s="221" t="s">
        <v>225</v>
      </c>
    </row>
    <row r="6" spans="4:10">
      <c r="D6" s="242">
        <f>+'Rate Impacts'!R5</f>
        <v>2020</v>
      </c>
      <c r="E6" s="243">
        <f>'Rate Impacts'!D22/100</f>
        <v>0.12230000000000001</v>
      </c>
      <c r="F6" s="244">
        <f>E6</f>
        <v>0.12230000000000001</v>
      </c>
      <c r="J6" s="245">
        <f t="shared" ref="J6:J20" si="0">+F6-U25</f>
        <v>0.12230000000000001</v>
      </c>
    </row>
    <row r="7" spans="4:10">
      <c r="D7" s="246">
        <f>+'Rate Impacts'!U6</f>
        <v>2021</v>
      </c>
      <c r="E7" s="247">
        <f t="shared" ref="E7:E20" si="1">$E$6+F26/J26/1000</f>
        <v>0.12617832242415766</v>
      </c>
      <c r="F7" s="248">
        <f t="shared" ref="F7:F20" si="2">G26/(1+0.0191)^(D7-$D$6)+F$6</f>
        <v>0.12610563479948744</v>
      </c>
      <c r="G7" s="231">
        <f t="shared" ref="G7:G8" si="3">+F7/$F$6</f>
        <v>1.0311172101348114</v>
      </c>
      <c r="J7" s="245">
        <f t="shared" si="0"/>
        <v>0.12610563479948744</v>
      </c>
    </row>
    <row r="8" spans="4:10">
      <c r="D8" s="242">
        <f>+'Rate Impacts'!U7</f>
        <v>2022</v>
      </c>
      <c r="E8" s="243">
        <f t="shared" si="1"/>
        <v>0.12707626763136187</v>
      </c>
      <c r="F8" s="244">
        <f t="shared" si="2"/>
        <v>0.12689891148378299</v>
      </c>
      <c r="G8" s="231">
        <f t="shared" si="3"/>
        <v>1.0376035280767211</v>
      </c>
      <c r="J8" s="245">
        <f t="shared" si="0"/>
        <v>0.12689891148378299</v>
      </c>
    </row>
    <row r="9" spans="4:10">
      <c r="D9" s="246">
        <f>+'Rate Impacts'!U8</f>
        <v>2023</v>
      </c>
      <c r="E9" s="247">
        <f t="shared" si="1"/>
        <v>0.12396321476845674</v>
      </c>
      <c r="F9" s="248">
        <f t="shared" si="2"/>
        <v>0.12387144044953298</v>
      </c>
      <c r="G9" s="231">
        <f>+F9/$F$6</f>
        <v>1.0128490633649467</v>
      </c>
      <c r="J9" s="245">
        <f t="shared" si="0"/>
        <v>0.12387144044953298</v>
      </c>
    </row>
    <row r="10" spans="4:10">
      <c r="D10" s="242">
        <f>+'Rate Impacts'!U9</f>
        <v>2024</v>
      </c>
      <c r="E10" s="243">
        <f t="shared" si="1"/>
        <v>0.12445315120504123</v>
      </c>
      <c r="F10" s="244">
        <f t="shared" si="2"/>
        <v>0.12429621503776407</v>
      </c>
      <c r="G10" s="231">
        <f t="shared" ref="G10:G17" si="4">+F10/$F$6</f>
        <v>1.0163222815843342</v>
      </c>
      <c r="J10" s="245">
        <f t="shared" si="0"/>
        <v>0.12429621503776407</v>
      </c>
    </row>
    <row r="11" spans="4:10">
      <c r="D11" s="246">
        <f>+'Rate Impacts'!U10</f>
        <v>2025</v>
      </c>
      <c r="E11" s="247">
        <f t="shared" si="1"/>
        <v>0.1242267774723205</v>
      </c>
      <c r="F11" s="248">
        <f t="shared" si="2"/>
        <v>0.12405286129716404</v>
      </c>
      <c r="G11" s="231">
        <f t="shared" si="4"/>
        <v>1.0143324717674902</v>
      </c>
      <c r="J11" s="245">
        <f t="shared" si="0"/>
        <v>0.12405286129716404</v>
      </c>
    </row>
    <row r="12" spans="4:10">
      <c r="D12" s="242">
        <f>+'Rate Impacts'!U11</f>
        <v>2026</v>
      </c>
      <c r="E12" s="243">
        <f t="shared" si="1"/>
        <v>0.12403573691967812</v>
      </c>
      <c r="F12" s="244">
        <f t="shared" si="2"/>
        <v>0.12384946971288466</v>
      </c>
      <c r="G12" s="231">
        <f t="shared" si="4"/>
        <v>1.0126694171127117</v>
      </c>
      <c r="J12" s="245">
        <f t="shared" si="0"/>
        <v>0.12384946971288466</v>
      </c>
    </row>
    <row r="13" spans="4:10">
      <c r="D13" s="246">
        <f>+'Rate Impacts'!U12</f>
        <v>2027</v>
      </c>
      <c r="E13" s="247">
        <f t="shared" si="1"/>
        <v>0.12531357132597429</v>
      </c>
      <c r="F13" s="248">
        <f t="shared" si="2"/>
        <v>0.12493975647479702</v>
      </c>
      <c r="G13" s="231">
        <f t="shared" si="4"/>
        <v>1.0215842720752004</v>
      </c>
      <c r="J13" s="245">
        <f t="shared" si="0"/>
        <v>0.12493975647479702</v>
      </c>
    </row>
    <row r="14" spans="4:10">
      <c r="D14" s="242">
        <f>+'Rate Impacts'!U13</f>
        <v>2028</v>
      </c>
      <c r="E14" s="243">
        <f t="shared" si="1"/>
        <v>0.13656668821308229</v>
      </c>
      <c r="F14" s="244">
        <f t="shared" si="2"/>
        <v>0.13456277493409191</v>
      </c>
      <c r="G14" s="231">
        <f t="shared" si="4"/>
        <v>1.100267988013834</v>
      </c>
      <c r="J14" s="245">
        <f t="shared" si="0"/>
        <v>0.12892446585330697</v>
      </c>
    </row>
    <row r="15" spans="4:10">
      <c r="D15" s="246">
        <f>+'Rate Impacts'!U14</f>
        <v>2029</v>
      </c>
      <c r="E15" s="247">
        <f t="shared" si="1"/>
        <v>0.13690807513583236</v>
      </c>
      <c r="F15" s="248">
        <f t="shared" si="2"/>
        <v>0.13462088147249843</v>
      </c>
      <c r="G15" s="231">
        <f t="shared" si="4"/>
        <v>1.1007431028004777</v>
      </c>
      <c r="J15" s="245">
        <f t="shared" si="0"/>
        <v>0.12864546238451258</v>
      </c>
    </row>
    <row r="16" spans="4:10">
      <c r="D16" s="242">
        <f>+'Rate Impacts'!U15</f>
        <v>2030</v>
      </c>
      <c r="E16" s="243">
        <f t="shared" si="1"/>
        <v>0.13738041099548862</v>
      </c>
      <c r="F16" s="244">
        <f t="shared" si="2"/>
        <v>0.1347808786863896</v>
      </c>
      <c r="G16" s="231">
        <f t="shared" si="4"/>
        <v>1.102051338400569</v>
      </c>
      <c r="J16" s="245">
        <f t="shared" si="0"/>
        <v>0.12897057829882616</v>
      </c>
    </row>
    <row r="17" spans="4:30">
      <c r="D17" s="246">
        <f>+'Rate Impacts'!U16</f>
        <v>2031</v>
      </c>
      <c r="E17" s="247">
        <f t="shared" si="1"/>
        <v>0.14311502389453618</v>
      </c>
      <c r="F17" s="248">
        <f t="shared" si="2"/>
        <v>0.13920410167622335</v>
      </c>
      <c r="G17" s="231">
        <f t="shared" si="4"/>
        <v>1.1382183293231671</v>
      </c>
      <c r="J17" s="245">
        <f t="shared" si="0"/>
        <v>0.13309962282841781</v>
      </c>
    </row>
    <row r="18" spans="4:30">
      <c r="D18" s="242">
        <f>+'Rate Impacts'!U17</f>
        <v>2032</v>
      </c>
      <c r="E18" s="243">
        <f t="shared" si="1"/>
        <v>0.14335757975638114</v>
      </c>
      <c r="F18" s="244">
        <f t="shared" si="2"/>
        <v>0.13908057488397654</v>
      </c>
      <c r="H18" s="249">
        <v>1.9099999999999999E-2</v>
      </c>
      <c r="J18" s="245">
        <f t="shared" si="0"/>
        <v>0.13268655555300593</v>
      </c>
      <c r="L18" s="249">
        <v>1.3951261319626445E-2</v>
      </c>
    </row>
    <row r="19" spans="4:30">
      <c r="D19" s="246">
        <f>+'Rate Impacts'!U18</f>
        <v>2033</v>
      </c>
      <c r="E19" s="247">
        <f t="shared" si="1"/>
        <v>0.14405030071000879</v>
      </c>
      <c r="F19" s="248">
        <f t="shared" si="2"/>
        <v>0.13930774927849113</v>
      </c>
      <c r="H19" s="254">
        <f>+F6*(1+H18)^14-F6</f>
        <v>3.70902233848137E-2</v>
      </c>
      <c r="J19" s="245">
        <f t="shared" si="0"/>
        <v>0.13309408754965485</v>
      </c>
      <c r="L19" s="250">
        <f>+J6*(1+L18)^14-J6</f>
        <v>2.6179184730044255E-2</v>
      </c>
    </row>
    <row r="20" spans="4:30" ht="16.5" thickBot="1">
      <c r="D20" s="251">
        <f>+'Rate Impacts'!U19</f>
        <v>2034</v>
      </c>
      <c r="E20" s="252">
        <f t="shared" si="1"/>
        <v>0.14501447096924897</v>
      </c>
      <c r="F20" s="253">
        <f t="shared" si="2"/>
        <v>0.13972879670124</v>
      </c>
      <c r="H20" s="254">
        <f>+F20-F6</f>
        <v>1.7428796701239993E-2</v>
      </c>
      <c r="J20" s="245">
        <f t="shared" si="0"/>
        <v>0.13330416193291975</v>
      </c>
      <c r="L20" s="254">
        <f>+J20-J6</f>
        <v>1.100416193291974E-2</v>
      </c>
    </row>
    <row r="21" spans="4:30">
      <c r="H21" s="254">
        <f>+H19-H20</f>
        <v>1.9661426683573707E-2</v>
      </c>
      <c r="L21" s="250">
        <f>+L19-L20</f>
        <v>1.5175022797124516E-2</v>
      </c>
    </row>
    <row r="23" spans="4:30">
      <c r="O23" s="221" t="s">
        <v>224</v>
      </c>
      <c r="S23" s="221" t="s">
        <v>226</v>
      </c>
    </row>
    <row r="24" spans="4:30" ht="63">
      <c r="E24" s="255" t="s">
        <v>209</v>
      </c>
      <c r="F24" s="255" t="s">
        <v>218</v>
      </c>
      <c r="G24" s="226" t="s">
        <v>219</v>
      </c>
      <c r="H24" s="261" t="s">
        <v>220</v>
      </c>
      <c r="J24" s="221" t="s">
        <v>210</v>
      </c>
      <c r="L24" s="226" t="s">
        <v>221</v>
      </c>
      <c r="O24" s="255" t="s">
        <v>211</v>
      </c>
      <c r="P24" s="221" t="s">
        <v>212</v>
      </c>
      <c r="S24" s="255" t="s">
        <v>213</v>
      </c>
      <c r="T24" s="221" t="s">
        <v>212</v>
      </c>
    </row>
    <row r="25" spans="4:30">
      <c r="D25" s="221">
        <f>+D6</f>
        <v>2020</v>
      </c>
      <c r="E25" s="256">
        <f>+'Rate Impacts'!D5</f>
        <v>235979.54026783968</v>
      </c>
      <c r="H25" s="256"/>
      <c r="J25" s="257">
        <f>+'Rate Impacts'!E5</f>
        <v>6059.9189999999999</v>
      </c>
      <c r="L25" s="74">
        <f>Summary!AJ9</f>
        <v>5769805.1132922089</v>
      </c>
      <c r="O25" s="74">
        <v>0</v>
      </c>
      <c r="P25" s="230">
        <f t="shared" ref="P25:P31" si="5">+O25*L25/1000</f>
        <v>0</v>
      </c>
      <c r="S25" s="278">
        <v>0</v>
      </c>
      <c r="T25" s="230">
        <f>+S25*L25/1000</f>
        <v>0</v>
      </c>
      <c r="Y25" s="230"/>
      <c r="AD25" s="230"/>
    </row>
    <row r="26" spans="4:30">
      <c r="D26" s="221">
        <f t="shared" ref="D26:D39" si="6">+D7</f>
        <v>2021</v>
      </c>
      <c r="E26" s="256">
        <f>+'Rate Impacts'!D6</f>
        <v>259393.60878735699</v>
      </c>
      <c r="F26" s="257">
        <f>E26-$E$25</f>
        <v>23414.068519517314</v>
      </c>
      <c r="G26" s="258">
        <f>+F26/J26/1000</f>
        <v>3.8783224241576535E-3</v>
      </c>
      <c r="H26" s="262">
        <f>+G26+E$6</f>
        <v>0.12617832242415766</v>
      </c>
      <c r="J26" s="257">
        <f>+'Rate Impacts'!E6</f>
        <v>6037.1639999999998</v>
      </c>
      <c r="L26" s="74">
        <f>Summary!AJ10</f>
        <v>5267945.2310610097</v>
      </c>
      <c r="O26" s="74">
        <v>0</v>
      </c>
      <c r="P26" s="230">
        <f t="shared" si="5"/>
        <v>0</v>
      </c>
      <c r="S26" s="278">
        <v>0</v>
      </c>
      <c r="T26" s="230">
        <f t="shared" ref="T26:T39" si="7">+S26*L26/1000</f>
        <v>0</v>
      </c>
      <c r="Y26" s="230"/>
      <c r="AD26" s="230"/>
    </row>
    <row r="27" spans="4:30">
      <c r="D27" s="221">
        <f t="shared" si="6"/>
        <v>2022</v>
      </c>
      <c r="E27" s="256">
        <f>+'Rate Impacts'!D7</f>
        <v>265301.42935815168</v>
      </c>
      <c r="F27" s="257">
        <f t="shared" ref="F27:F39" si="8">E27-$E$25</f>
        <v>29321.889090312005</v>
      </c>
      <c r="G27" s="258">
        <f t="shared" ref="G27:G39" si="9">+F27/J27/1000</f>
        <v>4.7762676313618802E-3</v>
      </c>
      <c r="H27" s="262">
        <f t="shared" ref="H27:H39" si="10">+G27+E$6</f>
        <v>0.12707626763136187</v>
      </c>
      <c r="J27" s="257">
        <f>+'Rate Impacts'!E7</f>
        <v>6139.07999999391</v>
      </c>
      <c r="L27" s="74">
        <f>Summary!AJ11</f>
        <v>6138111.1198785314</v>
      </c>
      <c r="O27" s="74">
        <v>0</v>
      </c>
      <c r="P27" s="230">
        <f t="shared" si="5"/>
        <v>0</v>
      </c>
      <c r="S27" s="278">
        <v>0</v>
      </c>
      <c r="T27" s="230">
        <f t="shared" si="7"/>
        <v>0</v>
      </c>
      <c r="Y27" s="230"/>
      <c r="AD27" s="230"/>
    </row>
    <row r="28" spans="4:30">
      <c r="D28" s="221">
        <f t="shared" si="6"/>
        <v>2023</v>
      </c>
      <c r="E28" s="256">
        <f>+'Rate Impacts'!D8</f>
        <v>246226.13475339609</v>
      </c>
      <c r="F28" s="257">
        <f t="shared" si="8"/>
        <v>10246.594485556416</v>
      </c>
      <c r="G28" s="258">
        <f t="shared" si="9"/>
        <v>1.6632147684567345E-3</v>
      </c>
      <c r="H28" s="262">
        <f t="shared" si="10"/>
        <v>0.12396321476845674</v>
      </c>
      <c r="J28" s="257">
        <f>+'Rate Impacts'!E8</f>
        <v>6160.7163908627608</v>
      </c>
      <c r="L28" s="74">
        <f>Summary!AJ12</f>
        <v>4742434.368447734</v>
      </c>
      <c r="O28" s="74">
        <v>0</v>
      </c>
      <c r="P28" s="230">
        <f t="shared" si="5"/>
        <v>0</v>
      </c>
      <c r="S28" s="278">
        <v>0</v>
      </c>
      <c r="T28" s="230">
        <f t="shared" si="7"/>
        <v>0</v>
      </c>
      <c r="Y28" s="230"/>
      <c r="AD28" s="230"/>
    </row>
    <row r="29" spans="4:30">
      <c r="D29" s="221">
        <f t="shared" si="6"/>
        <v>2024</v>
      </c>
      <c r="E29" s="256">
        <f>+'Rate Impacts'!D9</f>
        <v>249138.58881187279</v>
      </c>
      <c r="F29" s="257">
        <f t="shared" si="8"/>
        <v>13159.04854403311</v>
      </c>
      <c r="G29" s="258">
        <f t="shared" si="9"/>
        <v>2.1531512050412256E-3</v>
      </c>
      <c r="H29" s="262">
        <f t="shared" si="10"/>
        <v>0.12445315120504123</v>
      </c>
      <c r="J29" s="257">
        <f>+'Rate Impacts'!E9</f>
        <v>6111.5301671445595</v>
      </c>
      <c r="L29" s="74">
        <f>Summary!AJ13</f>
        <v>4400120.9001210174</v>
      </c>
      <c r="O29" s="74">
        <v>0</v>
      </c>
      <c r="P29" s="230">
        <f t="shared" si="5"/>
        <v>0</v>
      </c>
      <c r="S29" s="278">
        <v>0</v>
      </c>
      <c r="T29" s="230">
        <f t="shared" si="7"/>
        <v>0</v>
      </c>
      <c r="Y29" s="230"/>
      <c r="AD29" s="230"/>
    </row>
    <row r="30" spans="4:30">
      <c r="D30" s="221">
        <f t="shared" si="6"/>
        <v>2025</v>
      </c>
      <c r="E30" s="256">
        <f>+'Rate Impacts'!D10</f>
        <v>247733.54285934044</v>
      </c>
      <c r="F30" s="257">
        <f t="shared" si="8"/>
        <v>11754.002591500757</v>
      </c>
      <c r="G30" s="258">
        <f t="shared" si="9"/>
        <v>1.9267774723204971E-3</v>
      </c>
      <c r="H30" s="262">
        <f t="shared" si="10"/>
        <v>0.1242267774723205</v>
      </c>
      <c r="J30" s="257">
        <f>+'Rate Impacts'!E10</f>
        <v>6100.3425462230107</v>
      </c>
      <c r="L30" s="74">
        <f>Summary!AJ14</f>
        <v>4419865.6617003568</v>
      </c>
      <c r="O30" s="74">
        <v>0</v>
      </c>
      <c r="P30" s="230">
        <f t="shared" si="5"/>
        <v>0</v>
      </c>
      <c r="S30" s="278">
        <v>0</v>
      </c>
      <c r="T30" s="230">
        <f t="shared" si="7"/>
        <v>0</v>
      </c>
      <c r="Y30" s="230"/>
      <c r="AD30" s="230"/>
    </row>
    <row r="31" spans="4:30">
      <c r="D31" s="221">
        <f t="shared" si="6"/>
        <v>2026</v>
      </c>
      <c r="E31" s="256">
        <f>+'Rate Impacts'!D11</f>
        <v>246545.44917368019</v>
      </c>
      <c r="F31" s="257">
        <f t="shared" si="8"/>
        <v>10565.908905840508</v>
      </c>
      <c r="G31" s="258">
        <f t="shared" si="9"/>
        <v>1.7357369196781183E-3</v>
      </c>
      <c r="H31" s="262">
        <f t="shared" si="10"/>
        <v>0.12403573691967812</v>
      </c>
      <c r="J31" s="257">
        <f>+'Rate Impacts'!E11</f>
        <v>6087.2755462272999</v>
      </c>
      <c r="L31" s="74">
        <f>Summary!AJ15</f>
        <v>4568059.2739040339</v>
      </c>
      <c r="O31" s="74">
        <v>0</v>
      </c>
      <c r="P31" s="230">
        <f t="shared" si="5"/>
        <v>0</v>
      </c>
      <c r="Q31" s="263"/>
      <c r="S31" s="278">
        <v>0</v>
      </c>
      <c r="T31" s="230">
        <f t="shared" si="7"/>
        <v>0</v>
      </c>
      <c r="Y31" s="230"/>
      <c r="AD31" s="230"/>
    </row>
    <row r="32" spans="4:30">
      <c r="D32" s="221">
        <f t="shared" si="6"/>
        <v>2027</v>
      </c>
      <c r="E32" s="256">
        <f>+'Rate Impacts'!D12</f>
        <v>254291.18470636493</v>
      </c>
      <c r="F32" s="257">
        <f t="shared" si="8"/>
        <v>18311.644438525254</v>
      </c>
      <c r="G32" s="258">
        <f t="shared" si="9"/>
        <v>3.0135713259742932E-3</v>
      </c>
      <c r="H32" s="262">
        <f t="shared" si="10"/>
        <v>0.12531357132597429</v>
      </c>
      <c r="J32" s="257">
        <f>+'Rate Impacts'!E12</f>
        <v>6076.3932416980597</v>
      </c>
      <c r="L32" s="74">
        <f>Summary!AJ16</f>
        <v>4297963.7104233121</v>
      </c>
      <c r="O32" s="263">
        <v>0</v>
      </c>
      <c r="P32" s="230">
        <f>+O32*L32/1000</f>
        <v>0</v>
      </c>
      <c r="Q32" s="263"/>
      <c r="R32" s="263"/>
      <c r="S32" s="278">
        <v>0</v>
      </c>
      <c r="T32" s="230">
        <f t="shared" si="7"/>
        <v>0</v>
      </c>
      <c r="U32" s="258">
        <f>+T32/J32/1000</f>
        <v>0</v>
      </c>
      <c r="Y32" s="230"/>
      <c r="Z32" s="258"/>
      <c r="AD32" s="230"/>
    </row>
    <row r="33" spans="4:32">
      <c r="D33" s="221">
        <f t="shared" si="6"/>
        <v>2028</v>
      </c>
      <c r="E33" s="256">
        <f>+'Rate Impacts'!D13</f>
        <v>322557.35241550318</v>
      </c>
      <c r="F33" s="257">
        <f t="shared" si="8"/>
        <v>86577.812147663499</v>
      </c>
      <c r="G33" s="258">
        <f t="shared" si="9"/>
        <v>1.42666882130823E-2</v>
      </c>
      <c r="H33" s="262">
        <f t="shared" si="10"/>
        <v>0.13656668821308229</v>
      </c>
      <c r="J33" s="257">
        <f>+'Rate Impacts'!E13</f>
        <v>6068.5290695757394</v>
      </c>
      <c r="L33" s="74">
        <f>Summary!AJ17</f>
        <v>3059632.9913011491</v>
      </c>
      <c r="O33" s="263">
        <v>13.607910732105596</v>
      </c>
      <c r="P33" s="230">
        <f t="shared" ref="P33:P39" si="11">+O33*L33/1000</f>
        <v>41635.21261863126</v>
      </c>
      <c r="Q33" s="263"/>
      <c r="R33" s="263"/>
      <c r="S33" s="278">
        <v>11.183119889632703</v>
      </c>
      <c r="T33" s="230">
        <f t="shared" si="7"/>
        <v>34216.242559996288</v>
      </c>
      <c r="U33" s="258">
        <f t="shared" ref="U33:U39" si="12">+T33/J33/1000</f>
        <v>5.6383090807849414E-3</v>
      </c>
      <c r="Y33" s="230"/>
      <c r="Z33" s="258"/>
      <c r="AD33" s="230"/>
      <c r="AE33" s="258"/>
    </row>
    <row r="34" spans="4:32">
      <c r="D34" s="221">
        <f t="shared" si="6"/>
        <v>2029</v>
      </c>
      <c r="E34" s="256">
        <f>+'Rate Impacts'!D14</f>
        <v>324659.00501104112</v>
      </c>
      <c r="F34" s="257">
        <f t="shared" si="8"/>
        <v>88679.464743201446</v>
      </c>
      <c r="G34" s="258">
        <f t="shared" si="9"/>
        <v>1.4608075135832347E-2</v>
      </c>
      <c r="H34" s="262">
        <f t="shared" si="10"/>
        <v>0.13690807513583236</v>
      </c>
      <c r="J34" s="257">
        <f>+'Rate Impacts'!E14</f>
        <v>6070.5783560544796</v>
      </c>
      <c r="L34" s="74">
        <f>Summary!AJ18</f>
        <v>3194417.9923881749</v>
      </c>
      <c r="O34" s="263">
        <v>14.084187607729291</v>
      </c>
      <c r="P34" s="230">
        <f t="shared" si="11"/>
        <v>44990.782302301013</v>
      </c>
      <c r="Q34" s="263"/>
      <c r="R34" s="263"/>
      <c r="S34" s="278">
        <v>11.355511354593521</v>
      </c>
      <c r="T34" s="230">
        <f t="shared" si="7"/>
        <v>36274.249783881758</v>
      </c>
      <c r="U34" s="258">
        <f t="shared" si="12"/>
        <v>5.97541908798586E-3</v>
      </c>
      <c r="Y34" s="230"/>
      <c r="Z34" s="258"/>
      <c r="AD34" s="230"/>
      <c r="AE34" s="258"/>
    </row>
    <row r="35" spans="4:32">
      <c r="D35" s="221">
        <f t="shared" si="6"/>
        <v>2030</v>
      </c>
      <c r="E35" s="256">
        <f>+'Rate Impacts'!D15</f>
        <v>327346.15011622437</v>
      </c>
      <c r="F35" s="257">
        <f t="shared" si="8"/>
        <v>91366.609848384687</v>
      </c>
      <c r="G35" s="258">
        <f t="shared" si="9"/>
        <v>1.5080410995488611E-2</v>
      </c>
      <c r="H35" s="262">
        <f t="shared" si="10"/>
        <v>0.13738041099548862</v>
      </c>
      <c r="J35" s="257">
        <f>+'Rate Impacts'!E15</f>
        <v>6058.6286325828596</v>
      </c>
      <c r="L35" s="74">
        <f>Summary!AJ19</f>
        <v>3052402.9875832065</v>
      </c>
      <c r="O35" s="263">
        <v>14.577134173999815</v>
      </c>
      <c r="P35" s="230">
        <f t="shared" si="11"/>
        <v>44495.287903118289</v>
      </c>
      <c r="Q35" s="263"/>
      <c r="R35" s="263"/>
      <c r="S35" s="278">
        <v>11.532701427432182</v>
      </c>
      <c r="T35" s="230">
        <f t="shared" si="7"/>
        <v>35202.4522919991</v>
      </c>
      <c r="U35" s="258">
        <f t="shared" si="12"/>
        <v>5.8103003875634327E-3</v>
      </c>
      <c r="Y35" s="230"/>
      <c r="Z35" s="258"/>
      <c r="AD35" s="230"/>
      <c r="AE35" s="258"/>
    </row>
    <row r="36" spans="4:32">
      <c r="D36" s="221">
        <f t="shared" si="6"/>
        <v>2031</v>
      </c>
      <c r="E36" s="256">
        <f>+'Rate Impacts'!D16</f>
        <v>361701.38434863975</v>
      </c>
      <c r="F36" s="257">
        <f t="shared" si="8"/>
        <v>125721.84408080007</v>
      </c>
      <c r="G36" s="258">
        <f t="shared" si="9"/>
        <v>2.081502389453618E-2</v>
      </c>
      <c r="H36" s="262">
        <f t="shared" si="10"/>
        <v>0.14311502389453618</v>
      </c>
      <c r="J36" s="257">
        <f>+'Rate Impacts'!E16</f>
        <v>6039.9567503644002</v>
      </c>
      <c r="L36" s="74">
        <f>Summary!AJ20</f>
        <v>3146839.9800220104</v>
      </c>
      <c r="O36" s="263">
        <v>15.087333870089807</v>
      </c>
      <c r="P36" s="230">
        <f t="shared" si="11"/>
        <v>47477.42541433881</v>
      </c>
      <c r="Q36" s="263"/>
      <c r="R36" s="263"/>
      <c r="S36" s="278">
        <v>11.716766171250255</v>
      </c>
      <c r="T36" s="230">
        <f t="shared" si="7"/>
        <v>36870.788224259719</v>
      </c>
      <c r="U36" s="258">
        <f t="shared" si="12"/>
        <v>6.1044788478055315E-3</v>
      </c>
      <c r="Y36" s="230"/>
      <c r="Z36" s="258"/>
      <c r="AD36" s="230"/>
      <c r="AE36" s="258"/>
    </row>
    <row r="37" spans="4:32">
      <c r="D37" s="221">
        <f t="shared" si="6"/>
        <v>2032</v>
      </c>
      <c r="E37" s="256">
        <f>+'Rate Impacts'!D17</f>
        <v>363058.45850445179</v>
      </c>
      <c r="F37" s="257">
        <f t="shared" si="8"/>
        <v>127078.91823661211</v>
      </c>
      <c r="G37" s="258">
        <f t="shared" si="9"/>
        <v>2.1057579756381145E-2</v>
      </c>
      <c r="H37" s="262">
        <f t="shared" si="10"/>
        <v>0.14335757975638114</v>
      </c>
      <c r="J37" s="257">
        <f>+'Rate Impacts'!E17</f>
        <v>6034.8301992351699</v>
      </c>
      <c r="L37" s="74">
        <f>Summary!AJ21</f>
        <v>3240391.5671157152</v>
      </c>
      <c r="O37" s="263">
        <v>15.61539055554295</v>
      </c>
      <c r="P37" s="230">
        <f t="shared" si="11"/>
        <v>50599.97987339976</v>
      </c>
      <c r="Q37" s="263"/>
      <c r="R37" s="263"/>
      <c r="S37" s="278">
        <v>11.908073500938389</v>
      </c>
      <c r="T37" s="230">
        <f t="shared" si="7"/>
        <v>38586.820953034869</v>
      </c>
      <c r="U37" s="258">
        <f t="shared" si="12"/>
        <v>6.3940193309706059E-3</v>
      </c>
      <c r="Y37" s="230"/>
      <c r="Z37" s="258"/>
      <c r="AD37" s="230"/>
      <c r="AE37" s="258"/>
    </row>
    <row r="38" spans="4:32">
      <c r="D38" s="221">
        <f t="shared" si="6"/>
        <v>2033</v>
      </c>
      <c r="E38" s="256">
        <f>+'Rate Impacts'!D18</f>
        <v>367209.68479432852</v>
      </c>
      <c r="F38" s="257">
        <f t="shared" si="8"/>
        <v>131230.14452648885</v>
      </c>
      <c r="G38" s="258">
        <f t="shared" si="9"/>
        <v>2.1750300710008774E-2</v>
      </c>
      <c r="H38" s="262">
        <f t="shared" si="10"/>
        <v>0.14405030071000879</v>
      </c>
      <c r="J38" s="257">
        <f>+'Rate Impacts'!E18</f>
        <v>6033.4864458265192</v>
      </c>
      <c r="L38" s="74">
        <f>Summary!AJ22</f>
        <v>3097617.0500892787</v>
      </c>
      <c r="O38" s="263">
        <v>16.161929224986952</v>
      </c>
      <c r="P38" s="230">
        <f t="shared" si="11"/>
        <v>50063.467529655783</v>
      </c>
      <c r="Q38" s="263"/>
      <c r="R38" s="263"/>
      <c r="S38" s="278">
        <v>12.102865917142365</v>
      </c>
      <c r="T38" s="230">
        <f t="shared" si="7"/>
        <v>37490.043819884602</v>
      </c>
      <c r="U38" s="258">
        <f t="shared" si="12"/>
        <v>6.2136617288362688E-3</v>
      </c>
      <c r="Y38" s="230"/>
      <c r="Z38" s="258"/>
      <c r="AD38" s="230"/>
      <c r="AE38" s="258"/>
    </row>
    <row r="39" spans="4:32">
      <c r="D39" s="221">
        <f t="shared" si="6"/>
        <v>2034</v>
      </c>
      <c r="E39" s="256">
        <f>+'Rate Impacts'!D19</f>
        <v>372938.12705700996</v>
      </c>
      <c r="F39" s="257">
        <f t="shared" si="8"/>
        <v>136958.58678917028</v>
      </c>
      <c r="G39" s="258">
        <f t="shared" si="9"/>
        <v>2.2714470969248956E-2</v>
      </c>
      <c r="H39" s="262">
        <f t="shared" si="10"/>
        <v>0.14501447096924897</v>
      </c>
      <c r="J39" s="257">
        <f>+'Rate Impacts'!E19</f>
        <v>6029.5741412857897</v>
      </c>
      <c r="L39" s="74">
        <f>Summary!AJ23</f>
        <v>3148496.1398867141</v>
      </c>
      <c r="O39" s="263">
        <v>16.727596747861494</v>
      </c>
      <c r="P39" s="230">
        <f t="shared" si="11"/>
        <v>52666.773790223466</v>
      </c>
      <c r="R39" s="263"/>
      <c r="S39" s="278">
        <v>12.303591919811984</v>
      </c>
      <c r="T39" s="230">
        <f t="shared" si="7"/>
        <v>38737.811666269401</v>
      </c>
      <c r="U39" s="258">
        <f t="shared" si="12"/>
        <v>6.4246347683202506E-3</v>
      </c>
      <c r="Y39" s="230"/>
      <c r="Z39" s="258"/>
      <c r="AD39" s="230"/>
      <c r="AE39" s="258"/>
      <c r="AF39" s="154"/>
    </row>
    <row r="40" spans="4:32">
      <c r="G40" s="259">
        <f>+P39/J39/1000</f>
        <v>8.734741883278746E-3</v>
      </c>
      <c r="T40" s="260">
        <f>+F20-F6</f>
        <v>1.7428796701239993E-2</v>
      </c>
      <c r="Y40" s="276"/>
      <c r="AD40" s="260"/>
    </row>
    <row r="41" spans="4:32">
      <c r="G41" s="231">
        <f>+G40/G39</f>
        <v>0.38454524849396288</v>
      </c>
      <c r="S41" s="221" t="s">
        <v>214</v>
      </c>
      <c r="T41" s="259">
        <f>+T39/J39/1000</f>
        <v>6.4246347683202506E-3</v>
      </c>
      <c r="Y41" s="277"/>
      <c r="AD41" s="259"/>
    </row>
    <row r="42" spans="4:32">
      <c r="S42" s="232" t="s">
        <v>227</v>
      </c>
      <c r="T42" s="331">
        <f>+T41/T40</f>
        <v>0.36862182045322511</v>
      </c>
      <c r="Y42" s="154"/>
      <c r="AD42" s="231"/>
    </row>
  </sheetData>
  <conditionalFormatting sqref="S25:S39">
    <cfRule type="expression" dxfId="0" priority="1" stopIfTrue="1">
      <formula>MOD(ROW(),2)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M19" sqref="M19"/>
    </sheetView>
  </sheetViews>
  <sheetFormatPr defaultColWidth="9"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72" t="s">
        <v>0</v>
      </c>
      <c r="B1" s="172" t="s">
        <v>1</v>
      </c>
      <c r="C1" s="172" t="s">
        <v>2</v>
      </c>
      <c r="D1" s="172" t="s">
        <v>3</v>
      </c>
      <c r="E1" s="172" t="s">
        <v>4</v>
      </c>
      <c r="F1" s="172" t="s">
        <v>5</v>
      </c>
      <c r="G1" s="172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72" t="s">
        <v>98</v>
      </c>
      <c r="B2" s="172" t="s">
        <v>24</v>
      </c>
      <c r="C2" s="172" t="s">
        <v>122</v>
      </c>
      <c r="D2" s="173">
        <v>1</v>
      </c>
      <c r="E2" s="172">
        <v>2020</v>
      </c>
      <c r="F2" s="172" t="s">
        <v>18</v>
      </c>
      <c r="G2" s="173">
        <v>978.44832799999995</v>
      </c>
      <c r="H2" s="73"/>
      <c r="I2" s="160"/>
      <c r="J2" s="119"/>
      <c r="K2" s="15"/>
      <c r="L2" s="35"/>
      <c r="M2" s="120"/>
      <c r="N2" s="16"/>
      <c r="O2" s="30"/>
      <c r="Q2" s="121"/>
    </row>
    <row r="3" spans="1:17">
      <c r="A3" s="172" t="s">
        <v>98</v>
      </c>
      <c r="B3" s="172" t="s">
        <v>24</v>
      </c>
      <c r="C3" s="172" t="s">
        <v>122</v>
      </c>
      <c r="D3" s="173">
        <v>1</v>
      </c>
      <c r="E3" s="172">
        <v>2021</v>
      </c>
      <c r="F3" s="172" t="s">
        <v>18</v>
      </c>
      <c r="G3" s="173">
        <v>982.75606000000005</v>
      </c>
      <c r="H3" s="73"/>
      <c r="I3" s="160"/>
      <c r="J3" s="119"/>
      <c r="K3" s="32"/>
      <c r="L3" s="35"/>
      <c r="M3" s="120"/>
      <c r="N3" s="16"/>
      <c r="O3" s="30"/>
      <c r="Q3" s="121"/>
    </row>
    <row r="4" spans="1:17">
      <c r="A4" s="172" t="s">
        <v>98</v>
      </c>
      <c r="B4" s="172" t="s">
        <v>24</v>
      </c>
      <c r="C4" s="172" t="s">
        <v>122</v>
      </c>
      <c r="D4" s="173">
        <v>1</v>
      </c>
      <c r="E4" s="172">
        <v>2022</v>
      </c>
      <c r="F4" s="172" t="s">
        <v>18</v>
      </c>
      <c r="G4" s="173">
        <v>988.71687199999997</v>
      </c>
      <c r="H4" s="73"/>
      <c r="I4" s="160"/>
      <c r="J4" s="119"/>
      <c r="K4" s="32"/>
      <c r="L4" s="35"/>
      <c r="M4" s="120"/>
      <c r="N4" s="16"/>
      <c r="O4" s="30"/>
      <c r="Q4" s="121"/>
    </row>
    <row r="5" spans="1:17">
      <c r="A5" s="172" t="s">
        <v>98</v>
      </c>
      <c r="B5" s="172" t="s">
        <v>24</v>
      </c>
      <c r="C5" s="172" t="s">
        <v>122</v>
      </c>
      <c r="D5" s="173">
        <v>1</v>
      </c>
      <c r="E5" s="172">
        <v>2023</v>
      </c>
      <c r="F5" s="172" t="s">
        <v>18</v>
      </c>
      <c r="G5" s="173">
        <v>988.93489999999997</v>
      </c>
      <c r="H5" s="73"/>
      <c r="I5" s="160"/>
      <c r="J5" s="119"/>
      <c r="K5" s="32"/>
      <c r="L5" s="35"/>
      <c r="M5" s="120"/>
      <c r="N5" s="16"/>
      <c r="O5" s="30"/>
      <c r="Q5" s="121"/>
    </row>
    <row r="6" spans="1:17">
      <c r="A6" s="172" t="s">
        <v>98</v>
      </c>
      <c r="B6" s="172" t="s">
        <v>24</v>
      </c>
      <c r="C6" s="172" t="s">
        <v>122</v>
      </c>
      <c r="D6" s="173">
        <v>1</v>
      </c>
      <c r="E6" s="172">
        <v>2024</v>
      </c>
      <c r="F6" s="172" t="s">
        <v>18</v>
      </c>
      <c r="G6" s="173">
        <v>986.23383969999998</v>
      </c>
      <c r="H6" s="73"/>
      <c r="I6" s="160"/>
      <c r="J6" s="119"/>
      <c r="K6" s="32"/>
      <c r="L6" s="35"/>
      <c r="M6" s="120"/>
      <c r="N6" s="16"/>
      <c r="O6" s="30"/>
      <c r="Q6" s="121"/>
    </row>
    <row r="7" spans="1:17">
      <c r="A7" s="172" t="s">
        <v>98</v>
      </c>
      <c r="B7" s="172" t="s">
        <v>24</v>
      </c>
      <c r="C7" s="172" t="s">
        <v>122</v>
      </c>
      <c r="D7" s="173">
        <v>1</v>
      </c>
      <c r="E7" s="172">
        <v>2025</v>
      </c>
      <c r="F7" s="172" t="s">
        <v>18</v>
      </c>
      <c r="G7" s="173">
        <v>983.64800720000005</v>
      </c>
      <c r="H7" s="73"/>
      <c r="I7" s="160"/>
      <c r="J7" s="119"/>
      <c r="K7" s="32"/>
      <c r="L7" s="35"/>
      <c r="M7" s="120"/>
      <c r="N7" s="16"/>
      <c r="O7" s="30"/>
      <c r="Q7" s="121"/>
    </row>
    <row r="8" spans="1:17">
      <c r="A8" s="172" t="s">
        <v>98</v>
      </c>
      <c r="B8" s="172" t="s">
        <v>24</v>
      </c>
      <c r="C8" s="172" t="s">
        <v>122</v>
      </c>
      <c r="D8" s="173">
        <v>1</v>
      </c>
      <c r="E8" s="172">
        <v>2026</v>
      </c>
      <c r="F8" s="172" t="s">
        <v>18</v>
      </c>
      <c r="G8" s="173">
        <v>981.35104530000001</v>
      </c>
      <c r="H8" s="73"/>
      <c r="I8" s="160"/>
      <c r="J8" s="119"/>
      <c r="K8" s="32"/>
      <c r="L8" s="35"/>
      <c r="M8" s="120"/>
      <c r="N8" s="16"/>
      <c r="O8" s="30"/>
      <c r="Q8" s="121"/>
    </row>
    <row r="9" spans="1:17">
      <c r="A9" s="172" t="s">
        <v>98</v>
      </c>
      <c r="B9" s="172" t="s">
        <v>24</v>
      </c>
      <c r="C9" s="172" t="s">
        <v>122</v>
      </c>
      <c r="D9" s="173">
        <v>1</v>
      </c>
      <c r="E9" s="172">
        <v>2027</v>
      </c>
      <c r="F9" s="172" t="s">
        <v>18</v>
      </c>
      <c r="G9" s="173">
        <v>980.03577410000003</v>
      </c>
      <c r="H9" s="73"/>
      <c r="I9" s="160"/>
      <c r="J9" s="119"/>
      <c r="K9" s="32"/>
      <c r="L9" s="35"/>
      <c r="M9" s="120"/>
      <c r="N9" s="16"/>
      <c r="O9" s="30"/>
      <c r="Q9" s="121"/>
    </row>
    <row r="10" spans="1:17">
      <c r="A10" s="172" t="s">
        <v>98</v>
      </c>
      <c r="B10" s="172" t="s">
        <v>24</v>
      </c>
      <c r="C10" s="172" t="s">
        <v>122</v>
      </c>
      <c r="D10" s="173">
        <v>1</v>
      </c>
      <c r="E10" s="172">
        <v>2028</v>
      </c>
      <c r="F10" s="172" t="s">
        <v>18</v>
      </c>
      <c r="G10" s="173">
        <v>979.17846269999995</v>
      </c>
      <c r="H10" s="73"/>
      <c r="I10" s="160"/>
      <c r="J10" s="119"/>
      <c r="K10" s="32"/>
      <c r="L10" s="35"/>
      <c r="M10" s="120"/>
      <c r="N10" s="16"/>
      <c r="O10" s="30"/>
      <c r="Q10" s="121"/>
    </row>
    <row r="11" spans="1:17">
      <c r="A11" s="172" t="s">
        <v>98</v>
      </c>
      <c r="B11" s="172" t="s">
        <v>24</v>
      </c>
      <c r="C11" s="172" t="s">
        <v>122</v>
      </c>
      <c r="D11" s="173">
        <v>1</v>
      </c>
      <c r="E11" s="172">
        <v>2029</v>
      </c>
      <c r="F11" s="172" t="s">
        <v>18</v>
      </c>
      <c r="G11" s="173">
        <v>979.29262740000001</v>
      </c>
      <c r="H11" s="73"/>
      <c r="I11" s="160"/>
      <c r="J11" s="119"/>
      <c r="K11" s="32"/>
      <c r="L11" s="35"/>
      <c r="M11" s="120"/>
      <c r="N11" s="16"/>
      <c r="O11" s="30"/>
      <c r="Q11" s="121"/>
    </row>
    <row r="12" spans="1:17">
      <c r="A12" s="172" t="s">
        <v>98</v>
      </c>
      <c r="B12" s="172" t="s">
        <v>24</v>
      </c>
      <c r="C12" s="172" t="s">
        <v>122</v>
      </c>
      <c r="D12" s="173">
        <v>1</v>
      </c>
      <c r="E12" s="172">
        <v>2030</v>
      </c>
      <c r="F12" s="172" t="s">
        <v>18</v>
      </c>
      <c r="G12" s="173">
        <v>978.39803830000005</v>
      </c>
      <c r="H12" s="73"/>
      <c r="I12" s="160"/>
      <c r="J12" s="119"/>
      <c r="K12" s="32"/>
      <c r="L12" s="35"/>
      <c r="M12" s="120"/>
      <c r="N12" s="16"/>
      <c r="O12" s="30"/>
      <c r="Q12" s="121"/>
    </row>
    <row r="13" spans="1:17">
      <c r="A13" s="172" t="s">
        <v>98</v>
      </c>
      <c r="B13" s="172" t="s">
        <v>24</v>
      </c>
      <c r="C13" s="172" t="s">
        <v>122</v>
      </c>
      <c r="D13" s="173">
        <v>1</v>
      </c>
      <c r="E13" s="172">
        <v>2031</v>
      </c>
      <c r="F13" s="172" t="s">
        <v>18</v>
      </c>
      <c r="G13" s="173">
        <v>978.36417019999999</v>
      </c>
      <c r="H13" s="73"/>
      <c r="I13" s="160"/>
      <c r="J13" s="119"/>
      <c r="K13" s="32"/>
      <c r="L13" s="35"/>
      <c r="M13" s="120"/>
      <c r="N13" s="16"/>
      <c r="O13" s="30"/>
      <c r="Q13" s="121"/>
    </row>
    <row r="14" spans="1:17">
      <c r="A14" s="172" t="s">
        <v>98</v>
      </c>
      <c r="B14" s="172" t="s">
        <v>24</v>
      </c>
      <c r="C14" s="172" t="s">
        <v>122</v>
      </c>
      <c r="D14" s="173">
        <v>1</v>
      </c>
      <c r="E14" s="172">
        <v>2032</v>
      </c>
      <c r="F14" s="172" t="s">
        <v>18</v>
      </c>
      <c r="G14" s="173">
        <v>978.39624730000003</v>
      </c>
      <c r="H14" s="73"/>
      <c r="I14" s="160"/>
      <c r="J14" s="119"/>
      <c r="K14" s="32"/>
      <c r="L14" s="35"/>
      <c r="M14" s="120"/>
      <c r="N14" s="16"/>
      <c r="O14" s="30"/>
      <c r="Q14" s="121"/>
    </row>
    <row r="15" spans="1:17">
      <c r="A15" s="172" t="s">
        <v>98</v>
      </c>
      <c r="B15" s="172" t="s">
        <v>24</v>
      </c>
      <c r="C15" s="172" t="s">
        <v>122</v>
      </c>
      <c r="D15" s="173">
        <v>1</v>
      </c>
      <c r="E15" s="172">
        <v>2033</v>
      </c>
      <c r="F15" s="172" t="s">
        <v>18</v>
      </c>
      <c r="G15" s="173">
        <v>978.26869109999996</v>
      </c>
      <c r="H15" s="73"/>
      <c r="I15" s="160"/>
      <c r="J15" s="119"/>
      <c r="K15" s="32"/>
      <c r="L15" s="35"/>
      <c r="M15" s="120"/>
      <c r="N15" s="16"/>
      <c r="O15" s="30"/>
      <c r="Q15" s="121"/>
    </row>
    <row r="16" spans="1:17">
      <c r="A16" s="172" t="s">
        <v>98</v>
      </c>
      <c r="B16" s="172" t="s">
        <v>24</v>
      </c>
      <c r="C16" s="172" t="s">
        <v>122</v>
      </c>
      <c r="D16" s="173">
        <v>1</v>
      </c>
      <c r="E16" s="172">
        <v>2034</v>
      </c>
      <c r="F16" s="172" t="s">
        <v>18</v>
      </c>
      <c r="G16" s="173">
        <v>978.94262839999999</v>
      </c>
      <c r="H16" s="73"/>
      <c r="I16" s="160"/>
      <c r="J16" s="119"/>
      <c r="K16" s="32"/>
      <c r="L16" s="35"/>
      <c r="M16" s="120"/>
      <c r="N16" s="16"/>
      <c r="O16" s="30"/>
      <c r="Q16" s="121"/>
    </row>
    <row r="17" spans="1:17">
      <c r="A17" s="172" t="s">
        <v>98</v>
      </c>
      <c r="B17" s="172" t="s">
        <v>24</v>
      </c>
      <c r="C17" s="172" t="s">
        <v>122</v>
      </c>
      <c r="D17" s="173">
        <v>1</v>
      </c>
      <c r="E17" s="172">
        <v>2035</v>
      </c>
      <c r="F17" s="172" t="s">
        <v>18</v>
      </c>
      <c r="G17" s="173">
        <v>979.31914659999995</v>
      </c>
      <c r="H17" s="73"/>
      <c r="I17" s="160"/>
      <c r="J17" s="119"/>
      <c r="K17" s="32"/>
      <c r="L17" s="35"/>
      <c r="M17" s="120"/>
      <c r="N17" s="16"/>
      <c r="O17" s="30"/>
      <c r="Q17" s="121"/>
    </row>
    <row r="18" spans="1:17">
      <c r="A18" s="172" t="s">
        <v>98</v>
      </c>
      <c r="B18" s="172" t="s">
        <v>24</v>
      </c>
      <c r="C18" s="172" t="s">
        <v>122</v>
      </c>
      <c r="D18" s="173">
        <v>1</v>
      </c>
      <c r="E18" s="172">
        <v>2036</v>
      </c>
      <c r="F18" s="172" t="s">
        <v>18</v>
      </c>
      <c r="G18" s="173">
        <v>980.35040309999999</v>
      </c>
      <c r="H18" s="73"/>
      <c r="I18" s="160"/>
      <c r="J18" s="119"/>
      <c r="K18" s="32"/>
      <c r="L18" s="35"/>
      <c r="M18" s="120"/>
      <c r="N18" s="16"/>
      <c r="O18" s="30"/>
      <c r="Q18" s="121"/>
    </row>
    <row r="19" spans="1:17">
      <c r="A19" s="172" t="s">
        <v>98</v>
      </c>
      <c r="B19" s="172" t="s">
        <v>24</v>
      </c>
      <c r="C19" s="172" t="s">
        <v>122</v>
      </c>
      <c r="D19" s="173">
        <v>1</v>
      </c>
      <c r="E19" s="172">
        <v>2037</v>
      </c>
      <c r="F19" s="172" t="s">
        <v>18</v>
      </c>
      <c r="G19" s="173">
        <v>980.0781882</v>
      </c>
      <c r="H19" s="73"/>
      <c r="I19" s="160"/>
      <c r="J19" s="119"/>
      <c r="K19" s="32"/>
      <c r="L19" s="35"/>
      <c r="M19" s="120"/>
      <c r="N19" s="16"/>
      <c r="O19" s="30"/>
      <c r="Q19" s="121"/>
    </row>
    <row r="20" spans="1:17">
      <c r="A20" s="172" t="s">
        <v>98</v>
      </c>
      <c r="B20" s="172" t="s">
        <v>24</v>
      </c>
      <c r="C20" s="172" t="s">
        <v>122</v>
      </c>
      <c r="D20" s="173">
        <v>1</v>
      </c>
      <c r="E20" s="172">
        <v>2038</v>
      </c>
      <c r="F20" s="172" t="s">
        <v>18</v>
      </c>
      <c r="G20" s="173">
        <v>980.58980340000005</v>
      </c>
      <c r="H20" s="73"/>
      <c r="I20" s="160"/>
      <c r="J20" s="119"/>
      <c r="K20" s="32"/>
      <c r="L20" s="35"/>
      <c r="M20" s="120"/>
      <c r="N20" s="16"/>
      <c r="O20" s="30"/>
      <c r="Q20" s="121"/>
    </row>
    <row r="21" spans="1:17">
      <c r="A21" s="172" t="s">
        <v>98</v>
      </c>
      <c r="B21" s="172" t="s">
        <v>24</v>
      </c>
      <c r="C21" s="172" t="s">
        <v>122</v>
      </c>
      <c r="D21" s="173">
        <v>1</v>
      </c>
      <c r="E21" s="172">
        <v>2039</v>
      </c>
      <c r="F21" s="172" t="s">
        <v>18</v>
      </c>
      <c r="G21" s="173">
        <v>981.03517420000003</v>
      </c>
      <c r="H21" s="73"/>
      <c r="I21" s="160"/>
      <c r="J21" s="119"/>
      <c r="K21" s="32"/>
      <c r="L21" s="35"/>
      <c r="M21" s="120"/>
      <c r="N21" s="16"/>
      <c r="O21" s="30"/>
      <c r="Q21" s="121"/>
    </row>
    <row r="22" spans="1:17">
      <c r="A22" s="172" t="s">
        <v>98</v>
      </c>
      <c r="B22" s="172" t="s">
        <v>24</v>
      </c>
      <c r="C22" s="172" t="s">
        <v>122</v>
      </c>
      <c r="D22" s="173">
        <v>1</v>
      </c>
      <c r="E22" s="172">
        <v>2040</v>
      </c>
      <c r="F22" s="172" t="s">
        <v>18</v>
      </c>
      <c r="G22" s="173">
        <v>982.70653419999996</v>
      </c>
    </row>
    <row r="23" spans="1:17">
      <c r="A23" s="172" t="s">
        <v>98</v>
      </c>
      <c r="B23" s="172" t="s">
        <v>24</v>
      </c>
      <c r="C23" s="172" t="s">
        <v>122</v>
      </c>
      <c r="D23" s="173">
        <v>1</v>
      </c>
      <c r="E23" s="172">
        <v>2041</v>
      </c>
      <c r="F23" s="172" t="s">
        <v>18</v>
      </c>
      <c r="G23" s="173">
        <v>982.87818389999995</v>
      </c>
    </row>
    <row r="24" spans="1:17">
      <c r="A24" s="172" t="s">
        <v>98</v>
      </c>
      <c r="B24" s="172" t="s">
        <v>24</v>
      </c>
      <c r="C24" s="172" t="s">
        <v>122</v>
      </c>
      <c r="D24" s="173">
        <v>1</v>
      </c>
      <c r="E24" s="172">
        <v>2042</v>
      </c>
      <c r="F24" s="172" t="s">
        <v>18</v>
      </c>
      <c r="G24" s="173">
        <v>983.3314388</v>
      </c>
    </row>
    <row r="25" spans="1:17">
      <c r="A25" s="172" t="s">
        <v>98</v>
      </c>
      <c r="B25" s="172" t="s">
        <v>24</v>
      </c>
      <c r="C25" s="172" t="s">
        <v>122</v>
      </c>
      <c r="D25" s="173">
        <v>1</v>
      </c>
      <c r="E25" s="172">
        <v>2043</v>
      </c>
      <c r="F25" s="172" t="s">
        <v>18</v>
      </c>
      <c r="G25" s="173">
        <v>983.52926690000004</v>
      </c>
    </row>
    <row r="26" spans="1:17">
      <c r="A26" s="172" t="s">
        <v>98</v>
      </c>
      <c r="B26" s="172" t="s">
        <v>24</v>
      </c>
      <c r="C26" s="172" t="s">
        <v>122</v>
      </c>
      <c r="D26" s="173">
        <v>1</v>
      </c>
      <c r="E26" s="172">
        <v>2044</v>
      </c>
      <c r="F26" s="172" t="s">
        <v>18</v>
      </c>
      <c r="G26" s="173">
        <v>983.99019680000004</v>
      </c>
    </row>
    <row r="27" spans="1:17">
      <c r="A27" s="172" t="s">
        <v>98</v>
      </c>
      <c r="B27" s="172" t="s">
        <v>24</v>
      </c>
      <c r="C27" s="172" t="s">
        <v>122</v>
      </c>
      <c r="D27" s="173">
        <v>1</v>
      </c>
      <c r="E27" s="172">
        <v>2045</v>
      </c>
      <c r="F27" s="172" t="s">
        <v>18</v>
      </c>
      <c r="G27" s="173">
        <v>984.63794900000005</v>
      </c>
    </row>
    <row r="28" spans="1:17">
      <c r="A28" s="172" t="s">
        <v>98</v>
      </c>
      <c r="B28" s="172" t="s">
        <v>24</v>
      </c>
      <c r="C28" s="172" t="s">
        <v>122</v>
      </c>
      <c r="D28" s="173">
        <v>1</v>
      </c>
      <c r="E28" s="172">
        <v>2046</v>
      </c>
      <c r="F28" s="172" t="s">
        <v>18</v>
      </c>
      <c r="G28" s="173">
        <v>984.58</v>
      </c>
    </row>
    <row r="29" spans="1:17">
      <c r="A29" s="172" t="s">
        <v>98</v>
      </c>
      <c r="B29" s="172" t="s">
        <v>24</v>
      </c>
      <c r="C29" s="172" t="s">
        <v>122</v>
      </c>
      <c r="D29" s="173">
        <v>1</v>
      </c>
      <c r="E29" s="172">
        <v>2047</v>
      </c>
      <c r="F29" s="172" t="s">
        <v>18</v>
      </c>
      <c r="G29" s="173">
        <v>984.19</v>
      </c>
    </row>
    <row r="30" spans="1:17">
      <c r="A30" s="172" t="s">
        <v>98</v>
      </c>
      <c r="B30" s="172" t="s">
        <v>24</v>
      </c>
      <c r="C30" s="172" t="s">
        <v>122</v>
      </c>
      <c r="D30" s="173">
        <v>1</v>
      </c>
      <c r="E30" s="172">
        <v>2048</v>
      </c>
      <c r="F30" s="172" t="s">
        <v>18</v>
      </c>
      <c r="G30" s="173">
        <v>984.04</v>
      </c>
    </row>
    <row r="31" spans="1:17">
      <c r="A31" s="172" t="s">
        <v>98</v>
      </c>
      <c r="B31" s="172" t="s">
        <v>24</v>
      </c>
      <c r="C31" s="172" t="s">
        <v>122</v>
      </c>
      <c r="D31" s="173">
        <v>1</v>
      </c>
      <c r="E31" s="172">
        <v>2049</v>
      </c>
      <c r="F31" s="172" t="s">
        <v>18</v>
      </c>
      <c r="G31" s="173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84"/>
  <sheetViews>
    <sheetView zoomScale="90" zoomScaleNormal="90" workbookViewId="0">
      <pane xSplit="6" ySplit="1" topLeftCell="AP191" activePane="bottomRight" state="frozen"/>
      <selection pane="topRight" activeCell="G1" sqref="G1"/>
      <selection pane="bottomLeft" activeCell="A2" sqref="A2"/>
      <selection pane="bottomRight" activeCell="AQ208" sqref="AQ208"/>
    </sheetView>
  </sheetViews>
  <sheetFormatPr defaultColWidth="9"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9" bestFit="1" customWidth="1"/>
    <col min="8" max="8" width="12.125" style="179" bestFit="1" customWidth="1"/>
    <col min="9" max="9" width="10.625" style="179" bestFit="1" customWidth="1"/>
    <col min="10" max="10" width="9.25" style="179" bestFit="1" customWidth="1"/>
    <col min="11" max="11" width="10.625" style="179" bestFit="1" customWidth="1"/>
    <col min="12" max="12" width="10.625" style="179" customWidth="1"/>
    <col min="13" max="13" width="16.375" style="179" bestFit="1" customWidth="1"/>
    <col min="14" max="14" width="13" style="179" bestFit="1" customWidth="1"/>
    <col min="15" max="16" width="19.375" style="179" bestFit="1" customWidth="1"/>
    <col min="17" max="21" width="13" style="179" bestFit="1" customWidth="1"/>
    <col min="22" max="31" width="12.75" style="179" bestFit="1" customWidth="1"/>
    <col min="32" max="33" width="13.75" style="179" bestFit="1" customWidth="1"/>
    <col min="34" max="36" width="21" style="179" bestFit="1" customWidth="1"/>
    <col min="37" max="38" width="24.25" style="179" bestFit="1" customWidth="1"/>
    <col min="39" max="41" width="19.25" style="179" bestFit="1" customWidth="1"/>
    <col min="42" max="44" width="23.875" style="179" bestFit="1" customWidth="1"/>
    <col min="45" max="45" width="26" style="179" bestFit="1" customWidth="1"/>
    <col min="46" max="46" width="9" style="126"/>
    <col min="47" max="47" width="13" style="126" bestFit="1" customWidth="1"/>
    <col min="48" max="51" width="9" style="188"/>
    <col min="52" max="53" width="10.875" style="280" bestFit="1" customWidth="1"/>
    <col min="54" max="54" width="9.75" style="280" bestFit="1" customWidth="1"/>
    <col min="55" max="16384" width="9" style="126"/>
  </cols>
  <sheetData>
    <row r="1" spans="1:54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174" t="s">
        <v>128</v>
      </c>
      <c r="H1" s="174" t="s">
        <v>108</v>
      </c>
      <c r="I1" s="174" t="s">
        <v>119</v>
      </c>
      <c r="J1" s="174" t="s">
        <v>120</v>
      </c>
      <c r="K1" s="174" t="s">
        <v>121</v>
      </c>
      <c r="L1" s="174" t="s">
        <v>129</v>
      </c>
      <c r="M1" s="174" t="s">
        <v>130</v>
      </c>
      <c r="N1" s="174" t="s">
        <v>131</v>
      </c>
      <c r="O1" s="174" t="s">
        <v>132</v>
      </c>
      <c r="P1" s="174" t="s">
        <v>133</v>
      </c>
      <c r="Q1" s="174" t="s">
        <v>134</v>
      </c>
      <c r="R1" s="174" t="s">
        <v>135</v>
      </c>
      <c r="S1" s="174" t="s">
        <v>136</v>
      </c>
      <c r="T1" s="174" t="s">
        <v>137</v>
      </c>
      <c r="U1" s="174" t="s">
        <v>138</v>
      </c>
      <c r="V1" s="174" t="s">
        <v>139</v>
      </c>
      <c r="W1" s="174" t="s">
        <v>140</v>
      </c>
      <c r="X1" s="174" t="s">
        <v>141</v>
      </c>
      <c r="Y1" s="174" t="s">
        <v>142</v>
      </c>
      <c r="Z1" s="174" t="s">
        <v>143</v>
      </c>
      <c r="AA1" s="174" t="s">
        <v>144</v>
      </c>
      <c r="AB1" s="174" t="s">
        <v>145</v>
      </c>
      <c r="AC1" s="174" t="s">
        <v>146</v>
      </c>
      <c r="AD1" s="174" t="s">
        <v>147</v>
      </c>
      <c r="AE1" s="174" t="s">
        <v>148</v>
      </c>
      <c r="AF1" s="174" t="s">
        <v>149</v>
      </c>
      <c r="AG1" s="174" t="s">
        <v>150</v>
      </c>
      <c r="AH1" s="174" t="s">
        <v>151</v>
      </c>
      <c r="AI1" s="174" t="s">
        <v>152</v>
      </c>
      <c r="AJ1" s="174" t="s">
        <v>153</v>
      </c>
      <c r="AK1" s="174" t="s">
        <v>154</v>
      </c>
      <c r="AL1" s="174" t="s">
        <v>155</v>
      </c>
      <c r="AM1" s="174" t="s">
        <v>156</v>
      </c>
      <c r="AN1" s="174" t="s">
        <v>157</v>
      </c>
      <c r="AO1" s="174" t="s">
        <v>158</v>
      </c>
      <c r="AP1" s="174" t="s">
        <v>159</v>
      </c>
      <c r="AQ1" s="174" t="s">
        <v>160</v>
      </c>
      <c r="AR1" s="174" t="s">
        <v>161</v>
      </c>
      <c r="AS1" s="126"/>
      <c r="AT1" s="164" t="s">
        <v>102</v>
      </c>
      <c r="AV1" s="188" t="s">
        <v>229</v>
      </c>
      <c r="AW1" s="188" t="s">
        <v>228</v>
      </c>
      <c r="AX1" s="188" t="s">
        <v>235</v>
      </c>
      <c r="AY1" s="188" t="s">
        <v>230</v>
      </c>
      <c r="AZ1" s="280" t="s">
        <v>232</v>
      </c>
      <c r="BA1" s="280" t="s">
        <v>233</v>
      </c>
      <c r="BB1" s="280" t="s">
        <v>234</v>
      </c>
    </row>
    <row r="2" spans="1:54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175">
        <v>0</v>
      </c>
      <c r="H2" s="175">
        <v>0</v>
      </c>
      <c r="I2" s="175">
        <v>0</v>
      </c>
      <c r="J2" s="175">
        <v>0</v>
      </c>
      <c r="K2" s="175">
        <v>0</v>
      </c>
      <c r="L2" s="175">
        <v>0</v>
      </c>
      <c r="M2" s="175">
        <v>0</v>
      </c>
      <c r="N2" s="175">
        <v>0</v>
      </c>
      <c r="O2" s="175">
        <v>0</v>
      </c>
      <c r="P2" s="175">
        <v>0</v>
      </c>
      <c r="Q2" s="175">
        <v>0</v>
      </c>
      <c r="R2" s="175">
        <v>0</v>
      </c>
      <c r="S2" s="175">
        <v>0</v>
      </c>
      <c r="T2" s="175">
        <v>0</v>
      </c>
      <c r="U2" s="175">
        <v>0</v>
      </c>
      <c r="V2" s="175">
        <v>0</v>
      </c>
      <c r="W2" s="175">
        <v>0</v>
      </c>
      <c r="X2" s="175">
        <v>0</v>
      </c>
      <c r="Y2" s="175">
        <v>0</v>
      </c>
      <c r="Z2" s="175">
        <v>0</v>
      </c>
      <c r="AA2" s="175">
        <v>0</v>
      </c>
      <c r="AB2" s="175">
        <v>0</v>
      </c>
      <c r="AC2" s="175">
        <v>0</v>
      </c>
      <c r="AD2" s="175">
        <v>0</v>
      </c>
      <c r="AE2" s="175">
        <v>0</v>
      </c>
      <c r="AF2" s="175">
        <v>0</v>
      </c>
      <c r="AG2" s="175">
        <v>0</v>
      </c>
      <c r="AH2" s="175">
        <v>0</v>
      </c>
      <c r="AI2" s="175">
        <v>0</v>
      </c>
      <c r="AJ2" s="175">
        <v>0</v>
      </c>
      <c r="AK2" s="175">
        <v>0</v>
      </c>
      <c r="AL2" s="175">
        <v>0</v>
      </c>
      <c r="AM2" s="175">
        <v>0</v>
      </c>
      <c r="AN2" s="175">
        <v>0</v>
      </c>
      <c r="AO2" s="175">
        <v>0</v>
      </c>
      <c r="AP2" s="175">
        <v>0</v>
      </c>
      <c r="AQ2" s="175">
        <v>0</v>
      </c>
      <c r="AR2" s="175">
        <v>0</v>
      </c>
      <c r="AS2" s="126"/>
      <c r="AT2" s="126">
        <f t="shared" ref="AT2:AT65" si="0">SUM(G2:AR2)</f>
        <v>0</v>
      </c>
      <c r="AV2" s="188">
        <f>SUM(AG2:AN2)</f>
        <v>0</v>
      </c>
      <c r="AW2" s="188">
        <f>SUM(AO2:AR2)</f>
        <v>0</v>
      </c>
      <c r="AX2" s="188">
        <f>SUM(W2:AD2)</f>
        <v>0</v>
      </c>
      <c r="AY2" s="188">
        <f>AV2+AW2</f>
        <v>0</v>
      </c>
      <c r="AZ2" s="280">
        <f>SUM(AE2:AF2)</f>
        <v>0</v>
      </c>
      <c r="BA2" s="280">
        <f>SUM(U2:V2)</f>
        <v>0</v>
      </c>
      <c r="BB2" s="280">
        <f>Q2</f>
        <v>0</v>
      </c>
    </row>
    <row r="3" spans="1:54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175">
        <v>0</v>
      </c>
      <c r="H3" s="175">
        <v>0</v>
      </c>
      <c r="I3" s="175">
        <v>0</v>
      </c>
      <c r="J3" s="175">
        <v>0</v>
      </c>
      <c r="K3" s="175">
        <v>0</v>
      </c>
      <c r="L3" s="175">
        <v>0</v>
      </c>
      <c r="M3" s="175">
        <v>0</v>
      </c>
      <c r="N3" s="175">
        <v>0</v>
      </c>
      <c r="O3" s="175">
        <v>0</v>
      </c>
      <c r="P3" s="175">
        <v>0</v>
      </c>
      <c r="Q3" s="175">
        <v>0</v>
      </c>
      <c r="R3" s="175">
        <v>0</v>
      </c>
      <c r="S3" s="175">
        <v>0</v>
      </c>
      <c r="T3" s="175">
        <v>0</v>
      </c>
      <c r="U3" s="175">
        <v>0</v>
      </c>
      <c r="V3" s="175">
        <v>0</v>
      </c>
      <c r="W3" s="175">
        <v>0</v>
      </c>
      <c r="X3" s="175">
        <v>0</v>
      </c>
      <c r="Y3" s="175">
        <v>0</v>
      </c>
      <c r="Z3" s="175">
        <v>0</v>
      </c>
      <c r="AA3" s="175">
        <v>0</v>
      </c>
      <c r="AB3" s="175">
        <v>0</v>
      </c>
      <c r="AC3" s="175">
        <v>0</v>
      </c>
      <c r="AD3" s="175">
        <v>0</v>
      </c>
      <c r="AE3" s="175">
        <v>0</v>
      </c>
      <c r="AF3" s="175">
        <v>0</v>
      </c>
      <c r="AG3" s="175">
        <v>0</v>
      </c>
      <c r="AH3" s="175">
        <v>0</v>
      </c>
      <c r="AI3" s="175">
        <v>0</v>
      </c>
      <c r="AJ3" s="175">
        <v>0</v>
      </c>
      <c r="AK3" s="175">
        <v>0</v>
      </c>
      <c r="AL3" s="175">
        <v>0</v>
      </c>
      <c r="AM3" s="175">
        <v>0</v>
      </c>
      <c r="AN3" s="175">
        <v>0</v>
      </c>
      <c r="AO3" s="175">
        <v>0</v>
      </c>
      <c r="AP3" s="175">
        <v>0</v>
      </c>
      <c r="AQ3" s="175">
        <v>0</v>
      </c>
      <c r="AR3" s="175">
        <v>0</v>
      </c>
      <c r="AS3" s="126"/>
      <c r="AT3" s="179">
        <f t="shared" si="0"/>
        <v>0</v>
      </c>
      <c r="AV3" s="188">
        <f t="shared" ref="AV3:AV31" si="1">SUM(AG3:AN3)</f>
        <v>0</v>
      </c>
      <c r="AW3" s="188">
        <f t="shared" ref="AW3:AW31" si="2">SUM(AO3:AR3)</f>
        <v>0</v>
      </c>
      <c r="AX3" s="188">
        <f t="shared" ref="AX3:AX31" si="3">SUM(W3:AD3)</f>
        <v>0</v>
      </c>
      <c r="AY3" s="188">
        <f t="shared" ref="AY3:AY4" si="4">AV3+AW3</f>
        <v>0</v>
      </c>
      <c r="AZ3" s="280">
        <f t="shared" ref="AZ3:AZ31" si="5">SUM(AE3:AF3)</f>
        <v>0</v>
      </c>
      <c r="BA3" s="280">
        <f t="shared" ref="BA3:BA31" si="6">SUM(U3:V3)</f>
        <v>0</v>
      </c>
      <c r="BB3" s="280">
        <f t="shared" ref="BB3:BB31" si="7">Q3</f>
        <v>0</v>
      </c>
    </row>
    <row r="4" spans="1:54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175">
        <v>0</v>
      </c>
      <c r="H4" s="175">
        <v>0</v>
      </c>
      <c r="I4" s="175">
        <v>0</v>
      </c>
      <c r="J4" s="175">
        <v>0</v>
      </c>
      <c r="K4" s="175">
        <v>0</v>
      </c>
      <c r="L4" s="175">
        <v>0</v>
      </c>
      <c r="M4" s="175">
        <v>0</v>
      </c>
      <c r="N4" s="175">
        <v>0</v>
      </c>
      <c r="O4" s="175">
        <v>0</v>
      </c>
      <c r="P4" s="175">
        <v>0</v>
      </c>
      <c r="Q4" s="175">
        <v>0</v>
      </c>
      <c r="R4" s="175">
        <v>0</v>
      </c>
      <c r="S4" s="175">
        <v>0</v>
      </c>
      <c r="T4" s="175">
        <v>0</v>
      </c>
      <c r="U4" s="175">
        <v>0</v>
      </c>
      <c r="V4" s="175">
        <v>0</v>
      </c>
      <c r="W4" s="175">
        <v>0</v>
      </c>
      <c r="X4" s="175">
        <v>0</v>
      </c>
      <c r="Y4" s="175">
        <v>0</v>
      </c>
      <c r="Z4" s="175">
        <v>0</v>
      </c>
      <c r="AA4" s="175">
        <v>0</v>
      </c>
      <c r="AB4" s="175">
        <v>0</v>
      </c>
      <c r="AC4" s="175">
        <v>0</v>
      </c>
      <c r="AD4" s="175">
        <v>0</v>
      </c>
      <c r="AE4" s="175">
        <v>0</v>
      </c>
      <c r="AF4" s="175">
        <v>0</v>
      </c>
      <c r="AG4" s="175">
        <v>0</v>
      </c>
      <c r="AH4" s="175">
        <v>5.0000000029000002</v>
      </c>
      <c r="AI4" s="175">
        <v>0</v>
      </c>
      <c r="AJ4" s="175">
        <v>0</v>
      </c>
      <c r="AK4" s="175">
        <v>0</v>
      </c>
      <c r="AL4" s="175">
        <v>0</v>
      </c>
      <c r="AM4" s="175">
        <v>0</v>
      </c>
      <c r="AN4" s="175">
        <v>0</v>
      </c>
      <c r="AO4" s="175">
        <v>8.0000000023200002</v>
      </c>
      <c r="AP4" s="175">
        <v>0</v>
      </c>
      <c r="AQ4" s="175">
        <v>1.00000000029</v>
      </c>
      <c r="AR4" s="175">
        <v>2.00000000058</v>
      </c>
      <c r="AS4" s="126"/>
      <c r="AT4" s="179">
        <f t="shared" si="0"/>
        <v>16.000000006089998</v>
      </c>
      <c r="AV4" s="188">
        <f t="shared" si="1"/>
        <v>5.0000000029000002</v>
      </c>
      <c r="AW4" s="188">
        <f t="shared" si="2"/>
        <v>11.000000003190001</v>
      </c>
      <c r="AX4" s="188">
        <f t="shared" si="3"/>
        <v>0</v>
      </c>
      <c r="AY4" s="188">
        <f t="shared" si="4"/>
        <v>16.000000006090001</v>
      </c>
      <c r="AZ4" s="280">
        <f t="shared" si="5"/>
        <v>0</v>
      </c>
      <c r="BA4" s="280">
        <f t="shared" si="6"/>
        <v>0</v>
      </c>
      <c r="BB4" s="280">
        <f t="shared" si="7"/>
        <v>0</v>
      </c>
    </row>
    <row r="5" spans="1:54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175">
        <v>0</v>
      </c>
      <c r="H5" s="175">
        <v>0</v>
      </c>
      <c r="I5" s="175">
        <v>0</v>
      </c>
      <c r="J5" s="175">
        <v>0</v>
      </c>
      <c r="K5" s="175">
        <v>0</v>
      </c>
      <c r="L5" s="175">
        <v>0</v>
      </c>
      <c r="M5" s="175">
        <v>0</v>
      </c>
      <c r="N5" s="175">
        <v>0</v>
      </c>
      <c r="O5" s="175">
        <v>0</v>
      </c>
      <c r="P5" s="175">
        <v>0</v>
      </c>
      <c r="Q5" s="175">
        <v>0</v>
      </c>
      <c r="R5" s="175">
        <v>3.6606091097000002</v>
      </c>
      <c r="S5" s="175">
        <v>0</v>
      </c>
      <c r="T5" s="175">
        <v>0</v>
      </c>
      <c r="U5" s="175">
        <v>210.95917870740001</v>
      </c>
      <c r="V5" s="175">
        <v>0</v>
      </c>
      <c r="W5" s="175">
        <v>0</v>
      </c>
      <c r="X5" s="175">
        <v>0</v>
      </c>
      <c r="Y5" s="175">
        <v>0</v>
      </c>
      <c r="Z5" s="175">
        <v>0</v>
      </c>
      <c r="AA5" s="175">
        <v>0</v>
      </c>
      <c r="AB5" s="175">
        <v>0</v>
      </c>
      <c r="AC5" s="175">
        <v>0</v>
      </c>
      <c r="AD5" s="175">
        <v>0</v>
      </c>
      <c r="AE5" s="175">
        <v>0</v>
      </c>
      <c r="AF5" s="175">
        <v>0</v>
      </c>
      <c r="AG5" s="175">
        <v>0</v>
      </c>
      <c r="AH5" s="175">
        <v>9.2900000046999995</v>
      </c>
      <c r="AI5" s="175">
        <v>0</v>
      </c>
      <c r="AJ5" s="175">
        <v>0</v>
      </c>
      <c r="AK5" s="175">
        <v>0</v>
      </c>
      <c r="AL5" s="175">
        <v>0</v>
      </c>
      <c r="AM5" s="175">
        <v>0</v>
      </c>
      <c r="AN5" s="175">
        <v>0</v>
      </c>
      <c r="AO5" s="175">
        <v>14.86400001744</v>
      </c>
      <c r="AP5" s="175">
        <v>0</v>
      </c>
      <c r="AQ5" s="175">
        <v>1.7820000018</v>
      </c>
      <c r="AR5" s="175">
        <v>3.5640000035999999</v>
      </c>
      <c r="AS5" s="126"/>
      <c r="AT5" s="179">
        <f t="shared" si="0"/>
        <v>244.11978784464</v>
      </c>
      <c r="AV5" s="188">
        <f t="shared" si="1"/>
        <v>9.2900000046999995</v>
      </c>
      <c r="AW5" s="188">
        <f t="shared" si="2"/>
        <v>20.210000022839999</v>
      </c>
      <c r="AX5" s="188">
        <f t="shared" si="3"/>
        <v>0</v>
      </c>
      <c r="AY5" s="188">
        <f>AV5+AW5+AX5</f>
        <v>29.500000027539997</v>
      </c>
      <c r="AZ5" s="280">
        <f t="shared" si="5"/>
        <v>0</v>
      </c>
      <c r="BA5" s="280">
        <f t="shared" si="6"/>
        <v>210.95917870740001</v>
      </c>
      <c r="BB5" s="280">
        <f t="shared" si="7"/>
        <v>0</v>
      </c>
    </row>
    <row r="6" spans="1:54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175">
        <v>0</v>
      </c>
      <c r="H6" s="175">
        <v>0</v>
      </c>
      <c r="I6" s="175">
        <v>0</v>
      </c>
      <c r="J6" s="175">
        <v>0</v>
      </c>
      <c r="K6" s="175">
        <v>0</v>
      </c>
      <c r="L6" s="175">
        <v>0</v>
      </c>
      <c r="M6" s="175">
        <v>0</v>
      </c>
      <c r="N6" s="175">
        <v>0</v>
      </c>
      <c r="O6" s="175">
        <v>0</v>
      </c>
      <c r="P6" s="175">
        <v>0</v>
      </c>
      <c r="Q6" s="175">
        <v>0</v>
      </c>
      <c r="R6" s="175">
        <v>5.4932927143499999</v>
      </c>
      <c r="S6" s="175">
        <v>0</v>
      </c>
      <c r="T6" s="175">
        <v>0</v>
      </c>
      <c r="U6" s="175">
        <v>430.27365701920002</v>
      </c>
      <c r="V6" s="175">
        <v>107.5684142548</v>
      </c>
      <c r="W6" s="175">
        <v>16.464540077350001</v>
      </c>
      <c r="X6" s="175">
        <v>0</v>
      </c>
      <c r="Y6" s="175">
        <v>0</v>
      </c>
      <c r="Z6" s="175">
        <v>0</v>
      </c>
      <c r="AA6" s="175">
        <v>0</v>
      </c>
      <c r="AB6" s="175">
        <v>0</v>
      </c>
      <c r="AC6" s="175">
        <v>0</v>
      </c>
      <c r="AD6" s="175">
        <v>0</v>
      </c>
      <c r="AE6" s="175">
        <v>0</v>
      </c>
      <c r="AF6" s="175">
        <v>0</v>
      </c>
      <c r="AG6" s="175">
        <v>0</v>
      </c>
      <c r="AH6" s="175">
        <v>13.600000012640001</v>
      </c>
      <c r="AI6" s="175">
        <v>0</v>
      </c>
      <c r="AJ6" s="175">
        <v>0</v>
      </c>
      <c r="AK6" s="175">
        <v>0</v>
      </c>
      <c r="AL6" s="175">
        <v>0</v>
      </c>
      <c r="AM6" s="175">
        <v>0</v>
      </c>
      <c r="AN6" s="175">
        <v>0</v>
      </c>
      <c r="AO6" s="175">
        <v>21.250000047499999</v>
      </c>
      <c r="AP6" s="175">
        <v>0</v>
      </c>
      <c r="AQ6" s="175">
        <v>2.2950000012</v>
      </c>
      <c r="AR6" s="175">
        <v>4.5900000024000001</v>
      </c>
      <c r="AS6" s="126"/>
      <c r="AT6" s="179">
        <f t="shared" si="0"/>
        <v>601.53490412943984</v>
      </c>
      <c r="AV6" s="188">
        <f t="shared" si="1"/>
        <v>13.600000012640001</v>
      </c>
      <c r="AW6" s="188">
        <f t="shared" si="2"/>
        <v>28.135000051099997</v>
      </c>
      <c r="AX6" s="188">
        <f t="shared" si="3"/>
        <v>16.464540077350001</v>
      </c>
      <c r="AY6" s="188">
        <f t="shared" ref="AY6:AY31" si="8">AV6+AW6+AX6</f>
        <v>58.199540141089997</v>
      </c>
      <c r="AZ6" s="280">
        <f t="shared" si="5"/>
        <v>0</v>
      </c>
      <c r="BA6" s="280">
        <f t="shared" si="6"/>
        <v>537.84207127399998</v>
      </c>
      <c r="BB6" s="280">
        <f t="shared" si="7"/>
        <v>0</v>
      </c>
    </row>
    <row r="7" spans="1:54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175">
        <v>0</v>
      </c>
      <c r="M7" s="175">
        <v>0</v>
      </c>
      <c r="N7" s="175">
        <v>0</v>
      </c>
      <c r="O7" s="175">
        <v>0</v>
      </c>
      <c r="P7" s="175">
        <v>0</v>
      </c>
      <c r="Q7" s="175">
        <v>0</v>
      </c>
      <c r="R7" s="175">
        <v>5.4909136602000004</v>
      </c>
      <c r="S7" s="175">
        <v>0</v>
      </c>
      <c r="T7" s="175">
        <v>0</v>
      </c>
      <c r="U7" s="175">
        <v>421.91835741104001</v>
      </c>
      <c r="V7" s="175">
        <v>105.47958935276</v>
      </c>
      <c r="W7" s="175">
        <v>16.464540076719999</v>
      </c>
      <c r="X7" s="175">
        <v>0</v>
      </c>
      <c r="Y7" s="175">
        <v>0</v>
      </c>
      <c r="Z7" s="175">
        <v>0</v>
      </c>
      <c r="AA7" s="175">
        <v>0</v>
      </c>
      <c r="AB7" s="175">
        <v>0</v>
      </c>
      <c r="AC7" s="175">
        <v>0</v>
      </c>
      <c r="AD7" s="175">
        <v>0</v>
      </c>
      <c r="AE7" s="175">
        <v>0</v>
      </c>
      <c r="AF7" s="175">
        <v>0</v>
      </c>
      <c r="AG7" s="175">
        <v>0</v>
      </c>
      <c r="AH7" s="175">
        <v>12.2400000184</v>
      </c>
      <c r="AI7" s="175">
        <v>0</v>
      </c>
      <c r="AJ7" s="175">
        <v>0</v>
      </c>
      <c r="AK7" s="175">
        <v>0</v>
      </c>
      <c r="AL7" s="175">
        <v>0</v>
      </c>
      <c r="AM7" s="175">
        <v>0</v>
      </c>
      <c r="AN7" s="175">
        <v>0.99999999973999998</v>
      </c>
      <c r="AO7" s="175">
        <v>19.12500001475</v>
      </c>
      <c r="AP7" s="175">
        <v>1.0000000012400001</v>
      </c>
      <c r="AQ7" s="175">
        <v>1.88700000198</v>
      </c>
      <c r="AR7" s="175">
        <v>3.7740000039599999</v>
      </c>
      <c r="AS7" s="126"/>
      <c r="AT7" s="179">
        <f t="shared" si="0"/>
        <v>588.37940054079013</v>
      </c>
      <c r="AV7" s="188">
        <f t="shared" si="1"/>
        <v>13.24000001814</v>
      </c>
      <c r="AW7" s="188">
        <f t="shared" si="2"/>
        <v>25.786000021930001</v>
      </c>
      <c r="AX7" s="188">
        <f t="shared" si="3"/>
        <v>16.464540076719999</v>
      </c>
      <c r="AY7" s="188">
        <f t="shared" si="8"/>
        <v>55.490540116790001</v>
      </c>
      <c r="AZ7" s="280">
        <f t="shared" si="5"/>
        <v>0</v>
      </c>
      <c r="BA7" s="280">
        <f t="shared" si="6"/>
        <v>527.39794676380006</v>
      </c>
      <c r="BB7" s="280">
        <f t="shared" si="7"/>
        <v>0</v>
      </c>
    </row>
    <row r="8" spans="1:54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175">
        <v>0</v>
      </c>
      <c r="H8" s="175">
        <v>0</v>
      </c>
      <c r="I8" s="175">
        <v>0</v>
      </c>
      <c r="J8" s="175">
        <v>0</v>
      </c>
      <c r="K8" s="175">
        <v>0</v>
      </c>
      <c r="L8" s="175">
        <v>0</v>
      </c>
      <c r="M8" s="175">
        <v>0</v>
      </c>
      <c r="N8" s="175">
        <v>0</v>
      </c>
      <c r="O8" s="175">
        <v>0</v>
      </c>
      <c r="P8" s="175">
        <v>0</v>
      </c>
      <c r="Q8" s="175">
        <v>0</v>
      </c>
      <c r="R8" s="175">
        <v>5.4909136635299998</v>
      </c>
      <c r="S8" s="175">
        <v>0</v>
      </c>
      <c r="T8" s="175">
        <v>0</v>
      </c>
      <c r="U8" s="175">
        <v>421.91835741059998</v>
      </c>
      <c r="V8" s="175">
        <v>105.47958935265</v>
      </c>
      <c r="W8" s="175">
        <v>16.464540077500001</v>
      </c>
      <c r="X8" s="175">
        <v>0</v>
      </c>
      <c r="Y8" s="175">
        <v>0</v>
      </c>
      <c r="Z8" s="175">
        <v>0</v>
      </c>
      <c r="AA8" s="175">
        <v>0</v>
      </c>
      <c r="AB8" s="175">
        <v>0</v>
      </c>
      <c r="AC8" s="175">
        <v>0</v>
      </c>
      <c r="AD8" s="175">
        <v>0</v>
      </c>
      <c r="AE8" s="175">
        <v>0</v>
      </c>
      <c r="AF8" s="175">
        <v>0</v>
      </c>
      <c r="AG8" s="175">
        <v>0</v>
      </c>
      <c r="AH8" s="175">
        <v>10.7999999968</v>
      </c>
      <c r="AI8" s="175">
        <v>0</v>
      </c>
      <c r="AJ8" s="175">
        <v>0</v>
      </c>
      <c r="AK8" s="175">
        <v>0</v>
      </c>
      <c r="AL8" s="175">
        <v>0</v>
      </c>
      <c r="AM8" s="175">
        <v>0</v>
      </c>
      <c r="AN8" s="175">
        <v>1.85800000098</v>
      </c>
      <c r="AO8" s="175">
        <v>16.8750000225</v>
      </c>
      <c r="AP8" s="175">
        <v>1.8580000008599999</v>
      </c>
      <c r="AQ8" s="175">
        <v>1.4670000035099999</v>
      </c>
      <c r="AR8" s="175">
        <v>2.9340000070199999</v>
      </c>
      <c r="AS8" s="126"/>
      <c r="AT8" s="179">
        <f t="shared" si="0"/>
        <v>585.14540053594999</v>
      </c>
      <c r="AV8" s="188">
        <f t="shared" si="1"/>
        <v>12.657999997780001</v>
      </c>
      <c r="AW8" s="188">
        <f t="shared" si="2"/>
        <v>23.13400003389</v>
      </c>
      <c r="AX8" s="188">
        <f t="shared" si="3"/>
        <v>16.464540077500001</v>
      </c>
      <c r="AY8" s="188">
        <f t="shared" si="8"/>
        <v>52.256540109170004</v>
      </c>
      <c r="AZ8" s="280">
        <f t="shared" si="5"/>
        <v>0</v>
      </c>
      <c r="BA8" s="280">
        <f t="shared" si="6"/>
        <v>527.39794676324993</v>
      </c>
      <c r="BB8" s="280">
        <f t="shared" si="7"/>
        <v>0</v>
      </c>
    </row>
    <row r="9" spans="1:54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175">
        <v>0</v>
      </c>
      <c r="N9" s="175">
        <v>0</v>
      </c>
      <c r="O9" s="175">
        <v>0</v>
      </c>
      <c r="P9" s="175">
        <v>0</v>
      </c>
      <c r="Q9" s="175">
        <v>0</v>
      </c>
      <c r="R9" s="175">
        <v>7.3212182157200001</v>
      </c>
      <c r="S9" s="175">
        <v>0</v>
      </c>
      <c r="T9" s="175">
        <v>0</v>
      </c>
      <c r="U9" s="175">
        <v>421.91835741215999</v>
      </c>
      <c r="V9" s="175">
        <v>105.47958935304</v>
      </c>
      <c r="W9" s="175">
        <v>16.464540077999999</v>
      </c>
      <c r="X9" s="175">
        <v>0</v>
      </c>
      <c r="Y9" s="175">
        <v>0</v>
      </c>
      <c r="Z9" s="175">
        <v>0</v>
      </c>
      <c r="AA9" s="175">
        <v>0</v>
      </c>
      <c r="AB9" s="175">
        <v>0</v>
      </c>
      <c r="AC9" s="175">
        <v>0</v>
      </c>
      <c r="AD9" s="175">
        <v>0</v>
      </c>
      <c r="AE9" s="175">
        <v>0</v>
      </c>
      <c r="AF9" s="175">
        <v>0</v>
      </c>
      <c r="AG9" s="175">
        <v>0</v>
      </c>
      <c r="AH9" s="175">
        <v>9.3120000145600006</v>
      </c>
      <c r="AI9" s="175">
        <v>0</v>
      </c>
      <c r="AJ9" s="175">
        <v>0</v>
      </c>
      <c r="AK9" s="175">
        <v>0</v>
      </c>
      <c r="AL9" s="175">
        <v>0</v>
      </c>
      <c r="AM9" s="175">
        <v>0</v>
      </c>
      <c r="AN9" s="175">
        <v>2.5500000047400002</v>
      </c>
      <c r="AO9" s="175">
        <v>14.549999989250001</v>
      </c>
      <c r="AP9" s="175">
        <v>2.5500000002999998</v>
      </c>
      <c r="AQ9" s="175">
        <v>1.06199999979</v>
      </c>
      <c r="AR9" s="175">
        <v>2.1239999995800001</v>
      </c>
      <c r="AS9" s="126"/>
      <c r="AT9" s="179">
        <f t="shared" si="0"/>
        <v>583.33170506713998</v>
      </c>
      <c r="AV9" s="188">
        <f t="shared" si="1"/>
        <v>11.862000019300002</v>
      </c>
      <c r="AW9" s="188">
        <f t="shared" si="2"/>
        <v>20.28599998892</v>
      </c>
      <c r="AX9" s="188">
        <f t="shared" si="3"/>
        <v>16.464540077999999</v>
      </c>
      <c r="AY9" s="188">
        <f t="shared" si="8"/>
        <v>48.612540086220001</v>
      </c>
      <c r="AZ9" s="280">
        <f t="shared" si="5"/>
        <v>0</v>
      </c>
      <c r="BA9" s="280">
        <f t="shared" si="6"/>
        <v>527.3979467652</v>
      </c>
      <c r="BB9" s="280">
        <f t="shared" si="7"/>
        <v>0</v>
      </c>
    </row>
    <row r="10" spans="1:54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175">
        <v>0</v>
      </c>
      <c r="H10" s="175">
        <v>0</v>
      </c>
      <c r="I10" s="175">
        <v>0</v>
      </c>
      <c r="J10" s="175">
        <v>0</v>
      </c>
      <c r="K10" s="175">
        <v>0</v>
      </c>
      <c r="L10" s="175">
        <v>0</v>
      </c>
      <c r="M10" s="175">
        <v>0</v>
      </c>
      <c r="N10" s="175">
        <v>0</v>
      </c>
      <c r="O10" s="175">
        <v>0</v>
      </c>
      <c r="P10" s="175">
        <v>0</v>
      </c>
      <c r="Q10" s="175">
        <v>0</v>
      </c>
      <c r="R10" s="175">
        <v>7.3243902854399998</v>
      </c>
      <c r="S10" s="175">
        <v>0</v>
      </c>
      <c r="T10" s="175">
        <v>0</v>
      </c>
      <c r="U10" s="175">
        <v>430.27365702496002</v>
      </c>
      <c r="V10" s="175">
        <v>107.56841425624</v>
      </c>
      <c r="W10" s="175">
        <v>16.46454007861</v>
      </c>
      <c r="X10" s="175">
        <v>0</v>
      </c>
      <c r="Y10" s="175">
        <v>0</v>
      </c>
      <c r="Z10" s="175">
        <v>0</v>
      </c>
      <c r="AA10" s="175">
        <v>0</v>
      </c>
      <c r="AB10" s="175">
        <v>0</v>
      </c>
      <c r="AC10" s="175">
        <v>0</v>
      </c>
      <c r="AD10" s="175">
        <v>0</v>
      </c>
      <c r="AE10" s="175">
        <v>325.27164493430001</v>
      </c>
      <c r="AF10" s="175">
        <v>0</v>
      </c>
      <c r="AG10" s="175">
        <v>0</v>
      </c>
      <c r="AH10" s="175">
        <v>7.8240000140800001</v>
      </c>
      <c r="AI10" s="175">
        <v>0</v>
      </c>
      <c r="AJ10" s="175">
        <v>0</v>
      </c>
      <c r="AK10" s="175">
        <v>0</v>
      </c>
      <c r="AL10" s="175">
        <v>0</v>
      </c>
      <c r="AM10" s="175">
        <v>0</v>
      </c>
      <c r="AN10" s="175">
        <v>3.0600000037999999</v>
      </c>
      <c r="AO10" s="175">
        <v>12.225000049749999</v>
      </c>
      <c r="AP10" s="175">
        <v>3.0599999970799998</v>
      </c>
      <c r="AQ10" s="175">
        <v>0.69299999850000005</v>
      </c>
      <c r="AR10" s="175">
        <v>1.3859999970000001</v>
      </c>
      <c r="AS10" s="126"/>
      <c r="AT10" s="179">
        <f t="shared" si="0"/>
        <v>915.15064663976</v>
      </c>
      <c r="AV10" s="188">
        <f t="shared" si="1"/>
        <v>10.88400001788</v>
      </c>
      <c r="AW10" s="188">
        <f t="shared" si="2"/>
        <v>17.364000042329998</v>
      </c>
      <c r="AX10" s="188">
        <f t="shared" si="3"/>
        <v>16.46454007861</v>
      </c>
      <c r="AY10" s="188">
        <f t="shared" si="8"/>
        <v>44.712540138819996</v>
      </c>
      <c r="AZ10" s="280">
        <f t="shared" si="5"/>
        <v>325.27164493430001</v>
      </c>
      <c r="BA10" s="280">
        <f t="shared" si="6"/>
        <v>537.84207128119999</v>
      </c>
      <c r="BB10" s="280">
        <f t="shared" si="7"/>
        <v>0</v>
      </c>
    </row>
    <row r="11" spans="1:54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175">
        <v>0</v>
      </c>
      <c r="H11" s="175">
        <v>0</v>
      </c>
      <c r="I11" s="175">
        <v>0</v>
      </c>
      <c r="J11" s="175">
        <v>0</v>
      </c>
      <c r="K11" s="175">
        <v>0</v>
      </c>
      <c r="L11" s="175">
        <v>0</v>
      </c>
      <c r="M11" s="175">
        <v>0</v>
      </c>
      <c r="N11" s="175">
        <v>0</v>
      </c>
      <c r="O11" s="175">
        <v>0</v>
      </c>
      <c r="P11" s="175">
        <v>0</v>
      </c>
      <c r="Q11" s="175">
        <v>0</v>
      </c>
      <c r="R11" s="175">
        <v>9.1515227736</v>
      </c>
      <c r="S11" s="175">
        <v>0</v>
      </c>
      <c r="T11" s="175">
        <v>0</v>
      </c>
      <c r="U11" s="175">
        <v>421.91835740852002</v>
      </c>
      <c r="V11" s="175">
        <v>105.47958935213001</v>
      </c>
      <c r="W11" s="175">
        <v>16.464540077550001</v>
      </c>
      <c r="X11" s="175">
        <v>0</v>
      </c>
      <c r="Y11" s="175">
        <v>0</v>
      </c>
      <c r="Z11" s="175">
        <v>0</v>
      </c>
      <c r="AA11" s="175">
        <v>0</v>
      </c>
      <c r="AB11" s="175">
        <v>0</v>
      </c>
      <c r="AC11" s="175">
        <v>0</v>
      </c>
      <c r="AD11" s="175">
        <v>0</v>
      </c>
      <c r="AE11" s="175">
        <v>324.12000062019001</v>
      </c>
      <c r="AF11" s="175">
        <v>0</v>
      </c>
      <c r="AG11" s="175">
        <v>0</v>
      </c>
      <c r="AH11" s="175">
        <v>6.3679999891200003</v>
      </c>
      <c r="AI11" s="175">
        <v>0</v>
      </c>
      <c r="AJ11" s="175">
        <v>0</v>
      </c>
      <c r="AK11" s="175">
        <v>0</v>
      </c>
      <c r="AL11" s="175">
        <v>0</v>
      </c>
      <c r="AM11" s="175">
        <v>0</v>
      </c>
      <c r="AN11" s="175">
        <v>3.04652066455</v>
      </c>
      <c r="AO11" s="175">
        <v>9.9500000132500102</v>
      </c>
      <c r="AP11" s="175">
        <v>2.9240604179999998</v>
      </c>
      <c r="AQ11" s="175">
        <v>0.38700000314999999</v>
      </c>
      <c r="AR11" s="175">
        <v>0.77400000629999999</v>
      </c>
      <c r="AS11" s="126"/>
      <c r="AT11" s="179">
        <f t="shared" si="0"/>
        <v>900.58359132635997</v>
      </c>
      <c r="AV11" s="188">
        <f t="shared" si="1"/>
        <v>9.4145206536699995</v>
      </c>
      <c r="AW11" s="188">
        <f t="shared" si="2"/>
        <v>14.035060440700009</v>
      </c>
      <c r="AX11" s="188">
        <f t="shared" si="3"/>
        <v>16.464540077550001</v>
      </c>
      <c r="AY11" s="188">
        <f t="shared" si="8"/>
        <v>39.914121171920016</v>
      </c>
      <c r="AZ11" s="280">
        <f t="shared" si="5"/>
        <v>324.12000062019001</v>
      </c>
      <c r="BA11" s="280">
        <f t="shared" si="6"/>
        <v>527.39794676065003</v>
      </c>
      <c r="BB11" s="280">
        <f t="shared" si="7"/>
        <v>0</v>
      </c>
    </row>
    <row r="12" spans="1:54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10.981827326639999</v>
      </c>
      <c r="S12" s="175">
        <v>0</v>
      </c>
      <c r="T12" s="175">
        <v>0</v>
      </c>
      <c r="U12" s="175">
        <v>421.91835740884</v>
      </c>
      <c r="V12" s="175">
        <v>105.47958935221</v>
      </c>
      <c r="W12" s="175">
        <v>16.464540077110001</v>
      </c>
      <c r="X12" s="175">
        <v>0</v>
      </c>
      <c r="Y12" s="175">
        <v>0</v>
      </c>
      <c r="Z12" s="175">
        <v>0</v>
      </c>
      <c r="AA12" s="175">
        <v>0</v>
      </c>
      <c r="AB12" s="175">
        <v>0</v>
      </c>
      <c r="AC12" s="175">
        <v>0</v>
      </c>
      <c r="AD12" s="175">
        <v>0</v>
      </c>
      <c r="AE12" s="175">
        <v>648.24000124325903</v>
      </c>
      <c r="AF12" s="175">
        <v>0</v>
      </c>
      <c r="AG12" s="175">
        <v>0</v>
      </c>
      <c r="AH12" s="175">
        <v>4.9760000008000098</v>
      </c>
      <c r="AI12" s="175">
        <v>0</v>
      </c>
      <c r="AJ12" s="175">
        <v>0.99999999961999997</v>
      </c>
      <c r="AK12" s="175">
        <v>0</v>
      </c>
      <c r="AL12" s="175">
        <v>2.0000000016000001</v>
      </c>
      <c r="AM12" s="175">
        <v>0</v>
      </c>
      <c r="AN12" s="175">
        <v>2.9100000109000002</v>
      </c>
      <c r="AO12" s="175">
        <v>7.7749999987500003</v>
      </c>
      <c r="AP12" s="175">
        <v>2.9099999960499998</v>
      </c>
      <c r="AQ12" s="175">
        <v>0.16500000189</v>
      </c>
      <c r="AR12" s="175">
        <v>0.33000000378</v>
      </c>
      <c r="AS12" s="126"/>
      <c r="AT12" s="179">
        <f t="shared" si="0"/>
        <v>1225.1503154214488</v>
      </c>
      <c r="AV12" s="188">
        <f t="shared" si="1"/>
        <v>10.886000012920011</v>
      </c>
      <c r="AW12" s="188">
        <f t="shared" si="2"/>
        <v>11.180000000470001</v>
      </c>
      <c r="AX12" s="188">
        <f t="shared" si="3"/>
        <v>16.464540077110001</v>
      </c>
      <c r="AY12" s="188">
        <f t="shared" si="8"/>
        <v>38.530540090500011</v>
      </c>
      <c r="AZ12" s="280">
        <f t="shared" si="5"/>
        <v>648.24000124325903</v>
      </c>
      <c r="BA12" s="280">
        <f t="shared" si="6"/>
        <v>527.39794676104998</v>
      </c>
      <c r="BB12" s="280">
        <f t="shared" si="7"/>
        <v>0</v>
      </c>
    </row>
    <row r="13" spans="1:54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175">
        <v>0</v>
      </c>
      <c r="H13" s="175">
        <v>0</v>
      </c>
      <c r="I13" s="175">
        <v>0</v>
      </c>
      <c r="J13" s="175">
        <v>0</v>
      </c>
      <c r="K13" s="175">
        <v>72.143466002889994</v>
      </c>
      <c r="L13" s="175">
        <v>0</v>
      </c>
      <c r="M13" s="175">
        <v>0</v>
      </c>
      <c r="N13" s="175">
        <v>0</v>
      </c>
      <c r="O13" s="175">
        <v>0</v>
      </c>
      <c r="P13" s="175">
        <v>0</v>
      </c>
      <c r="Q13" s="175">
        <v>0</v>
      </c>
      <c r="R13" s="175">
        <v>12.81213187933</v>
      </c>
      <c r="S13" s="175">
        <v>0</v>
      </c>
      <c r="T13" s="175">
        <v>0</v>
      </c>
      <c r="U13" s="175">
        <v>632.87753611727999</v>
      </c>
      <c r="V13" s="175">
        <v>316.43876805863999</v>
      </c>
      <c r="W13" s="175">
        <v>16.464540077710001</v>
      </c>
      <c r="X13" s="175">
        <v>12.66357763996</v>
      </c>
      <c r="Y13" s="175">
        <v>0</v>
      </c>
      <c r="Z13" s="175">
        <v>0</v>
      </c>
      <c r="AA13" s="175">
        <v>0</v>
      </c>
      <c r="AB13" s="175">
        <v>0</v>
      </c>
      <c r="AC13" s="175">
        <v>0</v>
      </c>
      <c r="AD13" s="175">
        <v>0</v>
      </c>
      <c r="AE13" s="175">
        <v>648.24000124481995</v>
      </c>
      <c r="AF13" s="175">
        <v>0</v>
      </c>
      <c r="AG13" s="175">
        <v>0</v>
      </c>
      <c r="AH13" s="175">
        <v>3.6960000132799999</v>
      </c>
      <c r="AI13" s="175">
        <v>0</v>
      </c>
      <c r="AJ13" s="175">
        <v>0.89100000058999995</v>
      </c>
      <c r="AK13" s="175">
        <v>0</v>
      </c>
      <c r="AL13" s="175">
        <v>3.7160000050400002</v>
      </c>
      <c r="AM13" s="175">
        <v>0</v>
      </c>
      <c r="AN13" s="175">
        <v>2.4450000004499999</v>
      </c>
      <c r="AO13" s="175">
        <v>5.7750000080000099</v>
      </c>
      <c r="AP13" s="175">
        <v>2.4450000052999998</v>
      </c>
      <c r="AQ13" s="175">
        <v>3.9000001979999997E-2</v>
      </c>
      <c r="AR13" s="175">
        <v>7.8000003959999994E-2</v>
      </c>
      <c r="AS13" s="126"/>
      <c r="AT13" s="179">
        <f t="shared" si="0"/>
        <v>1730.7250210592297</v>
      </c>
      <c r="AV13" s="188">
        <f t="shared" si="1"/>
        <v>10.748000019359999</v>
      </c>
      <c r="AW13" s="188">
        <f t="shared" si="2"/>
        <v>8.3370000192400084</v>
      </c>
      <c r="AX13" s="188">
        <f t="shared" si="3"/>
        <v>29.128117717670001</v>
      </c>
      <c r="AY13" s="188">
        <f t="shared" si="8"/>
        <v>48.213117756270009</v>
      </c>
      <c r="AZ13" s="280">
        <f t="shared" si="5"/>
        <v>648.24000124481995</v>
      </c>
      <c r="BA13" s="280">
        <f t="shared" si="6"/>
        <v>949.31630417591998</v>
      </c>
      <c r="BB13" s="280">
        <f t="shared" si="7"/>
        <v>0</v>
      </c>
    </row>
    <row r="14" spans="1:54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175">
        <v>0</v>
      </c>
      <c r="H14" s="175">
        <v>0</v>
      </c>
      <c r="I14" s="175">
        <v>0</v>
      </c>
      <c r="J14" s="175">
        <v>0</v>
      </c>
      <c r="K14" s="175">
        <v>75.826168084800003</v>
      </c>
      <c r="L14" s="175">
        <v>0</v>
      </c>
      <c r="M14" s="175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12.81768299812</v>
      </c>
      <c r="S14" s="175">
        <v>0</v>
      </c>
      <c r="T14" s="175">
        <v>0</v>
      </c>
      <c r="U14" s="175">
        <v>645.41048552352004</v>
      </c>
      <c r="V14" s="175">
        <v>322.70524276176002</v>
      </c>
      <c r="W14" s="175">
        <v>16.464540077470001</v>
      </c>
      <c r="X14" s="175">
        <v>12.663577639590001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650.54328986901999</v>
      </c>
      <c r="AF14" s="175">
        <v>0</v>
      </c>
      <c r="AG14" s="175">
        <v>0</v>
      </c>
      <c r="AH14" s="175">
        <v>1.7600000008800001</v>
      </c>
      <c r="AI14" s="175">
        <v>0</v>
      </c>
      <c r="AJ14" s="175">
        <v>0.76500000069999996</v>
      </c>
      <c r="AK14" s="175">
        <v>0</v>
      </c>
      <c r="AL14" s="175">
        <v>5.10000000462</v>
      </c>
      <c r="AM14" s="175">
        <v>0</v>
      </c>
      <c r="AN14" s="175">
        <v>1.9900000045999999</v>
      </c>
      <c r="AO14" s="175">
        <v>4.0000000360000003</v>
      </c>
      <c r="AP14" s="175">
        <v>1.99000000285</v>
      </c>
      <c r="AQ14" s="175">
        <v>0</v>
      </c>
      <c r="AR14" s="175">
        <v>0</v>
      </c>
      <c r="AS14" s="126"/>
      <c r="AT14" s="179">
        <f t="shared" si="0"/>
        <v>1752.0359870039297</v>
      </c>
      <c r="AV14" s="188">
        <f t="shared" si="1"/>
        <v>9.6150000108000011</v>
      </c>
      <c r="AW14" s="188">
        <f t="shared" si="2"/>
        <v>5.9900000388500008</v>
      </c>
      <c r="AX14" s="188">
        <f t="shared" si="3"/>
        <v>29.12811771706</v>
      </c>
      <c r="AY14" s="188">
        <f t="shared" si="8"/>
        <v>44.733117766710002</v>
      </c>
      <c r="AZ14" s="280">
        <f t="shared" si="5"/>
        <v>650.54328986901999</v>
      </c>
      <c r="BA14" s="280">
        <f t="shared" si="6"/>
        <v>968.11572828528006</v>
      </c>
      <c r="BB14" s="280">
        <f t="shared" si="7"/>
        <v>0</v>
      </c>
    </row>
    <row r="15" spans="1:54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175">
        <v>0</v>
      </c>
      <c r="H15" s="175">
        <v>0</v>
      </c>
      <c r="I15" s="175">
        <v>0</v>
      </c>
      <c r="J15" s="175">
        <v>0</v>
      </c>
      <c r="K15" s="175">
        <v>73.665207606340005</v>
      </c>
      <c r="L15" s="175">
        <v>0</v>
      </c>
      <c r="M15" s="175">
        <v>0</v>
      </c>
      <c r="N15" s="175">
        <v>0</v>
      </c>
      <c r="O15" s="175">
        <v>0</v>
      </c>
      <c r="P15" s="175">
        <v>0</v>
      </c>
      <c r="Q15" s="175">
        <v>0</v>
      </c>
      <c r="R15" s="175">
        <v>14.64243643368</v>
      </c>
      <c r="S15" s="175">
        <v>0</v>
      </c>
      <c r="T15" s="175">
        <v>0</v>
      </c>
      <c r="U15" s="175">
        <v>632.87753611356004</v>
      </c>
      <c r="V15" s="175">
        <v>316.43876805678002</v>
      </c>
      <c r="W15" s="175">
        <v>16.464540078020001</v>
      </c>
      <c r="X15" s="175">
        <v>12.663577640470001</v>
      </c>
      <c r="Y15" s="175">
        <v>0</v>
      </c>
      <c r="Z15" s="175">
        <v>0</v>
      </c>
      <c r="AA15" s="175">
        <v>0</v>
      </c>
      <c r="AB15" s="175">
        <v>0</v>
      </c>
      <c r="AC15" s="175">
        <v>0</v>
      </c>
      <c r="AD15" s="175">
        <v>0</v>
      </c>
      <c r="AE15" s="175">
        <v>648.24000124004101</v>
      </c>
      <c r="AF15" s="175">
        <v>0</v>
      </c>
      <c r="AG15" s="175">
        <v>0</v>
      </c>
      <c r="AH15" s="175">
        <v>0.60600000293999901</v>
      </c>
      <c r="AI15" s="175">
        <v>0</v>
      </c>
      <c r="AJ15" s="175">
        <v>0.62900000028000003</v>
      </c>
      <c r="AK15" s="175">
        <v>0</v>
      </c>
      <c r="AL15" s="175">
        <v>4.59000000114</v>
      </c>
      <c r="AM15" s="175">
        <v>0</v>
      </c>
      <c r="AN15" s="175">
        <v>1.5550000021999999</v>
      </c>
      <c r="AO15" s="175">
        <v>2.5250000102499999</v>
      </c>
      <c r="AP15" s="175">
        <v>1.5550000045000001</v>
      </c>
      <c r="AQ15" s="175">
        <v>0</v>
      </c>
      <c r="AR15" s="175">
        <v>0</v>
      </c>
      <c r="AS15" s="126"/>
      <c r="AT15" s="179">
        <f t="shared" si="0"/>
        <v>1726.4520671902012</v>
      </c>
      <c r="AV15" s="188">
        <f t="shared" si="1"/>
        <v>7.3800000065599987</v>
      </c>
      <c r="AW15" s="188">
        <f t="shared" si="2"/>
        <v>4.0800000147500004</v>
      </c>
      <c r="AX15" s="188">
        <f t="shared" si="3"/>
        <v>29.128117718490003</v>
      </c>
      <c r="AY15" s="188">
        <f t="shared" si="8"/>
        <v>40.588117739799998</v>
      </c>
      <c r="AZ15" s="280">
        <f t="shared" si="5"/>
        <v>648.24000124004101</v>
      </c>
      <c r="BA15" s="280">
        <f t="shared" si="6"/>
        <v>949.31630417034012</v>
      </c>
      <c r="BB15" s="280">
        <f t="shared" si="7"/>
        <v>0</v>
      </c>
    </row>
    <row r="16" spans="1:54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175">
        <v>0</v>
      </c>
      <c r="H16" s="175">
        <v>0</v>
      </c>
      <c r="I16" s="175">
        <v>0</v>
      </c>
      <c r="J16" s="175">
        <v>0</v>
      </c>
      <c r="K16" s="175">
        <v>67.796620596669996</v>
      </c>
      <c r="L16" s="175">
        <v>0</v>
      </c>
      <c r="M16" s="175">
        <v>0</v>
      </c>
      <c r="N16" s="175">
        <v>0</v>
      </c>
      <c r="O16" s="175">
        <v>0</v>
      </c>
      <c r="P16" s="175">
        <v>0</v>
      </c>
      <c r="Q16" s="175">
        <v>0</v>
      </c>
      <c r="R16" s="175">
        <v>16.47274098402</v>
      </c>
      <c r="S16" s="175">
        <v>0</v>
      </c>
      <c r="T16" s="175">
        <v>0</v>
      </c>
      <c r="U16" s="175">
        <v>632.87753611536004</v>
      </c>
      <c r="V16" s="175">
        <v>316.43876805768002</v>
      </c>
      <c r="W16" s="175">
        <v>16.464540077500001</v>
      </c>
      <c r="X16" s="175">
        <v>12.663577638410001</v>
      </c>
      <c r="Y16" s="175">
        <v>0</v>
      </c>
      <c r="Z16" s="175">
        <v>0</v>
      </c>
      <c r="AA16" s="175">
        <v>0</v>
      </c>
      <c r="AB16" s="175">
        <v>0</v>
      </c>
      <c r="AC16" s="175">
        <v>0</v>
      </c>
      <c r="AD16" s="175">
        <v>0</v>
      </c>
      <c r="AE16" s="175">
        <v>648.24000124149995</v>
      </c>
      <c r="AF16" s="175">
        <v>0</v>
      </c>
      <c r="AG16" s="175">
        <v>0</v>
      </c>
      <c r="AH16" s="175">
        <v>0</v>
      </c>
      <c r="AI16" s="175">
        <v>0</v>
      </c>
      <c r="AJ16" s="175">
        <v>0.48900000014</v>
      </c>
      <c r="AK16" s="175">
        <v>0</v>
      </c>
      <c r="AL16" s="175">
        <v>4.7250000008399997</v>
      </c>
      <c r="AM16" s="175">
        <v>0</v>
      </c>
      <c r="AN16" s="175">
        <v>1.1550000040999999</v>
      </c>
      <c r="AO16" s="175">
        <v>1.3750000040000001</v>
      </c>
      <c r="AP16" s="175">
        <v>1.1550000052</v>
      </c>
      <c r="AQ16" s="175">
        <v>0</v>
      </c>
      <c r="AR16" s="175">
        <v>0</v>
      </c>
      <c r="AS16" s="126"/>
      <c r="AT16" s="179">
        <f t="shared" si="0"/>
        <v>1719.8527847254202</v>
      </c>
      <c r="AV16" s="188">
        <f t="shared" si="1"/>
        <v>6.3690000050799993</v>
      </c>
      <c r="AW16" s="188">
        <f t="shared" si="2"/>
        <v>2.5300000092000001</v>
      </c>
      <c r="AX16" s="188">
        <f t="shared" si="3"/>
        <v>29.128117715910001</v>
      </c>
      <c r="AY16" s="188">
        <f t="shared" si="8"/>
        <v>38.02711773019</v>
      </c>
      <c r="AZ16" s="280">
        <f t="shared" si="5"/>
        <v>648.24000124149995</v>
      </c>
      <c r="BA16" s="280">
        <f t="shared" si="6"/>
        <v>949.31630417304007</v>
      </c>
      <c r="BB16" s="280">
        <f t="shared" si="7"/>
        <v>0</v>
      </c>
    </row>
    <row r="17" spans="1:54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175">
        <v>0</v>
      </c>
      <c r="H17" s="175">
        <v>0</v>
      </c>
      <c r="I17" s="175">
        <v>0</v>
      </c>
      <c r="J17" s="175">
        <v>0</v>
      </c>
      <c r="K17" s="175">
        <v>72.245519616110002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75">
        <v>16.472740995270001</v>
      </c>
      <c r="S17" s="175">
        <v>0</v>
      </c>
      <c r="T17" s="175">
        <v>0</v>
      </c>
      <c r="U17" s="175">
        <v>632.87753611248002</v>
      </c>
      <c r="V17" s="175">
        <v>316.43876805624001</v>
      </c>
      <c r="W17" s="175">
        <v>16.46454007753</v>
      </c>
      <c r="X17" s="175">
        <v>12.663577640050001</v>
      </c>
      <c r="Y17" s="175">
        <v>0</v>
      </c>
      <c r="Z17" s="175">
        <v>0</v>
      </c>
      <c r="AA17" s="175">
        <v>0</v>
      </c>
      <c r="AB17" s="175">
        <v>0</v>
      </c>
      <c r="AC17" s="175">
        <v>0</v>
      </c>
      <c r="AD17" s="175">
        <v>0</v>
      </c>
      <c r="AE17" s="175">
        <v>648.24000124118004</v>
      </c>
      <c r="AF17" s="175">
        <v>0</v>
      </c>
      <c r="AG17" s="175">
        <v>0</v>
      </c>
      <c r="AH17" s="175">
        <v>0</v>
      </c>
      <c r="AI17" s="175">
        <v>0</v>
      </c>
      <c r="AJ17" s="175">
        <v>0.35399999958</v>
      </c>
      <c r="AK17" s="175">
        <v>0</v>
      </c>
      <c r="AL17" s="175">
        <v>5.8200000134999996</v>
      </c>
      <c r="AM17" s="175">
        <v>0</v>
      </c>
      <c r="AN17" s="175">
        <v>0.64000000243999999</v>
      </c>
      <c r="AO17" s="175">
        <v>0.57500001774999998</v>
      </c>
      <c r="AP17" s="175">
        <v>0.80000000785000003</v>
      </c>
      <c r="AQ17" s="175">
        <v>0</v>
      </c>
      <c r="AR17" s="175">
        <v>0</v>
      </c>
      <c r="AS17" s="126"/>
      <c r="AT17" s="179">
        <f t="shared" si="0"/>
        <v>1723.5916837799803</v>
      </c>
      <c r="AV17" s="188">
        <f t="shared" si="1"/>
        <v>6.8140000155199996</v>
      </c>
      <c r="AW17" s="188">
        <f t="shared" si="2"/>
        <v>1.3750000255999999</v>
      </c>
      <c r="AX17" s="188">
        <f t="shared" si="3"/>
        <v>29.12811771758</v>
      </c>
      <c r="AY17" s="188">
        <f t="shared" si="8"/>
        <v>37.3171177587</v>
      </c>
      <c r="AZ17" s="280">
        <f t="shared" si="5"/>
        <v>648.24000124118004</v>
      </c>
      <c r="BA17" s="280">
        <f t="shared" si="6"/>
        <v>949.31630416872008</v>
      </c>
      <c r="BB17" s="280">
        <f t="shared" si="7"/>
        <v>0</v>
      </c>
    </row>
    <row r="18" spans="1:54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175">
        <v>0</v>
      </c>
      <c r="H18" s="175">
        <v>0</v>
      </c>
      <c r="I18" s="175">
        <v>0</v>
      </c>
      <c r="J18" s="175">
        <v>0</v>
      </c>
      <c r="K18" s="175">
        <v>60.358774639990003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75">
        <v>18.3109757207</v>
      </c>
      <c r="S18" s="175">
        <v>0</v>
      </c>
      <c r="T18" s="175">
        <v>0</v>
      </c>
      <c r="U18" s="175">
        <v>645.41048552765994</v>
      </c>
      <c r="V18" s="175">
        <v>322.70524276382997</v>
      </c>
      <c r="W18" s="175">
        <v>16.464540077030001</v>
      </c>
      <c r="X18" s="175">
        <v>12.663577638810001</v>
      </c>
      <c r="Y18" s="175">
        <v>0</v>
      </c>
      <c r="Z18" s="175">
        <v>0</v>
      </c>
      <c r="AA18" s="175">
        <v>0</v>
      </c>
      <c r="AB18" s="175">
        <v>0</v>
      </c>
      <c r="AC18" s="175">
        <v>0</v>
      </c>
      <c r="AD18" s="175">
        <v>0</v>
      </c>
      <c r="AE18" s="175">
        <v>650.54328987044005</v>
      </c>
      <c r="AF18" s="175">
        <v>0</v>
      </c>
      <c r="AG18" s="175">
        <v>0</v>
      </c>
      <c r="AH18" s="175">
        <v>0</v>
      </c>
      <c r="AI18" s="175">
        <v>0</v>
      </c>
      <c r="AJ18" s="175">
        <v>0.92399999972000002</v>
      </c>
      <c r="AK18" s="175">
        <v>0</v>
      </c>
      <c r="AL18" s="175">
        <v>6.8460000081200096</v>
      </c>
      <c r="AM18" s="175">
        <v>0</v>
      </c>
      <c r="AN18" s="175">
        <v>0.30300000329999999</v>
      </c>
      <c r="AO18" s="175">
        <v>0.12499999924999999</v>
      </c>
      <c r="AP18" s="175">
        <v>0.50499999880000002</v>
      </c>
      <c r="AQ18" s="175">
        <v>0</v>
      </c>
      <c r="AR18" s="175">
        <v>0</v>
      </c>
      <c r="AS18" s="126"/>
      <c r="AT18" s="179">
        <f t="shared" si="0"/>
        <v>1735.1598862476501</v>
      </c>
      <c r="AV18" s="188">
        <f t="shared" si="1"/>
        <v>8.0730000111400102</v>
      </c>
      <c r="AW18" s="188">
        <f t="shared" si="2"/>
        <v>0.62999999804999995</v>
      </c>
      <c r="AX18" s="188">
        <f t="shared" si="3"/>
        <v>29.128117715840002</v>
      </c>
      <c r="AY18" s="188">
        <f t="shared" si="8"/>
        <v>37.831117725030012</v>
      </c>
      <c r="AZ18" s="280">
        <f t="shared" si="5"/>
        <v>650.54328987044005</v>
      </c>
      <c r="BA18" s="280">
        <f t="shared" si="6"/>
        <v>968.11572829148986</v>
      </c>
      <c r="BB18" s="280">
        <f t="shared" si="7"/>
        <v>0</v>
      </c>
    </row>
    <row r="19" spans="1:54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175">
        <v>0</v>
      </c>
      <c r="H19" s="175">
        <v>0</v>
      </c>
      <c r="I19" s="175">
        <v>0</v>
      </c>
      <c r="J19" s="175">
        <v>0</v>
      </c>
      <c r="K19" s="175">
        <v>59.618492103980003</v>
      </c>
      <c r="L19" s="175">
        <v>0</v>
      </c>
      <c r="M19" s="175">
        <v>0</v>
      </c>
      <c r="N19" s="175">
        <v>0</v>
      </c>
      <c r="O19" s="175">
        <v>0</v>
      </c>
      <c r="P19" s="175">
        <v>0</v>
      </c>
      <c r="Q19" s="175">
        <v>0</v>
      </c>
      <c r="R19" s="175">
        <v>18.303045548</v>
      </c>
      <c r="S19" s="175">
        <v>0</v>
      </c>
      <c r="T19" s="175">
        <v>0</v>
      </c>
      <c r="U19" s="175">
        <v>632.87753611361995</v>
      </c>
      <c r="V19" s="175">
        <v>316.43876805680998</v>
      </c>
      <c r="W19" s="175">
        <v>16.46454007745</v>
      </c>
      <c r="X19" s="175">
        <v>12.6635776389</v>
      </c>
      <c r="Y19" s="175">
        <v>0</v>
      </c>
      <c r="Z19" s="175">
        <v>0</v>
      </c>
      <c r="AA19" s="175">
        <v>0</v>
      </c>
      <c r="AB19" s="175">
        <v>0</v>
      </c>
      <c r="AC19" s="175">
        <v>0</v>
      </c>
      <c r="AD19" s="175">
        <v>0</v>
      </c>
      <c r="AE19" s="175">
        <v>648.24000124609995</v>
      </c>
      <c r="AF19" s="175">
        <v>0</v>
      </c>
      <c r="AG19" s="175">
        <v>0</v>
      </c>
      <c r="AH19" s="175">
        <v>0</v>
      </c>
      <c r="AI19" s="175">
        <v>0</v>
      </c>
      <c r="AJ19" s="175">
        <v>1.03199999976</v>
      </c>
      <c r="AK19" s="175">
        <v>0</v>
      </c>
      <c r="AL19" s="175">
        <v>5.9700000144000098</v>
      </c>
      <c r="AM19" s="175">
        <v>0</v>
      </c>
      <c r="AN19" s="175">
        <v>0.11000000118</v>
      </c>
      <c r="AO19" s="175">
        <v>0</v>
      </c>
      <c r="AP19" s="175">
        <v>0.27500000115000001</v>
      </c>
      <c r="AQ19" s="175">
        <v>0</v>
      </c>
      <c r="AR19" s="175">
        <v>0</v>
      </c>
      <c r="AS19" s="126"/>
      <c r="AT19" s="179">
        <f t="shared" si="0"/>
        <v>1711.9929608013497</v>
      </c>
      <c r="AV19" s="188">
        <f t="shared" si="1"/>
        <v>7.1120000153400103</v>
      </c>
      <c r="AW19" s="188">
        <f t="shared" si="2"/>
        <v>0.27500000115000001</v>
      </c>
      <c r="AX19" s="188">
        <f t="shared" si="3"/>
        <v>29.128117716349998</v>
      </c>
      <c r="AY19" s="188">
        <f t="shared" si="8"/>
        <v>36.515117732840011</v>
      </c>
      <c r="AZ19" s="280">
        <f t="shared" si="5"/>
        <v>648.24000124609995</v>
      </c>
      <c r="BA19" s="280">
        <f t="shared" si="6"/>
        <v>949.31630417042993</v>
      </c>
      <c r="BB19" s="280">
        <f t="shared" si="7"/>
        <v>0</v>
      </c>
    </row>
    <row r="20" spans="1:54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175">
        <v>0</v>
      </c>
      <c r="H20" s="175">
        <v>0</v>
      </c>
      <c r="I20" s="175">
        <v>0</v>
      </c>
      <c r="J20" s="175">
        <v>0</v>
      </c>
      <c r="K20" s="175">
        <v>58.918210668820002</v>
      </c>
      <c r="L20" s="175">
        <v>0</v>
      </c>
      <c r="M20" s="175">
        <v>0</v>
      </c>
      <c r="N20" s="175">
        <v>0</v>
      </c>
      <c r="O20" s="175">
        <v>0</v>
      </c>
      <c r="P20" s="175">
        <v>0</v>
      </c>
      <c r="Q20" s="175">
        <v>0</v>
      </c>
      <c r="R20" s="175">
        <v>20.133350090370001</v>
      </c>
      <c r="S20" s="175">
        <v>0</v>
      </c>
      <c r="T20" s="175">
        <v>0</v>
      </c>
      <c r="U20" s="175">
        <v>632.87753611452001</v>
      </c>
      <c r="V20" s="175">
        <v>316.43876805726001</v>
      </c>
      <c r="W20" s="175">
        <v>16.464540076820001</v>
      </c>
      <c r="X20" s="175">
        <v>12.66357764108</v>
      </c>
      <c r="Y20" s="175">
        <v>0</v>
      </c>
      <c r="Z20" s="175">
        <v>0</v>
      </c>
      <c r="AA20" s="175">
        <v>0</v>
      </c>
      <c r="AB20" s="175">
        <v>0</v>
      </c>
      <c r="AC20" s="175">
        <v>0</v>
      </c>
      <c r="AD20" s="175">
        <v>0</v>
      </c>
      <c r="AE20" s="175">
        <v>972.36000186398996</v>
      </c>
      <c r="AF20" s="175">
        <v>0</v>
      </c>
      <c r="AG20" s="175">
        <v>0</v>
      </c>
      <c r="AH20" s="175">
        <v>0</v>
      </c>
      <c r="AI20" s="175">
        <v>0</v>
      </c>
      <c r="AJ20" s="175">
        <v>0.44000000064</v>
      </c>
      <c r="AK20" s="175">
        <v>0</v>
      </c>
      <c r="AL20" s="175">
        <v>4.6650000136500003</v>
      </c>
      <c r="AM20" s="175">
        <v>0</v>
      </c>
      <c r="AN20" s="175">
        <v>2.299999975E-2</v>
      </c>
      <c r="AO20" s="175">
        <v>0</v>
      </c>
      <c r="AP20" s="175">
        <v>0.11500000589999999</v>
      </c>
      <c r="AQ20" s="175">
        <v>0</v>
      </c>
      <c r="AR20" s="175">
        <v>0</v>
      </c>
      <c r="AS20" s="126"/>
      <c r="AT20" s="179">
        <f t="shared" si="0"/>
        <v>2035.0989845327999</v>
      </c>
      <c r="AV20" s="188">
        <f t="shared" si="1"/>
        <v>5.1280000140400004</v>
      </c>
      <c r="AW20" s="188">
        <f t="shared" si="2"/>
        <v>0.11500000589999999</v>
      </c>
      <c r="AX20" s="188">
        <f t="shared" si="3"/>
        <v>29.1281177179</v>
      </c>
      <c r="AY20" s="188">
        <f t="shared" si="8"/>
        <v>34.371117737840002</v>
      </c>
      <c r="AZ20" s="280">
        <f t="shared" si="5"/>
        <v>972.36000186398996</v>
      </c>
      <c r="BA20" s="280">
        <f t="shared" si="6"/>
        <v>949.31630417178008</v>
      </c>
      <c r="BB20" s="280">
        <f t="shared" si="7"/>
        <v>0</v>
      </c>
    </row>
    <row r="21" spans="1:54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175">
        <v>0</v>
      </c>
      <c r="H21" s="175">
        <v>0</v>
      </c>
      <c r="I21" s="175">
        <v>0</v>
      </c>
      <c r="J21" s="175">
        <v>0</v>
      </c>
      <c r="K21" s="175">
        <v>61.613034137329997</v>
      </c>
      <c r="L21" s="175">
        <v>0</v>
      </c>
      <c r="M21" s="175">
        <v>0</v>
      </c>
      <c r="N21" s="175">
        <v>0</v>
      </c>
      <c r="O21" s="175">
        <v>0</v>
      </c>
      <c r="P21" s="175">
        <v>0</v>
      </c>
      <c r="Q21" s="175">
        <v>0</v>
      </c>
      <c r="R21" s="175">
        <v>20.13335009455</v>
      </c>
      <c r="S21" s="175">
        <v>0</v>
      </c>
      <c r="T21" s="175">
        <v>0</v>
      </c>
      <c r="U21" s="175">
        <v>632.87753611482003</v>
      </c>
      <c r="V21" s="175">
        <v>316.43876805741002</v>
      </c>
      <c r="W21" s="175">
        <v>0</v>
      </c>
      <c r="X21" s="175">
        <v>12.66357764044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>
        <v>0</v>
      </c>
      <c r="AE21" s="175">
        <v>972.36000186009005</v>
      </c>
      <c r="AF21" s="175">
        <v>0</v>
      </c>
      <c r="AG21" s="175">
        <v>0</v>
      </c>
      <c r="AH21" s="175">
        <v>0</v>
      </c>
      <c r="AI21" s="175">
        <v>0</v>
      </c>
      <c r="AJ21" s="175">
        <v>0.10400000383999999</v>
      </c>
      <c r="AK21" s="175">
        <v>0</v>
      </c>
      <c r="AL21" s="175">
        <v>3.4649999954999999</v>
      </c>
      <c r="AM21" s="175">
        <v>0</v>
      </c>
      <c r="AN21" s="175">
        <v>0</v>
      </c>
      <c r="AO21" s="175">
        <v>0</v>
      </c>
      <c r="AP21" s="175">
        <v>2.5000003749999999E-2</v>
      </c>
      <c r="AQ21" s="175">
        <v>0</v>
      </c>
      <c r="AR21" s="175">
        <v>0</v>
      </c>
      <c r="AS21" s="126"/>
      <c r="AT21" s="179">
        <f t="shared" si="0"/>
        <v>2019.68026790773</v>
      </c>
      <c r="AV21" s="188">
        <f t="shared" si="1"/>
        <v>3.5689999993399999</v>
      </c>
      <c r="AW21" s="188">
        <f t="shared" si="2"/>
        <v>2.5000003749999999E-2</v>
      </c>
      <c r="AX21" s="188">
        <f t="shared" si="3"/>
        <v>12.66357764044</v>
      </c>
      <c r="AY21" s="188">
        <f t="shared" si="8"/>
        <v>16.257577643529999</v>
      </c>
      <c r="AZ21" s="280">
        <f t="shared" si="5"/>
        <v>972.36000186009005</v>
      </c>
      <c r="BA21" s="280">
        <f t="shared" si="6"/>
        <v>949.31630417223005</v>
      </c>
      <c r="BB21" s="280">
        <f t="shared" si="7"/>
        <v>0</v>
      </c>
    </row>
    <row r="22" spans="1:54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4" t="s">
        <v>7</v>
      </c>
      <c r="G22" s="175">
        <v>0</v>
      </c>
      <c r="H22" s="175">
        <v>0</v>
      </c>
      <c r="I22" s="175">
        <v>0</v>
      </c>
      <c r="J22" s="175">
        <v>0</v>
      </c>
      <c r="K22" s="175">
        <v>56.116719615820003</v>
      </c>
      <c r="L22" s="175">
        <v>0</v>
      </c>
      <c r="M22" s="175">
        <v>0</v>
      </c>
      <c r="N22" s="175">
        <v>0</v>
      </c>
      <c r="O22" s="175">
        <v>0</v>
      </c>
      <c r="P22" s="175">
        <v>0</v>
      </c>
      <c r="Q22" s="175">
        <v>0</v>
      </c>
      <c r="R22" s="175">
        <v>21.973171237919999</v>
      </c>
      <c r="S22" s="175">
        <v>0</v>
      </c>
      <c r="T22" s="175">
        <v>0</v>
      </c>
      <c r="U22" s="175">
        <v>645.41048552849998</v>
      </c>
      <c r="V22" s="175">
        <v>322.70524276424999</v>
      </c>
      <c r="W22" s="175">
        <v>0</v>
      </c>
      <c r="X22" s="175">
        <v>12.663577639350001</v>
      </c>
      <c r="Y22" s="175">
        <v>0</v>
      </c>
      <c r="Z22" s="175">
        <v>0</v>
      </c>
      <c r="AA22" s="175">
        <v>0</v>
      </c>
      <c r="AB22" s="175">
        <v>0</v>
      </c>
      <c r="AC22" s="175">
        <v>0</v>
      </c>
      <c r="AD22" s="175">
        <v>0</v>
      </c>
      <c r="AE22" s="175">
        <v>975.81493480413098</v>
      </c>
      <c r="AF22" s="175">
        <v>0</v>
      </c>
      <c r="AG22" s="175">
        <v>0</v>
      </c>
      <c r="AH22" s="175">
        <v>0</v>
      </c>
      <c r="AI22" s="175">
        <v>0</v>
      </c>
      <c r="AJ22" s="175">
        <v>0</v>
      </c>
      <c r="AK22" s="175">
        <v>0</v>
      </c>
      <c r="AL22" s="175">
        <v>2.4000000235500001</v>
      </c>
      <c r="AM22" s="175">
        <v>0</v>
      </c>
      <c r="AN22" s="175">
        <v>0</v>
      </c>
      <c r="AO22" s="175">
        <v>0</v>
      </c>
      <c r="AP22" s="175">
        <v>0</v>
      </c>
      <c r="AQ22" s="175">
        <v>0</v>
      </c>
      <c r="AR22" s="175">
        <v>0</v>
      </c>
      <c r="AS22" s="126"/>
      <c r="AT22" s="179">
        <f t="shared" si="0"/>
        <v>2037.0841316135211</v>
      </c>
      <c r="AV22" s="188">
        <f t="shared" si="1"/>
        <v>2.4000000235500001</v>
      </c>
      <c r="AW22" s="188">
        <f t="shared" si="2"/>
        <v>0</v>
      </c>
      <c r="AX22" s="188">
        <f t="shared" si="3"/>
        <v>12.663577639350001</v>
      </c>
      <c r="AY22" s="188">
        <f t="shared" si="8"/>
        <v>15.0635776629</v>
      </c>
      <c r="AZ22" s="280">
        <f t="shared" si="5"/>
        <v>975.81493480413098</v>
      </c>
      <c r="BA22" s="280">
        <f t="shared" si="6"/>
        <v>968.11572829274996</v>
      </c>
      <c r="BB22" s="280">
        <f t="shared" si="7"/>
        <v>0</v>
      </c>
    </row>
    <row r="23" spans="1:54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4" t="s">
        <v>7</v>
      </c>
      <c r="G23" s="175">
        <v>0</v>
      </c>
      <c r="H23" s="175">
        <v>0</v>
      </c>
      <c r="I23" s="175">
        <v>0</v>
      </c>
      <c r="J23" s="175">
        <v>0</v>
      </c>
      <c r="K23" s="175">
        <v>49.14509155356</v>
      </c>
      <c r="L23" s="175">
        <v>0</v>
      </c>
      <c r="M23" s="175">
        <v>0</v>
      </c>
      <c r="N23" s="175">
        <v>0</v>
      </c>
      <c r="O23" s="175">
        <v>0</v>
      </c>
      <c r="P23" s="175">
        <v>0</v>
      </c>
      <c r="Q23" s="175">
        <v>0</v>
      </c>
      <c r="R23" s="175">
        <v>21.963654231</v>
      </c>
      <c r="S23" s="175">
        <v>0</v>
      </c>
      <c r="T23" s="175">
        <v>0</v>
      </c>
      <c r="U23" s="175">
        <v>632.87753611523999</v>
      </c>
      <c r="V23" s="175">
        <v>316.43876805762</v>
      </c>
      <c r="W23" s="175">
        <v>0</v>
      </c>
      <c r="X23" s="175">
        <v>12.663577640530001</v>
      </c>
      <c r="Y23" s="175">
        <v>0</v>
      </c>
      <c r="Z23" s="175">
        <v>0</v>
      </c>
      <c r="AA23" s="175">
        <v>0</v>
      </c>
      <c r="AB23" s="175">
        <v>0</v>
      </c>
      <c r="AC23" s="175">
        <v>0</v>
      </c>
      <c r="AD23" s="175">
        <v>0</v>
      </c>
      <c r="AE23" s="175">
        <v>972.36000186272997</v>
      </c>
      <c r="AF23" s="175">
        <v>0</v>
      </c>
      <c r="AG23" s="175">
        <v>0</v>
      </c>
      <c r="AH23" s="175">
        <v>0</v>
      </c>
      <c r="AI23" s="175">
        <v>0</v>
      </c>
      <c r="AJ23" s="175">
        <v>0</v>
      </c>
      <c r="AK23" s="175">
        <v>0</v>
      </c>
      <c r="AL23" s="175">
        <v>1.5150000076500001</v>
      </c>
      <c r="AM23" s="175">
        <v>0</v>
      </c>
      <c r="AN23" s="175">
        <v>0</v>
      </c>
      <c r="AO23" s="175">
        <v>0</v>
      </c>
      <c r="AP23" s="175">
        <v>0</v>
      </c>
      <c r="AQ23" s="175">
        <v>0</v>
      </c>
      <c r="AR23" s="175">
        <v>0</v>
      </c>
      <c r="AS23" s="126"/>
      <c r="AT23" s="179">
        <f t="shared" si="0"/>
        <v>2006.9636294683301</v>
      </c>
      <c r="AV23" s="188">
        <f t="shared" si="1"/>
        <v>1.5150000076500001</v>
      </c>
      <c r="AW23" s="188">
        <f t="shared" si="2"/>
        <v>0</v>
      </c>
      <c r="AX23" s="188">
        <f t="shared" si="3"/>
        <v>12.663577640530001</v>
      </c>
      <c r="AY23" s="188">
        <f t="shared" si="8"/>
        <v>14.178577648180001</v>
      </c>
      <c r="AZ23" s="280">
        <f t="shared" si="5"/>
        <v>972.36000186272997</v>
      </c>
      <c r="BA23" s="280">
        <f t="shared" si="6"/>
        <v>949.31630417285999</v>
      </c>
      <c r="BB23" s="280">
        <f t="shared" si="7"/>
        <v>0</v>
      </c>
    </row>
    <row r="24" spans="1:54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4" t="s">
        <v>7</v>
      </c>
      <c r="G24" s="175">
        <v>0</v>
      </c>
      <c r="H24" s="175">
        <v>0</v>
      </c>
      <c r="I24" s="175">
        <v>0</v>
      </c>
      <c r="J24" s="175">
        <v>0</v>
      </c>
      <c r="K24" s="175">
        <v>45.600993084620001</v>
      </c>
      <c r="L24" s="175">
        <v>0</v>
      </c>
      <c r="M24" s="175">
        <v>0</v>
      </c>
      <c r="N24" s="175">
        <v>0</v>
      </c>
      <c r="O24" s="175">
        <v>0</v>
      </c>
      <c r="P24" s="175">
        <v>0</v>
      </c>
      <c r="Q24" s="175">
        <v>0</v>
      </c>
      <c r="R24" s="175">
        <v>23.793958735690001</v>
      </c>
      <c r="S24" s="175">
        <v>0</v>
      </c>
      <c r="T24" s="175">
        <v>0</v>
      </c>
      <c r="U24" s="175">
        <v>632.87753611625999</v>
      </c>
      <c r="V24" s="175">
        <v>316.43876805812999</v>
      </c>
      <c r="W24" s="175">
        <v>0</v>
      </c>
      <c r="X24" s="175">
        <v>12.663577639990001</v>
      </c>
      <c r="Y24" s="175">
        <v>0</v>
      </c>
      <c r="Z24" s="175">
        <v>0</v>
      </c>
      <c r="AA24" s="175">
        <v>0</v>
      </c>
      <c r="AB24" s="175">
        <v>0</v>
      </c>
      <c r="AC24" s="175">
        <v>0</v>
      </c>
      <c r="AD24" s="175">
        <v>0</v>
      </c>
      <c r="AE24" s="175">
        <v>972.36000186390004</v>
      </c>
      <c r="AF24" s="175">
        <v>0</v>
      </c>
      <c r="AG24" s="175">
        <v>0</v>
      </c>
      <c r="AH24" s="175">
        <v>0</v>
      </c>
      <c r="AI24" s="175">
        <v>0</v>
      </c>
      <c r="AJ24" s="175">
        <v>0</v>
      </c>
      <c r="AK24" s="175">
        <v>0</v>
      </c>
      <c r="AL24" s="175">
        <v>0.82500002760000002</v>
      </c>
      <c r="AM24" s="175">
        <v>0</v>
      </c>
      <c r="AN24" s="175">
        <v>0</v>
      </c>
      <c r="AO24" s="175">
        <v>0</v>
      </c>
      <c r="AP24" s="175">
        <v>0</v>
      </c>
      <c r="AQ24" s="175">
        <v>0</v>
      </c>
      <c r="AR24" s="175">
        <v>0</v>
      </c>
      <c r="AS24" s="126"/>
      <c r="AT24" s="179">
        <f t="shared" si="0"/>
        <v>2004.5598355261902</v>
      </c>
      <c r="AV24" s="188">
        <f t="shared" si="1"/>
        <v>0.82500002760000002</v>
      </c>
      <c r="AW24" s="188">
        <f t="shared" si="2"/>
        <v>0</v>
      </c>
      <c r="AX24" s="188">
        <f t="shared" si="3"/>
        <v>12.663577639990001</v>
      </c>
      <c r="AY24" s="188">
        <f t="shared" si="8"/>
        <v>13.48857766759</v>
      </c>
      <c r="AZ24" s="280">
        <f t="shared" si="5"/>
        <v>972.36000186390004</v>
      </c>
      <c r="BA24" s="280">
        <f t="shared" si="6"/>
        <v>949.31630417438998</v>
      </c>
      <c r="BB24" s="280">
        <f t="shared" si="7"/>
        <v>0</v>
      </c>
    </row>
    <row r="25" spans="1:54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4" t="s">
        <v>7</v>
      </c>
      <c r="G25" s="175">
        <v>0</v>
      </c>
      <c r="H25" s="175">
        <v>0</v>
      </c>
      <c r="I25" s="175">
        <v>0</v>
      </c>
      <c r="J25" s="175">
        <v>0</v>
      </c>
      <c r="K25" s="175">
        <v>26.302660238040001</v>
      </c>
      <c r="L25" s="175">
        <v>0</v>
      </c>
      <c r="M25" s="175">
        <v>0</v>
      </c>
      <c r="N25" s="175">
        <v>0</v>
      </c>
      <c r="O25" s="175">
        <v>0</v>
      </c>
      <c r="P25" s="175">
        <v>0</v>
      </c>
      <c r="Q25" s="175">
        <v>0</v>
      </c>
      <c r="R25" s="175">
        <v>25.624263272299999</v>
      </c>
      <c r="S25" s="175">
        <v>0</v>
      </c>
      <c r="T25" s="175">
        <v>0</v>
      </c>
      <c r="U25" s="175">
        <v>632.87753611703999</v>
      </c>
      <c r="V25" s="175">
        <v>316.43876805852</v>
      </c>
      <c r="W25" s="175">
        <v>0</v>
      </c>
      <c r="X25" s="175">
        <v>12.663577639470001</v>
      </c>
      <c r="Y25" s="175">
        <v>0</v>
      </c>
      <c r="Z25" s="175">
        <v>0</v>
      </c>
      <c r="AA25" s="175">
        <v>0</v>
      </c>
      <c r="AB25" s="175">
        <v>0</v>
      </c>
      <c r="AC25" s="175">
        <v>0</v>
      </c>
      <c r="AD25" s="175">
        <v>0</v>
      </c>
      <c r="AE25" s="175">
        <v>972.36000186632998</v>
      </c>
      <c r="AF25" s="175">
        <v>0</v>
      </c>
      <c r="AG25" s="175">
        <v>0</v>
      </c>
      <c r="AH25" s="175">
        <v>0</v>
      </c>
      <c r="AI25" s="175">
        <v>0</v>
      </c>
      <c r="AJ25" s="175">
        <v>0</v>
      </c>
      <c r="AK25" s="175">
        <v>0</v>
      </c>
      <c r="AL25" s="175">
        <v>0.34499999520000002</v>
      </c>
      <c r="AM25" s="175">
        <v>0</v>
      </c>
      <c r="AN25" s="175">
        <v>0</v>
      </c>
      <c r="AO25" s="175">
        <v>0</v>
      </c>
      <c r="AP25" s="175">
        <v>0</v>
      </c>
      <c r="AQ25" s="175">
        <v>0</v>
      </c>
      <c r="AR25" s="175">
        <v>0</v>
      </c>
      <c r="AS25" s="126"/>
      <c r="AT25" s="179">
        <f t="shared" si="0"/>
        <v>1986.6118071868998</v>
      </c>
      <c r="AV25" s="188">
        <f t="shared" si="1"/>
        <v>0.34499999520000002</v>
      </c>
      <c r="AW25" s="188">
        <f t="shared" si="2"/>
        <v>0</v>
      </c>
      <c r="AX25" s="188">
        <f t="shared" si="3"/>
        <v>12.663577639470001</v>
      </c>
      <c r="AY25" s="188">
        <f t="shared" si="8"/>
        <v>13.008577634670001</v>
      </c>
      <c r="AZ25" s="280">
        <f t="shared" si="5"/>
        <v>972.36000186632998</v>
      </c>
      <c r="BA25" s="280">
        <f t="shared" si="6"/>
        <v>949.31630417555994</v>
      </c>
      <c r="BB25" s="280">
        <f t="shared" si="7"/>
        <v>0</v>
      </c>
    </row>
    <row r="26" spans="1:54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4" t="s">
        <v>7</v>
      </c>
      <c r="G26" s="175">
        <v>0</v>
      </c>
      <c r="H26" s="175">
        <v>0</v>
      </c>
      <c r="I26" s="175">
        <v>0</v>
      </c>
      <c r="J26" s="175">
        <v>0</v>
      </c>
      <c r="K26" s="175">
        <v>27.197901721659999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25.635366403639999</v>
      </c>
      <c r="S26" s="175">
        <v>0</v>
      </c>
      <c r="T26" s="175">
        <v>0</v>
      </c>
      <c r="U26" s="175">
        <v>645.41048552873997</v>
      </c>
      <c r="V26" s="175">
        <v>322.70524276436998</v>
      </c>
      <c r="W26" s="175">
        <v>0</v>
      </c>
      <c r="X26" s="175">
        <v>12.663577639370001</v>
      </c>
      <c r="Y26" s="175">
        <v>0</v>
      </c>
      <c r="Z26" s="175">
        <v>0</v>
      </c>
      <c r="AA26" s="175">
        <v>0</v>
      </c>
      <c r="AB26" s="175">
        <v>0</v>
      </c>
      <c r="AC26" s="175">
        <v>0</v>
      </c>
      <c r="AD26" s="175">
        <v>0</v>
      </c>
      <c r="AE26" s="175">
        <v>975.81493480227005</v>
      </c>
      <c r="AF26" s="175">
        <v>0</v>
      </c>
      <c r="AG26" s="175">
        <v>0</v>
      </c>
      <c r="AH26" s="175">
        <v>0</v>
      </c>
      <c r="AI26" s="175">
        <v>0</v>
      </c>
      <c r="AJ26" s="175">
        <v>0</v>
      </c>
      <c r="AK26" s="175">
        <v>0</v>
      </c>
      <c r="AL26" s="175">
        <v>7.5000021149999999E-2</v>
      </c>
      <c r="AM26" s="175">
        <v>0</v>
      </c>
      <c r="AN26" s="175">
        <v>0</v>
      </c>
      <c r="AO26" s="175">
        <v>0</v>
      </c>
      <c r="AP26" s="175">
        <v>0</v>
      </c>
      <c r="AQ26" s="175">
        <v>0</v>
      </c>
      <c r="AR26" s="175">
        <v>0</v>
      </c>
      <c r="AS26" s="126"/>
      <c r="AT26" s="179">
        <f t="shared" si="0"/>
        <v>2009.5025088811999</v>
      </c>
      <c r="AV26" s="188">
        <f t="shared" si="1"/>
        <v>7.5000021149999999E-2</v>
      </c>
      <c r="AW26" s="188">
        <f t="shared" si="2"/>
        <v>0</v>
      </c>
      <c r="AX26" s="188">
        <f t="shared" si="3"/>
        <v>12.663577639370001</v>
      </c>
      <c r="AY26" s="188">
        <f t="shared" si="8"/>
        <v>12.738577660520001</v>
      </c>
      <c r="AZ26" s="280">
        <f t="shared" si="5"/>
        <v>975.81493480227005</v>
      </c>
      <c r="BA26" s="280">
        <f t="shared" si="6"/>
        <v>968.1157282931099</v>
      </c>
      <c r="BB26" s="280">
        <f t="shared" si="7"/>
        <v>0</v>
      </c>
    </row>
    <row r="27" spans="1:54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4" t="s">
        <v>7</v>
      </c>
      <c r="G27" s="175">
        <v>0</v>
      </c>
      <c r="H27" s="175">
        <v>0</v>
      </c>
      <c r="I27" s="175">
        <v>0</v>
      </c>
      <c r="J27" s="175">
        <v>0</v>
      </c>
      <c r="K27" s="175">
        <v>18.97106679346</v>
      </c>
      <c r="L27" s="175">
        <v>0</v>
      </c>
      <c r="M27" s="175">
        <v>0</v>
      </c>
      <c r="N27" s="175">
        <v>0</v>
      </c>
      <c r="O27" s="175">
        <v>0</v>
      </c>
      <c r="P27" s="175">
        <v>0</v>
      </c>
      <c r="Q27" s="175">
        <v>0</v>
      </c>
      <c r="R27" s="175">
        <v>27.454568257350001</v>
      </c>
      <c r="S27" s="175">
        <v>0</v>
      </c>
      <c r="T27" s="175">
        <v>0</v>
      </c>
      <c r="U27" s="175">
        <v>632.87753611367998</v>
      </c>
      <c r="V27" s="175">
        <v>316.43876805683999</v>
      </c>
      <c r="W27" s="175">
        <v>0</v>
      </c>
      <c r="X27" s="175">
        <v>12.663577639150001</v>
      </c>
      <c r="Y27" s="175">
        <v>0</v>
      </c>
      <c r="Z27" s="175">
        <v>0</v>
      </c>
      <c r="AA27" s="175">
        <v>0</v>
      </c>
      <c r="AB27" s="175">
        <v>0</v>
      </c>
      <c r="AC27" s="175">
        <v>0</v>
      </c>
      <c r="AD27" s="175">
        <v>0</v>
      </c>
      <c r="AE27" s="175">
        <v>972.36000185952105</v>
      </c>
      <c r="AF27" s="175">
        <v>0</v>
      </c>
      <c r="AG27" s="175">
        <v>0</v>
      </c>
      <c r="AH27" s="175">
        <v>0</v>
      </c>
      <c r="AI27" s="175">
        <v>0</v>
      </c>
      <c r="AJ27" s="175">
        <v>0</v>
      </c>
      <c r="AK27" s="175">
        <v>0</v>
      </c>
      <c r="AL27" s="175">
        <v>0</v>
      </c>
      <c r="AM27" s="175">
        <v>0</v>
      </c>
      <c r="AN27" s="175">
        <v>0</v>
      </c>
      <c r="AO27" s="175">
        <v>0</v>
      </c>
      <c r="AP27" s="175">
        <v>0</v>
      </c>
      <c r="AQ27" s="175">
        <v>0</v>
      </c>
      <c r="AR27" s="175">
        <v>0</v>
      </c>
      <c r="AS27" s="126"/>
      <c r="AT27" s="179">
        <f t="shared" si="0"/>
        <v>1980.7655187200012</v>
      </c>
      <c r="AV27" s="188">
        <f t="shared" si="1"/>
        <v>0</v>
      </c>
      <c r="AW27" s="188">
        <f t="shared" si="2"/>
        <v>0</v>
      </c>
      <c r="AX27" s="188">
        <f t="shared" si="3"/>
        <v>12.663577639150001</v>
      </c>
      <c r="AY27" s="188">
        <f t="shared" si="8"/>
        <v>12.663577639150001</v>
      </c>
      <c r="AZ27" s="280">
        <f t="shared" si="5"/>
        <v>972.36000185952105</v>
      </c>
      <c r="BA27" s="280">
        <f t="shared" si="6"/>
        <v>949.31630417051997</v>
      </c>
      <c r="BB27" s="280">
        <f t="shared" si="7"/>
        <v>0</v>
      </c>
    </row>
    <row r="28" spans="1:54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4" t="s">
        <v>7</v>
      </c>
      <c r="G28" s="175">
        <v>0</v>
      </c>
      <c r="H28" s="175">
        <v>0</v>
      </c>
      <c r="I28" s="175">
        <v>0</v>
      </c>
      <c r="J28" s="175">
        <v>0</v>
      </c>
      <c r="K28" s="175">
        <v>14.50961483202</v>
      </c>
      <c r="L28" s="175">
        <v>0</v>
      </c>
      <c r="M28" s="175">
        <v>0</v>
      </c>
      <c r="N28" s="175">
        <v>0</v>
      </c>
      <c r="O28" s="175">
        <v>0</v>
      </c>
      <c r="P28" s="175">
        <v>0</v>
      </c>
      <c r="Q28" s="175">
        <v>0</v>
      </c>
      <c r="R28" s="175">
        <v>29.284872824480001</v>
      </c>
      <c r="S28" s="175">
        <v>0</v>
      </c>
      <c r="T28" s="175">
        <v>0</v>
      </c>
      <c r="U28" s="175">
        <v>632.87753611218102</v>
      </c>
      <c r="V28" s="175">
        <v>316.43876805609</v>
      </c>
      <c r="W28" s="175">
        <v>0</v>
      </c>
      <c r="X28" s="175">
        <v>0</v>
      </c>
      <c r="Y28" s="175">
        <v>0</v>
      </c>
      <c r="Z28" s="175">
        <v>0</v>
      </c>
      <c r="AA28" s="175">
        <v>0</v>
      </c>
      <c r="AB28" s="175">
        <v>0</v>
      </c>
      <c r="AC28" s="175">
        <v>0</v>
      </c>
      <c r="AD28" s="175">
        <v>0</v>
      </c>
      <c r="AE28" s="175">
        <v>972.36000186489105</v>
      </c>
      <c r="AF28" s="175">
        <v>0</v>
      </c>
      <c r="AG28" s="175">
        <v>0</v>
      </c>
      <c r="AH28" s="175">
        <v>0</v>
      </c>
      <c r="AI28" s="175">
        <v>0</v>
      </c>
      <c r="AJ28" s="175">
        <v>0</v>
      </c>
      <c r="AK28" s="175">
        <v>0</v>
      </c>
      <c r="AL28" s="175">
        <v>0</v>
      </c>
      <c r="AM28" s="175">
        <v>0</v>
      </c>
      <c r="AN28" s="175">
        <v>0</v>
      </c>
      <c r="AO28" s="175">
        <v>0</v>
      </c>
      <c r="AP28" s="175">
        <v>0</v>
      </c>
      <c r="AQ28" s="175">
        <v>0</v>
      </c>
      <c r="AR28" s="175">
        <v>0</v>
      </c>
      <c r="AS28" s="126"/>
      <c r="AT28" s="179">
        <f t="shared" si="0"/>
        <v>1965.4707936896621</v>
      </c>
      <c r="AV28" s="188">
        <f t="shared" si="1"/>
        <v>0</v>
      </c>
      <c r="AW28" s="188">
        <f t="shared" si="2"/>
        <v>0</v>
      </c>
      <c r="AX28" s="188">
        <f t="shared" si="3"/>
        <v>0</v>
      </c>
      <c r="AY28" s="188">
        <f t="shared" si="8"/>
        <v>0</v>
      </c>
      <c r="AZ28" s="280">
        <f t="shared" si="5"/>
        <v>972.36000186489105</v>
      </c>
      <c r="BA28" s="280">
        <f t="shared" si="6"/>
        <v>949.31630416827102</v>
      </c>
      <c r="BB28" s="280">
        <f t="shared" si="7"/>
        <v>0</v>
      </c>
    </row>
    <row r="29" spans="1:54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4" t="s">
        <v>7</v>
      </c>
      <c r="G29" s="175">
        <v>0</v>
      </c>
      <c r="H29" s="175">
        <v>0</v>
      </c>
      <c r="I29" s="175">
        <v>0</v>
      </c>
      <c r="J29" s="175">
        <v>0</v>
      </c>
      <c r="K29" s="175">
        <v>17.9607392815</v>
      </c>
      <c r="L29" s="175">
        <v>0</v>
      </c>
      <c r="M29" s="175">
        <v>0</v>
      </c>
      <c r="N29" s="175">
        <v>0</v>
      </c>
      <c r="O29" s="175">
        <v>0</v>
      </c>
      <c r="P29" s="175">
        <v>0</v>
      </c>
      <c r="Q29" s="175">
        <v>0</v>
      </c>
      <c r="R29" s="175">
        <v>31.115177367169998</v>
      </c>
      <c r="S29" s="175">
        <v>0</v>
      </c>
      <c r="T29" s="175">
        <v>0</v>
      </c>
      <c r="U29" s="175">
        <v>632.87753611530002</v>
      </c>
      <c r="V29" s="175">
        <v>316.43876805765001</v>
      </c>
      <c r="W29" s="175">
        <v>0</v>
      </c>
      <c r="X29" s="175">
        <v>0</v>
      </c>
      <c r="Y29" s="175">
        <v>0</v>
      </c>
      <c r="Z29" s="175">
        <v>0</v>
      </c>
      <c r="AA29" s="175">
        <v>0</v>
      </c>
      <c r="AB29" s="175">
        <v>0</v>
      </c>
      <c r="AC29" s="175">
        <v>0</v>
      </c>
      <c r="AD29" s="175">
        <v>0</v>
      </c>
      <c r="AE29" s="175">
        <v>972.36000186366095</v>
      </c>
      <c r="AF29" s="175">
        <v>0</v>
      </c>
      <c r="AG29" s="175">
        <v>0</v>
      </c>
      <c r="AH29" s="175">
        <v>0</v>
      </c>
      <c r="AI29" s="175">
        <v>0</v>
      </c>
      <c r="AJ29" s="175">
        <v>0</v>
      </c>
      <c r="AK29" s="175">
        <v>0</v>
      </c>
      <c r="AL29" s="175">
        <v>0</v>
      </c>
      <c r="AM29" s="175">
        <v>0</v>
      </c>
      <c r="AN29" s="175">
        <v>0</v>
      </c>
      <c r="AO29" s="175">
        <v>0</v>
      </c>
      <c r="AP29" s="175">
        <v>0</v>
      </c>
      <c r="AQ29" s="175">
        <v>0</v>
      </c>
      <c r="AR29" s="175">
        <v>0</v>
      </c>
      <c r="AS29" s="126"/>
      <c r="AT29" s="179">
        <f t="shared" si="0"/>
        <v>1970.7522226852811</v>
      </c>
      <c r="AV29" s="188">
        <f t="shared" si="1"/>
        <v>0</v>
      </c>
      <c r="AW29" s="188">
        <f t="shared" si="2"/>
        <v>0</v>
      </c>
      <c r="AX29" s="188">
        <f t="shared" si="3"/>
        <v>0</v>
      </c>
      <c r="AY29" s="188">
        <f t="shared" si="8"/>
        <v>0</v>
      </c>
      <c r="AZ29" s="280">
        <f t="shared" si="5"/>
        <v>972.36000186366095</v>
      </c>
      <c r="BA29" s="280">
        <f t="shared" si="6"/>
        <v>949.31630417295003</v>
      </c>
      <c r="BB29" s="280">
        <f t="shared" si="7"/>
        <v>0</v>
      </c>
    </row>
    <row r="30" spans="1:54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4" t="s">
        <v>7</v>
      </c>
      <c r="G30" s="175">
        <v>0</v>
      </c>
      <c r="H30" s="175">
        <v>0</v>
      </c>
      <c r="I30" s="175">
        <v>0</v>
      </c>
      <c r="J30" s="175">
        <v>0</v>
      </c>
      <c r="K30" s="175">
        <v>15.17513731989</v>
      </c>
      <c r="L30" s="175">
        <v>0</v>
      </c>
      <c r="M30" s="175">
        <v>0</v>
      </c>
      <c r="N30" s="175">
        <v>0</v>
      </c>
      <c r="O30" s="175">
        <v>0</v>
      </c>
      <c r="P30" s="175">
        <v>0</v>
      </c>
      <c r="Q30" s="175">
        <v>0</v>
      </c>
      <c r="R30" s="175">
        <v>32.95975679208</v>
      </c>
      <c r="S30" s="175">
        <v>0</v>
      </c>
      <c r="T30" s="175">
        <v>0</v>
      </c>
      <c r="U30" s="175">
        <v>645.41048552766097</v>
      </c>
      <c r="V30" s="175">
        <v>322.70524276382997</v>
      </c>
      <c r="W30" s="175">
        <v>0</v>
      </c>
      <c r="X30" s="175">
        <v>0</v>
      </c>
      <c r="Y30" s="175">
        <v>0</v>
      </c>
      <c r="Z30" s="175">
        <v>0</v>
      </c>
      <c r="AA30" s="175">
        <v>0</v>
      </c>
      <c r="AB30" s="175">
        <v>0</v>
      </c>
      <c r="AC30" s="175">
        <v>0</v>
      </c>
      <c r="AD30" s="175">
        <v>0</v>
      </c>
      <c r="AE30" s="175">
        <v>975.81493480353004</v>
      </c>
      <c r="AF30" s="175">
        <v>0</v>
      </c>
      <c r="AG30" s="175">
        <v>0</v>
      </c>
      <c r="AH30" s="175">
        <v>0</v>
      </c>
      <c r="AI30" s="175">
        <v>0</v>
      </c>
      <c r="AJ30" s="175">
        <v>0</v>
      </c>
      <c r="AK30" s="175">
        <v>0</v>
      </c>
      <c r="AL30" s="175">
        <v>0</v>
      </c>
      <c r="AM30" s="175">
        <v>0</v>
      </c>
      <c r="AN30" s="175">
        <v>0</v>
      </c>
      <c r="AO30" s="175">
        <v>0</v>
      </c>
      <c r="AP30" s="175">
        <v>0</v>
      </c>
      <c r="AQ30" s="175">
        <v>0</v>
      </c>
      <c r="AR30" s="175">
        <v>0</v>
      </c>
      <c r="AS30" s="126"/>
      <c r="AT30" s="179">
        <f t="shared" si="0"/>
        <v>1992.0655572069909</v>
      </c>
      <c r="AV30" s="188">
        <f t="shared" si="1"/>
        <v>0</v>
      </c>
      <c r="AW30" s="188">
        <f t="shared" si="2"/>
        <v>0</v>
      </c>
      <c r="AX30" s="188">
        <f t="shared" si="3"/>
        <v>0</v>
      </c>
      <c r="AY30" s="188">
        <f t="shared" si="8"/>
        <v>0</v>
      </c>
      <c r="AZ30" s="280">
        <f t="shared" si="5"/>
        <v>975.81493480353004</v>
      </c>
      <c r="BA30" s="280">
        <f t="shared" si="6"/>
        <v>968.115728291491</v>
      </c>
      <c r="BB30" s="280">
        <f t="shared" si="7"/>
        <v>0</v>
      </c>
    </row>
    <row r="31" spans="1:54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4" t="s">
        <v>7</v>
      </c>
      <c r="G31" s="175">
        <v>0</v>
      </c>
      <c r="H31" s="175">
        <v>0</v>
      </c>
      <c r="I31" s="175">
        <v>0</v>
      </c>
      <c r="J31" s="175">
        <v>0</v>
      </c>
      <c r="K31" s="175">
        <v>14.586120286350001</v>
      </c>
      <c r="L31" s="175">
        <v>0</v>
      </c>
      <c r="M31" s="175">
        <v>0</v>
      </c>
      <c r="N31" s="175">
        <v>0</v>
      </c>
      <c r="O31" s="175">
        <v>0</v>
      </c>
      <c r="P31" s="175">
        <v>0</v>
      </c>
      <c r="Q31" s="175">
        <v>0</v>
      </c>
      <c r="R31" s="175">
        <v>32.945481901619999</v>
      </c>
      <c r="S31" s="175">
        <v>0</v>
      </c>
      <c r="T31" s="175">
        <v>0</v>
      </c>
      <c r="U31" s="175">
        <v>632.87753611398</v>
      </c>
      <c r="V31" s="175">
        <v>316.43876805699</v>
      </c>
      <c r="W31" s="175">
        <v>0</v>
      </c>
      <c r="X31" s="175">
        <v>0</v>
      </c>
      <c r="Y31" s="175">
        <v>0</v>
      </c>
      <c r="Z31" s="175">
        <v>0</v>
      </c>
      <c r="AA31" s="175">
        <v>0</v>
      </c>
      <c r="AB31" s="175">
        <v>0</v>
      </c>
      <c r="AC31" s="175">
        <v>0</v>
      </c>
      <c r="AD31" s="175">
        <v>0</v>
      </c>
      <c r="AE31" s="175">
        <v>972.36000186489002</v>
      </c>
      <c r="AF31" s="175">
        <v>0</v>
      </c>
      <c r="AG31" s="175">
        <v>0</v>
      </c>
      <c r="AH31" s="175">
        <v>0</v>
      </c>
      <c r="AI31" s="175">
        <v>0</v>
      </c>
      <c r="AJ31" s="175">
        <v>0</v>
      </c>
      <c r="AK31" s="175">
        <v>0</v>
      </c>
      <c r="AL31" s="175">
        <v>0</v>
      </c>
      <c r="AM31" s="175">
        <v>0</v>
      </c>
      <c r="AN31" s="175">
        <v>0</v>
      </c>
      <c r="AO31" s="175">
        <v>0</v>
      </c>
      <c r="AP31" s="175">
        <v>0</v>
      </c>
      <c r="AQ31" s="175">
        <v>0</v>
      </c>
      <c r="AR31" s="175">
        <v>0</v>
      </c>
      <c r="AS31" s="126"/>
      <c r="AT31" s="179">
        <f t="shared" si="0"/>
        <v>1969.2079082238301</v>
      </c>
      <c r="AV31" s="188">
        <f t="shared" si="1"/>
        <v>0</v>
      </c>
      <c r="AW31" s="188">
        <f t="shared" si="2"/>
        <v>0</v>
      </c>
      <c r="AX31" s="188">
        <f t="shared" si="3"/>
        <v>0</v>
      </c>
      <c r="AY31" s="188">
        <f t="shared" si="8"/>
        <v>0</v>
      </c>
      <c r="AZ31" s="280">
        <f t="shared" si="5"/>
        <v>972.36000186489002</v>
      </c>
      <c r="BA31" s="280">
        <f t="shared" si="6"/>
        <v>949.31630417096994</v>
      </c>
      <c r="BB31" s="280">
        <f t="shared" si="7"/>
        <v>0</v>
      </c>
    </row>
    <row r="32" spans="1:54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76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175">
        <v>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0</v>
      </c>
      <c r="U32" s="175">
        <v>0</v>
      </c>
      <c r="V32" s="175">
        <v>0</v>
      </c>
      <c r="W32" s="175">
        <v>0</v>
      </c>
      <c r="X32" s="175">
        <v>0</v>
      </c>
      <c r="Y32" s="175">
        <v>0</v>
      </c>
      <c r="Z32" s="175">
        <v>0</v>
      </c>
      <c r="AA32" s="175">
        <v>0</v>
      </c>
      <c r="AB32" s="175">
        <v>0</v>
      </c>
      <c r="AC32" s="175">
        <v>0</v>
      </c>
      <c r="AD32" s="175">
        <v>0</v>
      </c>
      <c r="AE32" s="175">
        <v>0</v>
      </c>
      <c r="AF32" s="175">
        <v>0</v>
      </c>
      <c r="AG32" s="175">
        <v>0</v>
      </c>
      <c r="AH32" s="175">
        <v>0</v>
      </c>
      <c r="AI32" s="175">
        <v>0</v>
      </c>
      <c r="AJ32" s="175">
        <v>0</v>
      </c>
      <c r="AK32" s="175">
        <v>0</v>
      </c>
      <c r="AL32" s="175">
        <v>0</v>
      </c>
      <c r="AM32" s="175">
        <v>0</v>
      </c>
      <c r="AN32" s="175">
        <v>0</v>
      </c>
      <c r="AO32" s="175">
        <v>0</v>
      </c>
      <c r="AP32" s="175">
        <v>0</v>
      </c>
      <c r="AQ32" s="175">
        <v>0</v>
      </c>
      <c r="AR32" s="175">
        <v>0</v>
      </c>
      <c r="AS32" s="126"/>
      <c r="AT32" s="179">
        <f t="shared" si="0"/>
        <v>0</v>
      </c>
    </row>
    <row r="33" spans="1:46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76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0</v>
      </c>
      <c r="S33" s="175">
        <v>0</v>
      </c>
      <c r="T33" s="175">
        <v>0</v>
      </c>
      <c r="U33" s="175">
        <v>0</v>
      </c>
      <c r="V33" s="175">
        <v>0</v>
      </c>
      <c r="W33" s="175">
        <v>0</v>
      </c>
      <c r="X33" s="175">
        <v>0</v>
      </c>
      <c r="Y33" s="175">
        <v>0</v>
      </c>
      <c r="Z33" s="175">
        <v>0</v>
      </c>
      <c r="AA33" s="175">
        <v>0</v>
      </c>
      <c r="AB33" s="175">
        <v>0</v>
      </c>
      <c r="AC33" s="175">
        <v>0</v>
      </c>
      <c r="AD33" s="175">
        <v>0</v>
      </c>
      <c r="AE33" s="175">
        <v>0</v>
      </c>
      <c r="AF33" s="175">
        <v>0</v>
      </c>
      <c r="AG33" s="175">
        <v>0</v>
      </c>
      <c r="AH33" s="175">
        <v>0</v>
      </c>
      <c r="AI33" s="175">
        <v>0</v>
      </c>
      <c r="AJ33" s="175">
        <v>0</v>
      </c>
      <c r="AK33" s="175">
        <v>0</v>
      </c>
      <c r="AL33" s="175">
        <v>0</v>
      </c>
      <c r="AM33" s="175">
        <v>0</v>
      </c>
      <c r="AN33" s="175">
        <v>0</v>
      </c>
      <c r="AO33" s="175">
        <v>0</v>
      </c>
      <c r="AP33" s="175">
        <v>0</v>
      </c>
      <c r="AQ33" s="175">
        <v>0</v>
      </c>
      <c r="AR33" s="175">
        <v>0</v>
      </c>
      <c r="AS33" s="126"/>
      <c r="AT33" s="179">
        <f t="shared" si="0"/>
        <v>0</v>
      </c>
    </row>
    <row r="34" spans="1:46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76">
        <v>0</v>
      </c>
      <c r="G34" s="175">
        <v>0</v>
      </c>
      <c r="H34" s="175">
        <v>0</v>
      </c>
      <c r="I34" s="175">
        <v>0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  <c r="S34" s="175">
        <v>0</v>
      </c>
      <c r="T34" s="175">
        <v>0</v>
      </c>
      <c r="U34" s="175">
        <v>0</v>
      </c>
      <c r="V34" s="175">
        <v>0</v>
      </c>
      <c r="W34" s="175">
        <v>0</v>
      </c>
      <c r="X34" s="175">
        <v>0</v>
      </c>
      <c r="Y34" s="175">
        <v>0</v>
      </c>
      <c r="Z34" s="175">
        <v>0</v>
      </c>
      <c r="AA34" s="175">
        <v>0</v>
      </c>
      <c r="AB34" s="175">
        <v>0</v>
      </c>
      <c r="AC34" s="175">
        <v>0</v>
      </c>
      <c r="AD34" s="175">
        <v>0</v>
      </c>
      <c r="AE34" s="175">
        <v>0</v>
      </c>
      <c r="AF34" s="175">
        <v>0</v>
      </c>
      <c r="AG34" s="175">
        <v>0</v>
      </c>
      <c r="AH34" s="175">
        <v>0</v>
      </c>
      <c r="AI34" s="175">
        <v>0</v>
      </c>
      <c r="AJ34" s="175">
        <v>0</v>
      </c>
      <c r="AK34" s="175">
        <v>0</v>
      </c>
      <c r="AL34" s="175">
        <v>0</v>
      </c>
      <c r="AM34" s="175">
        <v>0</v>
      </c>
      <c r="AN34" s="175">
        <v>0</v>
      </c>
      <c r="AO34" s="175">
        <v>0</v>
      </c>
      <c r="AP34" s="175">
        <v>0</v>
      </c>
      <c r="AQ34" s="175">
        <v>0</v>
      </c>
      <c r="AR34" s="175">
        <v>0</v>
      </c>
      <c r="AS34" s="126"/>
      <c r="AT34" s="179">
        <f t="shared" si="0"/>
        <v>0</v>
      </c>
    </row>
    <row r="35" spans="1:46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76">
        <v>0</v>
      </c>
      <c r="G35" s="175">
        <v>0</v>
      </c>
      <c r="H35" s="175">
        <v>0</v>
      </c>
      <c r="I35" s="175">
        <v>0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  <c r="S35" s="175">
        <v>0</v>
      </c>
      <c r="T35" s="175">
        <v>0</v>
      </c>
      <c r="U35" s="175">
        <v>0</v>
      </c>
      <c r="V35" s="175">
        <v>0</v>
      </c>
      <c r="W35" s="175">
        <v>0</v>
      </c>
      <c r="X35" s="175">
        <v>0</v>
      </c>
      <c r="Y35" s="175">
        <v>0</v>
      </c>
      <c r="Z35" s="175">
        <v>0</v>
      </c>
      <c r="AA35" s="175">
        <v>0</v>
      </c>
      <c r="AB35" s="175">
        <v>0</v>
      </c>
      <c r="AC35" s="175">
        <v>0</v>
      </c>
      <c r="AD35" s="175">
        <v>0</v>
      </c>
      <c r="AE35" s="175">
        <v>0</v>
      </c>
      <c r="AF35" s="175">
        <v>0</v>
      </c>
      <c r="AG35" s="175">
        <v>0</v>
      </c>
      <c r="AH35" s="175">
        <v>0</v>
      </c>
      <c r="AI35" s="175">
        <v>0</v>
      </c>
      <c r="AJ35" s="175">
        <v>0</v>
      </c>
      <c r="AK35" s="175">
        <v>0</v>
      </c>
      <c r="AL35" s="175">
        <v>0</v>
      </c>
      <c r="AM35" s="175">
        <v>0</v>
      </c>
      <c r="AN35" s="175">
        <v>0</v>
      </c>
      <c r="AO35" s="175">
        <v>0</v>
      </c>
      <c r="AP35" s="175">
        <v>0</v>
      </c>
      <c r="AQ35" s="175">
        <v>0</v>
      </c>
      <c r="AR35" s="175">
        <v>0</v>
      </c>
      <c r="AS35" s="126"/>
      <c r="AT35" s="179">
        <f t="shared" si="0"/>
        <v>0</v>
      </c>
    </row>
    <row r="36" spans="1:46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76">
        <v>0</v>
      </c>
      <c r="G36" s="175">
        <v>0</v>
      </c>
      <c r="H36" s="175">
        <v>0</v>
      </c>
      <c r="I36" s="175">
        <v>0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  <c r="S36" s="175">
        <v>0</v>
      </c>
      <c r="T36" s="175">
        <v>0</v>
      </c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B36" s="175">
        <v>0</v>
      </c>
      <c r="AC36" s="175">
        <v>0</v>
      </c>
      <c r="AD36" s="175">
        <v>0</v>
      </c>
      <c r="AE36" s="175">
        <v>0</v>
      </c>
      <c r="AF36" s="175">
        <v>0</v>
      </c>
      <c r="AG36" s="175">
        <v>0</v>
      </c>
      <c r="AH36" s="175">
        <v>0</v>
      </c>
      <c r="AI36" s="175">
        <v>0</v>
      </c>
      <c r="AJ36" s="175">
        <v>0</v>
      </c>
      <c r="AK36" s="175">
        <v>0</v>
      </c>
      <c r="AL36" s="175">
        <v>0</v>
      </c>
      <c r="AM36" s="175">
        <v>0</v>
      </c>
      <c r="AN36" s="175">
        <v>0</v>
      </c>
      <c r="AO36" s="175">
        <v>0</v>
      </c>
      <c r="AP36" s="175">
        <v>0</v>
      </c>
      <c r="AQ36" s="175">
        <v>0</v>
      </c>
      <c r="AR36" s="175">
        <v>0</v>
      </c>
      <c r="AS36" s="126"/>
      <c r="AT36" s="179">
        <f t="shared" si="0"/>
        <v>0</v>
      </c>
    </row>
    <row r="37" spans="1:46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76">
        <v>0</v>
      </c>
      <c r="G37" s="175">
        <v>0</v>
      </c>
      <c r="H37" s="175">
        <v>0</v>
      </c>
      <c r="I37" s="175">
        <v>0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  <c r="S37" s="175">
        <v>0</v>
      </c>
      <c r="T37" s="175">
        <v>0</v>
      </c>
      <c r="U37" s="175">
        <v>0</v>
      </c>
      <c r="V37" s="175">
        <v>0</v>
      </c>
      <c r="W37" s="175">
        <v>0</v>
      </c>
      <c r="X37" s="175">
        <v>0</v>
      </c>
      <c r="Y37" s="175">
        <v>0</v>
      </c>
      <c r="Z37" s="175">
        <v>0</v>
      </c>
      <c r="AA37" s="175">
        <v>0</v>
      </c>
      <c r="AB37" s="175">
        <v>0</v>
      </c>
      <c r="AC37" s="175">
        <v>0</v>
      </c>
      <c r="AD37" s="175">
        <v>0</v>
      </c>
      <c r="AE37" s="175">
        <v>0</v>
      </c>
      <c r="AF37" s="175">
        <v>0</v>
      </c>
      <c r="AG37" s="175">
        <v>0</v>
      </c>
      <c r="AH37" s="175">
        <v>0</v>
      </c>
      <c r="AI37" s="175">
        <v>0</v>
      </c>
      <c r="AJ37" s="175">
        <v>0</v>
      </c>
      <c r="AK37" s="175">
        <v>0</v>
      </c>
      <c r="AL37" s="175">
        <v>0</v>
      </c>
      <c r="AM37" s="175">
        <v>0</v>
      </c>
      <c r="AN37" s="175">
        <v>0</v>
      </c>
      <c r="AO37" s="175">
        <v>0</v>
      </c>
      <c r="AP37" s="175">
        <v>0</v>
      </c>
      <c r="AQ37" s="175">
        <v>0</v>
      </c>
      <c r="AR37" s="175">
        <v>0</v>
      </c>
      <c r="AS37" s="126"/>
      <c r="AT37" s="179">
        <f t="shared" si="0"/>
        <v>0</v>
      </c>
    </row>
    <row r="38" spans="1:46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76">
        <v>0</v>
      </c>
      <c r="G38" s="175">
        <v>0</v>
      </c>
      <c r="H38" s="175">
        <v>0</v>
      </c>
      <c r="I38" s="175">
        <v>0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  <c r="S38" s="175">
        <v>0</v>
      </c>
      <c r="T38" s="175">
        <v>0</v>
      </c>
      <c r="U38" s="175">
        <v>0</v>
      </c>
      <c r="V38" s="175">
        <v>0</v>
      </c>
      <c r="W38" s="175">
        <v>0</v>
      </c>
      <c r="X38" s="175">
        <v>0</v>
      </c>
      <c r="Y38" s="175">
        <v>0</v>
      </c>
      <c r="Z38" s="175">
        <v>0</v>
      </c>
      <c r="AA38" s="175">
        <v>0</v>
      </c>
      <c r="AB38" s="175">
        <v>0</v>
      </c>
      <c r="AC38" s="175">
        <v>0</v>
      </c>
      <c r="AD38" s="175">
        <v>0</v>
      </c>
      <c r="AE38" s="175">
        <v>0</v>
      </c>
      <c r="AF38" s="175">
        <v>0</v>
      </c>
      <c r="AG38" s="175">
        <v>0</v>
      </c>
      <c r="AH38" s="175">
        <v>0</v>
      </c>
      <c r="AI38" s="175">
        <v>0</v>
      </c>
      <c r="AJ38" s="175">
        <v>0</v>
      </c>
      <c r="AK38" s="175">
        <v>0</v>
      </c>
      <c r="AL38" s="175">
        <v>0</v>
      </c>
      <c r="AM38" s="175">
        <v>0</v>
      </c>
      <c r="AN38" s="175">
        <v>0</v>
      </c>
      <c r="AO38" s="175">
        <v>0</v>
      </c>
      <c r="AP38" s="175">
        <v>0</v>
      </c>
      <c r="AQ38" s="175">
        <v>0</v>
      </c>
      <c r="AR38" s="175">
        <v>0</v>
      </c>
      <c r="AS38" s="126"/>
      <c r="AT38" s="179">
        <f t="shared" si="0"/>
        <v>0</v>
      </c>
    </row>
    <row r="39" spans="1:46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76">
        <v>0</v>
      </c>
      <c r="G39" s="175">
        <v>0</v>
      </c>
      <c r="H39" s="175">
        <v>0</v>
      </c>
      <c r="I39" s="175">
        <v>0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  <c r="S39" s="175">
        <v>0</v>
      </c>
      <c r="T39" s="175">
        <v>0</v>
      </c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B39" s="175">
        <v>0</v>
      </c>
      <c r="AC39" s="175">
        <v>0</v>
      </c>
      <c r="AD39" s="175">
        <v>0</v>
      </c>
      <c r="AE39" s="175">
        <v>0</v>
      </c>
      <c r="AF39" s="175">
        <v>0</v>
      </c>
      <c r="AG39" s="175">
        <v>0</v>
      </c>
      <c r="AH39" s="175">
        <v>0</v>
      </c>
      <c r="AI39" s="175">
        <v>0</v>
      </c>
      <c r="AJ39" s="175">
        <v>0</v>
      </c>
      <c r="AK39" s="175">
        <v>0</v>
      </c>
      <c r="AL39" s="175">
        <v>0</v>
      </c>
      <c r="AM39" s="175">
        <v>0</v>
      </c>
      <c r="AN39" s="175">
        <v>0</v>
      </c>
      <c r="AO39" s="175">
        <v>0</v>
      </c>
      <c r="AP39" s="175">
        <v>0</v>
      </c>
      <c r="AQ39" s="175">
        <v>0</v>
      </c>
      <c r="AR39" s="175">
        <v>0</v>
      </c>
      <c r="AS39" s="126"/>
      <c r="AT39" s="179">
        <f t="shared" si="0"/>
        <v>0</v>
      </c>
    </row>
    <row r="40" spans="1:46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76">
        <v>0</v>
      </c>
      <c r="G40" s="175">
        <v>0</v>
      </c>
      <c r="H40" s="175">
        <v>0</v>
      </c>
      <c r="I40" s="175">
        <v>0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  <c r="S40" s="175">
        <v>0</v>
      </c>
      <c r="T40" s="175">
        <v>0</v>
      </c>
      <c r="U40" s="175">
        <v>0</v>
      </c>
      <c r="V40" s="175">
        <v>0</v>
      </c>
      <c r="W40" s="175">
        <v>0</v>
      </c>
      <c r="X40" s="175">
        <v>0</v>
      </c>
      <c r="Y40" s="175">
        <v>0</v>
      </c>
      <c r="Z40" s="175">
        <v>0</v>
      </c>
      <c r="AA40" s="175">
        <v>0</v>
      </c>
      <c r="AB40" s="175">
        <v>0</v>
      </c>
      <c r="AC40" s="175">
        <v>0</v>
      </c>
      <c r="AD40" s="175">
        <v>0</v>
      </c>
      <c r="AE40" s="175">
        <v>0</v>
      </c>
      <c r="AF40" s="175">
        <v>0</v>
      </c>
      <c r="AG40" s="175">
        <v>0</v>
      </c>
      <c r="AH40" s="175">
        <v>0</v>
      </c>
      <c r="AI40" s="175">
        <v>0</v>
      </c>
      <c r="AJ40" s="175">
        <v>0</v>
      </c>
      <c r="AK40" s="175">
        <v>0</v>
      </c>
      <c r="AL40" s="175">
        <v>0</v>
      </c>
      <c r="AM40" s="175">
        <v>0</v>
      </c>
      <c r="AN40" s="175">
        <v>0</v>
      </c>
      <c r="AO40" s="175">
        <v>0</v>
      </c>
      <c r="AP40" s="175">
        <v>0</v>
      </c>
      <c r="AQ40" s="175">
        <v>0</v>
      </c>
      <c r="AR40" s="175">
        <v>0</v>
      </c>
      <c r="AS40" s="126"/>
      <c r="AT40" s="179">
        <f t="shared" si="0"/>
        <v>0</v>
      </c>
    </row>
    <row r="41" spans="1:46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76">
        <v>0</v>
      </c>
      <c r="G41" s="175">
        <v>0</v>
      </c>
      <c r="H41" s="175">
        <v>0</v>
      </c>
      <c r="I41" s="175">
        <v>0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  <c r="S41" s="175">
        <v>0</v>
      </c>
      <c r="T41" s="175">
        <v>0</v>
      </c>
      <c r="U41" s="175">
        <v>0</v>
      </c>
      <c r="V41" s="175">
        <v>0</v>
      </c>
      <c r="W41" s="175">
        <v>0</v>
      </c>
      <c r="X41" s="175">
        <v>0</v>
      </c>
      <c r="Y41" s="175">
        <v>0</v>
      </c>
      <c r="Z41" s="175">
        <v>0</v>
      </c>
      <c r="AA41" s="175">
        <v>0</v>
      </c>
      <c r="AB41" s="175">
        <v>0</v>
      </c>
      <c r="AC41" s="175">
        <v>0</v>
      </c>
      <c r="AD41" s="175">
        <v>0</v>
      </c>
      <c r="AE41" s="175">
        <v>0</v>
      </c>
      <c r="AF41" s="175">
        <v>0</v>
      </c>
      <c r="AG41" s="175">
        <v>0</v>
      </c>
      <c r="AH41" s="175">
        <v>0</v>
      </c>
      <c r="AI41" s="175">
        <v>0</v>
      </c>
      <c r="AJ41" s="175">
        <v>0</v>
      </c>
      <c r="AK41" s="175">
        <v>0</v>
      </c>
      <c r="AL41" s="175">
        <v>0</v>
      </c>
      <c r="AM41" s="175">
        <v>0</v>
      </c>
      <c r="AN41" s="175">
        <v>0</v>
      </c>
      <c r="AO41" s="175">
        <v>0</v>
      </c>
      <c r="AP41" s="175">
        <v>0</v>
      </c>
      <c r="AQ41" s="175">
        <v>0</v>
      </c>
      <c r="AR41" s="175">
        <v>0</v>
      </c>
      <c r="AS41" s="126"/>
      <c r="AT41" s="179">
        <f t="shared" si="0"/>
        <v>0</v>
      </c>
    </row>
    <row r="42" spans="1:46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76">
        <v>0</v>
      </c>
      <c r="G42" s="175">
        <v>0</v>
      </c>
      <c r="H42" s="175">
        <v>0</v>
      </c>
      <c r="I42" s="175">
        <v>0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  <c r="S42" s="175">
        <v>0</v>
      </c>
      <c r="T42" s="175">
        <v>0</v>
      </c>
      <c r="U42" s="175">
        <v>0</v>
      </c>
      <c r="V42" s="175">
        <v>0</v>
      </c>
      <c r="W42" s="175">
        <v>0</v>
      </c>
      <c r="X42" s="175">
        <v>0</v>
      </c>
      <c r="Y42" s="175">
        <v>0</v>
      </c>
      <c r="Z42" s="175">
        <v>0</v>
      </c>
      <c r="AA42" s="175">
        <v>0</v>
      </c>
      <c r="AB42" s="175">
        <v>0</v>
      </c>
      <c r="AC42" s="175">
        <v>0</v>
      </c>
      <c r="AD42" s="175">
        <v>0</v>
      </c>
      <c r="AE42" s="175">
        <v>0</v>
      </c>
      <c r="AF42" s="175">
        <v>0</v>
      </c>
      <c r="AG42" s="175">
        <v>0</v>
      </c>
      <c r="AH42" s="175">
        <v>0</v>
      </c>
      <c r="AI42" s="175">
        <v>0</v>
      </c>
      <c r="AJ42" s="175">
        <v>0</v>
      </c>
      <c r="AK42" s="175">
        <v>0</v>
      </c>
      <c r="AL42" s="175">
        <v>0</v>
      </c>
      <c r="AM42" s="175">
        <v>0</v>
      </c>
      <c r="AN42" s="175">
        <v>0</v>
      </c>
      <c r="AO42" s="175">
        <v>0</v>
      </c>
      <c r="AP42" s="175">
        <v>0</v>
      </c>
      <c r="AQ42" s="175">
        <v>0</v>
      </c>
      <c r="AR42" s="175">
        <v>0</v>
      </c>
      <c r="AS42" s="126"/>
      <c r="AT42" s="179">
        <f t="shared" si="0"/>
        <v>0</v>
      </c>
    </row>
    <row r="43" spans="1:46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76">
        <v>0</v>
      </c>
      <c r="G43" s="175">
        <v>0</v>
      </c>
      <c r="H43" s="175">
        <v>0</v>
      </c>
      <c r="I43" s="175">
        <v>0</v>
      </c>
      <c r="J43" s="175">
        <v>0</v>
      </c>
      <c r="K43" s="175">
        <v>3440.6161064140801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  <c r="S43" s="175">
        <v>0</v>
      </c>
      <c r="T43" s="175">
        <v>0</v>
      </c>
      <c r="U43" s="175">
        <v>0</v>
      </c>
      <c r="V43" s="175">
        <v>0</v>
      </c>
      <c r="W43" s="175">
        <v>0</v>
      </c>
      <c r="X43" s="175">
        <v>0</v>
      </c>
      <c r="Y43" s="175">
        <v>0</v>
      </c>
      <c r="Z43" s="175">
        <v>0</v>
      </c>
      <c r="AA43" s="175">
        <v>0</v>
      </c>
      <c r="AB43" s="175">
        <v>0</v>
      </c>
      <c r="AC43" s="175">
        <v>0</v>
      </c>
      <c r="AD43" s="175">
        <v>0</v>
      </c>
      <c r="AE43" s="175">
        <v>0</v>
      </c>
      <c r="AF43" s="175">
        <v>0</v>
      </c>
      <c r="AG43" s="175">
        <v>0</v>
      </c>
      <c r="AH43" s="175">
        <v>0</v>
      </c>
      <c r="AI43" s="175">
        <v>0</v>
      </c>
      <c r="AJ43" s="175">
        <v>0</v>
      </c>
      <c r="AK43" s="175">
        <v>0</v>
      </c>
      <c r="AL43" s="175">
        <v>0</v>
      </c>
      <c r="AM43" s="175">
        <v>0</v>
      </c>
      <c r="AN43" s="175">
        <v>0</v>
      </c>
      <c r="AO43" s="175">
        <v>0</v>
      </c>
      <c r="AP43" s="175">
        <v>0</v>
      </c>
      <c r="AQ43" s="175">
        <v>0</v>
      </c>
      <c r="AR43" s="175">
        <v>0</v>
      </c>
      <c r="AS43" s="126"/>
      <c r="AT43" s="179">
        <f t="shared" si="0"/>
        <v>3440.6161064140801</v>
      </c>
    </row>
    <row r="44" spans="1:46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76">
        <v>0</v>
      </c>
      <c r="G44" s="175">
        <v>0</v>
      </c>
      <c r="H44" s="175">
        <v>0</v>
      </c>
      <c r="I44" s="175">
        <v>0</v>
      </c>
      <c r="J44" s="175">
        <v>0</v>
      </c>
      <c r="K44" s="175">
        <v>3730.14066330674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  <c r="S44" s="175">
        <v>0</v>
      </c>
      <c r="T44" s="175">
        <v>0</v>
      </c>
      <c r="U44" s="175">
        <v>0</v>
      </c>
      <c r="V44" s="175">
        <v>0</v>
      </c>
      <c r="W44" s="175">
        <v>0</v>
      </c>
      <c r="X44" s="175">
        <v>0</v>
      </c>
      <c r="Y44" s="175">
        <v>0</v>
      </c>
      <c r="Z44" s="175">
        <v>0</v>
      </c>
      <c r="AA44" s="175">
        <v>0</v>
      </c>
      <c r="AB44" s="175">
        <v>0</v>
      </c>
      <c r="AC44" s="175">
        <v>0</v>
      </c>
      <c r="AD44" s="175">
        <v>0</v>
      </c>
      <c r="AE44" s="175">
        <v>0</v>
      </c>
      <c r="AF44" s="175">
        <v>0</v>
      </c>
      <c r="AG44" s="175">
        <v>0</v>
      </c>
      <c r="AH44" s="175">
        <v>0</v>
      </c>
      <c r="AI44" s="175">
        <v>0</v>
      </c>
      <c r="AJ44" s="175">
        <v>0</v>
      </c>
      <c r="AK44" s="175">
        <v>0</v>
      </c>
      <c r="AL44" s="175">
        <v>0</v>
      </c>
      <c r="AM44" s="175">
        <v>0</v>
      </c>
      <c r="AN44" s="175">
        <v>0</v>
      </c>
      <c r="AO44" s="175">
        <v>0</v>
      </c>
      <c r="AP44" s="175">
        <v>0</v>
      </c>
      <c r="AQ44" s="175">
        <v>0</v>
      </c>
      <c r="AR44" s="175">
        <v>0</v>
      </c>
      <c r="AS44" s="126"/>
      <c r="AT44" s="179">
        <f t="shared" si="0"/>
        <v>3730.14066330674</v>
      </c>
    </row>
    <row r="45" spans="1:46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76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3740.8561028742602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0</v>
      </c>
      <c r="V45" s="175">
        <v>0</v>
      </c>
      <c r="W45" s="175">
        <v>0</v>
      </c>
      <c r="X45" s="175">
        <v>0</v>
      </c>
      <c r="Y45" s="175">
        <v>0</v>
      </c>
      <c r="Z45" s="175">
        <v>0</v>
      </c>
      <c r="AA45" s="175">
        <v>0</v>
      </c>
      <c r="AB45" s="175">
        <v>0</v>
      </c>
      <c r="AC45" s="175">
        <v>0</v>
      </c>
      <c r="AD45" s="175">
        <v>0</v>
      </c>
      <c r="AE45" s="175">
        <v>0</v>
      </c>
      <c r="AF45" s="175">
        <v>0</v>
      </c>
      <c r="AG45" s="175">
        <v>0</v>
      </c>
      <c r="AH45" s="175">
        <v>0</v>
      </c>
      <c r="AI45" s="175">
        <v>0</v>
      </c>
      <c r="AJ45" s="175">
        <v>0</v>
      </c>
      <c r="AK45" s="175">
        <v>0</v>
      </c>
      <c r="AL45" s="175">
        <v>0</v>
      </c>
      <c r="AM45" s="175">
        <v>0</v>
      </c>
      <c r="AN45" s="175">
        <v>0</v>
      </c>
      <c r="AO45" s="175">
        <v>0</v>
      </c>
      <c r="AP45" s="175">
        <v>0</v>
      </c>
      <c r="AQ45" s="175">
        <v>0</v>
      </c>
      <c r="AR45" s="175">
        <v>0</v>
      </c>
      <c r="AS45" s="126"/>
      <c r="AT45" s="179">
        <f t="shared" si="0"/>
        <v>3740.8561028742602</v>
      </c>
    </row>
    <row r="46" spans="1:46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76">
        <v>0</v>
      </c>
      <c r="G46" s="175">
        <v>0</v>
      </c>
      <c r="H46" s="175">
        <v>0</v>
      </c>
      <c r="I46" s="175">
        <v>0</v>
      </c>
      <c r="J46" s="175">
        <v>0</v>
      </c>
      <c r="K46" s="175">
        <v>3586.53925767084</v>
      </c>
      <c r="L46" s="175">
        <v>0</v>
      </c>
      <c r="M46" s="175">
        <v>0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0</v>
      </c>
      <c r="AC46" s="175">
        <v>0</v>
      </c>
      <c r="AD46" s="175">
        <v>0</v>
      </c>
      <c r="AE46" s="175">
        <v>0</v>
      </c>
      <c r="AF46" s="175">
        <v>0</v>
      </c>
      <c r="AG46" s="175">
        <v>0</v>
      </c>
      <c r="AH46" s="175">
        <v>0</v>
      </c>
      <c r="AI46" s="175">
        <v>0</v>
      </c>
      <c r="AJ46" s="175">
        <v>0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175">
        <v>0</v>
      </c>
      <c r="AR46" s="175">
        <v>0</v>
      </c>
      <c r="AS46" s="126"/>
      <c r="AT46" s="179">
        <f t="shared" si="0"/>
        <v>3586.53925767084</v>
      </c>
    </row>
    <row r="47" spans="1:46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76">
        <v>0</v>
      </c>
      <c r="G47" s="175">
        <v>0</v>
      </c>
      <c r="H47" s="175">
        <v>0</v>
      </c>
      <c r="I47" s="175">
        <v>0</v>
      </c>
      <c r="J47" s="175">
        <v>0</v>
      </c>
      <c r="K47" s="175">
        <v>3944.1831581494398</v>
      </c>
      <c r="L47" s="175">
        <v>0</v>
      </c>
      <c r="M47" s="175">
        <v>0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0</v>
      </c>
      <c r="AC47" s="175">
        <v>0</v>
      </c>
      <c r="AD47" s="175">
        <v>0</v>
      </c>
      <c r="AE47" s="175">
        <v>0</v>
      </c>
      <c r="AF47" s="175">
        <v>0</v>
      </c>
      <c r="AG47" s="175">
        <v>0</v>
      </c>
      <c r="AH47" s="175">
        <v>0</v>
      </c>
      <c r="AI47" s="175">
        <v>0</v>
      </c>
      <c r="AJ47" s="175">
        <v>0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26"/>
      <c r="AT47" s="179">
        <f t="shared" si="0"/>
        <v>3944.1831581494398</v>
      </c>
    </row>
    <row r="48" spans="1:46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76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3364.8771800603299</v>
      </c>
      <c r="L48" s="175">
        <v>0</v>
      </c>
      <c r="M48" s="175">
        <v>0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0</v>
      </c>
      <c r="AC48" s="175">
        <v>0</v>
      </c>
      <c r="AD48" s="175">
        <v>0</v>
      </c>
      <c r="AE48" s="175">
        <v>0</v>
      </c>
      <c r="AF48" s="175">
        <v>0</v>
      </c>
      <c r="AG48" s="175">
        <v>0</v>
      </c>
      <c r="AH48" s="175">
        <v>0</v>
      </c>
      <c r="AI48" s="175">
        <v>0</v>
      </c>
      <c r="AJ48" s="175">
        <v>0</v>
      </c>
      <c r="AK48" s="175">
        <v>0</v>
      </c>
      <c r="AL48" s="175">
        <v>0</v>
      </c>
      <c r="AM48" s="175">
        <v>0</v>
      </c>
      <c r="AN48" s="175">
        <v>0</v>
      </c>
      <c r="AO48" s="175">
        <v>0</v>
      </c>
      <c r="AP48" s="175">
        <v>0</v>
      </c>
      <c r="AQ48" s="175">
        <v>0</v>
      </c>
      <c r="AR48" s="175">
        <v>0</v>
      </c>
      <c r="AS48" s="126"/>
      <c r="AT48" s="179">
        <f t="shared" si="0"/>
        <v>3364.8771800603299</v>
      </c>
    </row>
    <row r="49" spans="1:54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76">
        <v>0</v>
      </c>
      <c r="G49" s="175">
        <v>0</v>
      </c>
      <c r="H49" s="175">
        <v>0</v>
      </c>
      <c r="I49" s="175">
        <v>0</v>
      </c>
      <c r="J49" s="175">
        <v>0</v>
      </c>
      <c r="K49" s="175">
        <v>3470.9402564043799</v>
      </c>
      <c r="L49" s="175">
        <v>0</v>
      </c>
      <c r="M49" s="175">
        <v>0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0</v>
      </c>
      <c r="AC49" s="175">
        <v>0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175">
        <v>0</v>
      </c>
      <c r="AM49" s="175">
        <v>0</v>
      </c>
      <c r="AN49" s="175">
        <v>0</v>
      </c>
      <c r="AO49" s="175">
        <v>0</v>
      </c>
      <c r="AP49" s="175">
        <v>0</v>
      </c>
      <c r="AQ49" s="175">
        <v>0</v>
      </c>
      <c r="AR49" s="175">
        <v>0</v>
      </c>
      <c r="AS49" s="126"/>
      <c r="AT49" s="179">
        <f t="shared" si="0"/>
        <v>3470.9402564043799</v>
      </c>
    </row>
    <row r="50" spans="1:54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76">
        <v>0</v>
      </c>
      <c r="G50" s="175">
        <v>0</v>
      </c>
      <c r="H50" s="175">
        <v>0</v>
      </c>
      <c r="I50" s="175">
        <v>0</v>
      </c>
      <c r="J50" s="175">
        <v>0</v>
      </c>
      <c r="K50" s="175">
        <v>3569.00690374445</v>
      </c>
      <c r="L50" s="175">
        <v>0</v>
      </c>
      <c r="M50" s="175">
        <v>0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0</v>
      </c>
      <c r="AH50" s="175">
        <v>0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26"/>
      <c r="AT50" s="179">
        <f t="shared" si="0"/>
        <v>3569.00690374445</v>
      </c>
    </row>
    <row r="51" spans="1:54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76">
        <v>0</v>
      </c>
      <c r="G51" s="175">
        <v>0</v>
      </c>
      <c r="H51" s="175">
        <v>0</v>
      </c>
      <c r="I51" s="175">
        <v>0</v>
      </c>
      <c r="J51" s="175">
        <v>0</v>
      </c>
      <c r="K51" s="175">
        <v>3862.9753383879001</v>
      </c>
      <c r="L51" s="175">
        <v>0</v>
      </c>
      <c r="M51" s="175">
        <v>0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175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0</v>
      </c>
      <c r="AH51" s="175">
        <v>0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26"/>
      <c r="AT51" s="179">
        <f t="shared" si="0"/>
        <v>3862.9753383879001</v>
      </c>
    </row>
    <row r="52" spans="1:54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76">
        <v>0</v>
      </c>
      <c r="G52" s="175">
        <v>0</v>
      </c>
      <c r="H52" s="175">
        <v>0</v>
      </c>
      <c r="I52" s="175">
        <v>0</v>
      </c>
      <c r="J52" s="175">
        <v>0</v>
      </c>
      <c r="K52" s="175">
        <v>3611.7189348728198</v>
      </c>
      <c r="L52" s="175">
        <v>0</v>
      </c>
      <c r="M52" s="175">
        <v>0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  <c r="S52" s="175">
        <v>0</v>
      </c>
      <c r="T52" s="175">
        <v>0</v>
      </c>
      <c r="U52" s="175">
        <v>0</v>
      </c>
      <c r="V52" s="175">
        <v>0</v>
      </c>
      <c r="W52" s="175">
        <v>0</v>
      </c>
      <c r="X52" s="175">
        <v>0</v>
      </c>
      <c r="Y52" s="175">
        <v>0</v>
      </c>
      <c r="Z52" s="175">
        <v>0</v>
      </c>
      <c r="AA52" s="175">
        <v>0</v>
      </c>
      <c r="AB52" s="175">
        <v>0</v>
      </c>
      <c r="AC52" s="175">
        <v>0</v>
      </c>
      <c r="AD52" s="175">
        <v>0</v>
      </c>
      <c r="AE52" s="175">
        <v>0</v>
      </c>
      <c r="AF52" s="175">
        <v>0</v>
      </c>
      <c r="AG52" s="175">
        <v>0</v>
      </c>
      <c r="AH52" s="175">
        <v>0</v>
      </c>
      <c r="AI52" s="175">
        <v>0</v>
      </c>
      <c r="AJ52" s="175">
        <v>0</v>
      </c>
      <c r="AK52" s="175">
        <v>0</v>
      </c>
      <c r="AL52" s="175">
        <v>0</v>
      </c>
      <c r="AM52" s="175">
        <v>0</v>
      </c>
      <c r="AN52" s="175">
        <v>0</v>
      </c>
      <c r="AO52" s="175">
        <v>0</v>
      </c>
      <c r="AP52" s="175">
        <v>0</v>
      </c>
      <c r="AQ52" s="175">
        <v>0</v>
      </c>
      <c r="AR52" s="175">
        <v>0</v>
      </c>
      <c r="AS52" s="126"/>
      <c r="AT52" s="179">
        <f t="shared" si="0"/>
        <v>3611.7189348728198</v>
      </c>
    </row>
    <row r="53" spans="1:54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76">
        <v>0</v>
      </c>
      <c r="G53" s="175">
        <v>0</v>
      </c>
      <c r="H53" s="175">
        <v>0</v>
      </c>
      <c r="I53" s="175">
        <v>0</v>
      </c>
      <c r="J53" s="175">
        <v>0</v>
      </c>
      <c r="K53" s="175">
        <v>3301.5554910636001</v>
      </c>
      <c r="L53" s="175">
        <v>0</v>
      </c>
      <c r="M53" s="175">
        <v>0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  <c r="S53" s="175">
        <v>0</v>
      </c>
      <c r="T53" s="175">
        <v>0</v>
      </c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B53" s="175">
        <v>0</v>
      </c>
      <c r="AC53" s="175">
        <v>0</v>
      </c>
      <c r="AD53" s="175">
        <v>0</v>
      </c>
      <c r="AE53" s="175">
        <v>0</v>
      </c>
      <c r="AF53" s="175">
        <v>0</v>
      </c>
      <c r="AG53" s="175">
        <v>0</v>
      </c>
      <c r="AH53" s="175">
        <v>0</v>
      </c>
      <c r="AI53" s="175">
        <v>0</v>
      </c>
      <c r="AJ53" s="175">
        <v>0</v>
      </c>
      <c r="AK53" s="175">
        <v>0</v>
      </c>
      <c r="AL53" s="175">
        <v>0</v>
      </c>
      <c r="AM53" s="175">
        <v>0</v>
      </c>
      <c r="AN53" s="175">
        <v>0</v>
      </c>
      <c r="AO53" s="175">
        <v>0</v>
      </c>
      <c r="AP53" s="175">
        <v>0</v>
      </c>
      <c r="AQ53" s="175">
        <v>0</v>
      </c>
      <c r="AR53" s="175">
        <v>0</v>
      </c>
      <c r="AS53" s="126"/>
      <c r="AT53" s="179">
        <f t="shared" si="0"/>
        <v>3301.5554910636001</v>
      </c>
    </row>
    <row r="54" spans="1:54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76">
        <v>0</v>
      </c>
      <c r="G54" s="175">
        <v>0</v>
      </c>
      <c r="H54" s="175">
        <v>0</v>
      </c>
      <c r="I54" s="175">
        <v>0</v>
      </c>
      <c r="J54" s="175">
        <v>0</v>
      </c>
      <c r="K54" s="175">
        <v>3196.4507806440802</v>
      </c>
      <c r="L54" s="175">
        <v>0</v>
      </c>
      <c r="M54" s="175">
        <v>0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  <c r="S54" s="175">
        <v>0</v>
      </c>
      <c r="T54" s="175">
        <v>0</v>
      </c>
      <c r="U54" s="175">
        <v>0</v>
      </c>
      <c r="V54" s="175">
        <v>0</v>
      </c>
      <c r="W54" s="175">
        <v>0</v>
      </c>
      <c r="X54" s="175">
        <v>0</v>
      </c>
      <c r="Y54" s="175">
        <v>0</v>
      </c>
      <c r="Z54" s="175">
        <v>0</v>
      </c>
      <c r="AA54" s="175">
        <v>0</v>
      </c>
      <c r="AB54" s="175">
        <v>0</v>
      </c>
      <c r="AC54" s="175">
        <v>0</v>
      </c>
      <c r="AD54" s="175">
        <v>0</v>
      </c>
      <c r="AE54" s="175">
        <v>0</v>
      </c>
      <c r="AF54" s="175">
        <v>0</v>
      </c>
      <c r="AG54" s="175">
        <v>0</v>
      </c>
      <c r="AH54" s="175">
        <v>0</v>
      </c>
      <c r="AI54" s="175">
        <v>0</v>
      </c>
      <c r="AJ54" s="175">
        <v>0</v>
      </c>
      <c r="AK54" s="175">
        <v>0</v>
      </c>
      <c r="AL54" s="175">
        <v>0</v>
      </c>
      <c r="AM54" s="175">
        <v>0</v>
      </c>
      <c r="AN54" s="175">
        <v>0</v>
      </c>
      <c r="AO54" s="175">
        <v>0</v>
      </c>
      <c r="AP54" s="175">
        <v>0</v>
      </c>
      <c r="AQ54" s="175">
        <v>0</v>
      </c>
      <c r="AR54" s="175">
        <v>0</v>
      </c>
      <c r="AS54" s="126"/>
      <c r="AT54" s="179">
        <f t="shared" si="0"/>
        <v>3196.4507806440802</v>
      </c>
    </row>
    <row r="55" spans="1:54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76">
        <v>0</v>
      </c>
      <c r="G55" s="175">
        <v>0</v>
      </c>
      <c r="H55" s="175">
        <v>0</v>
      </c>
      <c r="I55" s="175">
        <v>0</v>
      </c>
      <c r="J55" s="175">
        <v>0</v>
      </c>
      <c r="K55" s="175">
        <v>1905.27593353372</v>
      </c>
      <c r="L55" s="175">
        <v>0</v>
      </c>
      <c r="M55" s="175">
        <v>0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  <c r="S55" s="175">
        <v>0</v>
      </c>
      <c r="T55" s="175">
        <v>0</v>
      </c>
      <c r="U55" s="175">
        <v>0</v>
      </c>
      <c r="V55" s="175">
        <v>0</v>
      </c>
      <c r="W55" s="175">
        <v>0</v>
      </c>
      <c r="X55" s="175">
        <v>0</v>
      </c>
      <c r="Y55" s="175">
        <v>0</v>
      </c>
      <c r="Z55" s="175">
        <v>0</v>
      </c>
      <c r="AA55" s="175">
        <v>0</v>
      </c>
      <c r="AB55" s="175">
        <v>0</v>
      </c>
      <c r="AC55" s="175">
        <v>0</v>
      </c>
      <c r="AD55" s="175">
        <v>0</v>
      </c>
      <c r="AE55" s="175">
        <v>0</v>
      </c>
      <c r="AF55" s="175">
        <v>0</v>
      </c>
      <c r="AG55" s="175">
        <v>0</v>
      </c>
      <c r="AH55" s="175">
        <v>0</v>
      </c>
      <c r="AI55" s="175">
        <v>0</v>
      </c>
      <c r="AJ55" s="175">
        <v>0</v>
      </c>
      <c r="AK55" s="175">
        <v>0</v>
      </c>
      <c r="AL55" s="175">
        <v>0</v>
      </c>
      <c r="AM55" s="175">
        <v>0</v>
      </c>
      <c r="AN55" s="175">
        <v>0</v>
      </c>
      <c r="AO55" s="175">
        <v>0</v>
      </c>
      <c r="AP55" s="175">
        <v>0</v>
      </c>
      <c r="AQ55" s="175">
        <v>0</v>
      </c>
      <c r="AR55" s="175">
        <v>0</v>
      </c>
      <c r="AS55" s="126"/>
      <c r="AT55" s="179">
        <f t="shared" si="0"/>
        <v>1905.27593353372</v>
      </c>
    </row>
    <row r="56" spans="1:54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76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2060.9072803325598</v>
      </c>
      <c r="L56" s="175">
        <v>0</v>
      </c>
      <c r="M56" s="175">
        <v>0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  <c r="S56" s="175">
        <v>0</v>
      </c>
      <c r="T56" s="175">
        <v>0</v>
      </c>
      <c r="U56" s="175">
        <v>0</v>
      </c>
      <c r="V56" s="175">
        <v>0</v>
      </c>
      <c r="W56" s="175">
        <v>0</v>
      </c>
      <c r="X56" s="175">
        <v>0</v>
      </c>
      <c r="Y56" s="175">
        <v>0</v>
      </c>
      <c r="Z56" s="175">
        <v>0</v>
      </c>
      <c r="AA56" s="175">
        <v>0</v>
      </c>
      <c r="AB56" s="175">
        <v>0</v>
      </c>
      <c r="AC56" s="175">
        <v>0</v>
      </c>
      <c r="AD56" s="175">
        <v>0</v>
      </c>
      <c r="AE56" s="175">
        <v>0</v>
      </c>
      <c r="AF56" s="175">
        <v>0</v>
      </c>
      <c r="AG56" s="175">
        <v>0</v>
      </c>
      <c r="AH56" s="175">
        <v>0</v>
      </c>
      <c r="AI56" s="175">
        <v>0</v>
      </c>
      <c r="AJ56" s="175">
        <v>0</v>
      </c>
      <c r="AK56" s="175">
        <v>0</v>
      </c>
      <c r="AL56" s="175">
        <v>0</v>
      </c>
      <c r="AM56" s="175">
        <v>0</v>
      </c>
      <c r="AN56" s="175">
        <v>0</v>
      </c>
      <c r="AO56" s="175">
        <v>0</v>
      </c>
      <c r="AP56" s="175">
        <v>0</v>
      </c>
      <c r="AQ56" s="175">
        <v>0</v>
      </c>
      <c r="AR56" s="175">
        <v>0</v>
      </c>
      <c r="AS56" s="126"/>
      <c r="AT56" s="179">
        <f t="shared" si="0"/>
        <v>2060.9072803325598</v>
      </c>
    </row>
    <row r="57" spans="1:54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76">
        <v>0</v>
      </c>
      <c r="G57" s="175">
        <v>0</v>
      </c>
      <c r="H57" s="175">
        <v>0</v>
      </c>
      <c r="I57" s="175">
        <v>0</v>
      </c>
      <c r="J57" s="175">
        <v>0</v>
      </c>
      <c r="K57" s="175">
        <v>1499.20416110217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  <c r="S57" s="175">
        <v>0</v>
      </c>
      <c r="T57" s="175">
        <v>0</v>
      </c>
      <c r="U57" s="175">
        <v>0</v>
      </c>
      <c r="V57" s="175">
        <v>0</v>
      </c>
      <c r="W57" s="175">
        <v>0</v>
      </c>
      <c r="X57" s="175">
        <v>0</v>
      </c>
      <c r="Y57" s="175">
        <v>0</v>
      </c>
      <c r="Z57" s="175">
        <v>0</v>
      </c>
      <c r="AA57" s="175">
        <v>0</v>
      </c>
      <c r="AB57" s="175">
        <v>0</v>
      </c>
      <c r="AC57" s="175">
        <v>0</v>
      </c>
      <c r="AD57" s="175">
        <v>0</v>
      </c>
      <c r="AE57" s="175">
        <v>0</v>
      </c>
      <c r="AF57" s="175">
        <v>0</v>
      </c>
      <c r="AG57" s="175">
        <v>0</v>
      </c>
      <c r="AH57" s="175">
        <v>0</v>
      </c>
      <c r="AI57" s="175">
        <v>0</v>
      </c>
      <c r="AJ57" s="175">
        <v>0</v>
      </c>
      <c r="AK57" s="175">
        <v>0</v>
      </c>
      <c r="AL57" s="175">
        <v>0</v>
      </c>
      <c r="AM57" s="175">
        <v>0</v>
      </c>
      <c r="AN57" s="175">
        <v>0</v>
      </c>
      <c r="AO57" s="175">
        <v>0</v>
      </c>
      <c r="AP57" s="175">
        <v>0</v>
      </c>
      <c r="AQ57" s="175">
        <v>0</v>
      </c>
      <c r="AR57" s="175">
        <v>0</v>
      </c>
      <c r="AS57" s="126"/>
      <c r="AT57" s="179">
        <f t="shared" si="0"/>
        <v>1499.20416110217</v>
      </c>
    </row>
    <row r="58" spans="1:54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76">
        <v>0</v>
      </c>
      <c r="G58" s="175">
        <v>0</v>
      </c>
      <c r="H58" s="175">
        <v>0</v>
      </c>
      <c r="I58" s="175">
        <v>0</v>
      </c>
      <c r="J58" s="175">
        <v>0</v>
      </c>
      <c r="K58" s="175">
        <v>1185.2645159195099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  <c r="S58" s="175">
        <v>0</v>
      </c>
      <c r="T58" s="175">
        <v>0</v>
      </c>
      <c r="U58" s="175">
        <v>0</v>
      </c>
      <c r="V58" s="175">
        <v>0</v>
      </c>
      <c r="W58" s="175">
        <v>0</v>
      </c>
      <c r="X58" s="175">
        <v>0</v>
      </c>
      <c r="Y58" s="175">
        <v>0</v>
      </c>
      <c r="Z58" s="175">
        <v>0</v>
      </c>
      <c r="AA58" s="175">
        <v>0</v>
      </c>
      <c r="AB58" s="175">
        <v>0</v>
      </c>
      <c r="AC58" s="175">
        <v>0</v>
      </c>
      <c r="AD58" s="175">
        <v>0</v>
      </c>
      <c r="AE58" s="175">
        <v>0</v>
      </c>
      <c r="AF58" s="175">
        <v>0</v>
      </c>
      <c r="AG58" s="175">
        <v>0</v>
      </c>
      <c r="AH58" s="175">
        <v>0</v>
      </c>
      <c r="AI58" s="175">
        <v>0</v>
      </c>
      <c r="AJ58" s="175">
        <v>0</v>
      </c>
      <c r="AK58" s="175">
        <v>0</v>
      </c>
      <c r="AL58" s="175">
        <v>0</v>
      </c>
      <c r="AM58" s="175">
        <v>0</v>
      </c>
      <c r="AN58" s="175">
        <v>0</v>
      </c>
      <c r="AO58" s="175">
        <v>0</v>
      </c>
      <c r="AP58" s="175">
        <v>0</v>
      </c>
      <c r="AQ58" s="175">
        <v>0</v>
      </c>
      <c r="AR58" s="175">
        <v>0</v>
      </c>
      <c r="AS58" s="126"/>
      <c r="AT58" s="179">
        <f t="shared" si="0"/>
        <v>1185.2645159195099</v>
      </c>
    </row>
    <row r="59" spans="1:54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76">
        <v>0</v>
      </c>
      <c r="G59" s="175">
        <v>0</v>
      </c>
      <c r="H59" s="175">
        <v>0</v>
      </c>
      <c r="I59" s="175">
        <v>0</v>
      </c>
      <c r="J59" s="175">
        <v>0</v>
      </c>
      <c r="K59" s="175">
        <v>1517.2610169222601</v>
      </c>
      <c r="L59" s="175">
        <v>0</v>
      </c>
      <c r="M59" s="175">
        <v>0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  <c r="S59" s="175">
        <v>0</v>
      </c>
      <c r="T59" s="175">
        <v>0</v>
      </c>
      <c r="U59" s="175">
        <v>0</v>
      </c>
      <c r="V59" s="175">
        <v>0</v>
      </c>
      <c r="W59" s="175">
        <v>0</v>
      </c>
      <c r="X59" s="175">
        <v>0</v>
      </c>
      <c r="Y59" s="175">
        <v>0</v>
      </c>
      <c r="Z59" s="175">
        <v>0</v>
      </c>
      <c r="AA59" s="175">
        <v>0</v>
      </c>
      <c r="AB59" s="175">
        <v>0</v>
      </c>
      <c r="AC59" s="175">
        <v>0</v>
      </c>
      <c r="AD59" s="175">
        <v>0</v>
      </c>
      <c r="AE59" s="175">
        <v>0</v>
      </c>
      <c r="AF59" s="175">
        <v>0</v>
      </c>
      <c r="AG59" s="175">
        <v>0</v>
      </c>
      <c r="AH59" s="175">
        <v>0</v>
      </c>
      <c r="AI59" s="175">
        <v>0</v>
      </c>
      <c r="AJ59" s="175">
        <v>0</v>
      </c>
      <c r="AK59" s="175">
        <v>0</v>
      </c>
      <c r="AL59" s="175">
        <v>0</v>
      </c>
      <c r="AM59" s="175">
        <v>0</v>
      </c>
      <c r="AN59" s="175">
        <v>0</v>
      </c>
      <c r="AO59" s="175">
        <v>0</v>
      </c>
      <c r="AP59" s="175">
        <v>0</v>
      </c>
      <c r="AQ59" s="175">
        <v>0</v>
      </c>
      <c r="AR59" s="175">
        <v>0</v>
      </c>
      <c r="AS59" s="126"/>
      <c r="AT59" s="179">
        <f t="shared" si="0"/>
        <v>1517.2610169222601</v>
      </c>
    </row>
    <row r="60" spans="1:54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76">
        <v>0</v>
      </c>
      <c r="G60" s="175">
        <v>0</v>
      </c>
      <c r="H60" s="175">
        <v>0</v>
      </c>
      <c r="I60" s="175">
        <v>0</v>
      </c>
      <c r="J60" s="175">
        <v>0</v>
      </c>
      <c r="K60" s="175">
        <v>1322.3309096620601</v>
      </c>
      <c r="L60" s="175">
        <v>0</v>
      </c>
      <c r="M60" s="175">
        <v>0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  <c r="S60" s="175">
        <v>0</v>
      </c>
      <c r="T60" s="175">
        <v>0</v>
      </c>
      <c r="U60" s="175">
        <v>0</v>
      </c>
      <c r="V60" s="175">
        <v>0</v>
      </c>
      <c r="W60" s="175">
        <v>0</v>
      </c>
      <c r="X60" s="175">
        <v>0</v>
      </c>
      <c r="Y60" s="175">
        <v>0</v>
      </c>
      <c r="Z60" s="175">
        <v>0</v>
      </c>
      <c r="AA60" s="175">
        <v>0</v>
      </c>
      <c r="AB60" s="175">
        <v>0</v>
      </c>
      <c r="AC60" s="175">
        <v>0</v>
      </c>
      <c r="AD60" s="175">
        <v>0</v>
      </c>
      <c r="AE60" s="175">
        <v>0</v>
      </c>
      <c r="AF60" s="175">
        <v>0</v>
      </c>
      <c r="AG60" s="175">
        <v>0</v>
      </c>
      <c r="AH60" s="175">
        <v>0</v>
      </c>
      <c r="AI60" s="175">
        <v>0</v>
      </c>
      <c r="AJ60" s="175">
        <v>0</v>
      </c>
      <c r="AK60" s="175">
        <v>0</v>
      </c>
      <c r="AL60" s="175">
        <v>0</v>
      </c>
      <c r="AM60" s="175">
        <v>0</v>
      </c>
      <c r="AN60" s="175">
        <v>0</v>
      </c>
      <c r="AO60" s="175">
        <v>0</v>
      </c>
      <c r="AP60" s="175">
        <v>0</v>
      </c>
      <c r="AQ60" s="175">
        <v>0</v>
      </c>
      <c r="AR60" s="175">
        <v>0</v>
      </c>
      <c r="AS60" s="126"/>
      <c r="AT60" s="179">
        <f t="shared" si="0"/>
        <v>1322.3309096620601</v>
      </c>
    </row>
    <row r="61" spans="1:54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76">
        <v>0</v>
      </c>
      <c r="G61" s="175">
        <v>0</v>
      </c>
      <c r="H61" s="175">
        <v>0</v>
      </c>
      <c r="I61" s="175">
        <v>0</v>
      </c>
      <c r="J61" s="175">
        <v>0</v>
      </c>
      <c r="K61" s="175">
        <v>1297.12367380203</v>
      </c>
      <c r="L61" s="175">
        <v>0</v>
      </c>
      <c r="M61" s="175">
        <v>0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  <c r="S61" s="175">
        <v>0</v>
      </c>
      <c r="T61" s="175">
        <v>0</v>
      </c>
      <c r="U61" s="175">
        <v>0</v>
      </c>
      <c r="V61" s="175">
        <v>0</v>
      </c>
      <c r="W61" s="175">
        <v>0</v>
      </c>
      <c r="X61" s="175">
        <v>0</v>
      </c>
      <c r="Y61" s="175">
        <v>0</v>
      </c>
      <c r="Z61" s="175">
        <v>0</v>
      </c>
      <c r="AA61" s="175">
        <v>0</v>
      </c>
      <c r="AB61" s="175">
        <v>0</v>
      </c>
      <c r="AC61" s="175">
        <v>0</v>
      </c>
      <c r="AD61" s="175">
        <v>0</v>
      </c>
      <c r="AE61" s="175">
        <v>0</v>
      </c>
      <c r="AF61" s="175">
        <v>0</v>
      </c>
      <c r="AG61" s="175">
        <v>0</v>
      </c>
      <c r="AH61" s="175">
        <v>0</v>
      </c>
      <c r="AI61" s="175">
        <v>0</v>
      </c>
      <c r="AJ61" s="175">
        <v>0</v>
      </c>
      <c r="AK61" s="175">
        <v>0</v>
      </c>
      <c r="AL61" s="175">
        <v>0</v>
      </c>
      <c r="AM61" s="175">
        <v>0</v>
      </c>
      <c r="AN61" s="175">
        <v>0</v>
      </c>
      <c r="AO61" s="175">
        <v>0</v>
      </c>
      <c r="AP61" s="175">
        <v>0</v>
      </c>
      <c r="AQ61" s="175">
        <v>0</v>
      </c>
      <c r="AR61" s="175">
        <v>0</v>
      </c>
      <c r="AS61" s="126"/>
      <c r="AT61" s="179">
        <f t="shared" si="0"/>
        <v>1297.12367380203</v>
      </c>
    </row>
    <row r="62" spans="1:54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76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0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  <c r="S62" s="175">
        <v>0</v>
      </c>
      <c r="T62" s="175">
        <v>0</v>
      </c>
      <c r="U62" s="175">
        <v>0</v>
      </c>
      <c r="V62" s="175">
        <v>0</v>
      </c>
      <c r="W62" s="175">
        <v>0</v>
      </c>
      <c r="X62" s="175">
        <v>0</v>
      </c>
      <c r="Y62" s="175">
        <v>0</v>
      </c>
      <c r="Z62" s="175">
        <v>0</v>
      </c>
      <c r="AA62" s="175">
        <v>0</v>
      </c>
      <c r="AB62" s="175">
        <v>0</v>
      </c>
      <c r="AC62" s="175">
        <v>0</v>
      </c>
      <c r="AD62" s="175">
        <v>0</v>
      </c>
      <c r="AE62" s="175">
        <v>0</v>
      </c>
      <c r="AF62" s="175">
        <v>0</v>
      </c>
      <c r="AG62" s="175">
        <v>0</v>
      </c>
      <c r="AH62" s="175">
        <v>0</v>
      </c>
      <c r="AI62" s="175">
        <v>0</v>
      </c>
      <c r="AJ62" s="175">
        <v>0</v>
      </c>
      <c r="AK62" s="175">
        <v>0</v>
      </c>
      <c r="AL62" s="175">
        <v>0</v>
      </c>
      <c r="AM62" s="175">
        <v>0</v>
      </c>
      <c r="AN62" s="175">
        <v>0</v>
      </c>
      <c r="AO62" s="175">
        <v>0</v>
      </c>
      <c r="AP62" s="175">
        <v>0</v>
      </c>
      <c r="AQ62" s="175">
        <v>0</v>
      </c>
      <c r="AR62" s="175">
        <v>0</v>
      </c>
      <c r="AS62" s="126"/>
      <c r="AT62" s="179">
        <f t="shared" si="0"/>
        <v>0</v>
      </c>
      <c r="AZ62" s="280">
        <f>SUM(AE62:AF62)</f>
        <v>0</v>
      </c>
      <c r="BA62" s="280">
        <f>SUM(U62:V62)</f>
        <v>0</v>
      </c>
      <c r="BB62" s="280">
        <f>Q62</f>
        <v>0</v>
      </c>
    </row>
    <row r="63" spans="1:54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76">
        <v>0</v>
      </c>
      <c r="G63" s="175">
        <v>0</v>
      </c>
      <c r="H63" s="175">
        <v>0</v>
      </c>
      <c r="I63" s="175">
        <v>0</v>
      </c>
      <c r="J63" s="175">
        <v>0</v>
      </c>
      <c r="K63" s="175">
        <v>0</v>
      </c>
      <c r="L63" s="175">
        <v>0</v>
      </c>
      <c r="M63" s="175">
        <v>0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  <c r="S63" s="175">
        <v>0</v>
      </c>
      <c r="T63" s="175">
        <v>0</v>
      </c>
      <c r="U63" s="175">
        <v>0</v>
      </c>
      <c r="V63" s="175">
        <v>0</v>
      </c>
      <c r="W63" s="175">
        <v>0</v>
      </c>
      <c r="X63" s="175">
        <v>0</v>
      </c>
      <c r="Y63" s="175">
        <v>0</v>
      </c>
      <c r="Z63" s="175">
        <v>0</v>
      </c>
      <c r="AA63" s="175">
        <v>0</v>
      </c>
      <c r="AB63" s="175">
        <v>0</v>
      </c>
      <c r="AC63" s="175">
        <v>0</v>
      </c>
      <c r="AD63" s="175">
        <v>0</v>
      </c>
      <c r="AE63" s="175">
        <v>0</v>
      </c>
      <c r="AF63" s="175">
        <v>0</v>
      </c>
      <c r="AG63" s="175">
        <v>0</v>
      </c>
      <c r="AH63" s="175">
        <v>0</v>
      </c>
      <c r="AI63" s="175">
        <v>0</v>
      </c>
      <c r="AJ63" s="175">
        <v>0</v>
      </c>
      <c r="AK63" s="175">
        <v>0</v>
      </c>
      <c r="AL63" s="175">
        <v>0</v>
      </c>
      <c r="AM63" s="175">
        <v>0</v>
      </c>
      <c r="AN63" s="175">
        <v>0</v>
      </c>
      <c r="AO63" s="175">
        <v>0</v>
      </c>
      <c r="AP63" s="175">
        <v>0</v>
      </c>
      <c r="AQ63" s="175">
        <v>0</v>
      </c>
      <c r="AR63" s="175">
        <v>0</v>
      </c>
      <c r="AS63" s="126"/>
      <c r="AT63" s="179">
        <f t="shared" si="0"/>
        <v>0</v>
      </c>
      <c r="AZ63" s="280">
        <f t="shared" ref="AZ63:AZ91" si="9">SUM(AE63:AF63)</f>
        <v>0</v>
      </c>
      <c r="BA63" s="280">
        <f t="shared" ref="BA63:BA91" si="10">SUM(U63:V63)</f>
        <v>0</v>
      </c>
      <c r="BB63" s="280">
        <f t="shared" ref="BB63:BB91" si="11">Q63</f>
        <v>0</v>
      </c>
    </row>
    <row r="64" spans="1:54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76">
        <v>0</v>
      </c>
      <c r="G64" s="175">
        <v>0</v>
      </c>
      <c r="H64" s="175">
        <v>0</v>
      </c>
      <c r="I64" s="175">
        <v>0</v>
      </c>
      <c r="J64" s="175">
        <v>0</v>
      </c>
      <c r="K64" s="175">
        <v>0</v>
      </c>
      <c r="L64" s="175">
        <v>0</v>
      </c>
      <c r="M64" s="175">
        <v>0</v>
      </c>
      <c r="N64" s="175">
        <v>0</v>
      </c>
      <c r="O64" s="175">
        <v>0</v>
      </c>
      <c r="P64" s="175">
        <v>0</v>
      </c>
      <c r="Q64" s="175">
        <v>0</v>
      </c>
      <c r="R64" s="175">
        <v>0</v>
      </c>
      <c r="S64" s="175">
        <v>0</v>
      </c>
      <c r="T64" s="175">
        <v>0</v>
      </c>
      <c r="U64" s="175">
        <v>0</v>
      </c>
      <c r="V64" s="175">
        <v>0</v>
      </c>
      <c r="W64" s="175">
        <v>0</v>
      </c>
      <c r="X64" s="175">
        <v>0</v>
      </c>
      <c r="Y64" s="175">
        <v>0</v>
      </c>
      <c r="Z64" s="175">
        <v>0</v>
      </c>
      <c r="AA64" s="175">
        <v>0</v>
      </c>
      <c r="AB64" s="175">
        <v>0</v>
      </c>
      <c r="AC64" s="175">
        <v>0</v>
      </c>
      <c r="AD64" s="175">
        <v>0</v>
      </c>
      <c r="AE64" s="175">
        <v>0</v>
      </c>
      <c r="AF64" s="175">
        <v>0</v>
      </c>
      <c r="AG64" s="175">
        <v>0</v>
      </c>
      <c r="AH64" s="175">
        <v>0</v>
      </c>
      <c r="AI64" s="175">
        <v>0</v>
      </c>
      <c r="AJ64" s="175">
        <v>0</v>
      </c>
      <c r="AK64" s="175">
        <v>0</v>
      </c>
      <c r="AL64" s="175">
        <v>0</v>
      </c>
      <c r="AM64" s="175">
        <v>0</v>
      </c>
      <c r="AN64" s="175">
        <v>0</v>
      </c>
      <c r="AO64" s="175">
        <v>0</v>
      </c>
      <c r="AP64" s="175">
        <v>0</v>
      </c>
      <c r="AQ64" s="175">
        <v>0</v>
      </c>
      <c r="AR64" s="175">
        <v>0</v>
      </c>
      <c r="AS64" s="126"/>
      <c r="AT64" s="179">
        <f t="shared" si="0"/>
        <v>0</v>
      </c>
      <c r="AZ64" s="280">
        <f t="shared" si="9"/>
        <v>0</v>
      </c>
      <c r="BA64" s="280">
        <f t="shared" si="10"/>
        <v>0</v>
      </c>
      <c r="BB64" s="280">
        <f t="shared" si="11"/>
        <v>0</v>
      </c>
    </row>
    <row r="65" spans="1:54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76">
        <v>0</v>
      </c>
      <c r="G65" s="175">
        <v>0</v>
      </c>
      <c r="H65" s="175">
        <v>0</v>
      </c>
      <c r="I65" s="175">
        <v>0</v>
      </c>
      <c r="J65" s="175">
        <v>0</v>
      </c>
      <c r="K65" s="175">
        <v>0</v>
      </c>
      <c r="L65" s="175">
        <v>0</v>
      </c>
      <c r="M65" s="175">
        <v>0</v>
      </c>
      <c r="N65" s="175">
        <v>0</v>
      </c>
      <c r="O65" s="175">
        <v>0</v>
      </c>
      <c r="P65" s="175">
        <v>0</v>
      </c>
      <c r="Q65" s="175">
        <v>0</v>
      </c>
      <c r="R65" s="175">
        <v>486.86247839619</v>
      </c>
      <c r="S65" s="175">
        <v>0</v>
      </c>
      <c r="T65" s="175">
        <v>0</v>
      </c>
      <c r="U65" s="175">
        <v>0</v>
      </c>
      <c r="V65" s="175">
        <v>0</v>
      </c>
      <c r="W65" s="175">
        <v>0</v>
      </c>
      <c r="X65" s="175">
        <v>0</v>
      </c>
      <c r="Y65" s="175">
        <v>0</v>
      </c>
      <c r="Z65" s="175">
        <v>0</v>
      </c>
      <c r="AA65" s="175">
        <v>0</v>
      </c>
      <c r="AB65" s="175">
        <v>0</v>
      </c>
      <c r="AC65" s="175">
        <v>0</v>
      </c>
      <c r="AD65" s="175">
        <v>0</v>
      </c>
      <c r="AE65" s="175">
        <v>0</v>
      </c>
      <c r="AF65" s="175">
        <v>0</v>
      </c>
      <c r="AG65" s="175">
        <v>0</v>
      </c>
      <c r="AH65" s="175">
        <v>0</v>
      </c>
      <c r="AI65" s="175">
        <v>0</v>
      </c>
      <c r="AJ65" s="175">
        <v>0</v>
      </c>
      <c r="AK65" s="175">
        <v>0</v>
      </c>
      <c r="AL65" s="175">
        <v>0</v>
      </c>
      <c r="AM65" s="175">
        <v>0</v>
      </c>
      <c r="AN65" s="175">
        <v>0</v>
      </c>
      <c r="AO65" s="175">
        <v>0</v>
      </c>
      <c r="AP65" s="175">
        <v>0</v>
      </c>
      <c r="AQ65" s="175">
        <v>0</v>
      </c>
      <c r="AR65" s="175">
        <v>0</v>
      </c>
      <c r="AS65" s="126"/>
      <c r="AT65" s="179">
        <f t="shared" si="0"/>
        <v>486.86247839619</v>
      </c>
      <c r="AZ65" s="280">
        <f t="shared" si="9"/>
        <v>0</v>
      </c>
      <c r="BA65" s="280">
        <f t="shared" si="10"/>
        <v>0</v>
      </c>
      <c r="BB65" s="280">
        <f t="shared" si="11"/>
        <v>0</v>
      </c>
    </row>
    <row r="66" spans="1:54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76">
        <v>0</v>
      </c>
      <c r="G66" s="175">
        <v>0</v>
      </c>
      <c r="H66" s="175">
        <v>0</v>
      </c>
      <c r="I66" s="175">
        <v>0</v>
      </c>
      <c r="J66" s="175">
        <v>0</v>
      </c>
      <c r="K66" s="175">
        <v>0</v>
      </c>
      <c r="L66" s="175">
        <v>0</v>
      </c>
      <c r="M66" s="175">
        <v>0</v>
      </c>
      <c r="N66" s="175">
        <v>0</v>
      </c>
      <c r="O66" s="175">
        <v>0</v>
      </c>
      <c r="P66" s="175">
        <v>0</v>
      </c>
      <c r="Q66" s="175">
        <v>0</v>
      </c>
      <c r="R66" s="175">
        <v>748.77952137857005</v>
      </c>
      <c r="S66" s="175">
        <v>0</v>
      </c>
      <c r="T66" s="175">
        <v>0</v>
      </c>
      <c r="U66" s="175">
        <v>0</v>
      </c>
      <c r="V66" s="175">
        <v>0</v>
      </c>
      <c r="W66" s="175">
        <v>0</v>
      </c>
      <c r="X66" s="175">
        <v>0</v>
      </c>
      <c r="Y66" s="175">
        <v>0</v>
      </c>
      <c r="Z66" s="175">
        <v>0</v>
      </c>
      <c r="AA66" s="175">
        <v>0</v>
      </c>
      <c r="AB66" s="175">
        <v>0</v>
      </c>
      <c r="AC66" s="175">
        <v>0</v>
      </c>
      <c r="AD66" s="175">
        <v>0</v>
      </c>
      <c r="AE66" s="175">
        <v>0</v>
      </c>
      <c r="AF66" s="175">
        <v>0</v>
      </c>
      <c r="AG66" s="175">
        <v>0</v>
      </c>
      <c r="AH66" s="175">
        <v>0</v>
      </c>
      <c r="AI66" s="175">
        <v>0</v>
      </c>
      <c r="AJ66" s="175">
        <v>0</v>
      </c>
      <c r="AK66" s="175">
        <v>0</v>
      </c>
      <c r="AL66" s="175">
        <v>0</v>
      </c>
      <c r="AM66" s="175">
        <v>0</v>
      </c>
      <c r="AN66" s="175">
        <v>0</v>
      </c>
      <c r="AO66" s="175">
        <v>0</v>
      </c>
      <c r="AP66" s="175">
        <v>0</v>
      </c>
      <c r="AQ66" s="175">
        <v>0</v>
      </c>
      <c r="AR66" s="175">
        <v>0</v>
      </c>
      <c r="AS66" s="126"/>
      <c r="AT66" s="179">
        <f t="shared" ref="AT66:AT129" si="12">SUM(G66:AR66)</f>
        <v>748.77952137857005</v>
      </c>
      <c r="AZ66" s="280">
        <f t="shared" si="9"/>
        <v>0</v>
      </c>
      <c r="BA66" s="280">
        <f t="shared" si="10"/>
        <v>0</v>
      </c>
      <c r="BB66" s="280">
        <f t="shared" si="11"/>
        <v>0</v>
      </c>
    </row>
    <row r="67" spans="1:54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76">
        <v>0</v>
      </c>
      <c r="G67" s="175">
        <v>0</v>
      </c>
      <c r="H67" s="175">
        <v>0</v>
      </c>
      <c r="I67" s="175">
        <v>0</v>
      </c>
      <c r="J67" s="175">
        <v>0</v>
      </c>
      <c r="K67" s="175">
        <v>0</v>
      </c>
      <c r="L67" s="175">
        <v>0</v>
      </c>
      <c r="M67" s="175">
        <v>0</v>
      </c>
      <c r="N67" s="175">
        <v>0</v>
      </c>
      <c r="O67" s="175">
        <v>0</v>
      </c>
      <c r="P67" s="175">
        <v>0</v>
      </c>
      <c r="Q67" s="175">
        <v>0</v>
      </c>
      <c r="R67" s="175">
        <v>767.76392488033002</v>
      </c>
      <c r="S67" s="175">
        <v>0</v>
      </c>
      <c r="T67" s="175">
        <v>0</v>
      </c>
      <c r="U67" s="175">
        <v>0</v>
      </c>
      <c r="V67" s="175">
        <v>0</v>
      </c>
      <c r="W67" s="175">
        <v>0</v>
      </c>
      <c r="X67" s="175">
        <v>0</v>
      </c>
      <c r="Y67" s="175">
        <v>0</v>
      </c>
      <c r="Z67" s="175">
        <v>0</v>
      </c>
      <c r="AA67" s="175">
        <v>0</v>
      </c>
      <c r="AB67" s="175">
        <v>0</v>
      </c>
      <c r="AC67" s="175">
        <v>0</v>
      </c>
      <c r="AD67" s="175">
        <v>0</v>
      </c>
      <c r="AE67" s="175">
        <v>0</v>
      </c>
      <c r="AF67" s="175">
        <v>0</v>
      </c>
      <c r="AG67" s="175">
        <v>0</v>
      </c>
      <c r="AH67" s="175">
        <v>0</v>
      </c>
      <c r="AI67" s="175">
        <v>0</v>
      </c>
      <c r="AJ67" s="175">
        <v>0</v>
      </c>
      <c r="AK67" s="175">
        <v>0</v>
      </c>
      <c r="AL67" s="175">
        <v>0</v>
      </c>
      <c r="AM67" s="175">
        <v>0</v>
      </c>
      <c r="AN67" s="175">
        <v>0</v>
      </c>
      <c r="AO67" s="175">
        <v>0</v>
      </c>
      <c r="AP67" s="175">
        <v>0</v>
      </c>
      <c r="AQ67" s="175">
        <v>0</v>
      </c>
      <c r="AR67" s="175">
        <v>0</v>
      </c>
      <c r="AS67" s="126"/>
      <c r="AT67" s="179">
        <f t="shared" si="12"/>
        <v>767.76392488033002</v>
      </c>
      <c r="AZ67" s="280">
        <f t="shared" si="9"/>
        <v>0</v>
      </c>
      <c r="BA67" s="280">
        <f t="shared" si="10"/>
        <v>0</v>
      </c>
      <c r="BB67" s="280">
        <f t="shared" si="11"/>
        <v>0</v>
      </c>
    </row>
    <row r="68" spans="1:54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76">
        <v>0</v>
      </c>
      <c r="G68" s="175">
        <v>0</v>
      </c>
      <c r="H68" s="175">
        <v>0</v>
      </c>
      <c r="I68" s="175">
        <v>0</v>
      </c>
      <c r="J68" s="175">
        <v>0</v>
      </c>
      <c r="K68" s="175">
        <v>0</v>
      </c>
      <c r="L68" s="175">
        <v>0</v>
      </c>
      <c r="M68" s="175">
        <v>0</v>
      </c>
      <c r="N68" s="175">
        <v>0</v>
      </c>
      <c r="O68" s="175">
        <v>0</v>
      </c>
      <c r="P68" s="175">
        <v>0</v>
      </c>
      <c r="Q68" s="175">
        <v>0</v>
      </c>
      <c r="R68" s="175">
        <v>788.15371282766</v>
      </c>
      <c r="S68" s="175">
        <v>0</v>
      </c>
      <c r="T68" s="175">
        <v>0</v>
      </c>
      <c r="U68" s="175">
        <v>0</v>
      </c>
      <c r="V68" s="175">
        <v>0</v>
      </c>
      <c r="W68" s="175">
        <v>0</v>
      </c>
      <c r="X68" s="175">
        <v>0</v>
      </c>
      <c r="Y68" s="175">
        <v>0</v>
      </c>
      <c r="Z68" s="175">
        <v>0</v>
      </c>
      <c r="AA68" s="175">
        <v>0</v>
      </c>
      <c r="AB68" s="175">
        <v>0</v>
      </c>
      <c r="AC68" s="175">
        <v>0</v>
      </c>
      <c r="AD68" s="175">
        <v>0</v>
      </c>
      <c r="AE68" s="175">
        <v>0</v>
      </c>
      <c r="AF68" s="175">
        <v>0</v>
      </c>
      <c r="AG68" s="175">
        <v>0</v>
      </c>
      <c r="AH68" s="175">
        <v>0</v>
      </c>
      <c r="AI68" s="175">
        <v>0</v>
      </c>
      <c r="AJ68" s="175">
        <v>0</v>
      </c>
      <c r="AK68" s="175">
        <v>0</v>
      </c>
      <c r="AL68" s="175">
        <v>0</v>
      </c>
      <c r="AM68" s="175">
        <v>0</v>
      </c>
      <c r="AN68" s="175">
        <v>0</v>
      </c>
      <c r="AO68" s="175">
        <v>0</v>
      </c>
      <c r="AP68" s="175">
        <v>0</v>
      </c>
      <c r="AQ68" s="175">
        <v>0</v>
      </c>
      <c r="AR68" s="175">
        <v>0</v>
      </c>
      <c r="AS68" s="126"/>
      <c r="AT68" s="179">
        <f t="shared" si="12"/>
        <v>788.15371282766</v>
      </c>
      <c r="AZ68" s="280">
        <f t="shared" si="9"/>
        <v>0</v>
      </c>
      <c r="BA68" s="280">
        <f t="shared" si="10"/>
        <v>0</v>
      </c>
      <c r="BB68" s="280">
        <f t="shared" si="11"/>
        <v>0</v>
      </c>
    </row>
    <row r="69" spans="1:54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76">
        <v>0</v>
      </c>
      <c r="G69" s="175">
        <v>0</v>
      </c>
      <c r="H69" s="175">
        <v>0</v>
      </c>
      <c r="I69" s="175">
        <v>0</v>
      </c>
      <c r="J69" s="175">
        <v>0</v>
      </c>
      <c r="K69" s="175">
        <v>0</v>
      </c>
      <c r="L69" s="175">
        <v>0</v>
      </c>
      <c r="M69" s="175">
        <v>0</v>
      </c>
      <c r="N69" s="175">
        <v>0</v>
      </c>
      <c r="O69" s="175">
        <v>0</v>
      </c>
      <c r="P69" s="175">
        <v>0</v>
      </c>
      <c r="Q69" s="175">
        <v>0</v>
      </c>
      <c r="R69" s="175">
        <v>1074.58358198822</v>
      </c>
      <c r="S69" s="175">
        <v>0</v>
      </c>
      <c r="T69" s="175">
        <v>0</v>
      </c>
      <c r="U69" s="175">
        <v>0</v>
      </c>
      <c r="V69" s="175">
        <v>0</v>
      </c>
      <c r="W69" s="175">
        <v>0</v>
      </c>
      <c r="X69" s="175">
        <v>0</v>
      </c>
      <c r="Y69" s="175">
        <v>0</v>
      </c>
      <c r="Z69" s="175">
        <v>0</v>
      </c>
      <c r="AA69" s="175">
        <v>0</v>
      </c>
      <c r="AB69" s="175">
        <v>0</v>
      </c>
      <c r="AC69" s="175">
        <v>0</v>
      </c>
      <c r="AD69" s="175">
        <v>0</v>
      </c>
      <c r="AE69" s="175">
        <v>0</v>
      </c>
      <c r="AF69" s="175">
        <v>0</v>
      </c>
      <c r="AG69" s="175">
        <v>0</v>
      </c>
      <c r="AH69" s="175">
        <v>0</v>
      </c>
      <c r="AI69" s="175">
        <v>0</v>
      </c>
      <c r="AJ69" s="175">
        <v>0</v>
      </c>
      <c r="AK69" s="175">
        <v>0</v>
      </c>
      <c r="AL69" s="175">
        <v>0</v>
      </c>
      <c r="AM69" s="175">
        <v>0</v>
      </c>
      <c r="AN69" s="175">
        <v>0</v>
      </c>
      <c r="AO69" s="175">
        <v>0</v>
      </c>
      <c r="AP69" s="175">
        <v>0</v>
      </c>
      <c r="AQ69" s="175">
        <v>0</v>
      </c>
      <c r="AR69" s="175">
        <v>0</v>
      </c>
      <c r="AS69" s="126"/>
      <c r="AT69" s="179">
        <f t="shared" si="12"/>
        <v>1074.58358198822</v>
      </c>
      <c r="AZ69" s="280">
        <f t="shared" si="9"/>
        <v>0</v>
      </c>
      <c r="BA69" s="280">
        <f t="shared" si="10"/>
        <v>0</v>
      </c>
      <c r="BB69" s="280">
        <f t="shared" si="11"/>
        <v>0</v>
      </c>
    </row>
    <row r="70" spans="1:54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76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0</v>
      </c>
      <c r="L70" s="175">
        <v>0</v>
      </c>
      <c r="M70" s="175">
        <v>0</v>
      </c>
      <c r="N70" s="175">
        <v>0</v>
      </c>
      <c r="O70" s="175">
        <v>0</v>
      </c>
      <c r="P70" s="175">
        <v>0</v>
      </c>
      <c r="Q70" s="175">
        <v>0</v>
      </c>
      <c r="R70" s="175">
        <v>1100.64823833988</v>
      </c>
      <c r="S70" s="175">
        <v>0</v>
      </c>
      <c r="T70" s="175">
        <v>0</v>
      </c>
      <c r="U70" s="175">
        <v>0</v>
      </c>
      <c r="V70" s="175">
        <v>0</v>
      </c>
      <c r="W70" s="175">
        <v>0</v>
      </c>
      <c r="X70" s="175">
        <v>0</v>
      </c>
      <c r="Y70" s="175">
        <v>0</v>
      </c>
      <c r="Z70" s="175">
        <v>0</v>
      </c>
      <c r="AA70" s="175">
        <v>0</v>
      </c>
      <c r="AB70" s="175">
        <v>0</v>
      </c>
      <c r="AC70" s="175">
        <v>0</v>
      </c>
      <c r="AD70" s="175">
        <v>0</v>
      </c>
      <c r="AE70" s="175">
        <v>0</v>
      </c>
      <c r="AF70" s="175">
        <v>0</v>
      </c>
      <c r="AG70" s="175">
        <v>0</v>
      </c>
      <c r="AH70" s="175">
        <v>0</v>
      </c>
      <c r="AI70" s="175">
        <v>0</v>
      </c>
      <c r="AJ70" s="175">
        <v>0</v>
      </c>
      <c r="AK70" s="175">
        <v>0</v>
      </c>
      <c r="AL70" s="175">
        <v>0</v>
      </c>
      <c r="AM70" s="175">
        <v>0</v>
      </c>
      <c r="AN70" s="175">
        <v>0</v>
      </c>
      <c r="AO70" s="175">
        <v>0</v>
      </c>
      <c r="AP70" s="175">
        <v>0</v>
      </c>
      <c r="AQ70" s="175">
        <v>0</v>
      </c>
      <c r="AR70" s="175">
        <v>0</v>
      </c>
      <c r="AS70" s="126"/>
      <c r="AT70" s="179">
        <f t="shared" si="12"/>
        <v>1100.64823833988</v>
      </c>
      <c r="AZ70" s="280">
        <f t="shared" si="9"/>
        <v>0</v>
      </c>
      <c r="BA70" s="280">
        <f t="shared" si="10"/>
        <v>0</v>
      </c>
      <c r="BB70" s="280">
        <f t="shared" si="11"/>
        <v>0</v>
      </c>
    </row>
    <row r="71" spans="1:54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76">
        <v>0</v>
      </c>
      <c r="G71" s="175">
        <v>0</v>
      </c>
      <c r="H71" s="175">
        <v>0</v>
      </c>
      <c r="I71" s="175">
        <v>0</v>
      </c>
      <c r="J71" s="175">
        <v>0</v>
      </c>
      <c r="K71" s="175">
        <v>0</v>
      </c>
      <c r="L71" s="175">
        <v>0</v>
      </c>
      <c r="M71" s="175">
        <v>0</v>
      </c>
      <c r="N71" s="175">
        <v>0</v>
      </c>
      <c r="O71" s="175">
        <v>0</v>
      </c>
      <c r="P71" s="175">
        <v>0</v>
      </c>
      <c r="Q71" s="175">
        <v>0</v>
      </c>
      <c r="R71" s="175">
        <v>1405.1096965792401</v>
      </c>
      <c r="S71" s="175">
        <v>0</v>
      </c>
      <c r="T71" s="175">
        <v>0</v>
      </c>
      <c r="U71" s="175">
        <v>0</v>
      </c>
      <c r="V71" s="175">
        <v>0</v>
      </c>
      <c r="W71" s="175">
        <v>0</v>
      </c>
      <c r="X71" s="175">
        <v>0</v>
      </c>
      <c r="Y71" s="175">
        <v>0</v>
      </c>
      <c r="Z71" s="175">
        <v>0</v>
      </c>
      <c r="AA71" s="175">
        <v>0</v>
      </c>
      <c r="AB71" s="175">
        <v>0</v>
      </c>
      <c r="AC71" s="175">
        <v>0</v>
      </c>
      <c r="AD71" s="175">
        <v>0</v>
      </c>
      <c r="AE71" s="175">
        <v>0</v>
      </c>
      <c r="AF71" s="175">
        <v>0</v>
      </c>
      <c r="AG71" s="175">
        <v>0</v>
      </c>
      <c r="AH71" s="175">
        <v>0</v>
      </c>
      <c r="AI71" s="175">
        <v>0</v>
      </c>
      <c r="AJ71" s="175">
        <v>0</v>
      </c>
      <c r="AK71" s="175">
        <v>0</v>
      </c>
      <c r="AL71" s="175">
        <v>0</v>
      </c>
      <c r="AM71" s="175">
        <v>0</v>
      </c>
      <c r="AN71" s="175">
        <v>0</v>
      </c>
      <c r="AO71" s="175">
        <v>0</v>
      </c>
      <c r="AP71" s="175">
        <v>0</v>
      </c>
      <c r="AQ71" s="175">
        <v>0</v>
      </c>
      <c r="AR71" s="175">
        <v>0</v>
      </c>
      <c r="AS71" s="126"/>
      <c r="AT71" s="179">
        <f t="shared" si="12"/>
        <v>1405.1096965792401</v>
      </c>
      <c r="AZ71" s="280">
        <f t="shared" si="9"/>
        <v>0</v>
      </c>
      <c r="BA71" s="280">
        <f t="shared" si="10"/>
        <v>0</v>
      </c>
      <c r="BB71" s="280">
        <f t="shared" si="11"/>
        <v>0</v>
      </c>
    </row>
    <row r="72" spans="1:54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76">
        <v>0</v>
      </c>
      <c r="G72" s="175">
        <v>0</v>
      </c>
      <c r="H72" s="175">
        <v>0</v>
      </c>
      <c r="I72" s="175">
        <v>0</v>
      </c>
      <c r="J72" s="175">
        <v>0</v>
      </c>
      <c r="K72" s="175">
        <v>0</v>
      </c>
      <c r="L72" s="175">
        <v>0</v>
      </c>
      <c r="M72" s="175">
        <v>0</v>
      </c>
      <c r="N72" s="175">
        <v>0</v>
      </c>
      <c r="O72" s="175">
        <v>0</v>
      </c>
      <c r="P72" s="175">
        <v>0</v>
      </c>
      <c r="Q72" s="175">
        <v>0</v>
      </c>
      <c r="R72" s="175">
        <v>1724.2881945529</v>
      </c>
      <c r="S72" s="175">
        <v>0</v>
      </c>
      <c r="T72" s="175">
        <v>0</v>
      </c>
      <c r="U72" s="175">
        <v>0</v>
      </c>
      <c r="V72" s="175">
        <v>0</v>
      </c>
      <c r="W72" s="175">
        <v>0</v>
      </c>
      <c r="X72" s="175">
        <v>0</v>
      </c>
      <c r="Y72" s="175">
        <v>0</v>
      </c>
      <c r="Z72" s="175">
        <v>0</v>
      </c>
      <c r="AA72" s="175">
        <v>0</v>
      </c>
      <c r="AB72" s="175">
        <v>0</v>
      </c>
      <c r="AC72" s="175">
        <v>0</v>
      </c>
      <c r="AD72" s="175">
        <v>0</v>
      </c>
      <c r="AE72" s="175">
        <v>0</v>
      </c>
      <c r="AF72" s="175">
        <v>0</v>
      </c>
      <c r="AG72" s="175">
        <v>0</v>
      </c>
      <c r="AH72" s="175">
        <v>0</v>
      </c>
      <c r="AI72" s="175">
        <v>0</v>
      </c>
      <c r="AJ72" s="175">
        <v>0</v>
      </c>
      <c r="AK72" s="175">
        <v>0</v>
      </c>
      <c r="AL72" s="175">
        <v>0</v>
      </c>
      <c r="AM72" s="175">
        <v>0</v>
      </c>
      <c r="AN72" s="175">
        <v>0</v>
      </c>
      <c r="AO72" s="175">
        <v>0</v>
      </c>
      <c r="AP72" s="175">
        <v>0</v>
      </c>
      <c r="AQ72" s="175">
        <v>0</v>
      </c>
      <c r="AR72" s="175">
        <v>0</v>
      </c>
      <c r="AS72" s="126"/>
      <c r="AT72" s="179">
        <f t="shared" si="12"/>
        <v>1724.2881945529</v>
      </c>
      <c r="AZ72" s="280">
        <f t="shared" si="9"/>
        <v>0</v>
      </c>
      <c r="BA72" s="280">
        <f t="shared" si="10"/>
        <v>0</v>
      </c>
      <c r="BB72" s="280">
        <f t="shared" si="11"/>
        <v>0</v>
      </c>
    </row>
    <row r="73" spans="1:54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76">
        <v>0</v>
      </c>
      <c r="G73" s="175">
        <v>0</v>
      </c>
      <c r="H73" s="175">
        <v>0</v>
      </c>
      <c r="I73" s="175">
        <v>0</v>
      </c>
      <c r="J73" s="175">
        <v>0</v>
      </c>
      <c r="K73" s="175">
        <v>230.13765654941</v>
      </c>
      <c r="L73" s="175">
        <v>0</v>
      </c>
      <c r="M73" s="175">
        <v>0</v>
      </c>
      <c r="N73" s="175">
        <v>0</v>
      </c>
      <c r="O73" s="175">
        <v>0</v>
      </c>
      <c r="P73" s="175">
        <v>0</v>
      </c>
      <c r="Q73" s="175">
        <v>0</v>
      </c>
      <c r="R73" s="175">
        <v>2053.0475993738301</v>
      </c>
      <c r="S73" s="175">
        <v>0</v>
      </c>
      <c r="T73" s="175">
        <v>0</v>
      </c>
      <c r="U73" s="175">
        <v>0</v>
      </c>
      <c r="V73" s="175">
        <v>0</v>
      </c>
      <c r="W73" s="175">
        <v>0</v>
      </c>
      <c r="X73" s="175">
        <v>0</v>
      </c>
      <c r="Y73" s="175">
        <v>0</v>
      </c>
      <c r="Z73" s="175">
        <v>0</v>
      </c>
      <c r="AA73" s="175">
        <v>0</v>
      </c>
      <c r="AB73" s="175">
        <v>0</v>
      </c>
      <c r="AC73" s="175">
        <v>0</v>
      </c>
      <c r="AD73" s="175">
        <v>0</v>
      </c>
      <c r="AE73" s="175">
        <v>0</v>
      </c>
      <c r="AF73" s="175">
        <v>0</v>
      </c>
      <c r="AG73" s="175">
        <v>0</v>
      </c>
      <c r="AH73" s="175">
        <v>0</v>
      </c>
      <c r="AI73" s="175">
        <v>0</v>
      </c>
      <c r="AJ73" s="175">
        <v>0</v>
      </c>
      <c r="AK73" s="175">
        <v>0</v>
      </c>
      <c r="AL73" s="175">
        <v>0</v>
      </c>
      <c r="AM73" s="175">
        <v>0</v>
      </c>
      <c r="AN73" s="175">
        <v>0</v>
      </c>
      <c r="AO73" s="175">
        <v>0</v>
      </c>
      <c r="AP73" s="175">
        <v>0</v>
      </c>
      <c r="AQ73" s="175">
        <v>0</v>
      </c>
      <c r="AR73" s="175">
        <v>0</v>
      </c>
      <c r="AS73" s="126"/>
      <c r="AT73" s="179">
        <f t="shared" si="12"/>
        <v>2283.1852559232402</v>
      </c>
      <c r="AZ73" s="280">
        <f t="shared" si="9"/>
        <v>0</v>
      </c>
      <c r="BA73" s="280">
        <f t="shared" si="10"/>
        <v>0</v>
      </c>
      <c r="BB73" s="280">
        <f t="shared" si="11"/>
        <v>0</v>
      </c>
    </row>
    <row r="74" spans="1:54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76">
        <v>0</v>
      </c>
      <c r="G74" s="175">
        <v>0</v>
      </c>
      <c r="H74" s="175">
        <v>0</v>
      </c>
      <c r="I74" s="175">
        <v>0</v>
      </c>
      <c r="J74" s="175">
        <v>0</v>
      </c>
      <c r="K74" s="175">
        <v>246.43504627563999</v>
      </c>
      <c r="L74" s="175">
        <v>0</v>
      </c>
      <c r="M74" s="175">
        <v>0</v>
      </c>
      <c r="N74" s="175">
        <v>0</v>
      </c>
      <c r="O74" s="175">
        <v>0</v>
      </c>
      <c r="P74" s="175">
        <v>0</v>
      </c>
      <c r="Q74" s="175">
        <v>0</v>
      </c>
      <c r="R74" s="175">
        <v>2101.3498837114298</v>
      </c>
      <c r="S74" s="175">
        <v>0</v>
      </c>
      <c r="T74" s="175">
        <v>0</v>
      </c>
      <c r="U74" s="175">
        <v>0</v>
      </c>
      <c r="V74" s="175">
        <v>0</v>
      </c>
      <c r="W74" s="175">
        <v>0</v>
      </c>
      <c r="X74" s="175">
        <v>0</v>
      </c>
      <c r="Y74" s="175">
        <v>0</v>
      </c>
      <c r="Z74" s="175">
        <v>0</v>
      </c>
      <c r="AA74" s="175">
        <v>0</v>
      </c>
      <c r="AB74" s="175">
        <v>0</v>
      </c>
      <c r="AC74" s="175">
        <v>0</v>
      </c>
      <c r="AD74" s="175">
        <v>0</v>
      </c>
      <c r="AE74" s="175">
        <v>0</v>
      </c>
      <c r="AF74" s="175">
        <v>0</v>
      </c>
      <c r="AG74" s="175">
        <v>0</v>
      </c>
      <c r="AH74" s="175">
        <v>0</v>
      </c>
      <c r="AI74" s="175">
        <v>0</v>
      </c>
      <c r="AJ74" s="175">
        <v>0</v>
      </c>
      <c r="AK74" s="175">
        <v>0</v>
      </c>
      <c r="AL74" s="175">
        <v>0</v>
      </c>
      <c r="AM74" s="175">
        <v>0</v>
      </c>
      <c r="AN74" s="175">
        <v>0</v>
      </c>
      <c r="AO74" s="175">
        <v>0</v>
      </c>
      <c r="AP74" s="175">
        <v>0</v>
      </c>
      <c r="AQ74" s="175">
        <v>0</v>
      </c>
      <c r="AR74" s="175">
        <v>0</v>
      </c>
      <c r="AS74" s="126"/>
      <c r="AT74" s="179">
        <f t="shared" si="12"/>
        <v>2347.78492998707</v>
      </c>
      <c r="AZ74" s="280">
        <f t="shared" si="9"/>
        <v>0</v>
      </c>
      <c r="BA74" s="280">
        <f t="shared" si="10"/>
        <v>0</v>
      </c>
      <c r="BB74" s="280">
        <f t="shared" si="11"/>
        <v>0</v>
      </c>
    </row>
    <row r="75" spans="1:54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76">
        <v>0</v>
      </c>
      <c r="G75" s="175">
        <v>0</v>
      </c>
      <c r="H75" s="175">
        <v>0</v>
      </c>
      <c r="I75" s="175">
        <v>0</v>
      </c>
      <c r="J75" s="175">
        <v>0</v>
      </c>
      <c r="K75" s="175">
        <v>244.56848925313</v>
      </c>
      <c r="L75" s="175">
        <v>0</v>
      </c>
      <c r="M75" s="175">
        <v>0</v>
      </c>
      <c r="N75" s="175">
        <v>0</v>
      </c>
      <c r="O75" s="175">
        <v>0</v>
      </c>
      <c r="P75" s="175">
        <v>0</v>
      </c>
      <c r="Q75" s="175">
        <v>0</v>
      </c>
      <c r="R75" s="175">
        <v>2454.6931416622901</v>
      </c>
      <c r="S75" s="175">
        <v>0</v>
      </c>
      <c r="T75" s="175">
        <v>0</v>
      </c>
      <c r="U75" s="175">
        <v>0</v>
      </c>
      <c r="V75" s="175">
        <v>0</v>
      </c>
      <c r="W75" s="175">
        <v>0</v>
      </c>
      <c r="X75" s="175">
        <v>0</v>
      </c>
      <c r="Y75" s="175">
        <v>0</v>
      </c>
      <c r="Z75" s="175">
        <v>0</v>
      </c>
      <c r="AA75" s="175">
        <v>0</v>
      </c>
      <c r="AB75" s="175">
        <v>0</v>
      </c>
      <c r="AC75" s="175">
        <v>0</v>
      </c>
      <c r="AD75" s="175">
        <v>0</v>
      </c>
      <c r="AE75" s="175">
        <v>0</v>
      </c>
      <c r="AF75" s="175">
        <v>0</v>
      </c>
      <c r="AG75" s="175">
        <v>0</v>
      </c>
      <c r="AH75" s="175">
        <v>0</v>
      </c>
      <c r="AI75" s="175">
        <v>0</v>
      </c>
      <c r="AJ75" s="175">
        <v>0</v>
      </c>
      <c r="AK75" s="175">
        <v>0</v>
      </c>
      <c r="AL75" s="175">
        <v>0</v>
      </c>
      <c r="AM75" s="175">
        <v>0</v>
      </c>
      <c r="AN75" s="175">
        <v>0</v>
      </c>
      <c r="AO75" s="175">
        <v>0</v>
      </c>
      <c r="AP75" s="175">
        <v>0</v>
      </c>
      <c r="AQ75" s="175">
        <v>0</v>
      </c>
      <c r="AR75" s="175">
        <v>0</v>
      </c>
      <c r="AS75" s="126"/>
      <c r="AT75" s="179">
        <f t="shared" si="12"/>
        <v>2699.26163091542</v>
      </c>
      <c r="AZ75" s="280">
        <f t="shared" si="9"/>
        <v>0</v>
      </c>
      <c r="BA75" s="280">
        <f t="shared" si="10"/>
        <v>0</v>
      </c>
      <c r="BB75" s="280">
        <f t="shared" si="11"/>
        <v>0</v>
      </c>
    </row>
    <row r="76" spans="1:54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76">
        <v>0</v>
      </c>
      <c r="G76" s="175">
        <v>0</v>
      </c>
      <c r="H76" s="175">
        <v>0</v>
      </c>
      <c r="I76" s="175">
        <v>0</v>
      </c>
      <c r="J76" s="175">
        <v>0</v>
      </c>
      <c r="K76" s="175">
        <v>229.15257761688</v>
      </c>
      <c r="L76" s="175">
        <v>0</v>
      </c>
      <c r="M76" s="175">
        <v>0</v>
      </c>
      <c r="N76" s="175">
        <v>0</v>
      </c>
      <c r="O76" s="175">
        <v>0</v>
      </c>
      <c r="P76" s="175">
        <v>0</v>
      </c>
      <c r="Q76" s="175">
        <v>0</v>
      </c>
      <c r="R76" s="175">
        <v>2830.49311317102</v>
      </c>
      <c r="S76" s="175">
        <v>0</v>
      </c>
      <c r="T76" s="175">
        <v>0</v>
      </c>
      <c r="U76" s="175">
        <v>0</v>
      </c>
      <c r="V76" s="175">
        <v>0</v>
      </c>
      <c r="W76" s="175">
        <v>0</v>
      </c>
      <c r="X76" s="175">
        <v>0</v>
      </c>
      <c r="Y76" s="175">
        <v>0</v>
      </c>
      <c r="Z76" s="175">
        <v>0</v>
      </c>
      <c r="AA76" s="175">
        <v>0</v>
      </c>
      <c r="AB76" s="175">
        <v>0</v>
      </c>
      <c r="AC76" s="175">
        <v>0</v>
      </c>
      <c r="AD76" s="175">
        <v>0</v>
      </c>
      <c r="AE76" s="175">
        <v>0</v>
      </c>
      <c r="AF76" s="175">
        <v>0</v>
      </c>
      <c r="AG76" s="175">
        <v>0</v>
      </c>
      <c r="AH76" s="175">
        <v>0</v>
      </c>
      <c r="AI76" s="175">
        <v>0</v>
      </c>
      <c r="AJ76" s="175">
        <v>0</v>
      </c>
      <c r="AK76" s="175">
        <v>0</v>
      </c>
      <c r="AL76" s="175">
        <v>0</v>
      </c>
      <c r="AM76" s="175">
        <v>0</v>
      </c>
      <c r="AN76" s="175">
        <v>0</v>
      </c>
      <c r="AO76" s="175">
        <v>0</v>
      </c>
      <c r="AP76" s="175">
        <v>0</v>
      </c>
      <c r="AQ76" s="175">
        <v>0</v>
      </c>
      <c r="AR76" s="175">
        <v>0</v>
      </c>
      <c r="AS76" s="126"/>
      <c r="AT76" s="179">
        <f t="shared" si="12"/>
        <v>3059.6456907879001</v>
      </c>
      <c r="AZ76" s="280">
        <f t="shared" si="9"/>
        <v>0</v>
      </c>
      <c r="BA76" s="280">
        <f t="shared" si="10"/>
        <v>0</v>
      </c>
      <c r="BB76" s="280">
        <f t="shared" si="11"/>
        <v>0</v>
      </c>
    </row>
    <row r="77" spans="1:54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76">
        <v>0</v>
      </c>
      <c r="G77" s="175">
        <v>0</v>
      </c>
      <c r="H77" s="175">
        <v>0</v>
      </c>
      <c r="I77" s="175">
        <v>0</v>
      </c>
      <c r="J77" s="175">
        <v>0</v>
      </c>
      <c r="K77" s="175">
        <v>249.24704267551999</v>
      </c>
      <c r="L77" s="175">
        <v>0</v>
      </c>
      <c r="M77" s="175">
        <v>0</v>
      </c>
      <c r="N77" s="175">
        <v>0</v>
      </c>
      <c r="O77" s="175">
        <v>0</v>
      </c>
      <c r="P77" s="175">
        <v>0</v>
      </c>
      <c r="Q77" s="175">
        <v>0</v>
      </c>
      <c r="R77" s="175">
        <v>2884.9402237664699</v>
      </c>
      <c r="S77" s="175">
        <v>0</v>
      </c>
      <c r="T77" s="175">
        <v>0</v>
      </c>
      <c r="U77" s="175">
        <v>0</v>
      </c>
      <c r="V77" s="175">
        <v>0</v>
      </c>
      <c r="W77" s="175">
        <v>0</v>
      </c>
      <c r="X77" s="175">
        <v>0</v>
      </c>
      <c r="Y77" s="175">
        <v>0</v>
      </c>
      <c r="Z77" s="175">
        <v>0</v>
      </c>
      <c r="AA77" s="175">
        <v>0</v>
      </c>
      <c r="AB77" s="175">
        <v>0</v>
      </c>
      <c r="AC77" s="175">
        <v>0</v>
      </c>
      <c r="AD77" s="175">
        <v>0</v>
      </c>
      <c r="AE77" s="175">
        <v>0</v>
      </c>
      <c r="AF77" s="175">
        <v>0</v>
      </c>
      <c r="AG77" s="175">
        <v>0</v>
      </c>
      <c r="AH77" s="175">
        <v>0</v>
      </c>
      <c r="AI77" s="175">
        <v>0</v>
      </c>
      <c r="AJ77" s="175">
        <v>0</v>
      </c>
      <c r="AK77" s="175">
        <v>0</v>
      </c>
      <c r="AL77" s="175">
        <v>0</v>
      </c>
      <c r="AM77" s="175">
        <v>0</v>
      </c>
      <c r="AN77" s="175">
        <v>0</v>
      </c>
      <c r="AO77" s="175">
        <v>0</v>
      </c>
      <c r="AP77" s="175">
        <v>0</v>
      </c>
      <c r="AQ77" s="175">
        <v>0</v>
      </c>
      <c r="AR77" s="175">
        <v>0</v>
      </c>
      <c r="AS77" s="126"/>
      <c r="AT77" s="179">
        <f t="shared" si="12"/>
        <v>3134.1872664419898</v>
      </c>
      <c r="AZ77" s="280">
        <f t="shared" si="9"/>
        <v>0</v>
      </c>
      <c r="BA77" s="280">
        <f t="shared" si="10"/>
        <v>0</v>
      </c>
      <c r="BB77" s="280">
        <f t="shared" si="11"/>
        <v>0</v>
      </c>
    </row>
    <row r="78" spans="1:54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76">
        <v>0</v>
      </c>
      <c r="G78" s="175">
        <v>0</v>
      </c>
      <c r="H78" s="175">
        <v>0</v>
      </c>
      <c r="I78" s="175">
        <v>0</v>
      </c>
      <c r="J78" s="175">
        <v>0</v>
      </c>
      <c r="K78" s="175">
        <v>212.46288673277999</v>
      </c>
      <c r="L78" s="175">
        <v>0</v>
      </c>
      <c r="M78" s="175">
        <v>0</v>
      </c>
      <c r="N78" s="175">
        <v>0</v>
      </c>
      <c r="O78" s="175">
        <v>0</v>
      </c>
      <c r="P78" s="175">
        <v>0</v>
      </c>
      <c r="Q78" s="175">
        <v>0</v>
      </c>
      <c r="R78" s="175">
        <v>3264.44674800448</v>
      </c>
      <c r="S78" s="175">
        <v>0</v>
      </c>
      <c r="T78" s="175">
        <v>0</v>
      </c>
      <c r="U78" s="175">
        <v>0</v>
      </c>
      <c r="V78" s="175">
        <v>0</v>
      </c>
      <c r="W78" s="175">
        <v>0</v>
      </c>
      <c r="X78" s="175">
        <v>0</v>
      </c>
      <c r="Y78" s="175">
        <v>0</v>
      </c>
      <c r="Z78" s="175">
        <v>0</v>
      </c>
      <c r="AA78" s="175">
        <v>0</v>
      </c>
      <c r="AB78" s="175">
        <v>0</v>
      </c>
      <c r="AC78" s="175">
        <v>0</v>
      </c>
      <c r="AD78" s="175">
        <v>0</v>
      </c>
      <c r="AE78" s="175">
        <v>0</v>
      </c>
      <c r="AF78" s="175">
        <v>0</v>
      </c>
      <c r="AG78" s="175">
        <v>0</v>
      </c>
      <c r="AH78" s="175">
        <v>0</v>
      </c>
      <c r="AI78" s="175">
        <v>0</v>
      </c>
      <c r="AJ78" s="175">
        <v>0</v>
      </c>
      <c r="AK78" s="175">
        <v>0</v>
      </c>
      <c r="AL78" s="175">
        <v>0</v>
      </c>
      <c r="AM78" s="175">
        <v>0</v>
      </c>
      <c r="AN78" s="175">
        <v>0</v>
      </c>
      <c r="AO78" s="175">
        <v>0</v>
      </c>
      <c r="AP78" s="175">
        <v>0</v>
      </c>
      <c r="AQ78" s="175">
        <v>0</v>
      </c>
      <c r="AR78" s="175">
        <v>0</v>
      </c>
      <c r="AS78" s="126"/>
      <c r="AT78" s="179">
        <f t="shared" si="12"/>
        <v>3476.9096347372601</v>
      </c>
      <c r="AZ78" s="280">
        <f t="shared" si="9"/>
        <v>0</v>
      </c>
      <c r="BA78" s="280">
        <f t="shared" si="10"/>
        <v>0</v>
      </c>
      <c r="BB78" s="280">
        <f t="shared" si="11"/>
        <v>0</v>
      </c>
    </row>
    <row r="79" spans="1:54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76">
        <v>0</v>
      </c>
      <c r="G79" s="175">
        <v>0</v>
      </c>
      <c r="H79" s="175">
        <v>0</v>
      </c>
      <c r="I79" s="175">
        <v>0</v>
      </c>
      <c r="J79" s="175">
        <v>0</v>
      </c>
      <c r="K79" s="175">
        <v>214.03038665336001</v>
      </c>
      <c r="L79" s="175">
        <v>0</v>
      </c>
      <c r="M79" s="175">
        <v>0</v>
      </c>
      <c r="N79" s="175">
        <v>0</v>
      </c>
      <c r="O79" s="175">
        <v>0</v>
      </c>
      <c r="P79" s="175">
        <v>0</v>
      </c>
      <c r="Q79" s="175">
        <v>0</v>
      </c>
      <c r="R79" s="175">
        <v>3343.4077486087499</v>
      </c>
      <c r="S79" s="175">
        <v>0</v>
      </c>
      <c r="T79" s="175">
        <v>0</v>
      </c>
      <c r="U79" s="175">
        <v>0</v>
      </c>
      <c r="V79" s="175">
        <v>0</v>
      </c>
      <c r="W79" s="175">
        <v>0</v>
      </c>
      <c r="X79" s="175">
        <v>0</v>
      </c>
      <c r="Y79" s="175">
        <v>0</v>
      </c>
      <c r="Z79" s="175">
        <v>0</v>
      </c>
      <c r="AA79" s="175">
        <v>0</v>
      </c>
      <c r="AB79" s="175">
        <v>0</v>
      </c>
      <c r="AC79" s="175">
        <v>0</v>
      </c>
      <c r="AD79" s="175">
        <v>0</v>
      </c>
      <c r="AE79" s="175">
        <v>0</v>
      </c>
      <c r="AF79" s="175">
        <v>0</v>
      </c>
      <c r="AG79" s="175">
        <v>0</v>
      </c>
      <c r="AH79" s="175">
        <v>0</v>
      </c>
      <c r="AI79" s="175">
        <v>0</v>
      </c>
      <c r="AJ79" s="175">
        <v>0</v>
      </c>
      <c r="AK79" s="175">
        <v>0</v>
      </c>
      <c r="AL79" s="175">
        <v>0</v>
      </c>
      <c r="AM79" s="175">
        <v>0</v>
      </c>
      <c r="AN79" s="175">
        <v>0</v>
      </c>
      <c r="AO79" s="175">
        <v>0</v>
      </c>
      <c r="AP79" s="175">
        <v>0</v>
      </c>
      <c r="AQ79" s="175">
        <v>0</v>
      </c>
      <c r="AR79" s="175">
        <v>0</v>
      </c>
      <c r="AS79" s="126"/>
      <c r="AT79" s="179">
        <f t="shared" si="12"/>
        <v>3557.4381352621099</v>
      </c>
      <c r="AZ79" s="280">
        <f t="shared" si="9"/>
        <v>0</v>
      </c>
      <c r="BA79" s="280">
        <f t="shared" si="10"/>
        <v>0</v>
      </c>
      <c r="BB79" s="280">
        <f t="shared" si="11"/>
        <v>0</v>
      </c>
    </row>
    <row r="80" spans="1:54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76">
        <v>0</v>
      </c>
      <c r="G80" s="175">
        <v>0</v>
      </c>
      <c r="H80" s="175">
        <v>0</v>
      </c>
      <c r="I80" s="175">
        <v>0</v>
      </c>
      <c r="J80" s="175">
        <v>0</v>
      </c>
      <c r="K80" s="175">
        <v>215.64065104804999</v>
      </c>
      <c r="L80" s="175">
        <v>0</v>
      </c>
      <c r="M80" s="175">
        <v>0</v>
      </c>
      <c r="N80" s="175">
        <v>0</v>
      </c>
      <c r="O80" s="175">
        <v>0</v>
      </c>
      <c r="P80" s="175">
        <v>0</v>
      </c>
      <c r="Q80" s="175">
        <v>0</v>
      </c>
      <c r="R80" s="175">
        <v>3746.3078833946101</v>
      </c>
      <c r="S80" s="175">
        <v>0</v>
      </c>
      <c r="T80" s="175">
        <v>0</v>
      </c>
      <c r="U80" s="175">
        <v>0</v>
      </c>
      <c r="V80" s="175">
        <v>0</v>
      </c>
      <c r="W80" s="175">
        <v>0</v>
      </c>
      <c r="X80" s="175">
        <v>0</v>
      </c>
      <c r="Y80" s="175">
        <v>0</v>
      </c>
      <c r="Z80" s="175">
        <v>0</v>
      </c>
      <c r="AA80" s="175">
        <v>0</v>
      </c>
      <c r="AB80" s="175">
        <v>0</v>
      </c>
      <c r="AC80" s="175">
        <v>0</v>
      </c>
      <c r="AD80" s="175">
        <v>0</v>
      </c>
      <c r="AE80" s="175">
        <v>0</v>
      </c>
      <c r="AF80" s="175">
        <v>0</v>
      </c>
      <c r="AG80" s="175">
        <v>0</v>
      </c>
      <c r="AH80" s="175">
        <v>0</v>
      </c>
      <c r="AI80" s="175">
        <v>0</v>
      </c>
      <c r="AJ80" s="175">
        <v>0</v>
      </c>
      <c r="AK80" s="175">
        <v>0</v>
      </c>
      <c r="AL80" s="175">
        <v>0</v>
      </c>
      <c r="AM80" s="175">
        <v>0</v>
      </c>
      <c r="AN80" s="175">
        <v>0</v>
      </c>
      <c r="AO80" s="175">
        <v>0</v>
      </c>
      <c r="AP80" s="175">
        <v>0</v>
      </c>
      <c r="AQ80" s="175">
        <v>0</v>
      </c>
      <c r="AR80" s="175">
        <v>0</v>
      </c>
      <c r="AS80" s="126"/>
      <c r="AT80" s="179">
        <f t="shared" si="12"/>
        <v>3961.9485344426603</v>
      </c>
      <c r="AZ80" s="280">
        <f t="shared" si="9"/>
        <v>0</v>
      </c>
      <c r="BA80" s="280">
        <f t="shared" si="10"/>
        <v>0</v>
      </c>
      <c r="BB80" s="280">
        <f t="shared" si="11"/>
        <v>0</v>
      </c>
    </row>
    <row r="81" spans="1:54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76">
        <v>0</v>
      </c>
      <c r="G81" s="175">
        <v>0</v>
      </c>
      <c r="H81" s="175">
        <v>0</v>
      </c>
      <c r="I81" s="175">
        <v>0</v>
      </c>
      <c r="J81" s="175">
        <v>0</v>
      </c>
      <c r="K81" s="175">
        <v>229.81661733228</v>
      </c>
      <c r="L81" s="175">
        <v>0</v>
      </c>
      <c r="M81" s="175">
        <v>0</v>
      </c>
      <c r="N81" s="175">
        <v>0</v>
      </c>
      <c r="O81" s="175">
        <v>0</v>
      </c>
      <c r="P81" s="175">
        <v>0</v>
      </c>
      <c r="Q81" s="175">
        <v>0</v>
      </c>
      <c r="R81" s="175">
        <v>3810.4486001702098</v>
      </c>
      <c r="S81" s="175">
        <v>0</v>
      </c>
      <c r="T81" s="175">
        <v>0</v>
      </c>
      <c r="U81" s="175">
        <v>0</v>
      </c>
      <c r="V81" s="175">
        <v>0</v>
      </c>
      <c r="W81" s="175">
        <v>0</v>
      </c>
      <c r="X81" s="175">
        <v>0</v>
      </c>
      <c r="Y81" s="175">
        <v>0</v>
      </c>
      <c r="Z81" s="175">
        <v>0</v>
      </c>
      <c r="AA81" s="175">
        <v>0</v>
      </c>
      <c r="AB81" s="175">
        <v>0</v>
      </c>
      <c r="AC81" s="175">
        <v>0</v>
      </c>
      <c r="AD81" s="175">
        <v>0</v>
      </c>
      <c r="AE81" s="175">
        <v>0</v>
      </c>
      <c r="AF81" s="175">
        <v>0</v>
      </c>
      <c r="AG81" s="175">
        <v>0</v>
      </c>
      <c r="AH81" s="175">
        <v>0</v>
      </c>
      <c r="AI81" s="175">
        <v>0</v>
      </c>
      <c r="AJ81" s="175">
        <v>0</v>
      </c>
      <c r="AK81" s="175">
        <v>0</v>
      </c>
      <c r="AL81" s="175">
        <v>0</v>
      </c>
      <c r="AM81" s="175">
        <v>0</v>
      </c>
      <c r="AN81" s="175">
        <v>0</v>
      </c>
      <c r="AO81" s="175">
        <v>0</v>
      </c>
      <c r="AP81" s="175">
        <v>0</v>
      </c>
      <c r="AQ81" s="175">
        <v>0</v>
      </c>
      <c r="AR81" s="175">
        <v>0</v>
      </c>
      <c r="AS81" s="126"/>
      <c r="AT81" s="179">
        <f t="shared" si="12"/>
        <v>4040.26521750249</v>
      </c>
      <c r="AZ81" s="280">
        <f t="shared" si="9"/>
        <v>0</v>
      </c>
      <c r="BA81" s="280">
        <f t="shared" si="10"/>
        <v>0</v>
      </c>
      <c r="BB81" s="280">
        <f t="shared" si="11"/>
        <v>0</v>
      </c>
    </row>
    <row r="82" spans="1:54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76">
        <v>0</v>
      </c>
      <c r="G82" s="175">
        <v>0</v>
      </c>
      <c r="H82" s="175">
        <v>0</v>
      </c>
      <c r="I82" s="175">
        <v>0</v>
      </c>
      <c r="J82" s="175">
        <v>0</v>
      </c>
      <c r="K82" s="175">
        <v>213.80470173642999</v>
      </c>
      <c r="L82" s="175">
        <v>0</v>
      </c>
      <c r="M82" s="175">
        <v>0</v>
      </c>
      <c r="N82" s="175">
        <v>0</v>
      </c>
      <c r="O82" s="175">
        <v>0</v>
      </c>
      <c r="P82" s="175">
        <v>0</v>
      </c>
      <c r="Q82" s="175">
        <v>0</v>
      </c>
      <c r="R82" s="175">
        <v>4217.32211362623</v>
      </c>
      <c r="S82" s="175">
        <v>0</v>
      </c>
      <c r="T82" s="175">
        <v>0</v>
      </c>
      <c r="U82" s="175">
        <v>0</v>
      </c>
      <c r="V82" s="175">
        <v>0</v>
      </c>
      <c r="W82" s="175">
        <v>0</v>
      </c>
      <c r="X82" s="175">
        <v>0</v>
      </c>
      <c r="Y82" s="175">
        <v>0</v>
      </c>
      <c r="Z82" s="175">
        <v>0</v>
      </c>
      <c r="AA82" s="175">
        <v>0</v>
      </c>
      <c r="AB82" s="175">
        <v>0</v>
      </c>
      <c r="AC82" s="175">
        <v>0</v>
      </c>
      <c r="AD82" s="175">
        <v>0</v>
      </c>
      <c r="AE82" s="175">
        <v>0</v>
      </c>
      <c r="AF82" s="175">
        <v>0</v>
      </c>
      <c r="AG82" s="175">
        <v>0</v>
      </c>
      <c r="AH82" s="175">
        <v>0</v>
      </c>
      <c r="AI82" s="175">
        <v>0</v>
      </c>
      <c r="AJ82" s="175">
        <v>0</v>
      </c>
      <c r="AK82" s="175">
        <v>0</v>
      </c>
      <c r="AL82" s="175">
        <v>0</v>
      </c>
      <c r="AM82" s="175">
        <v>0</v>
      </c>
      <c r="AN82" s="175">
        <v>0</v>
      </c>
      <c r="AO82" s="175">
        <v>0</v>
      </c>
      <c r="AP82" s="175">
        <v>0</v>
      </c>
      <c r="AQ82" s="175">
        <v>0</v>
      </c>
      <c r="AR82" s="175">
        <v>0</v>
      </c>
      <c r="AS82" s="126"/>
      <c r="AT82" s="179">
        <f t="shared" si="12"/>
        <v>4431.1268153626597</v>
      </c>
      <c r="AZ82" s="280">
        <f t="shared" si="9"/>
        <v>0</v>
      </c>
      <c r="BA82" s="280">
        <f t="shared" si="10"/>
        <v>0</v>
      </c>
      <c r="BB82" s="280">
        <f t="shared" si="11"/>
        <v>0</v>
      </c>
    </row>
    <row r="83" spans="1:54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76">
        <v>0</v>
      </c>
      <c r="G83" s="175">
        <v>0</v>
      </c>
      <c r="H83" s="175">
        <v>0</v>
      </c>
      <c r="I83" s="175">
        <v>0</v>
      </c>
      <c r="J83" s="175">
        <v>0</v>
      </c>
      <c r="K83" s="175">
        <v>191.17440614353001</v>
      </c>
      <c r="L83" s="175">
        <v>0</v>
      </c>
      <c r="M83" s="175">
        <v>0</v>
      </c>
      <c r="N83" s="175">
        <v>0</v>
      </c>
      <c r="O83" s="175">
        <v>0</v>
      </c>
      <c r="P83" s="175">
        <v>0</v>
      </c>
      <c r="Q83" s="175">
        <v>0</v>
      </c>
      <c r="R83" s="175">
        <v>4322.2687397010104</v>
      </c>
      <c r="S83" s="175">
        <v>0</v>
      </c>
      <c r="T83" s="175">
        <v>0</v>
      </c>
      <c r="U83" s="175">
        <v>0</v>
      </c>
      <c r="V83" s="175">
        <v>0</v>
      </c>
      <c r="W83" s="175">
        <v>0</v>
      </c>
      <c r="X83" s="175">
        <v>0</v>
      </c>
      <c r="Y83" s="175">
        <v>0</v>
      </c>
      <c r="Z83" s="175">
        <v>0</v>
      </c>
      <c r="AA83" s="175">
        <v>0</v>
      </c>
      <c r="AB83" s="175">
        <v>0</v>
      </c>
      <c r="AC83" s="175">
        <v>0</v>
      </c>
      <c r="AD83" s="175">
        <v>0</v>
      </c>
      <c r="AE83" s="175">
        <v>0</v>
      </c>
      <c r="AF83" s="175">
        <v>0</v>
      </c>
      <c r="AG83" s="175">
        <v>0</v>
      </c>
      <c r="AH83" s="175">
        <v>0</v>
      </c>
      <c r="AI83" s="175">
        <v>0</v>
      </c>
      <c r="AJ83" s="175">
        <v>0</v>
      </c>
      <c r="AK83" s="175">
        <v>0</v>
      </c>
      <c r="AL83" s="175">
        <v>0</v>
      </c>
      <c r="AM83" s="175">
        <v>0</v>
      </c>
      <c r="AN83" s="175">
        <v>0</v>
      </c>
      <c r="AO83" s="175">
        <v>0</v>
      </c>
      <c r="AP83" s="175">
        <v>0</v>
      </c>
      <c r="AQ83" s="175">
        <v>0</v>
      </c>
      <c r="AR83" s="175">
        <v>0</v>
      </c>
      <c r="AS83" s="126"/>
      <c r="AT83" s="179">
        <f t="shared" si="12"/>
        <v>4513.4431458445406</v>
      </c>
      <c r="AZ83" s="280">
        <f t="shared" si="9"/>
        <v>0</v>
      </c>
      <c r="BA83" s="280">
        <f t="shared" si="10"/>
        <v>0</v>
      </c>
      <c r="BB83" s="280">
        <f t="shared" si="11"/>
        <v>0</v>
      </c>
    </row>
    <row r="84" spans="1:54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76">
        <v>0</v>
      </c>
      <c r="G84" s="175">
        <v>0</v>
      </c>
      <c r="H84" s="175">
        <v>0</v>
      </c>
      <c r="I84" s="175">
        <v>0</v>
      </c>
      <c r="J84" s="175">
        <v>0</v>
      </c>
      <c r="K84" s="175">
        <v>180.57993261530001</v>
      </c>
      <c r="L84" s="175">
        <v>0</v>
      </c>
      <c r="M84" s="175">
        <v>0</v>
      </c>
      <c r="N84" s="175">
        <v>0</v>
      </c>
      <c r="O84" s="175">
        <v>0</v>
      </c>
      <c r="P84" s="175">
        <v>0</v>
      </c>
      <c r="Q84" s="175">
        <v>0</v>
      </c>
      <c r="R84" s="175">
        <v>4779.9497326047804</v>
      </c>
      <c r="S84" s="175">
        <v>0</v>
      </c>
      <c r="T84" s="175">
        <v>0</v>
      </c>
      <c r="U84" s="175">
        <v>0</v>
      </c>
      <c r="V84" s="175">
        <v>0</v>
      </c>
      <c r="W84" s="175">
        <v>0</v>
      </c>
      <c r="X84" s="175">
        <v>0</v>
      </c>
      <c r="Y84" s="175">
        <v>0</v>
      </c>
      <c r="Z84" s="175">
        <v>0</v>
      </c>
      <c r="AA84" s="175">
        <v>0</v>
      </c>
      <c r="AB84" s="175">
        <v>0</v>
      </c>
      <c r="AC84" s="175">
        <v>0</v>
      </c>
      <c r="AD84" s="175">
        <v>0</v>
      </c>
      <c r="AE84" s="175">
        <v>0</v>
      </c>
      <c r="AF84" s="175">
        <v>0</v>
      </c>
      <c r="AG84" s="175">
        <v>0</v>
      </c>
      <c r="AH84" s="175">
        <v>0</v>
      </c>
      <c r="AI84" s="175">
        <v>0</v>
      </c>
      <c r="AJ84" s="175">
        <v>0</v>
      </c>
      <c r="AK84" s="175">
        <v>0</v>
      </c>
      <c r="AL84" s="175">
        <v>0</v>
      </c>
      <c r="AM84" s="175">
        <v>0</v>
      </c>
      <c r="AN84" s="175">
        <v>0</v>
      </c>
      <c r="AO84" s="175">
        <v>0</v>
      </c>
      <c r="AP84" s="175">
        <v>0</v>
      </c>
      <c r="AQ84" s="175">
        <v>0</v>
      </c>
      <c r="AR84" s="175">
        <v>0</v>
      </c>
      <c r="AS84" s="126"/>
      <c r="AT84" s="179">
        <f t="shared" si="12"/>
        <v>4960.5296652200805</v>
      </c>
      <c r="AZ84" s="280">
        <f t="shared" si="9"/>
        <v>0</v>
      </c>
      <c r="BA84" s="280">
        <f t="shared" si="10"/>
        <v>0</v>
      </c>
      <c r="BB84" s="280">
        <f t="shared" si="11"/>
        <v>0</v>
      </c>
    </row>
    <row r="85" spans="1:54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76">
        <v>0</v>
      </c>
      <c r="G85" s="175">
        <v>0</v>
      </c>
      <c r="H85" s="175">
        <v>0</v>
      </c>
      <c r="I85" s="175">
        <v>0</v>
      </c>
      <c r="J85" s="175">
        <v>0</v>
      </c>
      <c r="K85" s="175">
        <v>106.26274736184</v>
      </c>
      <c r="L85" s="175">
        <v>0</v>
      </c>
      <c r="M85" s="175">
        <v>0</v>
      </c>
      <c r="N85" s="175">
        <v>0</v>
      </c>
      <c r="O85" s="175">
        <v>0</v>
      </c>
      <c r="P85" s="175">
        <v>0</v>
      </c>
      <c r="Q85" s="175">
        <v>0</v>
      </c>
      <c r="R85" s="175">
        <v>5250.6493581568102</v>
      </c>
      <c r="S85" s="175">
        <v>0</v>
      </c>
      <c r="T85" s="175">
        <v>0</v>
      </c>
      <c r="U85" s="175">
        <v>0</v>
      </c>
      <c r="V85" s="175">
        <v>0</v>
      </c>
      <c r="W85" s="175">
        <v>0</v>
      </c>
      <c r="X85" s="175">
        <v>0</v>
      </c>
      <c r="Y85" s="175">
        <v>0</v>
      </c>
      <c r="Z85" s="175">
        <v>0</v>
      </c>
      <c r="AA85" s="175">
        <v>0</v>
      </c>
      <c r="AB85" s="175">
        <v>0</v>
      </c>
      <c r="AC85" s="175">
        <v>0</v>
      </c>
      <c r="AD85" s="175">
        <v>0</v>
      </c>
      <c r="AE85" s="175">
        <v>0</v>
      </c>
      <c r="AF85" s="175">
        <v>0</v>
      </c>
      <c r="AG85" s="175">
        <v>0</v>
      </c>
      <c r="AH85" s="175">
        <v>0</v>
      </c>
      <c r="AI85" s="175">
        <v>0</v>
      </c>
      <c r="AJ85" s="175">
        <v>0</v>
      </c>
      <c r="AK85" s="175">
        <v>0</v>
      </c>
      <c r="AL85" s="175">
        <v>0</v>
      </c>
      <c r="AM85" s="175">
        <v>0</v>
      </c>
      <c r="AN85" s="175">
        <v>0</v>
      </c>
      <c r="AO85" s="175">
        <v>0</v>
      </c>
      <c r="AP85" s="175">
        <v>0</v>
      </c>
      <c r="AQ85" s="175">
        <v>0</v>
      </c>
      <c r="AR85" s="175">
        <v>0</v>
      </c>
      <c r="AS85" s="126"/>
      <c r="AT85" s="179">
        <f t="shared" si="12"/>
        <v>5356.9121055186506</v>
      </c>
      <c r="AZ85" s="280">
        <f t="shared" si="9"/>
        <v>0</v>
      </c>
      <c r="BA85" s="280">
        <f t="shared" si="10"/>
        <v>0</v>
      </c>
      <c r="BB85" s="280">
        <f t="shared" si="11"/>
        <v>0</v>
      </c>
    </row>
    <row r="86" spans="1:54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76">
        <v>0</v>
      </c>
      <c r="G86" s="175">
        <v>0</v>
      </c>
      <c r="H86" s="175">
        <v>0</v>
      </c>
      <c r="I86" s="175">
        <v>0</v>
      </c>
      <c r="J86" s="175">
        <v>0</v>
      </c>
      <c r="K86" s="175">
        <v>112.05535509332999</v>
      </c>
      <c r="L86" s="175">
        <v>0</v>
      </c>
      <c r="M86" s="175">
        <v>0</v>
      </c>
      <c r="N86" s="175">
        <v>0</v>
      </c>
      <c r="O86" s="175">
        <v>0</v>
      </c>
      <c r="P86" s="175">
        <v>0</v>
      </c>
      <c r="Q86" s="175">
        <v>0</v>
      </c>
      <c r="R86" s="175">
        <v>5361.9798742696803</v>
      </c>
      <c r="S86" s="175">
        <v>0</v>
      </c>
      <c r="T86" s="175">
        <v>0</v>
      </c>
      <c r="U86" s="175">
        <v>0</v>
      </c>
      <c r="V86" s="175">
        <v>0</v>
      </c>
      <c r="W86" s="175">
        <v>0</v>
      </c>
      <c r="X86" s="175">
        <v>0</v>
      </c>
      <c r="Y86" s="175">
        <v>0</v>
      </c>
      <c r="Z86" s="175">
        <v>0</v>
      </c>
      <c r="AA86" s="175">
        <v>0</v>
      </c>
      <c r="AB86" s="175">
        <v>0</v>
      </c>
      <c r="AC86" s="175">
        <v>0</v>
      </c>
      <c r="AD86" s="175">
        <v>0</v>
      </c>
      <c r="AE86" s="175">
        <v>0</v>
      </c>
      <c r="AF86" s="175">
        <v>0</v>
      </c>
      <c r="AG86" s="175">
        <v>0</v>
      </c>
      <c r="AH86" s="175">
        <v>0</v>
      </c>
      <c r="AI86" s="175">
        <v>0</v>
      </c>
      <c r="AJ86" s="175">
        <v>0</v>
      </c>
      <c r="AK86" s="175">
        <v>0</v>
      </c>
      <c r="AL86" s="175">
        <v>0</v>
      </c>
      <c r="AM86" s="175">
        <v>0</v>
      </c>
      <c r="AN86" s="175">
        <v>0</v>
      </c>
      <c r="AO86" s="175">
        <v>0</v>
      </c>
      <c r="AP86" s="175">
        <v>0</v>
      </c>
      <c r="AQ86" s="175">
        <v>0</v>
      </c>
      <c r="AR86" s="175">
        <v>0</v>
      </c>
      <c r="AS86" s="126"/>
      <c r="AT86" s="179">
        <f t="shared" si="12"/>
        <v>5474.0352293630103</v>
      </c>
      <c r="AZ86" s="280">
        <f t="shared" si="9"/>
        <v>0</v>
      </c>
      <c r="BA86" s="280">
        <f t="shared" si="10"/>
        <v>0</v>
      </c>
      <c r="BB86" s="280">
        <f t="shared" si="11"/>
        <v>0</v>
      </c>
    </row>
    <row r="87" spans="1:54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76">
        <v>0</v>
      </c>
      <c r="G87" s="175">
        <v>0</v>
      </c>
      <c r="H87" s="175">
        <v>0</v>
      </c>
      <c r="I87" s="175">
        <v>0</v>
      </c>
      <c r="J87" s="175">
        <v>0</v>
      </c>
      <c r="K87" s="175">
        <v>79.868191200639998</v>
      </c>
      <c r="L87" s="175">
        <v>0</v>
      </c>
      <c r="M87" s="175">
        <v>0</v>
      </c>
      <c r="N87" s="175">
        <v>0</v>
      </c>
      <c r="O87" s="175">
        <v>0</v>
      </c>
      <c r="P87" s="175">
        <v>0</v>
      </c>
      <c r="Q87" s="175">
        <v>0</v>
      </c>
      <c r="R87" s="175">
        <v>5882.9683701696804</v>
      </c>
      <c r="S87" s="175">
        <v>0</v>
      </c>
      <c r="T87" s="175">
        <v>0</v>
      </c>
      <c r="U87" s="175">
        <v>0</v>
      </c>
      <c r="V87" s="175">
        <v>0</v>
      </c>
      <c r="W87" s="175">
        <v>0</v>
      </c>
      <c r="X87" s="175">
        <v>0</v>
      </c>
      <c r="Y87" s="175">
        <v>0</v>
      </c>
      <c r="Z87" s="175">
        <v>0</v>
      </c>
      <c r="AA87" s="175">
        <v>0</v>
      </c>
      <c r="AB87" s="175">
        <v>0</v>
      </c>
      <c r="AC87" s="175">
        <v>0</v>
      </c>
      <c r="AD87" s="175">
        <v>0</v>
      </c>
      <c r="AE87" s="175">
        <v>0</v>
      </c>
      <c r="AF87" s="175">
        <v>0</v>
      </c>
      <c r="AG87" s="175">
        <v>0</v>
      </c>
      <c r="AH87" s="175">
        <v>0</v>
      </c>
      <c r="AI87" s="175">
        <v>0</v>
      </c>
      <c r="AJ87" s="175">
        <v>0</v>
      </c>
      <c r="AK87" s="175">
        <v>0</v>
      </c>
      <c r="AL87" s="175">
        <v>0</v>
      </c>
      <c r="AM87" s="175">
        <v>0</v>
      </c>
      <c r="AN87" s="175">
        <v>0</v>
      </c>
      <c r="AO87" s="175">
        <v>0</v>
      </c>
      <c r="AP87" s="175">
        <v>0</v>
      </c>
      <c r="AQ87" s="175">
        <v>0</v>
      </c>
      <c r="AR87" s="175">
        <v>0</v>
      </c>
      <c r="AS87" s="126"/>
      <c r="AT87" s="179">
        <f t="shared" si="12"/>
        <v>5962.8365613703199</v>
      </c>
      <c r="AZ87" s="280">
        <f t="shared" si="9"/>
        <v>0</v>
      </c>
      <c r="BA87" s="280">
        <f t="shared" si="10"/>
        <v>0</v>
      </c>
      <c r="BB87" s="280">
        <f t="shared" si="11"/>
        <v>0</v>
      </c>
    </row>
    <row r="88" spans="1:54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76">
        <v>0</v>
      </c>
      <c r="G88" s="175">
        <v>0</v>
      </c>
      <c r="H88" s="175">
        <v>0</v>
      </c>
      <c r="I88" s="175">
        <v>0</v>
      </c>
      <c r="J88" s="175">
        <v>0</v>
      </c>
      <c r="K88" s="175">
        <v>62.246247629469998</v>
      </c>
      <c r="L88" s="175">
        <v>0</v>
      </c>
      <c r="M88" s="175">
        <v>0</v>
      </c>
      <c r="N88" s="175">
        <v>0</v>
      </c>
      <c r="O88" s="175">
        <v>0</v>
      </c>
      <c r="P88" s="175">
        <v>0</v>
      </c>
      <c r="Q88" s="175">
        <v>0</v>
      </c>
      <c r="R88" s="175">
        <v>6429.41521923047</v>
      </c>
      <c r="S88" s="175">
        <v>0</v>
      </c>
      <c r="T88" s="175">
        <v>0</v>
      </c>
      <c r="U88" s="175">
        <v>0</v>
      </c>
      <c r="V88" s="175">
        <v>0</v>
      </c>
      <c r="W88" s="175">
        <v>0</v>
      </c>
      <c r="X88" s="175">
        <v>0</v>
      </c>
      <c r="Y88" s="175">
        <v>0</v>
      </c>
      <c r="Z88" s="175">
        <v>0</v>
      </c>
      <c r="AA88" s="175">
        <v>0</v>
      </c>
      <c r="AB88" s="175">
        <v>0</v>
      </c>
      <c r="AC88" s="175">
        <v>0</v>
      </c>
      <c r="AD88" s="175">
        <v>0</v>
      </c>
      <c r="AE88" s="175">
        <v>0</v>
      </c>
      <c r="AF88" s="175">
        <v>0</v>
      </c>
      <c r="AG88" s="175">
        <v>0</v>
      </c>
      <c r="AH88" s="175">
        <v>0</v>
      </c>
      <c r="AI88" s="175">
        <v>0</v>
      </c>
      <c r="AJ88" s="175">
        <v>0</v>
      </c>
      <c r="AK88" s="175">
        <v>0</v>
      </c>
      <c r="AL88" s="175">
        <v>0</v>
      </c>
      <c r="AM88" s="175">
        <v>0</v>
      </c>
      <c r="AN88" s="175">
        <v>0</v>
      </c>
      <c r="AO88" s="175">
        <v>0</v>
      </c>
      <c r="AP88" s="175">
        <v>0</v>
      </c>
      <c r="AQ88" s="175">
        <v>0</v>
      </c>
      <c r="AR88" s="175">
        <v>0</v>
      </c>
      <c r="AS88" s="126"/>
      <c r="AT88" s="179">
        <f t="shared" si="12"/>
        <v>6491.6614668599404</v>
      </c>
      <c r="AZ88" s="280">
        <f t="shared" si="9"/>
        <v>0</v>
      </c>
      <c r="BA88" s="280">
        <f t="shared" si="10"/>
        <v>0</v>
      </c>
      <c r="BB88" s="280">
        <f t="shared" si="11"/>
        <v>0</v>
      </c>
    </row>
    <row r="89" spans="1:54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76">
        <v>0</v>
      </c>
      <c r="G89" s="175">
        <v>0</v>
      </c>
      <c r="H89" s="175">
        <v>0</v>
      </c>
      <c r="I89" s="175">
        <v>0</v>
      </c>
      <c r="J89" s="175">
        <v>0</v>
      </c>
      <c r="K89" s="175">
        <v>78.668038053000004</v>
      </c>
      <c r="L89" s="175">
        <v>0</v>
      </c>
      <c r="M89" s="175">
        <v>0</v>
      </c>
      <c r="N89" s="175">
        <v>0</v>
      </c>
      <c r="O89" s="175">
        <v>0</v>
      </c>
      <c r="P89" s="175">
        <v>0</v>
      </c>
      <c r="Q89" s="175">
        <v>0</v>
      </c>
      <c r="R89" s="175">
        <v>6995.2117071850998</v>
      </c>
      <c r="S89" s="175">
        <v>0</v>
      </c>
      <c r="T89" s="175">
        <v>0</v>
      </c>
      <c r="U89" s="175">
        <v>0</v>
      </c>
      <c r="V89" s="175">
        <v>0</v>
      </c>
      <c r="W89" s="175">
        <v>0</v>
      </c>
      <c r="X89" s="175">
        <v>0</v>
      </c>
      <c r="Y89" s="175">
        <v>0</v>
      </c>
      <c r="Z89" s="175">
        <v>0</v>
      </c>
      <c r="AA89" s="175">
        <v>0</v>
      </c>
      <c r="AB89" s="175">
        <v>0</v>
      </c>
      <c r="AC89" s="175">
        <v>0</v>
      </c>
      <c r="AD89" s="175">
        <v>0</v>
      </c>
      <c r="AE89" s="175">
        <v>0</v>
      </c>
      <c r="AF89" s="175">
        <v>0</v>
      </c>
      <c r="AG89" s="175">
        <v>0</v>
      </c>
      <c r="AH89" s="175">
        <v>0</v>
      </c>
      <c r="AI89" s="175">
        <v>0</v>
      </c>
      <c r="AJ89" s="175">
        <v>0</v>
      </c>
      <c r="AK89" s="175">
        <v>0</v>
      </c>
      <c r="AL89" s="175">
        <v>0</v>
      </c>
      <c r="AM89" s="175">
        <v>0</v>
      </c>
      <c r="AN89" s="175">
        <v>0</v>
      </c>
      <c r="AO89" s="175">
        <v>0</v>
      </c>
      <c r="AP89" s="175">
        <v>0</v>
      </c>
      <c r="AQ89" s="175">
        <v>0</v>
      </c>
      <c r="AR89" s="175">
        <v>0</v>
      </c>
      <c r="AS89" s="126"/>
      <c r="AT89" s="179">
        <f t="shared" si="12"/>
        <v>7073.8797452380995</v>
      </c>
      <c r="AZ89" s="280">
        <f t="shared" si="9"/>
        <v>0</v>
      </c>
      <c r="BA89" s="280">
        <f t="shared" si="10"/>
        <v>0</v>
      </c>
      <c r="BB89" s="280">
        <f t="shared" si="11"/>
        <v>0</v>
      </c>
    </row>
    <row r="90" spans="1:54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76">
        <v>0</v>
      </c>
      <c r="G90" s="175">
        <v>0</v>
      </c>
      <c r="H90" s="175">
        <v>0</v>
      </c>
      <c r="I90" s="175">
        <v>0</v>
      </c>
      <c r="J90" s="175">
        <v>0</v>
      </c>
      <c r="K90" s="175">
        <v>67.681112446870003</v>
      </c>
      <c r="L90" s="175">
        <v>0</v>
      </c>
      <c r="M90" s="175">
        <v>0</v>
      </c>
      <c r="N90" s="175">
        <v>0</v>
      </c>
      <c r="O90" s="175">
        <v>0</v>
      </c>
      <c r="P90" s="175">
        <v>0</v>
      </c>
      <c r="Q90" s="175">
        <v>0</v>
      </c>
      <c r="R90" s="175">
        <v>7591.2043683524798</v>
      </c>
      <c r="S90" s="175">
        <v>0</v>
      </c>
      <c r="T90" s="175">
        <v>0</v>
      </c>
      <c r="U90" s="175">
        <v>0</v>
      </c>
      <c r="V90" s="175">
        <v>0</v>
      </c>
      <c r="W90" s="175">
        <v>0</v>
      </c>
      <c r="X90" s="175">
        <v>0</v>
      </c>
      <c r="Y90" s="175">
        <v>0</v>
      </c>
      <c r="Z90" s="175">
        <v>0</v>
      </c>
      <c r="AA90" s="175">
        <v>0</v>
      </c>
      <c r="AB90" s="175">
        <v>0</v>
      </c>
      <c r="AC90" s="175">
        <v>0</v>
      </c>
      <c r="AD90" s="175">
        <v>0</v>
      </c>
      <c r="AE90" s="175">
        <v>0</v>
      </c>
      <c r="AF90" s="175">
        <v>0</v>
      </c>
      <c r="AG90" s="175">
        <v>0</v>
      </c>
      <c r="AH90" s="175">
        <v>0</v>
      </c>
      <c r="AI90" s="175">
        <v>0</v>
      </c>
      <c r="AJ90" s="175">
        <v>0</v>
      </c>
      <c r="AK90" s="175">
        <v>0</v>
      </c>
      <c r="AL90" s="175">
        <v>0</v>
      </c>
      <c r="AM90" s="175">
        <v>0</v>
      </c>
      <c r="AN90" s="175">
        <v>0</v>
      </c>
      <c r="AO90" s="175">
        <v>0</v>
      </c>
      <c r="AP90" s="175">
        <v>0</v>
      </c>
      <c r="AQ90" s="175">
        <v>0</v>
      </c>
      <c r="AR90" s="175">
        <v>0</v>
      </c>
      <c r="AS90" s="126"/>
      <c r="AT90" s="179">
        <f t="shared" si="12"/>
        <v>7658.8854807993503</v>
      </c>
      <c r="AZ90" s="280">
        <f t="shared" si="9"/>
        <v>0</v>
      </c>
      <c r="BA90" s="280">
        <f t="shared" si="10"/>
        <v>0</v>
      </c>
      <c r="BB90" s="280">
        <f t="shared" si="11"/>
        <v>0</v>
      </c>
    </row>
    <row r="91" spans="1:54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76">
        <v>0</v>
      </c>
      <c r="G91" s="175">
        <v>0</v>
      </c>
      <c r="H91" s="175">
        <v>0</v>
      </c>
      <c r="I91" s="175">
        <v>0</v>
      </c>
      <c r="J91" s="175">
        <v>0</v>
      </c>
      <c r="K91" s="175">
        <v>66.366847302959997</v>
      </c>
      <c r="L91" s="175">
        <v>0</v>
      </c>
      <c r="M91" s="175">
        <v>0</v>
      </c>
      <c r="N91" s="175">
        <v>0</v>
      </c>
      <c r="O91" s="175">
        <v>0</v>
      </c>
      <c r="P91" s="175">
        <v>0</v>
      </c>
      <c r="Q91" s="175">
        <v>0</v>
      </c>
      <c r="R91" s="175">
        <v>7587.9166131818401</v>
      </c>
      <c r="S91" s="175">
        <v>0</v>
      </c>
      <c r="T91" s="175">
        <v>0</v>
      </c>
      <c r="U91" s="175">
        <v>0</v>
      </c>
      <c r="V91" s="175">
        <v>0</v>
      </c>
      <c r="W91" s="175">
        <v>0</v>
      </c>
      <c r="X91" s="175">
        <v>0</v>
      </c>
      <c r="Y91" s="175">
        <v>0</v>
      </c>
      <c r="Z91" s="175">
        <v>0</v>
      </c>
      <c r="AA91" s="175">
        <v>0</v>
      </c>
      <c r="AB91" s="175">
        <v>0</v>
      </c>
      <c r="AC91" s="175">
        <v>0</v>
      </c>
      <c r="AD91" s="175">
        <v>0</v>
      </c>
      <c r="AE91" s="175">
        <v>0</v>
      </c>
      <c r="AF91" s="175">
        <v>0</v>
      </c>
      <c r="AG91" s="175">
        <v>0</v>
      </c>
      <c r="AH91" s="175">
        <v>0</v>
      </c>
      <c r="AI91" s="175">
        <v>0</v>
      </c>
      <c r="AJ91" s="175">
        <v>0</v>
      </c>
      <c r="AK91" s="175">
        <v>0</v>
      </c>
      <c r="AL91" s="175">
        <v>0</v>
      </c>
      <c r="AM91" s="175">
        <v>0</v>
      </c>
      <c r="AN91" s="175">
        <v>0</v>
      </c>
      <c r="AO91" s="175">
        <v>0</v>
      </c>
      <c r="AP91" s="175">
        <v>0</v>
      </c>
      <c r="AQ91" s="175">
        <v>0</v>
      </c>
      <c r="AR91" s="175">
        <v>0</v>
      </c>
      <c r="AS91" s="126"/>
      <c r="AT91" s="179">
        <f t="shared" si="12"/>
        <v>7654.2834604848003</v>
      </c>
      <c r="AZ91" s="280">
        <f t="shared" si="9"/>
        <v>0</v>
      </c>
      <c r="BA91" s="280">
        <f t="shared" si="10"/>
        <v>0</v>
      </c>
      <c r="BB91" s="280">
        <f t="shared" si="11"/>
        <v>0</v>
      </c>
    </row>
    <row r="92" spans="1:54">
      <c r="A92" s="174" t="s">
        <v>98</v>
      </c>
      <c r="B92" s="174" t="s">
        <v>25</v>
      </c>
      <c r="C92" s="174" t="s">
        <v>11</v>
      </c>
      <c r="D92" s="175">
        <v>1</v>
      </c>
      <c r="E92" s="174">
        <v>2020</v>
      </c>
      <c r="F92" s="176">
        <v>0</v>
      </c>
      <c r="G92" s="175">
        <v>0</v>
      </c>
      <c r="H92" s="175">
        <v>0</v>
      </c>
      <c r="I92" s="175">
        <v>0</v>
      </c>
      <c r="J92" s="175">
        <v>0</v>
      </c>
      <c r="K92" s="175">
        <v>0</v>
      </c>
      <c r="L92" s="175">
        <v>0</v>
      </c>
      <c r="M92" s="175">
        <v>0</v>
      </c>
      <c r="N92" s="175">
        <v>0</v>
      </c>
      <c r="O92" s="175">
        <v>0</v>
      </c>
      <c r="P92" s="175">
        <v>0</v>
      </c>
      <c r="Q92" s="175">
        <v>0</v>
      </c>
      <c r="R92" s="175">
        <v>0</v>
      </c>
      <c r="S92" s="175">
        <v>0</v>
      </c>
      <c r="T92" s="175">
        <v>0</v>
      </c>
      <c r="U92" s="175">
        <v>0</v>
      </c>
      <c r="V92" s="175">
        <v>0</v>
      </c>
      <c r="W92" s="175">
        <v>0</v>
      </c>
      <c r="X92" s="175">
        <v>0</v>
      </c>
      <c r="Y92" s="175">
        <v>0</v>
      </c>
      <c r="Z92" s="175">
        <v>0</v>
      </c>
      <c r="AA92" s="175">
        <v>0</v>
      </c>
      <c r="AB92" s="175">
        <v>0</v>
      </c>
      <c r="AC92" s="175">
        <v>0</v>
      </c>
      <c r="AD92" s="175">
        <v>0</v>
      </c>
      <c r="AE92" s="175">
        <v>0</v>
      </c>
      <c r="AF92" s="175">
        <v>0</v>
      </c>
      <c r="AG92" s="175">
        <v>0</v>
      </c>
      <c r="AH92" s="175">
        <v>0</v>
      </c>
      <c r="AI92" s="175">
        <v>0</v>
      </c>
      <c r="AJ92" s="175">
        <v>0</v>
      </c>
      <c r="AK92" s="175">
        <v>0</v>
      </c>
      <c r="AL92" s="175">
        <v>0</v>
      </c>
      <c r="AM92" s="175">
        <v>0</v>
      </c>
      <c r="AN92" s="175">
        <v>0</v>
      </c>
      <c r="AO92" s="175">
        <v>0</v>
      </c>
      <c r="AP92" s="175">
        <v>0</v>
      </c>
      <c r="AQ92" s="175">
        <v>0</v>
      </c>
      <c r="AR92" s="175">
        <v>0</v>
      </c>
      <c r="AS92" s="126"/>
      <c r="AT92" s="179">
        <f t="shared" si="12"/>
        <v>0</v>
      </c>
    </row>
    <row r="93" spans="1:54">
      <c r="A93" s="174" t="s">
        <v>98</v>
      </c>
      <c r="B93" s="174" t="s">
        <v>25</v>
      </c>
      <c r="C93" s="174" t="s">
        <v>11</v>
      </c>
      <c r="D93" s="175">
        <v>1</v>
      </c>
      <c r="E93" s="174">
        <v>2021</v>
      </c>
      <c r="F93" s="176">
        <v>0</v>
      </c>
      <c r="G93" s="175">
        <v>0</v>
      </c>
      <c r="H93" s="175">
        <v>0</v>
      </c>
      <c r="I93" s="175">
        <v>0</v>
      </c>
      <c r="J93" s="175">
        <v>0</v>
      </c>
      <c r="K93" s="175">
        <v>0</v>
      </c>
      <c r="L93" s="175">
        <v>0</v>
      </c>
      <c r="M93" s="175">
        <v>0</v>
      </c>
      <c r="N93" s="175">
        <v>0</v>
      </c>
      <c r="O93" s="175">
        <v>0</v>
      </c>
      <c r="P93" s="175">
        <v>0</v>
      </c>
      <c r="Q93" s="175">
        <v>0</v>
      </c>
      <c r="R93" s="175">
        <v>0</v>
      </c>
      <c r="S93" s="175">
        <v>0</v>
      </c>
      <c r="T93" s="175">
        <v>0</v>
      </c>
      <c r="U93" s="175">
        <v>0</v>
      </c>
      <c r="V93" s="175">
        <v>0</v>
      </c>
      <c r="W93" s="175">
        <v>0</v>
      </c>
      <c r="X93" s="175">
        <v>0</v>
      </c>
      <c r="Y93" s="175">
        <v>0</v>
      </c>
      <c r="Z93" s="175">
        <v>0</v>
      </c>
      <c r="AA93" s="175">
        <v>0</v>
      </c>
      <c r="AB93" s="175">
        <v>0</v>
      </c>
      <c r="AC93" s="175">
        <v>0</v>
      </c>
      <c r="AD93" s="175">
        <v>0</v>
      </c>
      <c r="AE93" s="175">
        <v>0</v>
      </c>
      <c r="AF93" s="175">
        <v>0</v>
      </c>
      <c r="AG93" s="175">
        <v>0</v>
      </c>
      <c r="AH93" s="175">
        <v>0</v>
      </c>
      <c r="AI93" s="175">
        <v>0</v>
      </c>
      <c r="AJ93" s="175">
        <v>0</v>
      </c>
      <c r="AK93" s="175">
        <v>0</v>
      </c>
      <c r="AL93" s="175">
        <v>0</v>
      </c>
      <c r="AM93" s="175">
        <v>0</v>
      </c>
      <c r="AN93" s="175">
        <v>0</v>
      </c>
      <c r="AO93" s="175">
        <v>0</v>
      </c>
      <c r="AP93" s="175">
        <v>0</v>
      </c>
      <c r="AQ93" s="175">
        <v>0</v>
      </c>
      <c r="AR93" s="175">
        <v>0</v>
      </c>
      <c r="AS93" s="126"/>
      <c r="AT93" s="179">
        <f t="shared" si="12"/>
        <v>0</v>
      </c>
    </row>
    <row r="94" spans="1:54">
      <c r="A94" s="174" t="s">
        <v>98</v>
      </c>
      <c r="B94" s="174" t="s">
        <v>25</v>
      </c>
      <c r="C94" s="174" t="s">
        <v>11</v>
      </c>
      <c r="D94" s="175">
        <v>1</v>
      </c>
      <c r="E94" s="174">
        <v>2022</v>
      </c>
      <c r="F94" s="176">
        <v>0</v>
      </c>
      <c r="G94" s="175">
        <v>0</v>
      </c>
      <c r="H94" s="175">
        <v>0</v>
      </c>
      <c r="I94" s="175">
        <v>0</v>
      </c>
      <c r="J94" s="175">
        <v>0</v>
      </c>
      <c r="K94" s="175">
        <v>0</v>
      </c>
      <c r="L94" s="175">
        <v>0</v>
      </c>
      <c r="M94" s="175">
        <v>0</v>
      </c>
      <c r="N94" s="175">
        <v>0</v>
      </c>
      <c r="O94" s="175">
        <v>0</v>
      </c>
      <c r="P94" s="175">
        <v>0</v>
      </c>
      <c r="Q94" s="175">
        <v>0</v>
      </c>
      <c r="R94" s="175">
        <v>0</v>
      </c>
      <c r="S94" s="175">
        <v>0</v>
      </c>
      <c r="T94" s="175">
        <v>0</v>
      </c>
      <c r="U94" s="175">
        <v>0</v>
      </c>
      <c r="V94" s="175">
        <v>0</v>
      </c>
      <c r="W94" s="175">
        <v>0</v>
      </c>
      <c r="X94" s="175">
        <v>0</v>
      </c>
      <c r="Y94" s="175">
        <v>0</v>
      </c>
      <c r="Z94" s="175">
        <v>0</v>
      </c>
      <c r="AA94" s="175">
        <v>0</v>
      </c>
      <c r="AB94" s="175">
        <v>0</v>
      </c>
      <c r="AC94" s="175">
        <v>0</v>
      </c>
      <c r="AD94" s="175">
        <v>0</v>
      </c>
      <c r="AE94" s="175">
        <v>0</v>
      </c>
      <c r="AF94" s="175">
        <v>0</v>
      </c>
      <c r="AG94" s="175">
        <v>0</v>
      </c>
      <c r="AH94" s="175">
        <v>0</v>
      </c>
      <c r="AI94" s="175">
        <v>0</v>
      </c>
      <c r="AJ94" s="175">
        <v>0</v>
      </c>
      <c r="AK94" s="175">
        <v>0</v>
      </c>
      <c r="AL94" s="175">
        <v>0</v>
      </c>
      <c r="AM94" s="175">
        <v>0</v>
      </c>
      <c r="AN94" s="175">
        <v>0</v>
      </c>
      <c r="AO94" s="175">
        <v>0</v>
      </c>
      <c r="AP94" s="175">
        <v>0</v>
      </c>
      <c r="AQ94" s="175">
        <v>0</v>
      </c>
      <c r="AR94" s="175">
        <v>0</v>
      </c>
      <c r="AS94" s="126"/>
      <c r="AT94" s="179">
        <f t="shared" si="12"/>
        <v>0</v>
      </c>
    </row>
    <row r="95" spans="1:54">
      <c r="A95" s="174" t="s">
        <v>98</v>
      </c>
      <c r="B95" s="174" t="s">
        <v>25</v>
      </c>
      <c r="C95" s="174" t="s">
        <v>11</v>
      </c>
      <c r="D95" s="175">
        <v>1</v>
      </c>
      <c r="E95" s="174">
        <v>2023</v>
      </c>
      <c r="F95" s="176">
        <v>0</v>
      </c>
      <c r="G95" s="175">
        <v>0</v>
      </c>
      <c r="H95" s="175">
        <v>0</v>
      </c>
      <c r="I95" s="175">
        <v>0</v>
      </c>
      <c r="J95" s="175">
        <v>0</v>
      </c>
      <c r="K95" s="175">
        <v>0</v>
      </c>
      <c r="L95" s="175">
        <v>0</v>
      </c>
      <c r="M95" s="175">
        <v>0</v>
      </c>
      <c r="N95" s="175">
        <v>0</v>
      </c>
      <c r="O95" s="175">
        <v>0</v>
      </c>
      <c r="P95" s="175">
        <v>0</v>
      </c>
      <c r="Q95" s="175">
        <v>0</v>
      </c>
      <c r="R95" s="175">
        <v>0</v>
      </c>
      <c r="S95" s="175">
        <v>0</v>
      </c>
      <c r="T95" s="175">
        <v>0</v>
      </c>
      <c r="U95" s="175">
        <v>0</v>
      </c>
      <c r="V95" s="175">
        <v>0</v>
      </c>
      <c r="W95" s="175">
        <v>0</v>
      </c>
      <c r="X95" s="175">
        <v>0</v>
      </c>
      <c r="Y95" s="175">
        <v>0</v>
      </c>
      <c r="Z95" s="175">
        <v>0</v>
      </c>
      <c r="AA95" s="175">
        <v>0</v>
      </c>
      <c r="AB95" s="175">
        <v>0</v>
      </c>
      <c r="AC95" s="175">
        <v>0</v>
      </c>
      <c r="AD95" s="175">
        <v>0</v>
      </c>
      <c r="AE95" s="175">
        <v>0</v>
      </c>
      <c r="AF95" s="175">
        <v>0</v>
      </c>
      <c r="AG95" s="175">
        <v>0</v>
      </c>
      <c r="AH95" s="175">
        <v>0</v>
      </c>
      <c r="AI95" s="175">
        <v>0</v>
      </c>
      <c r="AJ95" s="175">
        <v>0</v>
      </c>
      <c r="AK95" s="175">
        <v>0</v>
      </c>
      <c r="AL95" s="175">
        <v>0</v>
      </c>
      <c r="AM95" s="175">
        <v>0</v>
      </c>
      <c r="AN95" s="175">
        <v>0</v>
      </c>
      <c r="AO95" s="175">
        <v>0</v>
      </c>
      <c r="AP95" s="175">
        <v>0</v>
      </c>
      <c r="AQ95" s="175">
        <v>0</v>
      </c>
      <c r="AR95" s="175">
        <v>0</v>
      </c>
      <c r="AS95" s="126"/>
      <c r="AT95" s="179">
        <f t="shared" si="12"/>
        <v>0</v>
      </c>
    </row>
    <row r="96" spans="1:54">
      <c r="A96" s="174" t="s">
        <v>98</v>
      </c>
      <c r="B96" s="174" t="s">
        <v>25</v>
      </c>
      <c r="C96" s="174" t="s">
        <v>11</v>
      </c>
      <c r="D96" s="175">
        <v>1</v>
      </c>
      <c r="E96" s="174">
        <v>2024</v>
      </c>
      <c r="F96" s="176">
        <v>0</v>
      </c>
      <c r="G96" s="175">
        <v>0</v>
      </c>
      <c r="H96" s="175">
        <v>0</v>
      </c>
      <c r="I96" s="175">
        <v>0</v>
      </c>
      <c r="J96" s="175">
        <v>0</v>
      </c>
      <c r="K96" s="175">
        <v>0</v>
      </c>
      <c r="L96" s="175">
        <v>0</v>
      </c>
      <c r="M96" s="175">
        <v>0</v>
      </c>
      <c r="N96" s="175">
        <v>0</v>
      </c>
      <c r="O96" s="175">
        <v>0</v>
      </c>
      <c r="P96" s="175">
        <v>0</v>
      </c>
      <c r="Q96" s="175">
        <v>0</v>
      </c>
      <c r="R96" s="175">
        <v>0</v>
      </c>
      <c r="S96" s="175">
        <v>0</v>
      </c>
      <c r="T96" s="175">
        <v>0</v>
      </c>
      <c r="U96" s="175">
        <v>0</v>
      </c>
      <c r="V96" s="175">
        <v>0</v>
      </c>
      <c r="W96" s="175">
        <v>0</v>
      </c>
      <c r="X96" s="175">
        <v>0</v>
      </c>
      <c r="Y96" s="175">
        <v>0</v>
      </c>
      <c r="Z96" s="175">
        <v>0</v>
      </c>
      <c r="AA96" s="175">
        <v>0</v>
      </c>
      <c r="AB96" s="175">
        <v>0</v>
      </c>
      <c r="AC96" s="175">
        <v>0</v>
      </c>
      <c r="AD96" s="175">
        <v>0</v>
      </c>
      <c r="AE96" s="175">
        <v>0</v>
      </c>
      <c r="AF96" s="175">
        <v>0</v>
      </c>
      <c r="AG96" s="175">
        <v>0</v>
      </c>
      <c r="AH96" s="175">
        <v>0</v>
      </c>
      <c r="AI96" s="175">
        <v>0</v>
      </c>
      <c r="AJ96" s="175">
        <v>0</v>
      </c>
      <c r="AK96" s="175">
        <v>0</v>
      </c>
      <c r="AL96" s="175">
        <v>0</v>
      </c>
      <c r="AM96" s="175">
        <v>0</v>
      </c>
      <c r="AN96" s="175">
        <v>0</v>
      </c>
      <c r="AO96" s="175">
        <v>0</v>
      </c>
      <c r="AP96" s="175">
        <v>0</v>
      </c>
      <c r="AQ96" s="175">
        <v>0</v>
      </c>
      <c r="AR96" s="175">
        <v>0</v>
      </c>
      <c r="AS96" s="126"/>
      <c r="AT96" s="179">
        <f t="shared" si="12"/>
        <v>0</v>
      </c>
    </row>
    <row r="97" spans="1:46">
      <c r="A97" s="174" t="s">
        <v>98</v>
      </c>
      <c r="B97" s="174" t="s">
        <v>25</v>
      </c>
      <c r="C97" s="174" t="s">
        <v>11</v>
      </c>
      <c r="D97" s="175">
        <v>1</v>
      </c>
      <c r="E97" s="174">
        <v>2025</v>
      </c>
      <c r="F97" s="176">
        <v>0</v>
      </c>
      <c r="G97" s="175">
        <v>0</v>
      </c>
      <c r="H97" s="175">
        <v>0</v>
      </c>
      <c r="I97" s="175">
        <v>0</v>
      </c>
      <c r="J97" s="175">
        <v>0</v>
      </c>
      <c r="K97" s="175">
        <v>0</v>
      </c>
      <c r="L97" s="175">
        <v>0</v>
      </c>
      <c r="M97" s="175">
        <v>0</v>
      </c>
      <c r="N97" s="175">
        <v>0</v>
      </c>
      <c r="O97" s="175">
        <v>0</v>
      </c>
      <c r="P97" s="175">
        <v>0</v>
      </c>
      <c r="Q97" s="175">
        <v>0</v>
      </c>
      <c r="R97" s="175">
        <v>0</v>
      </c>
      <c r="S97" s="175">
        <v>0</v>
      </c>
      <c r="T97" s="175">
        <v>0</v>
      </c>
      <c r="U97" s="175">
        <v>0</v>
      </c>
      <c r="V97" s="175">
        <v>0</v>
      </c>
      <c r="W97" s="175">
        <v>0</v>
      </c>
      <c r="X97" s="175">
        <v>0</v>
      </c>
      <c r="Y97" s="175">
        <v>0</v>
      </c>
      <c r="Z97" s="175">
        <v>0</v>
      </c>
      <c r="AA97" s="175">
        <v>0</v>
      </c>
      <c r="AB97" s="175">
        <v>0</v>
      </c>
      <c r="AC97" s="175">
        <v>0</v>
      </c>
      <c r="AD97" s="175">
        <v>0</v>
      </c>
      <c r="AE97" s="175">
        <v>0</v>
      </c>
      <c r="AF97" s="175">
        <v>0</v>
      </c>
      <c r="AG97" s="175">
        <v>0</v>
      </c>
      <c r="AH97" s="175">
        <v>0</v>
      </c>
      <c r="AI97" s="175">
        <v>0</v>
      </c>
      <c r="AJ97" s="175">
        <v>0</v>
      </c>
      <c r="AK97" s="175">
        <v>0</v>
      </c>
      <c r="AL97" s="175">
        <v>0</v>
      </c>
      <c r="AM97" s="175">
        <v>0</v>
      </c>
      <c r="AN97" s="175">
        <v>0</v>
      </c>
      <c r="AO97" s="175">
        <v>0</v>
      </c>
      <c r="AP97" s="175">
        <v>0</v>
      </c>
      <c r="AQ97" s="175">
        <v>0</v>
      </c>
      <c r="AR97" s="175">
        <v>0</v>
      </c>
      <c r="AS97" s="126"/>
      <c r="AT97" s="179">
        <f t="shared" si="12"/>
        <v>0</v>
      </c>
    </row>
    <row r="98" spans="1:46">
      <c r="A98" s="174" t="s">
        <v>98</v>
      </c>
      <c r="B98" s="174" t="s">
        <v>25</v>
      </c>
      <c r="C98" s="174" t="s">
        <v>11</v>
      </c>
      <c r="D98" s="175">
        <v>1</v>
      </c>
      <c r="E98" s="174">
        <v>2026</v>
      </c>
      <c r="F98" s="176">
        <v>0</v>
      </c>
      <c r="G98" s="175">
        <v>0</v>
      </c>
      <c r="H98" s="175">
        <v>0</v>
      </c>
      <c r="I98" s="175">
        <v>0</v>
      </c>
      <c r="J98" s="175">
        <v>0</v>
      </c>
      <c r="K98" s="175">
        <v>0</v>
      </c>
      <c r="L98" s="175">
        <v>0</v>
      </c>
      <c r="M98" s="175">
        <v>0</v>
      </c>
      <c r="N98" s="175">
        <v>0</v>
      </c>
      <c r="O98" s="175">
        <v>0</v>
      </c>
      <c r="P98" s="175">
        <v>0</v>
      </c>
      <c r="Q98" s="175">
        <v>0</v>
      </c>
      <c r="R98" s="175">
        <v>0</v>
      </c>
      <c r="S98" s="175">
        <v>0</v>
      </c>
      <c r="T98" s="175">
        <v>0</v>
      </c>
      <c r="U98" s="175">
        <v>0</v>
      </c>
      <c r="V98" s="175">
        <v>0</v>
      </c>
      <c r="W98" s="175">
        <v>0</v>
      </c>
      <c r="X98" s="175">
        <v>0</v>
      </c>
      <c r="Y98" s="175">
        <v>0</v>
      </c>
      <c r="Z98" s="175">
        <v>0</v>
      </c>
      <c r="AA98" s="175">
        <v>0</v>
      </c>
      <c r="AB98" s="175">
        <v>0</v>
      </c>
      <c r="AC98" s="175">
        <v>0</v>
      </c>
      <c r="AD98" s="175">
        <v>0</v>
      </c>
      <c r="AE98" s="175">
        <v>0</v>
      </c>
      <c r="AF98" s="175">
        <v>0</v>
      </c>
      <c r="AG98" s="175">
        <v>0</v>
      </c>
      <c r="AH98" s="175">
        <v>0</v>
      </c>
      <c r="AI98" s="175">
        <v>0</v>
      </c>
      <c r="AJ98" s="175">
        <v>0</v>
      </c>
      <c r="AK98" s="175">
        <v>0</v>
      </c>
      <c r="AL98" s="175">
        <v>0</v>
      </c>
      <c r="AM98" s="175">
        <v>0</v>
      </c>
      <c r="AN98" s="175">
        <v>0</v>
      </c>
      <c r="AO98" s="175">
        <v>0</v>
      </c>
      <c r="AP98" s="175">
        <v>0</v>
      </c>
      <c r="AQ98" s="175">
        <v>0</v>
      </c>
      <c r="AR98" s="175">
        <v>0</v>
      </c>
      <c r="AS98" s="126"/>
      <c r="AT98" s="179">
        <f t="shared" si="12"/>
        <v>0</v>
      </c>
    </row>
    <row r="99" spans="1:46">
      <c r="A99" s="174" t="s">
        <v>98</v>
      </c>
      <c r="B99" s="174" t="s">
        <v>25</v>
      </c>
      <c r="C99" s="174" t="s">
        <v>11</v>
      </c>
      <c r="D99" s="175">
        <v>1</v>
      </c>
      <c r="E99" s="174">
        <v>2027</v>
      </c>
      <c r="F99" s="176">
        <v>0</v>
      </c>
      <c r="G99" s="175">
        <v>0</v>
      </c>
      <c r="H99" s="175">
        <v>0</v>
      </c>
      <c r="I99" s="175">
        <v>0</v>
      </c>
      <c r="J99" s="175">
        <v>0</v>
      </c>
      <c r="K99" s="175">
        <v>0</v>
      </c>
      <c r="L99" s="175">
        <v>0</v>
      </c>
      <c r="M99" s="175">
        <v>0</v>
      </c>
      <c r="N99" s="175">
        <v>0</v>
      </c>
      <c r="O99" s="175">
        <v>0</v>
      </c>
      <c r="P99" s="175">
        <v>0</v>
      </c>
      <c r="Q99" s="175">
        <v>0</v>
      </c>
      <c r="R99" s="175">
        <v>0</v>
      </c>
      <c r="S99" s="175">
        <v>0</v>
      </c>
      <c r="T99" s="175">
        <v>0</v>
      </c>
      <c r="U99" s="175">
        <v>0</v>
      </c>
      <c r="V99" s="175">
        <v>0</v>
      </c>
      <c r="W99" s="175">
        <v>0</v>
      </c>
      <c r="X99" s="175">
        <v>0</v>
      </c>
      <c r="Y99" s="175">
        <v>0</v>
      </c>
      <c r="Z99" s="175">
        <v>0</v>
      </c>
      <c r="AA99" s="175">
        <v>0</v>
      </c>
      <c r="AB99" s="175">
        <v>0</v>
      </c>
      <c r="AC99" s="175">
        <v>0</v>
      </c>
      <c r="AD99" s="175">
        <v>0</v>
      </c>
      <c r="AE99" s="175">
        <v>0</v>
      </c>
      <c r="AF99" s="175">
        <v>0</v>
      </c>
      <c r="AG99" s="175">
        <v>0</v>
      </c>
      <c r="AH99" s="175">
        <v>0</v>
      </c>
      <c r="AI99" s="175">
        <v>0</v>
      </c>
      <c r="AJ99" s="175">
        <v>0</v>
      </c>
      <c r="AK99" s="175">
        <v>0</v>
      </c>
      <c r="AL99" s="175">
        <v>0</v>
      </c>
      <c r="AM99" s="175">
        <v>0</v>
      </c>
      <c r="AN99" s="175">
        <v>0</v>
      </c>
      <c r="AO99" s="175">
        <v>0</v>
      </c>
      <c r="AP99" s="175">
        <v>0</v>
      </c>
      <c r="AQ99" s="175">
        <v>0</v>
      </c>
      <c r="AR99" s="175">
        <v>0</v>
      </c>
      <c r="AS99" s="126"/>
      <c r="AT99" s="179">
        <f t="shared" si="12"/>
        <v>0</v>
      </c>
    </row>
    <row r="100" spans="1:46">
      <c r="A100" s="174" t="s">
        <v>98</v>
      </c>
      <c r="B100" s="174" t="s">
        <v>25</v>
      </c>
      <c r="C100" s="174" t="s">
        <v>11</v>
      </c>
      <c r="D100" s="175">
        <v>1</v>
      </c>
      <c r="E100" s="174">
        <v>2028</v>
      </c>
      <c r="F100" s="176">
        <v>0</v>
      </c>
      <c r="G100" s="175">
        <v>0</v>
      </c>
      <c r="H100" s="175">
        <v>0</v>
      </c>
      <c r="I100" s="175">
        <v>0</v>
      </c>
      <c r="J100" s="175">
        <v>0</v>
      </c>
      <c r="K100" s="175">
        <v>0</v>
      </c>
      <c r="L100" s="175">
        <v>0</v>
      </c>
      <c r="M100" s="175">
        <v>0</v>
      </c>
      <c r="N100" s="175">
        <v>0</v>
      </c>
      <c r="O100" s="175">
        <v>0</v>
      </c>
      <c r="P100" s="175">
        <v>0</v>
      </c>
      <c r="Q100" s="175">
        <v>0</v>
      </c>
      <c r="R100" s="175">
        <v>0</v>
      </c>
      <c r="S100" s="175">
        <v>0</v>
      </c>
      <c r="T100" s="175">
        <v>0</v>
      </c>
      <c r="U100" s="175">
        <v>0</v>
      </c>
      <c r="V100" s="175">
        <v>0</v>
      </c>
      <c r="W100" s="175">
        <v>0</v>
      </c>
      <c r="X100" s="175">
        <v>0</v>
      </c>
      <c r="Y100" s="175">
        <v>0</v>
      </c>
      <c r="Z100" s="175">
        <v>0</v>
      </c>
      <c r="AA100" s="175">
        <v>0</v>
      </c>
      <c r="AB100" s="175">
        <v>0</v>
      </c>
      <c r="AC100" s="175">
        <v>0</v>
      </c>
      <c r="AD100" s="175">
        <v>0</v>
      </c>
      <c r="AE100" s="175">
        <v>0</v>
      </c>
      <c r="AF100" s="175">
        <v>0</v>
      </c>
      <c r="AG100" s="175">
        <v>0</v>
      </c>
      <c r="AH100" s="175">
        <v>0</v>
      </c>
      <c r="AI100" s="175">
        <v>0</v>
      </c>
      <c r="AJ100" s="175">
        <v>0</v>
      </c>
      <c r="AK100" s="175">
        <v>0</v>
      </c>
      <c r="AL100" s="175">
        <v>0</v>
      </c>
      <c r="AM100" s="175">
        <v>0</v>
      </c>
      <c r="AN100" s="175">
        <v>0</v>
      </c>
      <c r="AO100" s="175">
        <v>0</v>
      </c>
      <c r="AP100" s="175">
        <v>0</v>
      </c>
      <c r="AQ100" s="175">
        <v>0</v>
      </c>
      <c r="AR100" s="175">
        <v>0</v>
      </c>
      <c r="AS100" s="126"/>
      <c r="AT100" s="179">
        <f t="shared" si="12"/>
        <v>0</v>
      </c>
    </row>
    <row r="101" spans="1:46">
      <c r="A101" s="174" t="s">
        <v>98</v>
      </c>
      <c r="B101" s="174" t="s">
        <v>25</v>
      </c>
      <c r="C101" s="174" t="s">
        <v>11</v>
      </c>
      <c r="D101" s="175">
        <v>1</v>
      </c>
      <c r="E101" s="174">
        <v>2029</v>
      </c>
      <c r="F101" s="176">
        <v>0</v>
      </c>
      <c r="G101" s="175">
        <v>0</v>
      </c>
      <c r="H101" s="175">
        <v>0</v>
      </c>
      <c r="I101" s="175">
        <v>0</v>
      </c>
      <c r="J101" s="175">
        <v>0</v>
      </c>
      <c r="K101" s="175">
        <v>0</v>
      </c>
      <c r="L101" s="175">
        <v>0</v>
      </c>
      <c r="M101" s="175">
        <v>0</v>
      </c>
      <c r="N101" s="175">
        <v>0</v>
      </c>
      <c r="O101" s="175">
        <v>0</v>
      </c>
      <c r="P101" s="175">
        <v>0</v>
      </c>
      <c r="Q101" s="175">
        <v>0</v>
      </c>
      <c r="R101" s="175">
        <v>0</v>
      </c>
      <c r="S101" s="175">
        <v>0</v>
      </c>
      <c r="T101" s="175">
        <v>0</v>
      </c>
      <c r="U101" s="175">
        <v>0</v>
      </c>
      <c r="V101" s="175">
        <v>0</v>
      </c>
      <c r="W101" s="175">
        <v>0</v>
      </c>
      <c r="X101" s="175">
        <v>0</v>
      </c>
      <c r="Y101" s="175">
        <v>0</v>
      </c>
      <c r="Z101" s="175">
        <v>0</v>
      </c>
      <c r="AA101" s="175">
        <v>0</v>
      </c>
      <c r="AB101" s="175">
        <v>0</v>
      </c>
      <c r="AC101" s="175">
        <v>0</v>
      </c>
      <c r="AD101" s="175">
        <v>0</v>
      </c>
      <c r="AE101" s="175">
        <v>0</v>
      </c>
      <c r="AF101" s="175">
        <v>0</v>
      </c>
      <c r="AG101" s="175">
        <v>0</v>
      </c>
      <c r="AH101" s="175">
        <v>0</v>
      </c>
      <c r="AI101" s="175">
        <v>0</v>
      </c>
      <c r="AJ101" s="175">
        <v>0</v>
      </c>
      <c r="AK101" s="175">
        <v>0</v>
      </c>
      <c r="AL101" s="175">
        <v>0</v>
      </c>
      <c r="AM101" s="175">
        <v>0</v>
      </c>
      <c r="AN101" s="175">
        <v>0</v>
      </c>
      <c r="AO101" s="175">
        <v>0</v>
      </c>
      <c r="AP101" s="175">
        <v>0</v>
      </c>
      <c r="AQ101" s="175">
        <v>0</v>
      </c>
      <c r="AR101" s="175">
        <v>0</v>
      </c>
      <c r="AS101" s="126"/>
      <c r="AT101" s="179">
        <f t="shared" si="12"/>
        <v>0</v>
      </c>
    </row>
    <row r="102" spans="1:46">
      <c r="A102" s="174" t="s">
        <v>98</v>
      </c>
      <c r="B102" s="174" t="s">
        <v>25</v>
      </c>
      <c r="C102" s="174" t="s">
        <v>11</v>
      </c>
      <c r="D102" s="175">
        <v>1</v>
      </c>
      <c r="E102" s="174">
        <v>2030</v>
      </c>
      <c r="F102" s="176">
        <v>0</v>
      </c>
      <c r="G102" s="175">
        <v>0</v>
      </c>
      <c r="H102" s="175">
        <v>0</v>
      </c>
      <c r="I102" s="175">
        <v>0</v>
      </c>
      <c r="J102" s="175">
        <v>0</v>
      </c>
      <c r="K102" s="175">
        <v>0</v>
      </c>
      <c r="L102" s="175">
        <v>0</v>
      </c>
      <c r="M102" s="175">
        <v>0</v>
      </c>
      <c r="N102" s="175">
        <v>0</v>
      </c>
      <c r="O102" s="175">
        <v>0</v>
      </c>
      <c r="P102" s="175">
        <v>0</v>
      </c>
      <c r="Q102" s="175">
        <v>0</v>
      </c>
      <c r="R102" s="175">
        <v>0</v>
      </c>
      <c r="S102" s="175">
        <v>0</v>
      </c>
      <c r="T102" s="175">
        <v>0</v>
      </c>
      <c r="U102" s="175">
        <v>0</v>
      </c>
      <c r="V102" s="175">
        <v>0</v>
      </c>
      <c r="W102" s="175">
        <v>0</v>
      </c>
      <c r="X102" s="175">
        <v>0</v>
      </c>
      <c r="Y102" s="175">
        <v>0</v>
      </c>
      <c r="Z102" s="175">
        <v>0</v>
      </c>
      <c r="AA102" s="175">
        <v>0</v>
      </c>
      <c r="AB102" s="175">
        <v>0</v>
      </c>
      <c r="AC102" s="175">
        <v>0</v>
      </c>
      <c r="AD102" s="175">
        <v>0</v>
      </c>
      <c r="AE102" s="175">
        <v>0</v>
      </c>
      <c r="AF102" s="175">
        <v>0</v>
      </c>
      <c r="AG102" s="175">
        <v>0</v>
      </c>
      <c r="AH102" s="175">
        <v>0</v>
      </c>
      <c r="AI102" s="175">
        <v>0</v>
      </c>
      <c r="AJ102" s="175">
        <v>0</v>
      </c>
      <c r="AK102" s="175">
        <v>0</v>
      </c>
      <c r="AL102" s="175">
        <v>0</v>
      </c>
      <c r="AM102" s="175">
        <v>0</v>
      </c>
      <c r="AN102" s="175">
        <v>0</v>
      </c>
      <c r="AO102" s="175">
        <v>0</v>
      </c>
      <c r="AP102" s="175">
        <v>0</v>
      </c>
      <c r="AQ102" s="175">
        <v>0</v>
      </c>
      <c r="AR102" s="175">
        <v>0</v>
      </c>
      <c r="AS102" s="126"/>
      <c r="AT102" s="179">
        <f t="shared" si="12"/>
        <v>0</v>
      </c>
    </row>
    <row r="103" spans="1:46">
      <c r="A103" s="174" t="s">
        <v>98</v>
      </c>
      <c r="B103" s="174" t="s">
        <v>25</v>
      </c>
      <c r="C103" s="174" t="s">
        <v>11</v>
      </c>
      <c r="D103" s="175">
        <v>1</v>
      </c>
      <c r="E103" s="174">
        <v>2031</v>
      </c>
      <c r="F103" s="176">
        <v>0</v>
      </c>
      <c r="G103" s="175">
        <v>0</v>
      </c>
      <c r="H103" s="175">
        <v>0</v>
      </c>
      <c r="I103" s="175">
        <v>0</v>
      </c>
      <c r="J103" s="175">
        <v>0</v>
      </c>
      <c r="K103" s="175">
        <v>640.08415226908005</v>
      </c>
      <c r="L103" s="175">
        <v>0</v>
      </c>
      <c r="M103" s="175">
        <v>0</v>
      </c>
      <c r="N103" s="175">
        <v>0</v>
      </c>
      <c r="O103" s="175">
        <v>0</v>
      </c>
      <c r="P103" s="175">
        <v>0</v>
      </c>
      <c r="Q103" s="175">
        <v>0</v>
      </c>
      <c r="R103" s="175">
        <v>0</v>
      </c>
      <c r="S103" s="175">
        <v>0</v>
      </c>
      <c r="T103" s="175">
        <v>0</v>
      </c>
      <c r="U103" s="175">
        <v>0</v>
      </c>
      <c r="V103" s="175">
        <v>0</v>
      </c>
      <c r="W103" s="175">
        <v>0</v>
      </c>
      <c r="X103" s="175">
        <v>0</v>
      </c>
      <c r="Y103" s="175">
        <v>0</v>
      </c>
      <c r="Z103" s="175">
        <v>0</v>
      </c>
      <c r="AA103" s="175">
        <v>0</v>
      </c>
      <c r="AB103" s="175">
        <v>0</v>
      </c>
      <c r="AC103" s="175">
        <v>0</v>
      </c>
      <c r="AD103" s="175">
        <v>0</v>
      </c>
      <c r="AE103" s="175">
        <v>0</v>
      </c>
      <c r="AF103" s="175">
        <v>0</v>
      </c>
      <c r="AG103" s="175">
        <v>0</v>
      </c>
      <c r="AH103" s="175">
        <v>0</v>
      </c>
      <c r="AI103" s="175">
        <v>0</v>
      </c>
      <c r="AJ103" s="175">
        <v>0</v>
      </c>
      <c r="AK103" s="175">
        <v>0</v>
      </c>
      <c r="AL103" s="175">
        <v>0</v>
      </c>
      <c r="AM103" s="175">
        <v>0</v>
      </c>
      <c r="AN103" s="175">
        <v>0</v>
      </c>
      <c r="AO103" s="175">
        <v>0</v>
      </c>
      <c r="AP103" s="175">
        <v>0</v>
      </c>
      <c r="AQ103" s="175">
        <v>0</v>
      </c>
      <c r="AR103" s="175">
        <v>0</v>
      </c>
      <c r="AS103" s="126"/>
      <c r="AT103" s="179">
        <f t="shared" si="12"/>
        <v>640.08415226908005</v>
      </c>
    </row>
    <row r="104" spans="1:46">
      <c r="A104" s="174" t="s">
        <v>98</v>
      </c>
      <c r="B104" s="174" t="s">
        <v>25</v>
      </c>
      <c r="C104" s="174" t="s">
        <v>11</v>
      </c>
      <c r="D104" s="175">
        <v>1</v>
      </c>
      <c r="E104" s="174">
        <v>2032</v>
      </c>
      <c r="F104" s="176">
        <v>0</v>
      </c>
      <c r="G104" s="175">
        <v>0</v>
      </c>
      <c r="H104" s="175">
        <v>0</v>
      </c>
      <c r="I104" s="175">
        <v>0</v>
      </c>
      <c r="J104" s="175">
        <v>0</v>
      </c>
      <c r="K104" s="175">
        <v>696.15882107866003</v>
      </c>
      <c r="L104" s="175">
        <v>0</v>
      </c>
      <c r="M104" s="175">
        <v>0</v>
      </c>
      <c r="N104" s="175">
        <v>0</v>
      </c>
      <c r="O104" s="175">
        <v>0</v>
      </c>
      <c r="P104" s="175">
        <v>0</v>
      </c>
      <c r="Q104" s="175">
        <v>0</v>
      </c>
      <c r="R104" s="175">
        <v>0</v>
      </c>
      <c r="S104" s="175">
        <v>0</v>
      </c>
      <c r="T104" s="175">
        <v>0</v>
      </c>
      <c r="U104" s="175">
        <v>0</v>
      </c>
      <c r="V104" s="175">
        <v>0</v>
      </c>
      <c r="W104" s="175">
        <v>0</v>
      </c>
      <c r="X104" s="175">
        <v>0</v>
      </c>
      <c r="Y104" s="175">
        <v>0</v>
      </c>
      <c r="Z104" s="175">
        <v>0</v>
      </c>
      <c r="AA104" s="175">
        <v>0</v>
      </c>
      <c r="AB104" s="175">
        <v>0</v>
      </c>
      <c r="AC104" s="175">
        <v>0</v>
      </c>
      <c r="AD104" s="175">
        <v>0</v>
      </c>
      <c r="AE104" s="175">
        <v>0</v>
      </c>
      <c r="AF104" s="175">
        <v>0</v>
      </c>
      <c r="AG104" s="175">
        <v>0</v>
      </c>
      <c r="AH104" s="175">
        <v>0</v>
      </c>
      <c r="AI104" s="175">
        <v>0</v>
      </c>
      <c r="AJ104" s="175">
        <v>0</v>
      </c>
      <c r="AK104" s="175">
        <v>0</v>
      </c>
      <c r="AL104" s="175">
        <v>0</v>
      </c>
      <c r="AM104" s="175">
        <v>0</v>
      </c>
      <c r="AN104" s="175">
        <v>0</v>
      </c>
      <c r="AO104" s="175">
        <v>0</v>
      </c>
      <c r="AP104" s="175">
        <v>0</v>
      </c>
      <c r="AQ104" s="175">
        <v>0</v>
      </c>
      <c r="AR104" s="175">
        <v>0</v>
      </c>
      <c r="AS104" s="126"/>
      <c r="AT104" s="179">
        <f t="shared" si="12"/>
        <v>696.15882107866003</v>
      </c>
    </row>
    <row r="105" spans="1:46">
      <c r="A105" s="174" t="s">
        <v>98</v>
      </c>
      <c r="B105" s="174" t="s">
        <v>25</v>
      </c>
      <c r="C105" s="174" t="s">
        <v>11</v>
      </c>
      <c r="D105" s="175">
        <v>1</v>
      </c>
      <c r="E105" s="174">
        <v>2033</v>
      </c>
      <c r="F105" s="176">
        <v>0</v>
      </c>
      <c r="G105" s="175">
        <v>0</v>
      </c>
      <c r="H105" s="175">
        <v>0</v>
      </c>
      <c r="I105" s="175">
        <v>0</v>
      </c>
      <c r="J105" s="175">
        <v>0</v>
      </c>
      <c r="K105" s="175">
        <v>700.02605703866004</v>
      </c>
      <c r="L105" s="175">
        <v>0</v>
      </c>
      <c r="M105" s="175">
        <v>0</v>
      </c>
      <c r="N105" s="175">
        <v>0</v>
      </c>
      <c r="O105" s="175">
        <v>0</v>
      </c>
      <c r="P105" s="175">
        <v>0</v>
      </c>
      <c r="Q105" s="175">
        <v>0</v>
      </c>
      <c r="R105" s="175">
        <v>0</v>
      </c>
      <c r="S105" s="175">
        <v>0</v>
      </c>
      <c r="T105" s="175">
        <v>0</v>
      </c>
      <c r="U105" s="175">
        <v>0</v>
      </c>
      <c r="V105" s="175">
        <v>0</v>
      </c>
      <c r="W105" s="175">
        <v>0</v>
      </c>
      <c r="X105" s="175">
        <v>0</v>
      </c>
      <c r="Y105" s="175">
        <v>0</v>
      </c>
      <c r="Z105" s="175">
        <v>0</v>
      </c>
      <c r="AA105" s="175">
        <v>0</v>
      </c>
      <c r="AB105" s="175">
        <v>0</v>
      </c>
      <c r="AC105" s="175">
        <v>0</v>
      </c>
      <c r="AD105" s="175">
        <v>0</v>
      </c>
      <c r="AE105" s="175">
        <v>0</v>
      </c>
      <c r="AF105" s="175">
        <v>0</v>
      </c>
      <c r="AG105" s="175">
        <v>0</v>
      </c>
      <c r="AH105" s="175">
        <v>0</v>
      </c>
      <c r="AI105" s="175">
        <v>0</v>
      </c>
      <c r="AJ105" s="175">
        <v>0</v>
      </c>
      <c r="AK105" s="175">
        <v>0</v>
      </c>
      <c r="AL105" s="175">
        <v>0</v>
      </c>
      <c r="AM105" s="175">
        <v>0</v>
      </c>
      <c r="AN105" s="175">
        <v>0</v>
      </c>
      <c r="AO105" s="175">
        <v>0</v>
      </c>
      <c r="AP105" s="175">
        <v>0</v>
      </c>
      <c r="AQ105" s="175">
        <v>0</v>
      </c>
      <c r="AR105" s="175">
        <v>0</v>
      </c>
      <c r="AS105" s="126"/>
      <c r="AT105" s="179">
        <f t="shared" si="12"/>
        <v>700.02605703866004</v>
      </c>
    </row>
    <row r="106" spans="1:46">
      <c r="A106" s="174" t="s">
        <v>98</v>
      </c>
      <c r="B106" s="174" t="s">
        <v>25</v>
      </c>
      <c r="C106" s="174" t="s">
        <v>11</v>
      </c>
      <c r="D106" s="175">
        <v>1</v>
      </c>
      <c r="E106" s="174">
        <v>2034</v>
      </c>
      <c r="F106" s="176">
        <v>0</v>
      </c>
      <c r="G106" s="175">
        <v>0</v>
      </c>
      <c r="H106" s="175">
        <v>0</v>
      </c>
      <c r="I106" s="175">
        <v>0</v>
      </c>
      <c r="J106" s="175">
        <v>0</v>
      </c>
      <c r="K106" s="175">
        <v>666.79015985885997</v>
      </c>
      <c r="L106" s="175">
        <v>0</v>
      </c>
      <c r="M106" s="175">
        <v>0</v>
      </c>
      <c r="N106" s="175">
        <v>0</v>
      </c>
      <c r="O106" s="175">
        <v>0</v>
      </c>
      <c r="P106" s="175">
        <v>0</v>
      </c>
      <c r="Q106" s="175">
        <v>0</v>
      </c>
      <c r="R106" s="175">
        <v>0</v>
      </c>
      <c r="S106" s="175">
        <v>0</v>
      </c>
      <c r="T106" s="175">
        <v>0</v>
      </c>
      <c r="U106" s="175">
        <v>0</v>
      </c>
      <c r="V106" s="175">
        <v>0</v>
      </c>
      <c r="W106" s="175">
        <v>0</v>
      </c>
      <c r="X106" s="175">
        <v>0</v>
      </c>
      <c r="Y106" s="175">
        <v>0</v>
      </c>
      <c r="Z106" s="175">
        <v>0</v>
      </c>
      <c r="AA106" s="175">
        <v>0</v>
      </c>
      <c r="AB106" s="175">
        <v>0</v>
      </c>
      <c r="AC106" s="175">
        <v>0</v>
      </c>
      <c r="AD106" s="175">
        <v>0</v>
      </c>
      <c r="AE106" s="175">
        <v>0</v>
      </c>
      <c r="AF106" s="175">
        <v>0</v>
      </c>
      <c r="AG106" s="175">
        <v>0</v>
      </c>
      <c r="AH106" s="175">
        <v>0</v>
      </c>
      <c r="AI106" s="175">
        <v>0</v>
      </c>
      <c r="AJ106" s="175">
        <v>0</v>
      </c>
      <c r="AK106" s="175">
        <v>0</v>
      </c>
      <c r="AL106" s="175">
        <v>0</v>
      </c>
      <c r="AM106" s="175">
        <v>0</v>
      </c>
      <c r="AN106" s="175">
        <v>0</v>
      </c>
      <c r="AO106" s="175">
        <v>0</v>
      </c>
      <c r="AP106" s="175">
        <v>0</v>
      </c>
      <c r="AQ106" s="175">
        <v>0</v>
      </c>
      <c r="AR106" s="175">
        <v>0</v>
      </c>
      <c r="AS106" s="126"/>
      <c r="AT106" s="179">
        <f t="shared" si="12"/>
        <v>666.79015985885997</v>
      </c>
    </row>
    <row r="107" spans="1:46">
      <c r="A107" s="174" t="s">
        <v>98</v>
      </c>
      <c r="B107" s="174" t="s">
        <v>25</v>
      </c>
      <c r="C107" s="174" t="s">
        <v>11</v>
      </c>
      <c r="D107" s="175">
        <v>1</v>
      </c>
      <c r="E107" s="174">
        <v>2035</v>
      </c>
      <c r="F107" s="176">
        <v>0</v>
      </c>
      <c r="G107" s="175">
        <v>0</v>
      </c>
      <c r="H107" s="175">
        <v>0</v>
      </c>
      <c r="I107" s="175">
        <v>0</v>
      </c>
      <c r="J107" s="175">
        <v>0</v>
      </c>
      <c r="K107" s="175">
        <v>735.25073538188997</v>
      </c>
      <c r="L107" s="175">
        <v>0</v>
      </c>
      <c r="M107" s="175">
        <v>0</v>
      </c>
      <c r="N107" s="175">
        <v>0</v>
      </c>
      <c r="O107" s="175">
        <v>0</v>
      </c>
      <c r="P107" s="175">
        <v>0</v>
      </c>
      <c r="Q107" s="175">
        <v>0</v>
      </c>
      <c r="R107" s="175">
        <v>0</v>
      </c>
      <c r="S107" s="175">
        <v>0</v>
      </c>
      <c r="T107" s="175">
        <v>0</v>
      </c>
      <c r="U107" s="175">
        <v>0</v>
      </c>
      <c r="V107" s="175">
        <v>0</v>
      </c>
      <c r="W107" s="175">
        <v>0</v>
      </c>
      <c r="X107" s="175">
        <v>0</v>
      </c>
      <c r="Y107" s="175">
        <v>0</v>
      </c>
      <c r="Z107" s="175">
        <v>0</v>
      </c>
      <c r="AA107" s="175">
        <v>0</v>
      </c>
      <c r="AB107" s="175">
        <v>0</v>
      </c>
      <c r="AC107" s="175">
        <v>0</v>
      </c>
      <c r="AD107" s="175">
        <v>0</v>
      </c>
      <c r="AE107" s="175">
        <v>0</v>
      </c>
      <c r="AF107" s="175">
        <v>0</v>
      </c>
      <c r="AG107" s="175">
        <v>0</v>
      </c>
      <c r="AH107" s="175">
        <v>0</v>
      </c>
      <c r="AI107" s="175">
        <v>0</v>
      </c>
      <c r="AJ107" s="175">
        <v>0</v>
      </c>
      <c r="AK107" s="175">
        <v>0</v>
      </c>
      <c r="AL107" s="175">
        <v>0</v>
      </c>
      <c r="AM107" s="175">
        <v>0</v>
      </c>
      <c r="AN107" s="175">
        <v>0</v>
      </c>
      <c r="AO107" s="175">
        <v>0</v>
      </c>
      <c r="AP107" s="175">
        <v>0</v>
      </c>
      <c r="AQ107" s="175">
        <v>0</v>
      </c>
      <c r="AR107" s="175">
        <v>0</v>
      </c>
      <c r="AS107" s="126"/>
      <c r="AT107" s="179">
        <f t="shared" si="12"/>
        <v>735.25073538188997</v>
      </c>
    </row>
    <row r="108" spans="1:46">
      <c r="A108" s="174" t="s">
        <v>98</v>
      </c>
      <c r="B108" s="174" t="s">
        <v>25</v>
      </c>
      <c r="C108" s="174" t="s">
        <v>11</v>
      </c>
      <c r="D108" s="175">
        <v>1</v>
      </c>
      <c r="E108" s="174">
        <v>2036</v>
      </c>
      <c r="F108" s="176">
        <v>0</v>
      </c>
      <c r="G108" s="175">
        <v>0</v>
      </c>
      <c r="H108" s="175">
        <v>0</v>
      </c>
      <c r="I108" s="175">
        <v>0</v>
      </c>
      <c r="J108" s="175">
        <v>0</v>
      </c>
      <c r="K108" s="175">
        <v>635.80662785904997</v>
      </c>
      <c r="L108" s="175">
        <v>0</v>
      </c>
      <c r="M108" s="175">
        <v>0</v>
      </c>
      <c r="N108" s="175">
        <v>0</v>
      </c>
      <c r="O108" s="175">
        <v>0</v>
      </c>
      <c r="P108" s="175">
        <v>0</v>
      </c>
      <c r="Q108" s="175">
        <v>0</v>
      </c>
      <c r="R108" s="175">
        <v>0</v>
      </c>
      <c r="S108" s="175">
        <v>0</v>
      </c>
      <c r="T108" s="175">
        <v>0</v>
      </c>
      <c r="U108" s="175">
        <v>0</v>
      </c>
      <c r="V108" s="175">
        <v>0</v>
      </c>
      <c r="W108" s="175">
        <v>0</v>
      </c>
      <c r="X108" s="175">
        <v>0</v>
      </c>
      <c r="Y108" s="175">
        <v>0</v>
      </c>
      <c r="Z108" s="175">
        <v>0</v>
      </c>
      <c r="AA108" s="175">
        <v>0</v>
      </c>
      <c r="AB108" s="175">
        <v>0</v>
      </c>
      <c r="AC108" s="175">
        <v>0</v>
      </c>
      <c r="AD108" s="175">
        <v>0</v>
      </c>
      <c r="AE108" s="175">
        <v>0</v>
      </c>
      <c r="AF108" s="175">
        <v>0</v>
      </c>
      <c r="AG108" s="175">
        <v>0</v>
      </c>
      <c r="AH108" s="175">
        <v>0</v>
      </c>
      <c r="AI108" s="175">
        <v>0</v>
      </c>
      <c r="AJ108" s="175">
        <v>0</v>
      </c>
      <c r="AK108" s="175">
        <v>0</v>
      </c>
      <c r="AL108" s="175">
        <v>0</v>
      </c>
      <c r="AM108" s="175">
        <v>0</v>
      </c>
      <c r="AN108" s="175">
        <v>0</v>
      </c>
      <c r="AO108" s="175">
        <v>0</v>
      </c>
      <c r="AP108" s="175">
        <v>0</v>
      </c>
      <c r="AQ108" s="175">
        <v>0</v>
      </c>
      <c r="AR108" s="175">
        <v>0</v>
      </c>
      <c r="AS108" s="126"/>
      <c r="AT108" s="179">
        <f t="shared" si="12"/>
        <v>635.80662785904997</v>
      </c>
    </row>
    <row r="109" spans="1:46">
      <c r="A109" s="174" t="s">
        <v>98</v>
      </c>
      <c r="B109" s="174" t="s">
        <v>25</v>
      </c>
      <c r="C109" s="174" t="s">
        <v>11</v>
      </c>
      <c r="D109" s="175">
        <v>1</v>
      </c>
      <c r="E109" s="174">
        <v>2037</v>
      </c>
      <c r="F109" s="176">
        <v>0</v>
      </c>
      <c r="G109" s="175">
        <v>0</v>
      </c>
      <c r="H109" s="175">
        <v>0</v>
      </c>
      <c r="I109" s="175">
        <v>0</v>
      </c>
      <c r="J109" s="175">
        <v>0</v>
      </c>
      <c r="K109" s="175">
        <v>649.88561494183</v>
      </c>
      <c r="L109" s="175">
        <v>0</v>
      </c>
      <c r="M109" s="175">
        <v>0</v>
      </c>
      <c r="N109" s="175">
        <v>0</v>
      </c>
      <c r="O109" s="175">
        <v>0</v>
      </c>
      <c r="P109" s="175">
        <v>0</v>
      </c>
      <c r="Q109" s="175">
        <v>0</v>
      </c>
      <c r="R109" s="175">
        <v>0</v>
      </c>
      <c r="S109" s="175">
        <v>0</v>
      </c>
      <c r="T109" s="175">
        <v>0</v>
      </c>
      <c r="U109" s="175">
        <v>0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B109" s="175">
        <v>0</v>
      </c>
      <c r="AC109" s="175">
        <v>0</v>
      </c>
      <c r="AD109" s="175">
        <v>0</v>
      </c>
      <c r="AE109" s="175">
        <v>0</v>
      </c>
      <c r="AF109" s="175">
        <v>0</v>
      </c>
      <c r="AG109" s="175">
        <v>0</v>
      </c>
      <c r="AH109" s="175">
        <v>0</v>
      </c>
      <c r="AI109" s="175">
        <v>0</v>
      </c>
      <c r="AJ109" s="175">
        <v>0</v>
      </c>
      <c r="AK109" s="175">
        <v>0</v>
      </c>
      <c r="AL109" s="175">
        <v>0</v>
      </c>
      <c r="AM109" s="175">
        <v>0</v>
      </c>
      <c r="AN109" s="175">
        <v>0</v>
      </c>
      <c r="AO109" s="175">
        <v>0</v>
      </c>
      <c r="AP109" s="175">
        <v>0</v>
      </c>
      <c r="AQ109" s="175">
        <v>0</v>
      </c>
      <c r="AR109" s="175">
        <v>0</v>
      </c>
      <c r="AS109" s="126"/>
      <c r="AT109" s="179">
        <f t="shared" si="12"/>
        <v>649.88561494183</v>
      </c>
    </row>
    <row r="110" spans="1:46">
      <c r="A110" s="174" t="s">
        <v>98</v>
      </c>
      <c r="B110" s="174" t="s">
        <v>25</v>
      </c>
      <c r="C110" s="174" t="s">
        <v>11</v>
      </c>
      <c r="D110" s="175">
        <v>1</v>
      </c>
      <c r="E110" s="174">
        <v>2038</v>
      </c>
      <c r="F110" s="176">
        <v>0</v>
      </c>
      <c r="G110" s="175">
        <v>0</v>
      </c>
      <c r="H110" s="175">
        <v>0</v>
      </c>
      <c r="I110" s="175">
        <v>0</v>
      </c>
      <c r="J110" s="175">
        <v>0</v>
      </c>
      <c r="K110" s="175">
        <v>664.76150961751</v>
      </c>
      <c r="L110" s="175">
        <v>0</v>
      </c>
      <c r="M110" s="175">
        <v>0</v>
      </c>
      <c r="N110" s="175">
        <v>0</v>
      </c>
      <c r="O110" s="175">
        <v>0</v>
      </c>
      <c r="P110" s="175">
        <v>0</v>
      </c>
      <c r="Q110" s="175">
        <v>0</v>
      </c>
      <c r="R110" s="175">
        <v>0</v>
      </c>
      <c r="S110" s="175">
        <v>0</v>
      </c>
      <c r="T110" s="175">
        <v>0</v>
      </c>
      <c r="U110" s="175">
        <v>0</v>
      </c>
      <c r="V110" s="175">
        <v>0</v>
      </c>
      <c r="W110" s="175">
        <v>0</v>
      </c>
      <c r="X110" s="175">
        <v>0</v>
      </c>
      <c r="Y110" s="175">
        <v>0</v>
      </c>
      <c r="Z110" s="175">
        <v>0</v>
      </c>
      <c r="AA110" s="175">
        <v>0</v>
      </c>
      <c r="AB110" s="175">
        <v>0</v>
      </c>
      <c r="AC110" s="175">
        <v>0</v>
      </c>
      <c r="AD110" s="175">
        <v>0</v>
      </c>
      <c r="AE110" s="175">
        <v>0</v>
      </c>
      <c r="AF110" s="175">
        <v>0</v>
      </c>
      <c r="AG110" s="175">
        <v>0</v>
      </c>
      <c r="AH110" s="175">
        <v>0</v>
      </c>
      <c r="AI110" s="175">
        <v>0</v>
      </c>
      <c r="AJ110" s="175">
        <v>0</v>
      </c>
      <c r="AK110" s="175">
        <v>0</v>
      </c>
      <c r="AL110" s="175">
        <v>0</v>
      </c>
      <c r="AM110" s="175">
        <v>0</v>
      </c>
      <c r="AN110" s="175">
        <v>0</v>
      </c>
      <c r="AO110" s="175">
        <v>0</v>
      </c>
      <c r="AP110" s="175">
        <v>0</v>
      </c>
      <c r="AQ110" s="175">
        <v>0</v>
      </c>
      <c r="AR110" s="175">
        <v>0</v>
      </c>
      <c r="AS110" s="126"/>
      <c r="AT110" s="179">
        <f t="shared" si="12"/>
        <v>664.76150961751</v>
      </c>
    </row>
    <row r="111" spans="1:46">
      <c r="A111" s="174" t="s">
        <v>98</v>
      </c>
      <c r="B111" s="174" t="s">
        <v>25</v>
      </c>
      <c r="C111" s="174" t="s">
        <v>11</v>
      </c>
      <c r="D111" s="175">
        <v>1</v>
      </c>
      <c r="E111" s="174">
        <v>2039</v>
      </c>
      <c r="F111" s="176">
        <v>0</v>
      </c>
      <c r="G111" s="175">
        <v>0</v>
      </c>
      <c r="H111" s="175">
        <v>0</v>
      </c>
      <c r="I111" s="175">
        <v>0</v>
      </c>
      <c r="J111" s="175">
        <v>0</v>
      </c>
      <c r="K111" s="175">
        <v>719.55402715050002</v>
      </c>
      <c r="L111" s="175">
        <v>0</v>
      </c>
      <c r="M111" s="175">
        <v>0</v>
      </c>
      <c r="N111" s="175">
        <v>0</v>
      </c>
      <c r="O111" s="175">
        <v>0</v>
      </c>
      <c r="P111" s="175">
        <v>0</v>
      </c>
      <c r="Q111" s="175">
        <v>0</v>
      </c>
      <c r="R111" s="175">
        <v>0</v>
      </c>
      <c r="S111" s="175">
        <v>0</v>
      </c>
      <c r="T111" s="175">
        <v>0</v>
      </c>
      <c r="U111" s="175">
        <v>0</v>
      </c>
      <c r="V111" s="175">
        <v>0</v>
      </c>
      <c r="W111" s="175">
        <v>0</v>
      </c>
      <c r="X111" s="175">
        <v>0</v>
      </c>
      <c r="Y111" s="175">
        <v>0</v>
      </c>
      <c r="Z111" s="175">
        <v>0</v>
      </c>
      <c r="AA111" s="175">
        <v>0</v>
      </c>
      <c r="AB111" s="175">
        <v>0</v>
      </c>
      <c r="AC111" s="175">
        <v>0</v>
      </c>
      <c r="AD111" s="175">
        <v>0</v>
      </c>
      <c r="AE111" s="175">
        <v>0</v>
      </c>
      <c r="AF111" s="175">
        <v>0</v>
      </c>
      <c r="AG111" s="175">
        <v>0</v>
      </c>
      <c r="AH111" s="175">
        <v>0</v>
      </c>
      <c r="AI111" s="175">
        <v>0</v>
      </c>
      <c r="AJ111" s="175">
        <v>0</v>
      </c>
      <c r="AK111" s="175">
        <v>0</v>
      </c>
      <c r="AL111" s="175">
        <v>0</v>
      </c>
      <c r="AM111" s="175">
        <v>0</v>
      </c>
      <c r="AN111" s="175">
        <v>0</v>
      </c>
      <c r="AO111" s="175">
        <v>0</v>
      </c>
      <c r="AP111" s="175">
        <v>0</v>
      </c>
      <c r="AQ111" s="175">
        <v>0</v>
      </c>
      <c r="AR111" s="175">
        <v>0</v>
      </c>
      <c r="AS111" s="126"/>
      <c r="AT111" s="179">
        <f t="shared" si="12"/>
        <v>719.55402715050002</v>
      </c>
    </row>
    <row r="112" spans="1:46">
      <c r="A112" s="174" t="s">
        <v>98</v>
      </c>
      <c r="B112" s="174" t="s">
        <v>25</v>
      </c>
      <c r="C112" s="174" t="s">
        <v>11</v>
      </c>
      <c r="D112" s="175">
        <v>1</v>
      </c>
      <c r="E112" s="174">
        <v>2040</v>
      </c>
      <c r="F112" s="176">
        <v>0</v>
      </c>
      <c r="G112" s="175">
        <v>0</v>
      </c>
      <c r="H112" s="175">
        <v>0</v>
      </c>
      <c r="I112" s="175">
        <v>0</v>
      </c>
      <c r="J112" s="175">
        <v>0</v>
      </c>
      <c r="K112" s="175">
        <v>678.13030452259</v>
      </c>
      <c r="L112" s="175">
        <v>0</v>
      </c>
      <c r="M112" s="175">
        <v>0</v>
      </c>
      <c r="N112" s="175">
        <v>0</v>
      </c>
      <c r="O112" s="175">
        <v>0</v>
      </c>
      <c r="P112" s="175">
        <v>0</v>
      </c>
      <c r="Q112" s="175">
        <v>0</v>
      </c>
      <c r="R112" s="175">
        <v>0</v>
      </c>
      <c r="S112" s="175">
        <v>0</v>
      </c>
      <c r="T112" s="175">
        <v>0</v>
      </c>
      <c r="U112" s="175">
        <v>0</v>
      </c>
      <c r="V112" s="175">
        <v>0</v>
      </c>
      <c r="W112" s="175">
        <v>0</v>
      </c>
      <c r="X112" s="175">
        <v>0</v>
      </c>
      <c r="Y112" s="175">
        <v>0</v>
      </c>
      <c r="Z112" s="175">
        <v>0</v>
      </c>
      <c r="AA112" s="175">
        <v>0</v>
      </c>
      <c r="AB112" s="175">
        <v>0</v>
      </c>
      <c r="AC112" s="175">
        <v>0</v>
      </c>
      <c r="AD112" s="175">
        <v>0</v>
      </c>
      <c r="AE112" s="175">
        <v>0</v>
      </c>
      <c r="AF112" s="175">
        <v>0</v>
      </c>
      <c r="AG112" s="175">
        <v>0</v>
      </c>
      <c r="AH112" s="175">
        <v>0</v>
      </c>
      <c r="AI112" s="175">
        <v>0</v>
      </c>
      <c r="AJ112" s="175">
        <v>0</v>
      </c>
      <c r="AK112" s="175">
        <v>0</v>
      </c>
      <c r="AL112" s="175">
        <v>0</v>
      </c>
      <c r="AM112" s="175">
        <v>0</v>
      </c>
      <c r="AN112" s="175">
        <v>0</v>
      </c>
      <c r="AO112" s="175">
        <v>0</v>
      </c>
      <c r="AP112" s="175">
        <v>0</v>
      </c>
      <c r="AQ112" s="175">
        <v>0</v>
      </c>
      <c r="AR112" s="175">
        <v>0</v>
      </c>
      <c r="AS112" s="126"/>
      <c r="AT112" s="179">
        <f t="shared" si="12"/>
        <v>678.13030452259</v>
      </c>
    </row>
    <row r="113" spans="1:54">
      <c r="A113" s="174" t="s">
        <v>98</v>
      </c>
      <c r="B113" s="174" t="s">
        <v>25</v>
      </c>
      <c r="C113" s="174" t="s">
        <v>11</v>
      </c>
      <c r="D113" s="175">
        <v>1</v>
      </c>
      <c r="E113" s="174">
        <v>2041</v>
      </c>
      <c r="F113" s="176">
        <v>0</v>
      </c>
      <c r="G113" s="175">
        <v>0</v>
      </c>
      <c r="H113" s="175">
        <v>0</v>
      </c>
      <c r="I113" s="175">
        <v>0</v>
      </c>
      <c r="J113" s="175">
        <v>0</v>
      </c>
      <c r="K113" s="175">
        <v>614.55377131328999</v>
      </c>
      <c r="L113" s="175">
        <v>0</v>
      </c>
      <c r="M113" s="175">
        <v>0</v>
      </c>
      <c r="N113" s="175">
        <v>0</v>
      </c>
      <c r="O113" s="175">
        <v>0</v>
      </c>
      <c r="P113" s="175">
        <v>0</v>
      </c>
      <c r="Q113" s="175">
        <v>0</v>
      </c>
      <c r="R113" s="175">
        <v>0</v>
      </c>
      <c r="S113" s="175">
        <v>0</v>
      </c>
      <c r="T113" s="175">
        <v>0</v>
      </c>
      <c r="U113" s="175">
        <v>0</v>
      </c>
      <c r="V113" s="175">
        <v>0</v>
      </c>
      <c r="W113" s="175">
        <v>0</v>
      </c>
      <c r="X113" s="175">
        <v>0</v>
      </c>
      <c r="Y113" s="175">
        <v>0</v>
      </c>
      <c r="Z113" s="175">
        <v>0</v>
      </c>
      <c r="AA113" s="175">
        <v>0</v>
      </c>
      <c r="AB113" s="175">
        <v>0</v>
      </c>
      <c r="AC113" s="175">
        <v>0</v>
      </c>
      <c r="AD113" s="175">
        <v>0</v>
      </c>
      <c r="AE113" s="175">
        <v>0</v>
      </c>
      <c r="AF113" s="175">
        <v>0</v>
      </c>
      <c r="AG113" s="175">
        <v>0</v>
      </c>
      <c r="AH113" s="175">
        <v>0</v>
      </c>
      <c r="AI113" s="175">
        <v>0</v>
      </c>
      <c r="AJ113" s="175">
        <v>0</v>
      </c>
      <c r="AK113" s="175">
        <v>0</v>
      </c>
      <c r="AL113" s="175">
        <v>0</v>
      </c>
      <c r="AM113" s="175">
        <v>0</v>
      </c>
      <c r="AN113" s="175">
        <v>0</v>
      </c>
      <c r="AO113" s="175">
        <v>0</v>
      </c>
      <c r="AP113" s="175">
        <v>0</v>
      </c>
      <c r="AQ113" s="175">
        <v>0</v>
      </c>
      <c r="AR113" s="175">
        <v>0</v>
      </c>
      <c r="AS113" s="126"/>
      <c r="AT113" s="179">
        <f t="shared" si="12"/>
        <v>614.55377131328999</v>
      </c>
    </row>
    <row r="114" spans="1:54">
      <c r="A114" s="174" t="s">
        <v>98</v>
      </c>
      <c r="B114" s="174" t="s">
        <v>25</v>
      </c>
      <c r="C114" s="174" t="s">
        <v>11</v>
      </c>
      <c r="D114" s="175">
        <v>1</v>
      </c>
      <c r="E114" s="174">
        <v>2042</v>
      </c>
      <c r="F114" s="176">
        <v>0</v>
      </c>
      <c r="G114" s="175">
        <v>0</v>
      </c>
      <c r="H114" s="175">
        <v>0</v>
      </c>
      <c r="I114" s="175">
        <v>0</v>
      </c>
      <c r="J114" s="175">
        <v>0</v>
      </c>
      <c r="K114" s="175">
        <v>590.25870639380003</v>
      </c>
      <c r="L114" s="175">
        <v>0</v>
      </c>
      <c r="M114" s="175">
        <v>0</v>
      </c>
      <c r="N114" s="175">
        <v>0</v>
      </c>
      <c r="O114" s="175">
        <v>0</v>
      </c>
      <c r="P114" s="175">
        <v>0</v>
      </c>
      <c r="Q114" s="175">
        <v>0</v>
      </c>
      <c r="R114" s="175">
        <v>0</v>
      </c>
      <c r="S114" s="175">
        <v>0</v>
      </c>
      <c r="T114" s="175">
        <v>0</v>
      </c>
      <c r="U114" s="175">
        <v>0</v>
      </c>
      <c r="V114" s="175">
        <v>0</v>
      </c>
      <c r="W114" s="175">
        <v>0</v>
      </c>
      <c r="X114" s="175">
        <v>0</v>
      </c>
      <c r="Y114" s="175">
        <v>0</v>
      </c>
      <c r="Z114" s="175">
        <v>0</v>
      </c>
      <c r="AA114" s="175">
        <v>0</v>
      </c>
      <c r="AB114" s="175">
        <v>0</v>
      </c>
      <c r="AC114" s="175">
        <v>0</v>
      </c>
      <c r="AD114" s="175">
        <v>0</v>
      </c>
      <c r="AE114" s="175">
        <v>0</v>
      </c>
      <c r="AF114" s="175">
        <v>0</v>
      </c>
      <c r="AG114" s="175">
        <v>0</v>
      </c>
      <c r="AH114" s="175">
        <v>0</v>
      </c>
      <c r="AI114" s="175">
        <v>0</v>
      </c>
      <c r="AJ114" s="175">
        <v>0</v>
      </c>
      <c r="AK114" s="175">
        <v>0</v>
      </c>
      <c r="AL114" s="175">
        <v>0</v>
      </c>
      <c r="AM114" s="175">
        <v>0</v>
      </c>
      <c r="AN114" s="175">
        <v>0</v>
      </c>
      <c r="AO114" s="175">
        <v>0</v>
      </c>
      <c r="AP114" s="175">
        <v>0</v>
      </c>
      <c r="AQ114" s="175">
        <v>0</v>
      </c>
      <c r="AR114" s="175">
        <v>0</v>
      </c>
      <c r="AS114" s="126"/>
      <c r="AT114" s="179">
        <f t="shared" si="12"/>
        <v>590.25870639380003</v>
      </c>
    </row>
    <row r="115" spans="1:54">
      <c r="A115" s="174" t="s">
        <v>98</v>
      </c>
      <c r="B115" s="174" t="s">
        <v>25</v>
      </c>
      <c r="C115" s="174" t="s">
        <v>11</v>
      </c>
      <c r="D115" s="175">
        <v>1</v>
      </c>
      <c r="E115" s="174">
        <v>2043</v>
      </c>
      <c r="F115" s="176">
        <v>0</v>
      </c>
      <c r="G115" s="175">
        <v>0</v>
      </c>
      <c r="H115" s="175">
        <v>0</v>
      </c>
      <c r="I115" s="175">
        <v>0</v>
      </c>
      <c r="J115" s="175">
        <v>0</v>
      </c>
      <c r="K115" s="175">
        <v>352.17166461276997</v>
      </c>
      <c r="L115" s="175">
        <v>0</v>
      </c>
      <c r="M115" s="175">
        <v>0</v>
      </c>
      <c r="N115" s="175">
        <v>0</v>
      </c>
      <c r="O115" s="175">
        <v>0</v>
      </c>
      <c r="P115" s="175">
        <v>0</v>
      </c>
      <c r="Q115" s="175">
        <v>0</v>
      </c>
      <c r="R115" s="175">
        <v>0</v>
      </c>
      <c r="S115" s="175">
        <v>0</v>
      </c>
      <c r="T115" s="175">
        <v>0</v>
      </c>
      <c r="U115" s="175">
        <v>0</v>
      </c>
      <c r="V115" s="175">
        <v>0</v>
      </c>
      <c r="W115" s="175">
        <v>0</v>
      </c>
      <c r="X115" s="175">
        <v>0</v>
      </c>
      <c r="Y115" s="175">
        <v>0</v>
      </c>
      <c r="Z115" s="175">
        <v>0</v>
      </c>
      <c r="AA115" s="175">
        <v>0</v>
      </c>
      <c r="AB115" s="175">
        <v>0</v>
      </c>
      <c r="AC115" s="175">
        <v>0</v>
      </c>
      <c r="AD115" s="175">
        <v>0</v>
      </c>
      <c r="AE115" s="175">
        <v>0</v>
      </c>
      <c r="AF115" s="175">
        <v>0</v>
      </c>
      <c r="AG115" s="175">
        <v>0</v>
      </c>
      <c r="AH115" s="175">
        <v>0</v>
      </c>
      <c r="AI115" s="175">
        <v>0</v>
      </c>
      <c r="AJ115" s="175">
        <v>0</v>
      </c>
      <c r="AK115" s="175">
        <v>0</v>
      </c>
      <c r="AL115" s="175">
        <v>0</v>
      </c>
      <c r="AM115" s="175">
        <v>0</v>
      </c>
      <c r="AN115" s="175">
        <v>0</v>
      </c>
      <c r="AO115" s="175">
        <v>0</v>
      </c>
      <c r="AP115" s="175">
        <v>0</v>
      </c>
      <c r="AQ115" s="175">
        <v>0</v>
      </c>
      <c r="AR115" s="175">
        <v>0</v>
      </c>
      <c r="AS115" s="126"/>
      <c r="AT115" s="179">
        <f t="shared" si="12"/>
        <v>352.17166461276997</v>
      </c>
    </row>
    <row r="116" spans="1:54">
      <c r="A116" s="174" t="s">
        <v>98</v>
      </c>
      <c r="B116" s="174" t="s">
        <v>25</v>
      </c>
      <c r="C116" s="174" t="s">
        <v>11</v>
      </c>
      <c r="D116" s="175">
        <v>1</v>
      </c>
      <c r="E116" s="174">
        <v>2044</v>
      </c>
      <c r="F116" s="176">
        <v>0</v>
      </c>
      <c r="G116" s="175">
        <v>0</v>
      </c>
      <c r="H116" s="175">
        <v>0</v>
      </c>
      <c r="I116" s="175">
        <v>0</v>
      </c>
      <c r="J116" s="175">
        <v>0</v>
      </c>
      <c r="K116" s="175">
        <v>376.90361330336998</v>
      </c>
      <c r="L116" s="175">
        <v>0</v>
      </c>
      <c r="M116" s="175">
        <v>0</v>
      </c>
      <c r="N116" s="175">
        <v>0</v>
      </c>
      <c r="O116" s="175">
        <v>0</v>
      </c>
      <c r="P116" s="175">
        <v>0</v>
      </c>
      <c r="Q116" s="175">
        <v>0</v>
      </c>
      <c r="R116" s="175">
        <v>0</v>
      </c>
      <c r="S116" s="175">
        <v>0</v>
      </c>
      <c r="T116" s="175">
        <v>0</v>
      </c>
      <c r="U116" s="175">
        <v>0</v>
      </c>
      <c r="V116" s="175">
        <v>0</v>
      </c>
      <c r="W116" s="175">
        <v>0</v>
      </c>
      <c r="X116" s="175">
        <v>0</v>
      </c>
      <c r="Y116" s="175">
        <v>0</v>
      </c>
      <c r="Z116" s="175">
        <v>0</v>
      </c>
      <c r="AA116" s="175">
        <v>0</v>
      </c>
      <c r="AB116" s="175">
        <v>0</v>
      </c>
      <c r="AC116" s="175">
        <v>0</v>
      </c>
      <c r="AD116" s="175">
        <v>0</v>
      </c>
      <c r="AE116" s="175">
        <v>0</v>
      </c>
      <c r="AF116" s="175">
        <v>0</v>
      </c>
      <c r="AG116" s="175">
        <v>0</v>
      </c>
      <c r="AH116" s="175">
        <v>0</v>
      </c>
      <c r="AI116" s="175">
        <v>0</v>
      </c>
      <c r="AJ116" s="175">
        <v>0</v>
      </c>
      <c r="AK116" s="175">
        <v>0</v>
      </c>
      <c r="AL116" s="175">
        <v>0</v>
      </c>
      <c r="AM116" s="175">
        <v>0</v>
      </c>
      <c r="AN116" s="175">
        <v>0</v>
      </c>
      <c r="AO116" s="175">
        <v>0</v>
      </c>
      <c r="AP116" s="175">
        <v>0</v>
      </c>
      <c r="AQ116" s="175">
        <v>0</v>
      </c>
      <c r="AR116" s="175">
        <v>0</v>
      </c>
      <c r="AS116" s="126"/>
      <c r="AT116" s="179">
        <f t="shared" si="12"/>
        <v>376.90361330336998</v>
      </c>
    </row>
    <row r="117" spans="1:54">
      <c r="A117" s="174" t="s">
        <v>98</v>
      </c>
      <c r="B117" s="174" t="s">
        <v>25</v>
      </c>
      <c r="C117" s="174" t="s">
        <v>11</v>
      </c>
      <c r="D117" s="175">
        <v>1</v>
      </c>
      <c r="E117" s="174">
        <v>2045</v>
      </c>
      <c r="F117" s="176">
        <v>0</v>
      </c>
      <c r="G117" s="175">
        <v>0</v>
      </c>
      <c r="H117" s="175">
        <v>0</v>
      </c>
      <c r="I117" s="175">
        <v>0</v>
      </c>
      <c r="J117" s="175">
        <v>0</v>
      </c>
      <c r="K117" s="175">
        <v>272.09906755673001</v>
      </c>
      <c r="L117" s="175">
        <v>0</v>
      </c>
      <c r="M117" s="175">
        <v>0</v>
      </c>
      <c r="N117" s="175">
        <v>0</v>
      </c>
      <c r="O117" s="175">
        <v>0</v>
      </c>
      <c r="P117" s="175">
        <v>0</v>
      </c>
      <c r="Q117" s="175">
        <v>0</v>
      </c>
      <c r="R117" s="175">
        <v>0</v>
      </c>
      <c r="S117" s="175">
        <v>0</v>
      </c>
      <c r="T117" s="175">
        <v>0</v>
      </c>
      <c r="U117" s="175">
        <v>0</v>
      </c>
      <c r="V117" s="175">
        <v>0</v>
      </c>
      <c r="W117" s="175">
        <v>0</v>
      </c>
      <c r="X117" s="175">
        <v>0</v>
      </c>
      <c r="Y117" s="175">
        <v>0</v>
      </c>
      <c r="Z117" s="175">
        <v>0</v>
      </c>
      <c r="AA117" s="175">
        <v>0</v>
      </c>
      <c r="AB117" s="175">
        <v>0</v>
      </c>
      <c r="AC117" s="175">
        <v>0</v>
      </c>
      <c r="AD117" s="175">
        <v>0</v>
      </c>
      <c r="AE117" s="175">
        <v>0</v>
      </c>
      <c r="AF117" s="175">
        <v>0</v>
      </c>
      <c r="AG117" s="175">
        <v>0</v>
      </c>
      <c r="AH117" s="175">
        <v>0</v>
      </c>
      <c r="AI117" s="175">
        <v>0</v>
      </c>
      <c r="AJ117" s="175">
        <v>0</v>
      </c>
      <c r="AK117" s="175">
        <v>0</v>
      </c>
      <c r="AL117" s="175">
        <v>0</v>
      </c>
      <c r="AM117" s="175">
        <v>0</v>
      </c>
      <c r="AN117" s="175">
        <v>0</v>
      </c>
      <c r="AO117" s="175">
        <v>0</v>
      </c>
      <c r="AP117" s="175">
        <v>0</v>
      </c>
      <c r="AQ117" s="175">
        <v>0</v>
      </c>
      <c r="AR117" s="175">
        <v>0</v>
      </c>
      <c r="AS117" s="126"/>
      <c r="AT117" s="179">
        <f t="shared" si="12"/>
        <v>272.09906755673001</v>
      </c>
    </row>
    <row r="118" spans="1:54">
      <c r="A118" s="174" t="s">
        <v>98</v>
      </c>
      <c r="B118" s="174" t="s">
        <v>25</v>
      </c>
      <c r="C118" s="174" t="s">
        <v>11</v>
      </c>
      <c r="D118" s="175">
        <v>1</v>
      </c>
      <c r="E118" s="174">
        <v>2046</v>
      </c>
      <c r="F118" s="176">
        <v>0</v>
      </c>
      <c r="G118" s="175">
        <v>0</v>
      </c>
      <c r="H118" s="175">
        <v>0</v>
      </c>
      <c r="I118" s="175">
        <v>0</v>
      </c>
      <c r="J118" s="175">
        <v>0</v>
      </c>
      <c r="K118" s="175">
        <v>215.39295509248001</v>
      </c>
      <c r="L118" s="175">
        <v>0</v>
      </c>
      <c r="M118" s="175">
        <v>0</v>
      </c>
      <c r="N118" s="175">
        <v>0</v>
      </c>
      <c r="O118" s="175">
        <v>0</v>
      </c>
      <c r="P118" s="175">
        <v>0</v>
      </c>
      <c r="Q118" s="175">
        <v>0</v>
      </c>
      <c r="R118" s="175">
        <v>0</v>
      </c>
      <c r="S118" s="175">
        <v>0</v>
      </c>
      <c r="T118" s="175">
        <v>0</v>
      </c>
      <c r="U118" s="175">
        <v>0</v>
      </c>
      <c r="V118" s="175">
        <v>0</v>
      </c>
      <c r="W118" s="175">
        <v>0</v>
      </c>
      <c r="X118" s="175">
        <v>0</v>
      </c>
      <c r="Y118" s="175">
        <v>0</v>
      </c>
      <c r="Z118" s="175">
        <v>0</v>
      </c>
      <c r="AA118" s="175">
        <v>0</v>
      </c>
      <c r="AB118" s="175">
        <v>0</v>
      </c>
      <c r="AC118" s="175">
        <v>0</v>
      </c>
      <c r="AD118" s="175">
        <v>0</v>
      </c>
      <c r="AE118" s="175">
        <v>0</v>
      </c>
      <c r="AF118" s="175">
        <v>0</v>
      </c>
      <c r="AG118" s="175">
        <v>0</v>
      </c>
      <c r="AH118" s="175">
        <v>0</v>
      </c>
      <c r="AI118" s="175">
        <v>0</v>
      </c>
      <c r="AJ118" s="175">
        <v>0</v>
      </c>
      <c r="AK118" s="175">
        <v>0</v>
      </c>
      <c r="AL118" s="175">
        <v>0</v>
      </c>
      <c r="AM118" s="175">
        <v>0</v>
      </c>
      <c r="AN118" s="175">
        <v>0</v>
      </c>
      <c r="AO118" s="175">
        <v>0</v>
      </c>
      <c r="AP118" s="175">
        <v>0</v>
      </c>
      <c r="AQ118" s="175">
        <v>0</v>
      </c>
      <c r="AR118" s="175">
        <v>0</v>
      </c>
      <c r="AS118" s="126"/>
      <c r="AT118" s="179">
        <f t="shared" si="12"/>
        <v>215.39295509248001</v>
      </c>
    </row>
    <row r="119" spans="1:54">
      <c r="A119" s="174" t="s">
        <v>98</v>
      </c>
      <c r="B119" s="174" t="s">
        <v>25</v>
      </c>
      <c r="C119" s="174" t="s">
        <v>11</v>
      </c>
      <c r="D119" s="175">
        <v>1</v>
      </c>
      <c r="E119" s="174">
        <v>2047</v>
      </c>
      <c r="F119" s="176">
        <v>0</v>
      </c>
      <c r="G119" s="175">
        <v>0</v>
      </c>
      <c r="H119" s="175">
        <v>0</v>
      </c>
      <c r="I119" s="175">
        <v>0</v>
      </c>
      <c r="J119" s="175">
        <v>0</v>
      </c>
      <c r="K119" s="175">
        <v>275.95621999813</v>
      </c>
      <c r="L119" s="175">
        <v>0</v>
      </c>
      <c r="M119" s="175">
        <v>0</v>
      </c>
      <c r="N119" s="175">
        <v>0</v>
      </c>
      <c r="O119" s="175">
        <v>0</v>
      </c>
      <c r="P119" s="175">
        <v>0</v>
      </c>
      <c r="Q119" s="175">
        <v>0</v>
      </c>
      <c r="R119" s="175">
        <v>0</v>
      </c>
      <c r="S119" s="175">
        <v>0</v>
      </c>
      <c r="T119" s="175">
        <v>0</v>
      </c>
      <c r="U119" s="175">
        <v>0</v>
      </c>
      <c r="V119" s="175">
        <v>0</v>
      </c>
      <c r="W119" s="175">
        <v>0</v>
      </c>
      <c r="X119" s="175">
        <v>0</v>
      </c>
      <c r="Y119" s="175">
        <v>0</v>
      </c>
      <c r="Z119" s="175">
        <v>0</v>
      </c>
      <c r="AA119" s="175">
        <v>0</v>
      </c>
      <c r="AB119" s="175">
        <v>0</v>
      </c>
      <c r="AC119" s="175">
        <v>0</v>
      </c>
      <c r="AD119" s="175">
        <v>0</v>
      </c>
      <c r="AE119" s="175">
        <v>0</v>
      </c>
      <c r="AF119" s="175">
        <v>0</v>
      </c>
      <c r="AG119" s="175">
        <v>0</v>
      </c>
      <c r="AH119" s="175">
        <v>0</v>
      </c>
      <c r="AI119" s="175">
        <v>0</v>
      </c>
      <c r="AJ119" s="175">
        <v>0</v>
      </c>
      <c r="AK119" s="175">
        <v>0</v>
      </c>
      <c r="AL119" s="175">
        <v>0</v>
      </c>
      <c r="AM119" s="175">
        <v>0</v>
      </c>
      <c r="AN119" s="175">
        <v>0</v>
      </c>
      <c r="AO119" s="175">
        <v>0</v>
      </c>
      <c r="AP119" s="175">
        <v>0</v>
      </c>
      <c r="AQ119" s="175">
        <v>0</v>
      </c>
      <c r="AR119" s="175">
        <v>0</v>
      </c>
      <c r="AS119" s="126"/>
      <c r="AT119" s="179">
        <f t="shared" si="12"/>
        <v>275.95621999813</v>
      </c>
    </row>
    <row r="120" spans="1:54">
      <c r="A120" s="174" t="s">
        <v>98</v>
      </c>
      <c r="B120" s="174" t="s">
        <v>25</v>
      </c>
      <c r="C120" s="174" t="s">
        <v>11</v>
      </c>
      <c r="D120" s="175">
        <v>1</v>
      </c>
      <c r="E120" s="174">
        <v>2048</v>
      </c>
      <c r="F120" s="176">
        <v>0</v>
      </c>
      <c r="G120" s="175">
        <v>0</v>
      </c>
      <c r="H120" s="175">
        <v>0</v>
      </c>
      <c r="I120" s="175">
        <v>0</v>
      </c>
      <c r="J120" s="175">
        <v>0</v>
      </c>
      <c r="K120" s="175">
        <v>241.31763387909001</v>
      </c>
      <c r="L120" s="175">
        <v>0</v>
      </c>
      <c r="M120" s="175">
        <v>0</v>
      </c>
      <c r="N120" s="175">
        <v>0</v>
      </c>
      <c r="O120" s="175">
        <v>0</v>
      </c>
      <c r="P120" s="175">
        <v>0</v>
      </c>
      <c r="Q120" s="175">
        <v>0</v>
      </c>
      <c r="R120" s="175">
        <v>0</v>
      </c>
      <c r="S120" s="175">
        <v>0</v>
      </c>
      <c r="T120" s="175">
        <v>0</v>
      </c>
      <c r="U120" s="175">
        <v>0</v>
      </c>
      <c r="V120" s="175">
        <v>0</v>
      </c>
      <c r="W120" s="175">
        <v>0</v>
      </c>
      <c r="X120" s="175">
        <v>0</v>
      </c>
      <c r="Y120" s="175">
        <v>0</v>
      </c>
      <c r="Z120" s="175">
        <v>0</v>
      </c>
      <c r="AA120" s="175">
        <v>0</v>
      </c>
      <c r="AB120" s="175">
        <v>0</v>
      </c>
      <c r="AC120" s="175">
        <v>0</v>
      </c>
      <c r="AD120" s="175">
        <v>0</v>
      </c>
      <c r="AE120" s="175">
        <v>0</v>
      </c>
      <c r="AF120" s="175">
        <v>0</v>
      </c>
      <c r="AG120" s="175">
        <v>0</v>
      </c>
      <c r="AH120" s="175">
        <v>0</v>
      </c>
      <c r="AI120" s="175">
        <v>0</v>
      </c>
      <c r="AJ120" s="175">
        <v>0</v>
      </c>
      <c r="AK120" s="175">
        <v>0</v>
      </c>
      <c r="AL120" s="175">
        <v>0</v>
      </c>
      <c r="AM120" s="175">
        <v>0</v>
      </c>
      <c r="AN120" s="175">
        <v>0</v>
      </c>
      <c r="AO120" s="175">
        <v>0</v>
      </c>
      <c r="AP120" s="175">
        <v>0</v>
      </c>
      <c r="AQ120" s="175">
        <v>0</v>
      </c>
      <c r="AR120" s="175">
        <v>0</v>
      </c>
      <c r="AS120" s="126"/>
      <c r="AT120" s="179">
        <f t="shared" si="12"/>
        <v>241.31763387909001</v>
      </c>
    </row>
    <row r="121" spans="1:54">
      <c r="A121" s="174" t="s">
        <v>98</v>
      </c>
      <c r="B121" s="174" t="s">
        <v>25</v>
      </c>
      <c r="C121" s="174" t="s">
        <v>11</v>
      </c>
      <c r="D121" s="175">
        <v>1</v>
      </c>
      <c r="E121" s="174">
        <v>2049</v>
      </c>
      <c r="F121" s="176">
        <v>0</v>
      </c>
      <c r="G121" s="175">
        <v>0</v>
      </c>
      <c r="H121" s="175">
        <v>0</v>
      </c>
      <c r="I121" s="175">
        <v>0</v>
      </c>
      <c r="J121" s="175">
        <v>0</v>
      </c>
      <c r="K121" s="175">
        <v>240.06927402253999</v>
      </c>
      <c r="L121" s="175">
        <v>0</v>
      </c>
      <c r="M121" s="175">
        <v>0</v>
      </c>
      <c r="N121" s="175">
        <v>0</v>
      </c>
      <c r="O121" s="175">
        <v>0</v>
      </c>
      <c r="P121" s="175">
        <v>0</v>
      </c>
      <c r="Q121" s="175">
        <v>0</v>
      </c>
      <c r="R121" s="175">
        <v>0</v>
      </c>
      <c r="S121" s="175">
        <v>0</v>
      </c>
      <c r="T121" s="175">
        <v>0</v>
      </c>
      <c r="U121" s="175">
        <v>0</v>
      </c>
      <c r="V121" s="175">
        <v>0</v>
      </c>
      <c r="W121" s="175">
        <v>0</v>
      </c>
      <c r="X121" s="175">
        <v>0</v>
      </c>
      <c r="Y121" s="175">
        <v>0</v>
      </c>
      <c r="Z121" s="175">
        <v>0</v>
      </c>
      <c r="AA121" s="175">
        <v>0</v>
      </c>
      <c r="AB121" s="175">
        <v>0</v>
      </c>
      <c r="AC121" s="175">
        <v>0</v>
      </c>
      <c r="AD121" s="175">
        <v>0</v>
      </c>
      <c r="AE121" s="175">
        <v>0</v>
      </c>
      <c r="AF121" s="175">
        <v>0</v>
      </c>
      <c r="AG121" s="175">
        <v>0</v>
      </c>
      <c r="AH121" s="175">
        <v>0</v>
      </c>
      <c r="AI121" s="175">
        <v>0</v>
      </c>
      <c r="AJ121" s="175">
        <v>0</v>
      </c>
      <c r="AK121" s="175">
        <v>0</v>
      </c>
      <c r="AL121" s="175">
        <v>0</v>
      </c>
      <c r="AM121" s="175">
        <v>0</v>
      </c>
      <c r="AN121" s="175">
        <v>0</v>
      </c>
      <c r="AO121" s="175">
        <v>0</v>
      </c>
      <c r="AP121" s="175">
        <v>0</v>
      </c>
      <c r="AQ121" s="175">
        <v>0</v>
      </c>
      <c r="AR121" s="175">
        <v>0</v>
      </c>
      <c r="AS121" s="126"/>
      <c r="AT121" s="179">
        <f t="shared" si="12"/>
        <v>240.06927402253999</v>
      </c>
    </row>
    <row r="122" spans="1:54">
      <c r="A122" s="174" t="s">
        <v>98</v>
      </c>
      <c r="B122" s="174" t="s">
        <v>25</v>
      </c>
      <c r="C122" s="174" t="s">
        <v>17</v>
      </c>
      <c r="D122" s="175">
        <v>1</v>
      </c>
      <c r="E122" s="174">
        <v>2020</v>
      </c>
      <c r="F122" s="176">
        <v>0</v>
      </c>
      <c r="G122" s="175">
        <v>0</v>
      </c>
      <c r="H122" s="175">
        <v>0</v>
      </c>
      <c r="I122" s="175">
        <v>0</v>
      </c>
      <c r="J122" s="175">
        <v>0</v>
      </c>
      <c r="K122" s="175">
        <v>0</v>
      </c>
      <c r="L122" s="175">
        <v>0</v>
      </c>
      <c r="M122" s="175">
        <v>0</v>
      </c>
      <c r="N122" s="175">
        <v>0</v>
      </c>
      <c r="O122" s="175">
        <v>0</v>
      </c>
      <c r="P122" s="175">
        <v>0</v>
      </c>
      <c r="Q122" s="175">
        <v>0</v>
      </c>
      <c r="R122" s="175">
        <v>0</v>
      </c>
      <c r="S122" s="175">
        <v>0</v>
      </c>
      <c r="T122" s="175">
        <v>0</v>
      </c>
      <c r="U122" s="175">
        <v>0</v>
      </c>
      <c r="V122" s="175">
        <v>0</v>
      </c>
      <c r="W122" s="175">
        <v>0</v>
      </c>
      <c r="X122" s="175">
        <v>0</v>
      </c>
      <c r="Y122" s="175">
        <v>0</v>
      </c>
      <c r="Z122" s="175">
        <v>0</v>
      </c>
      <c r="AA122" s="175">
        <v>0</v>
      </c>
      <c r="AB122" s="175">
        <v>0</v>
      </c>
      <c r="AC122" s="175">
        <v>0</v>
      </c>
      <c r="AD122" s="175">
        <v>0</v>
      </c>
      <c r="AE122" s="175">
        <v>0</v>
      </c>
      <c r="AF122" s="175">
        <v>0</v>
      </c>
      <c r="AG122" s="175">
        <v>0</v>
      </c>
      <c r="AH122" s="175">
        <v>0</v>
      </c>
      <c r="AI122" s="175">
        <v>0</v>
      </c>
      <c r="AJ122" s="175">
        <v>0</v>
      </c>
      <c r="AK122" s="175">
        <v>0</v>
      </c>
      <c r="AL122" s="175">
        <v>0</v>
      </c>
      <c r="AM122" s="175">
        <v>0</v>
      </c>
      <c r="AN122" s="175">
        <v>0</v>
      </c>
      <c r="AO122" s="175">
        <v>0</v>
      </c>
      <c r="AP122" s="175">
        <v>0</v>
      </c>
      <c r="AQ122" s="175">
        <v>0</v>
      </c>
      <c r="AR122" s="175">
        <v>0</v>
      </c>
      <c r="AS122" s="126"/>
      <c r="AT122" s="179">
        <f t="shared" si="12"/>
        <v>0</v>
      </c>
      <c r="AZ122" s="280">
        <f>SUM(AE122:AF122)</f>
        <v>0</v>
      </c>
      <c r="BA122" s="280">
        <f>SUM(U122:V122)</f>
        <v>0</v>
      </c>
      <c r="BB122" s="280">
        <f>Q122</f>
        <v>0</v>
      </c>
    </row>
    <row r="123" spans="1:54">
      <c r="A123" s="174" t="s">
        <v>98</v>
      </c>
      <c r="B123" s="174" t="s">
        <v>25</v>
      </c>
      <c r="C123" s="174" t="s">
        <v>17</v>
      </c>
      <c r="D123" s="175">
        <v>1</v>
      </c>
      <c r="E123" s="174">
        <v>2021</v>
      </c>
      <c r="F123" s="176">
        <v>0</v>
      </c>
      <c r="G123" s="175">
        <v>0</v>
      </c>
      <c r="H123" s="175">
        <v>0</v>
      </c>
      <c r="I123" s="175">
        <v>0</v>
      </c>
      <c r="J123" s="175">
        <v>0</v>
      </c>
      <c r="K123" s="175">
        <v>0</v>
      </c>
      <c r="L123" s="175">
        <v>0</v>
      </c>
      <c r="M123" s="175">
        <v>0</v>
      </c>
      <c r="N123" s="175">
        <v>0</v>
      </c>
      <c r="O123" s="175">
        <v>0</v>
      </c>
      <c r="P123" s="175">
        <v>0</v>
      </c>
      <c r="Q123" s="175">
        <v>0</v>
      </c>
      <c r="R123" s="175">
        <v>0</v>
      </c>
      <c r="S123" s="175">
        <v>0</v>
      </c>
      <c r="T123" s="175">
        <v>0</v>
      </c>
      <c r="U123" s="175">
        <v>0</v>
      </c>
      <c r="V123" s="175">
        <v>0</v>
      </c>
      <c r="W123" s="175">
        <v>0</v>
      </c>
      <c r="X123" s="175">
        <v>0</v>
      </c>
      <c r="Y123" s="175">
        <v>0</v>
      </c>
      <c r="Z123" s="175">
        <v>0</v>
      </c>
      <c r="AA123" s="175">
        <v>0</v>
      </c>
      <c r="AB123" s="175">
        <v>0</v>
      </c>
      <c r="AC123" s="175">
        <v>0</v>
      </c>
      <c r="AD123" s="175">
        <v>0</v>
      </c>
      <c r="AE123" s="175">
        <v>0</v>
      </c>
      <c r="AF123" s="175">
        <v>0</v>
      </c>
      <c r="AG123" s="175">
        <v>0</v>
      </c>
      <c r="AH123" s="175">
        <v>0</v>
      </c>
      <c r="AI123" s="175">
        <v>0</v>
      </c>
      <c r="AJ123" s="175">
        <v>0</v>
      </c>
      <c r="AK123" s="175">
        <v>0</v>
      </c>
      <c r="AL123" s="175">
        <v>0</v>
      </c>
      <c r="AM123" s="175">
        <v>0</v>
      </c>
      <c r="AN123" s="175">
        <v>0</v>
      </c>
      <c r="AO123" s="175">
        <v>0</v>
      </c>
      <c r="AP123" s="175">
        <v>0</v>
      </c>
      <c r="AQ123" s="175">
        <v>0</v>
      </c>
      <c r="AR123" s="175">
        <v>0</v>
      </c>
      <c r="AS123" s="126"/>
      <c r="AT123" s="179">
        <f t="shared" si="12"/>
        <v>0</v>
      </c>
      <c r="AZ123" s="280">
        <f t="shared" ref="AZ123:AZ151" si="13">SUM(AE123:AF123)</f>
        <v>0</v>
      </c>
      <c r="BA123" s="280">
        <f t="shared" ref="BA123:BA151" si="14">SUM(U123:V123)</f>
        <v>0</v>
      </c>
      <c r="BB123" s="280">
        <f t="shared" ref="BB123:BB151" si="15">Q123</f>
        <v>0</v>
      </c>
    </row>
    <row r="124" spans="1:54">
      <c r="A124" s="174" t="s">
        <v>98</v>
      </c>
      <c r="B124" s="174" t="s">
        <v>25</v>
      </c>
      <c r="C124" s="174" t="s">
        <v>17</v>
      </c>
      <c r="D124" s="175">
        <v>1</v>
      </c>
      <c r="E124" s="174">
        <v>2022</v>
      </c>
      <c r="F124" s="176">
        <v>0</v>
      </c>
      <c r="G124" s="175">
        <v>0</v>
      </c>
      <c r="H124" s="175">
        <v>0</v>
      </c>
      <c r="I124" s="175">
        <v>0</v>
      </c>
      <c r="J124" s="175">
        <v>0</v>
      </c>
      <c r="K124" s="175">
        <v>0</v>
      </c>
      <c r="L124" s="175">
        <v>0</v>
      </c>
      <c r="M124" s="175">
        <v>0</v>
      </c>
      <c r="N124" s="175">
        <v>0</v>
      </c>
      <c r="O124" s="175">
        <v>0</v>
      </c>
      <c r="P124" s="175">
        <v>0</v>
      </c>
      <c r="Q124" s="175">
        <v>4786.2449995181996</v>
      </c>
      <c r="R124" s="175">
        <v>0</v>
      </c>
      <c r="S124" s="175">
        <v>0</v>
      </c>
      <c r="T124" s="175">
        <v>0</v>
      </c>
      <c r="U124" s="175">
        <v>0</v>
      </c>
      <c r="V124" s="175">
        <v>0</v>
      </c>
      <c r="W124" s="175">
        <v>0</v>
      </c>
      <c r="X124" s="175">
        <v>0</v>
      </c>
      <c r="Y124" s="175">
        <v>0</v>
      </c>
      <c r="Z124" s="175">
        <v>0</v>
      </c>
      <c r="AA124" s="175">
        <v>0</v>
      </c>
      <c r="AB124" s="175">
        <v>0</v>
      </c>
      <c r="AC124" s="175">
        <v>0</v>
      </c>
      <c r="AD124" s="175">
        <v>0</v>
      </c>
      <c r="AE124" s="175">
        <v>0</v>
      </c>
      <c r="AF124" s="175">
        <v>0</v>
      </c>
      <c r="AG124" s="175">
        <v>0</v>
      </c>
      <c r="AH124" s="175">
        <v>0</v>
      </c>
      <c r="AI124" s="175">
        <v>0</v>
      </c>
      <c r="AJ124" s="175">
        <v>0</v>
      </c>
      <c r="AK124" s="175">
        <v>0</v>
      </c>
      <c r="AL124" s="175">
        <v>0</v>
      </c>
      <c r="AM124" s="175">
        <v>0</v>
      </c>
      <c r="AN124" s="175">
        <v>0</v>
      </c>
      <c r="AO124" s="175">
        <v>0</v>
      </c>
      <c r="AP124" s="175">
        <v>0</v>
      </c>
      <c r="AQ124" s="175">
        <v>0</v>
      </c>
      <c r="AR124" s="175">
        <v>0</v>
      </c>
      <c r="AS124" s="126"/>
      <c r="AT124" s="179">
        <f t="shared" si="12"/>
        <v>4786.2449995181996</v>
      </c>
      <c r="AZ124" s="280">
        <f t="shared" si="13"/>
        <v>0</v>
      </c>
      <c r="BA124" s="280">
        <f t="shared" si="14"/>
        <v>0</v>
      </c>
      <c r="BB124" s="280">
        <f t="shared" si="15"/>
        <v>4786.2449995181996</v>
      </c>
    </row>
    <row r="125" spans="1:54">
      <c r="A125" s="174" t="s">
        <v>98</v>
      </c>
      <c r="B125" s="174" t="s">
        <v>25</v>
      </c>
      <c r="C125" s="174" t="s">
        <v>17</v>
      </c>
      <c r="D125" s="175">
        <v>1</v>
      </c>
      <c r="E125" s="174">
        <v>2023</v>
      </c>
      <c r="F125" s="176">
        <v>0</v>
      </c>
      <c r="G125" s="175">
        <v>0</v>
      </c>
      <c r="H125" s="175">
        <v>0</v>
      </c>
      <c r="I125" s="175">
        <v>0</v>
      </c>
      <c r="J125" s="175">
        <v>0</v>
      </c>
      <c r="K125" s="175">
        <v>0</v>
      </c>
      <c r="L125" s="175">
        <v>0</v>
      </c>
      <c r="M125" s="175">
        <v>0</v>
      </c>
      <c r="N125" s="175">
        <v>0</v>
      </c>
      <c r="O125" s="175">
        <v>0</v>
      </c>
      <c r="P125" s="175">
        <v>0</v>
      </c>
      <c r="Q125" s="175">
        <v>2986.4299998394099</v>
      </c>
      <c r="R125" s="175">
        <v>0</v>
      </c>
      <c r="S125" s="175">
        <v>0</v>
      </c>
      <c r="T125" s="175">
        <v>0</v>
      </c>
      <c r="U125" s="175">
        <v>2014.48720000049</v>
      </c>
      <c r="V125" s="175">
        <v>0</v>
      </c>
      <c r="W125" s="175">
        <v>0</v>
      </c>
      <c r="X125" s="175">
        <v>0</v>
      </c>
      <c r="Y125" s="175">
        <v>0</v>
      </c>
      <c r="Z125" s="175">
        <v>0</v>
      </c>
      <c r="AA125" s="175">
        <v>0</v>
      </c>
      <c r="AB125" s="175">
        <v>0</v>
      </c>
      <c r="AC125" s="175">
        <v>0</v>
      </c>
      <c r="AD125" s="175">
        <v>0</v>
      </c>
      <c r="AE125" s="175">
        <v>0</v>
      </c>
      <c r="AF125" s="175">
        <v>0</v>
      </c>
      <c r="AG125" s="175">
        <v>0</v>
      </c>
      <c r="AH125" s="175">
        <v>0</v>
      </c>
      <c r="AI125" s="175">
        <v>0</v>
      </c>
      <c r="AJ125" s="175">
        <v>0</v>
      </c>
      <c r="AK125" s="175">
        <v>0</v>
      </c>
      <c r="AL125" s="175">
        <v>0</v>
      </c>
      <c r="AM125" s="175">
        <v>0</v>
      </c>
      <c r="AN125" s="175">
        <v>0</v>
      </c>
      <c r="AO125" s="175">
        <v>0</v>
      </c>
      <c r="AP125" s="175">
        <v>0</v>
      </c>
      <c r="AQ125" s="175">
        <v>0</v>
      </c>
      <c r="AR125" s="175">
        <v>0</v>
      </c>
      <c r="AS125" s="126"/>
      <c r="AT125" s="179">
        <f t="shared" si="12"/>
        <v>5000.9171998398997</v>
      </c>
      <c r="AZ125" s="280">
        <f t="shared" si="13"/>
        <v>0</v>
      </c>
      <c r="BA125" s="280">
        <f t="shared" si="14"/>
        <v>2014.48720000049</v>
      </c>
      <c r="BB125" s="280">
        <f t="shared" si="15"/>
        <v>2986.4299998394099</v>
      </c>
    </row>
    <row r="126" spans="1:54">
      <c r="A126" s="174" t="s">
        <v>98</v>
      </c>
      <c r="B126" s="174" t="s">
        <v>25</v>
      </c>
      <c r="C126" s="174" t="s">
        <v>17</v>
      </c>
      <c r="D126" s="175">
        <v>1</v>
      </c>
      <c r="E126" s="174">
        <v>2024</v>
      </c>
      <c r="F126" s="176">
        <v>0</v>
      </c>
      <c r="G126" s="175">
        <v>0</v>
      </c>
      <c r="H126" s="175">
        <v>0</v>
      </c>
      <c r="I126" s="175">
        <v>0</v>
      </c>
      <c r="J126" s="175">
        <v>0</v>
      </c>
      <c r="K126" s="175">
        <v>0</v>
      </c>
      <c r="L126" s="175">
        <v>0</v>
      </c>
      <c r="M126" s="175">
        <v>0</v>
      </c>
      <c r="N126" s="175">
        <v>0</v>
      </c>
      <c r="O126" s="175">
        <v>0</v>
      </c>
      <c r="P126" s="175">
        <v>0</v>
      </c>
      <c r="Q126" s="175">
        <v>0</v>
      </c>
      <c r="R126" s="175">
        <v>0</v>
      </c>
      <c r="S126" s="175">
        <v>0</v>
      </c>
      <c r="T126" s="175">
        <v>0</v>
      </c>
      <c r="U126" s="175">
        <v>4130.12449314891</v>
      </c>
      <c r="V126" s="175">
        <v>1032.53112328723</v>
      </c>
      <c r="W126" s="175">
        <v>168.89433994685999</v>
      </c>
      <c r="X126" s="175">
        <v>0</v>
      </c>
      <c r="Y126" s="175">
        <v>0</v>
      </c>
      <c r="Z126" s="175">
        <v>0</v>
      </c>
      <c r="AA126" s="175">
        <v>0</v>
      </c>
      <c r="AB126" s="175">
        <v>0</v>
      </c>
      <c r="AC126" s="175">
        <v>0</v>
      </c>
      <c r="AD126" s="175">
        <v>0</v>
      </c>
      <c r="AE126" s="175">
        <v>0</v>
      </c>
      <c r="AF126" s="175">
        <v>0</v>
      </c>
      <c r="AG126" s="175">
        <v>0</v>
      </c>
      <c r="AH126" s="175">
        <v>0</v>
      </c>
      <c r="AI126" s="175">
        <v>0</v>
      </c>
      <c r="AJ126" s="175">
        <v>0</v>
      </c>
      <c r="AK126" s="175">
        <v>0</v>
      </c>
      <c r="AL126" s="175">
        <v>0</v>
      </c>
      <c r="AM126" s="175">
        <v>0</v>
      </c>
      <c r="AN126" s="175">
        <v>0</v>
      </c>
      <c r="AO126" s="175">
        <v>0</v>
      </c>
      <c r="AP126" s="175">
        <v>0</v>
      </c>
      <c r="AQ126" s="175">
        <v>0</v>
      </c>
      <c r="AR126" s="175">
        <v>0</v>
      </c>
      <c r="AS126" s="126"/>
      <c r="AT126" s="179">
        <f t="shared" si="12"/>
        <v>5331.5499563829999</v>
      </c>
      <c r="AZ126" s="280">
        <f t="shared" si="13"/>
        <v>0</v>
      </c>
      <c r="BA126" s="280">
        <f t="shared" si="14"/>
        <v>5162.65561643614</v>
      </c>
      <c r="BB126" s="280">
        <f t="shared" si="15"/>
        <v>0</v>
      </c>
    </row>
    <row r="127" spans="1:54">
      <c r="A127" s="174" t="s">
        <v>98</v>
      </c>
      <c r="B127" s="174" t="s">
        <v>25</v>
      </c>
      <c r="C127" s="174" t="s">
        <v>17</v>
      </c>
      <c r="D127" s="175">
        <v>1</v>
      </c>
      <c r="E127" s="174">
        <v>2025</v>
      </c>
      <c r="F127" s="176">
        <v>0</v>
      </c>
      <c r="G127" s="175">
        <v>0</v>
      </c>
      <c r="H127" s="175">
        <v>0</v>
      </c>
      <c r="I127" s="175">
        <v>0</v>
      </c>
      <c r="J127" s="175">
        <v>0</v>
      </c>
      <c r="K127" s="175">
        <v>0</v>
      </c>
      <c r="L127" s="175">
        <v>0</v>
      </c>
      <c r="M127" s="175">
        <v>0</v>
      </c>
      <c r="N127" s="175">
        <v>0</v>
      </c>
      <c r="O127" s="175">
        <v>0</v>
      </c>
      <c r="P127" s="175">
        <v>0</v>
      </c>
      <c r="Q127" s="175">
        <v>0</v>
      </c>
      <c r="R127" s="175">
        <v>0</v>
      </c>
      <c r="S127" s="175">
        <v>0</v>
      </c>
      <c r="T127" s="175">
        <v>0</v>
      </c>
      <c r="U127" s="175">
        <v>4208.7055999990698</v>
      </c>
      <c r="V127" s="175">
        <v>1052.17639999885</v>
      </c>
      <c r="W127" s="175">
        <v>172.63311999825001</v>
      </c>
      <c r="X127" s="175">
        <v>0</v>
      </c>
      <c r="Y127" s="175">
        <v>0</v>
      </c>
      <c r="Z127" s="175">
        <v>0</v>
      </c>
      <c r="AA127" s="175">
        <v>0</v>
      </c>
      <c r="AB127" s="175">
        <v>0</v>
      </c>
      <c r="AC127" s="175">
        <v>0</v>
      </c>
      <c r="AD127" s="175">
        <v>0</v>
      </c>
      <c r="AE127" s="175">
        <v>0</v>
      </c>
      <c r="AF127" s="175">
        <v>0</v>
      </c>
      <c r="AG127" s="175">
        <v>0</v>
      </c>
      <c r="AH127" s="175">
        <v>0</v>
      </c>
      <c r="AI127" s="175">
        <v>0</v>
      </c>
      <c r="AJ127" s="175">
        <v>0</v>
      </c>
      <c r="AK127" s="175">
        <v>0</v>
      </c>
      <c r="AL127" s="175">
        <v>0</v>
      </c>
      <c r="AM127" s="175">
        <v>0</v>
      </c>
      <c r="AN127" s="175">
        <v>0</v>
      </c>
      <c r="AO127" s="175">
        <v>0</v>
      </c>
      <c r="AP127" s="175">
        <v>0</v>
      </c>
      <c r="AQ127" s="175">
        <v>0</v>
      </c>
      <c r="AR127" s="175">
        <v>0</v>
      </c>
      <c r="AS127" s="126"/>
      <c r="AT127" s="179">
        <f t="shared" si="12"/>
        <v>5433.5151199961692</v>
      </c>
      <c r="AZ127" s="280">
        <f t="shared" si="13"/>
        <v>0</v>
      </c>
      <c r="BA127" s="280">
        <f t="shared" si="14"/>
        <v>5260.8819999979196</v>
      </c>
      <c r="BB127" s="280">
        <f t="shared" si="15"/>
        <v>0</v>
      </c>
    </row>
    <row r="128" spans="1:54">
      <c r="A128" s="174" t="s">
        <v>98</v>
      </c>
      <c r="B128" s="174" t="s">
        <v>25</v>
      </c>
      <c r="C128" s="174" t="s">
        <v>17</v>
      </c>
      <c r="D128" s="175">
        <v>1</v>
      </c>
      <c r="E128" s="174">
        <v>2026</v>
      </c>
      <c r="F128" s="176">
        <v>0</v>
      </c>
      <c r="G128" s="175">
        <v>0</v>
      </c>
      <c r="H128" s="175">
        <v>0</v>
      </c>
      <c r="I128" s="175">
        <v>0</v>
      </c>
      <c r="J128" s="175">
        <v>0</v>
      </c>
      <c r="K128" s="175">
        <v>0</v>
      </c>
      <c r="L128" s="175">
        <v>0</v>
      </c>
      <c r="M128" s="175">
        <v>0</v>
      </c>
      <c r="N128" s="175">
        <v>0</v>
      </c>
      <c r="O128" s="175">
        <v>0</v>
      </c>
      <c r="P128" s="175">
        <v>0</v>
      </c>
      <c r="Q128" s="175">
        <v>0</v>
      </c>
      <c r="R128" s="175">
        <v>0</v>
      </c>
      <c r="S128" s="175">
        <v>0</v>
      </c>
      <c r="T128" s="175">
        <v>0</v>
      </c>
      <c r="U128" s="175">
        <v>4298.5711999998903</v>
      </c>
      <c r="V128" s="175">
        <v>1074.6428000018</v>
      </c>
      <c r="W128" s="175">
        <v>176.931039999098</v>
      </c>
      <c r="X128" s="175">
        <v>0</v>
      </c>
      <c r="Y128" s="175">
        <v>0</v>
      </c>
      <c r="Z128" s="175">
        <v>0</v>
      </c>
      <c r="AA128" s="175">
        <v>0</v>
      </c>
      <c r="AB128" s="175">
        <v>0</v>
      </c>
      <c r="AC128" s="175">
        <v>0</v>
      </c>
      <c r="AD128" s="175">
        <v>0</v>
      </c>
      <c r="AE128" s="175">
        <v>0</v>
      </c>
      <c r="AF128" s="175">
        <v>0</v>
      </c>
      <c r="AG128" s="175">
        <v>0</v>
      </c>
      <c r="AH128" s="175">
        <v>0</v>
      </c>
      <c r="AI128" s="175">
        <v>0</v>
      </c>
      <c r="AJ128" s="175">
        <v>0</v>
      </c>
      <c r="AK128" s="175">
        <v>0</v>
      </c>
      <c r="AL128" s="175">
        <v>0</v>
      </c>
      <c r="AM128" s="175">
        <v>0</v>
      </c>
      <c r="AN128" s="175">
        <v>0</v>
      </c>
      <c r="AO128" s="175">
        <v>0</v>
      </c>
      <c r="AP128" s="175">
        <v>0</v>
      </c>
      <c r="AQ128" s="175">
        <v>0</v>
      </c>
      <c r="AR128" s="175">
        <v>0</v>
      </c>
      <c r="AS128" s="126"/>
      <c r="AT128" s="179">
        <f t="shared" si="12"/>
        <v>5550.145040000788</v>
      </c>
      <c r="AZ128" s="280">
        <f t="shared" si="13"/>
        <v>0</v>
      </c>
      <c r="BA128" s="280">
        <f t="shared" si="14"/>
        <v>5373.2140000016898</v>
      </c>
      <c r="BB128" s="280">
        <f t="shared" si="15"/>
        <v>0</v>
      </c>
    </row>
    <row r="129" spans="1:54">
      <c r="A129" s="174" t="s">
        <v>98</v>
      </c>
      <c r="B129" s="174" t="s">
        <v>25</v>
      </c>
      <c r="C129" s="174" t="s">
        <v>17</v>
      </c>
      <c r="D129" s="175">
        <v>1</v>
      </c>
      <c r="E129" s="174">
        <v>2027</v>
      </c>
      <c r="F129" s="176">
        <v>0</v>
      </c>
      <c r="G129" s="175">
        <v>0</v>
      </c>
      <c r="H129" s="175">
        <v>0</v>
      </c>
      <c r="I129" s="175">
        <v>0</v>
      </c>
      <c r="J129" s="175">
        <v>0</v>
      </c>
      <c r="K129" s="175">
        <v>0</v>
      </c>
      <c r="L129" s="175">
        <v>0</v>
      </c>
      <c r="M129" s="175">
        <v>0</v>
      </c>
      <c r="N129" s="175">
        <v>0</v>
      </c>
      <c r="O129" s="175">
        <v>0</v>
      </c>
      <c r="P129" s="175">
        <v>0</v>
      </c>
      <c r="Q129" s="175">
        <v>0</v>
      </c>
      <c r="R129" s="175">
        <v>0</v>
      </c>
      <c r="S129" s="175">
        <v>0</v>
      </c>
      <c r="T129" s="175">
        <v>0</v>
      </c>
      <c r="U129" s="175">
        <v>4388.4368000007198</v>
      </c>
      <c r="V129" s="175">
        <v>1097.1092000010899</v>
      </c>
      <c r="W129" s="175">
        <v>181.35920000074901</v>
      </c>
      <c r="X129" s="175">
        <v>0</v>
      </c>
      <c r="Y129" s="175">
        <v>0</v>
      </c>
      <c r="Z129" s="175">
        <v>0</v>
      </c>
      <c r="AA129" s="175">
        <v>0</v>
      </c>
      <c r="AB129" s="175">
        <v>0</v>
      </c>
      <c r="AC129" s="175">
        <v>0</v>
      </c>
      <c r="AD129" s="175">
        <v>0</v>
      </c>
      <c r="AE129" s="175">
        <v>0</v>
      </c>
      <c r="AF129" s="175">
        <v>0</v>
      </c>
      <c r="AG129" s="175">
        <v>0</v>
      </c>
      <c r="AH129" s="175">
        <v>0</v>
      </c>
      <c r="AI129" s="175">
        <v>0</v>
      </c>
      <c r="AJ129" s="175">
        <v>0</v>
      </c>
      <c r="AK129" s="175">
        <v>0</v>
      </c>
      <c r="AL129" s="175">
        <v>0</v>
      </c>
      <c r="AM129" s="175">
        <v>0</v>
      </c>
      <c r="AN129" s="175">
        <v>0</v>
      </c>
      <c r="AO129" s="175">
        <v>0</v>
      </c>
      <c r="AP129" s="175">
        <v>0</v>
      </c>
      <c r="AQ129" s="175">
        <v>0</v>
      </c>
      <c r="AR129" s="175">
        <v>0</v>
      </c>
      <c r="AS129" s="126"/>
      <c r="AT129" s="179">
        <f t="shared" si="12"/>
        <v>5666.9052000025595</v>
      </c>
      <c r="AZ129" s="280">
        <f t="shared" si="13"/>
        <v>0</v>
      </c>
      <c r="BA129" s="280">
        <f t="shared" si="14"/>
        <v>5485.5460000018102</v>
      </c>
      <c r="BB129" s="280">
        <f t="shared" si="15"/>
        <v>0</v>
      </c>
    </row>
    <row r="130" spans="1:54">
      <c r="A130" s="174" t="s">
        <v>98</v>
      </c>
      <c r="B130" s="174" t="s">
        <v>25</v>
      </c>
      <c r="C130" s="174" t="s">
        <v>17</v>
      </c>
      <c r="D130" s="175">
        <v>1</v>
      </c>
      <c r="E130" s="174">
        <v>2028</v>
      </c>
      <c r="F130" s="176">
        <v>0</v>
      </c>
      <c r="G130" s="175">
        <v>0</v>
      </c>
      <c r="H130" s="175">
        <v>0</v>
      </c>
      <c r="I130" s="175">
        <v>0</v>
      </c>
      <c r="J130" s="175">
        <v>0</v>
      </c>
      <c r="K130" s="175">
        <v>0</v>
      </c>
      <c r="L130" s="175">
        <v>0</v>
      </c>
      <c r="M130" s="175">
        <v>0</v>
      </c>
      <c r="N130" s="175">
        <v>0</v>
      </c>
      <c r="O130" s="175">
        <v>0</v>
      </c>
      <c r="P130" s="175">
        <v>0</v>
      </c>
      <c r="Q130" s="175">
        <v>0</v>
      </c>
      <c r="R130" s="175">
        <v>0</v>
      </c>
      <c r="S130" s="175">
        <v>0</v>
      </c>
      <c r="T130" s="175">
        <v>0</v>
      </c>
      <c r="U130" s="175">
        <v>4475.5530871241699</v>
      </c>
      <c r="V130" s="175">
        <v>1118.88827178013</v>
      </c>
      <c r="W130" s="175">
        <v>186.42696328721999</v>
      </c>
      <c r="X130" s="175">
        <v>0</v>
      </c>
      <c r="Y130" s="175">
        <v>0</v>
      </c>
      <c r="Z130" s="175">
        <v>0</v>
      </c>
      <c r="AA130" s="175">
        <v>0</v>
      </c>
      <c r="AB130" s="175">
        <v>0</v>
      </c>
      <c r="AC130" s="175">
        <v>0</v>
      </c>
      <c r="AD130" s="175">
        <v>0</v>
      </c>
      <c r="AE130" s="175">
        <v>6938.6981917801204</v>
      </c>
      <c r="AF130" s="175">
        <v>0</v>
      </c>
      <c r="AG130" s="175">
        <v>0</v>
      </c>
      <c r="AH130" s="175">
        <v>0</v>
      </c>
      <c r="AI130" s="175">
        <v>0</v>
      </c>
      <c r="AJ130" s="175">
        <v>0</v>
      </c>
      <c r="AK130" s="175">
        <v>0</v>
      </c>
      <c r="AL130" s="175">
        <v>0</v>
      </c>
      <c r="AM130" s="175">
        <v>0</v>
      </c>
      <c r="AN130" s="175">
        <v>0</v>
      </c>
      <c r="AO130" s="175">
        <v>0</v>
      </c>
      <c r="AP130" s="175">
        <v>0</v>
      </c>
      <c r="AQ130" s="175">
        <v>0</v>
      </c>
      <c r="AR130" s="175">
        <v>0</v>
      </c>
      <c r="AS130" s="126"/>
      <c r="AT130" s="179">
        <f t="shared" ref="AT130:AT193" si="16">SUM(G130:AR130)</f>
        <v>12719.56651397164</v>
      </c>
      <c r="AZ130" s="280">
        <f t="shared" si="13"/>
        <v>6938.6981917801204</v>
      </c>
      <c r="BA130" s="280">
        <f t="shared" si="14"/>
        <v>5594.4413589042997</v>
      </c>
      <c r="BB130" s="280">
        <f t="shared" si="15"/>
        <v>0</v>
      </c>
    </row>
    <row r="131" spans="1:54">
      <c r="A131" s="174" t="s">
        <v>98</v>
      </c>
      <c r="B131" s="174" t="s">
        <v>25</v>
      </c>
      <c r="C131" s="174" t="s">
        <v>17</v>
      </c>
      <c r="D131" s="175">
        <v>1</v>
      </c>
      <c r="E131" s="174">
        <v>2029</v>
      </c>
      <c r="F131" s="176">
        <v>0</v>
      </c>
      <c r="G131" s="175">
        <v>0</v>
      </c>
      <c r="H131" s="175">
        <v>0</v>
      </c>
      <c r="I131" s="175">
        <v>0</v>
      </c>
      <c r="J131" s="175">
        <v>0</v>
      </c>
      <c r="K131" s="175">
        <v>0</v>
      </c>
      <c r="L131" s="175">
        <v>0</v>
      </c>
      <c r="M131" s="175">
        <v>0</v>
      </c>
      <c r="N131" s="175">
        <v>0</v>
      </c>
      <c r="O131" s="175">
        <v>0</v>
      </c>
      <c r="P131" s="175">
        <v>0</v>
      </c>
      <c r="Q131" s="175">
        <v>0</v>
      </c>
      <c r="R131" s="175">
        <v>0</v>
      </c>
      <c r="S131" s="175">
        <v>0</v>
      </c>
      <c r="T131" s="175">
        <v>0</v>
      </c>
      <c r="U131" s="175">
        <v>4553.1904000017103</v>
      </c>
      <c r="V131" s="175">
        <v>1138.2975999985999</v>
      </c>
      <c r="W131" s="175">
        <v>190.54111999874999</v>
      </c>
      <c r="X131" s="175">
        <v>0</v>
      </c>
      <c r="Y131" s="175">
        <v>0</v>
      </c>
      <c r="Z131" s="175">
        <v>0</v>
      </c>
      <c r="AA131" s="175">
        <v>0</v>
      </c>
      <c r="AB131" s="175">
        <v>0</v>
      </c>
      <c r="AC131" s="175">
        <v>0</v>
      </c>
      <c r="AD131" s="175">
        <v>0</v>
      </c>
      <c r="AE131" s="175">
        <v>7059.5999999986998</v>
      </c>
      <c r="AF131" s="175">
        <v>0</v>
      </c>
      <c r="AG131" s="175">
        <v>0</v>
      </c>
      <c r="AH131" s="175">
        <v>0</v>
      </c>
      <c r="AI131" s="175">
        <v>0</v>
      </c>
      <c r="AJ131" s="175">
        <v>0</v>
      </c>
      <c r="AK131" s="175">
        <v>0</v>
      </c>
      <c r="AL131" s="175">
        <v>0</v>
      </c>
      <c r="AM131" s="175">
        <v>0</v>
      </c>
      <c r="AN131" s="175">
        <v>0</v>
      </c>
      <c r="AO131" s="175">
        <v>0</v>
      </c>
      <c r="AP131" s="175">
        <v>0</v>
      </c>
      <c r="AQ131" s="175">
        <v>0</v>
      </c>
      <c r="AR131" s="175">
        <v>0</v>
      </c>
      <c r="AS131" s="126"/>
      <c r="AT131" s="179">
        <f t="shared" si="16"/>
        <v>12941.62911999776</v>
      </c>
      <c r="AZ131" s="280">
        <f t="shared" si="13"/>
        <v>7059.5999999986998</v>
      </c>
      <c r="BA131" s="280">
        <f t="shared" si="14"/>
        <v>5691.4880000003104</v>
      </c>
      <c r="BB131" s="280">
        <f t="shared" si="15"/>
        <v>0</v>
      </c>
    </row>
    <row r="132" spans="1:54">
      <c r="A132" s="174" t="s">
        <v>98</v>
      </c>
      <c r="B132" s="174" t="s">
        <v>25</v>
      </c>
      <c r="C132" s="174" t="s">
        <v>17</v>
      </c>
      <c r="D132" s="175">
        <v>1</v>
      </c>
      <c r="E132" s="174">
        <v>2030</v>
      </c>
      <c r="F132" s="176">
        <v>0</v>
      </c>
      <c r="G132" s="175">
        <v>0</v>
      </c>
      <c r="H132" s="175">
        <v>0</v>
      </c>
      <c r="I132" s="175">
        <v>0</v>
      </c>
      <c r="J132" s="175">
        <v>0</v>
      </c>
      <c r="K132" s="175">
        <v>0</v>
      </c>
      <c r="L132" s="175">
        <v>0</v>
      </c>
      <c r="M132" s="175">
        <v>0</v>
      </c>
      <c r="N132" s="175">
        <v>0</v>
      </c>
      <c r="O132" s="175">
        <v>0</v>
      </c>
      <c r="P132" s="175">
        <v>0</v>
      </c>
      <c r="Q132" s="175">
        <v>0</v>
      </c>
      <c r="R132" s="175">
        <v>0</v>
      </c>
      <c r="S132" s="175">
        <v>0</v>
      </c>
      <c r="T132" s="175">
        <v>0</v>
      </c>
      <c r="U132" s="175">
        <v>4658.0335999996296</v>
      </c>
      <c r="V132" s="175">
        <v>1164.5083999989899</v>
      </c>
      <c r="W132" s="175">
        <v>195.32743999895101</v>
      </c>
      <c r="X132" s="175">
        <v>0</v>
      </c>
      <c r="Y132" s="175">
        <v>0</v>
      </c>
      <c r="Z132" s="175">
        <v>0</v>
      </c>
      <c r="AA132" s="175">
        <v>0</v>
      </c>
      <c r="AB132" s="175">
        <v>0</v>
      </c>
      <c r="AC132" s="175">
        <v>0</v>
      </c>
      <c r="AD132" s="175">
        <v>0</v>
      </c>
      <c r="AE132" s="175">
        <v>14400.399999999499</v>
      </c>
      <c r="AF132" s="175">
        <v>0</v>
      </c>
      <c r="AG132" s="175">
        <v>0</v>
      </c>
      <c r="AH132" s="175">
        <v>0</v>
      </c>
      <c r="AI132" s="175">
        <v>0</v>
      </c>
      <c r="AJ132" s="175">
        <v>0</v>
      </c>
      <c r="AK132" s="175">
        <v>0</v>
      </c>
      <c r="AL132" s="175">
        <v>0</v>
      </c>
      <c r="AM132" s="175">
        <v>0</v>
      </c>
      <c r="AN132" s="175">
        <v>0</v>
      </c>
      <c r="AO132" s="175">
        <v>0</v>
      </c>
      <c r="AP132" s="175">
        <v>0</v>
      </c>
      <c r="AQ132" s="175">
        <v>0</v>
      </c>
      <c r="AR132" s="175">
        <v>0</v>
      </c>
      <c r="AS132" s="126"/>
      <c r="AT132" s="179">
        <f t="shared" si="16"/>
        <v>20418.269439997071</v>
      </c>
      <c r="AZ132" s="280">
        <f t="shared" si="13"/>
        <v>14400.399999999499</v>
      </c>
      <c r="BA132" s="280">
        <f t="shared" si="14"/>
        <v>5822.5419999986198</v>
      </c>
      <c r="BB132" s="280">
        <f t="shared" si="15"/>
        <v>0</v>
      </c>
    </row>
    <row r="133" spans="1:54">
      <c r="A133" s="174" t="s">
        <v>98</v>
      </c>
      <c r="B133" s="174" t="s">
        <v>25</v>
      </c>
      <c r="C133" s="174" t="s">
        <v>17</v>
      </c>
      <c r="D133" s="175">
        <v>1</v>
      </c>
      <c r="E133" s="174">
        <v>2031</v>
      </c>
      <c r="F133" s="176">
        <v>0</v>
      </c>
      <c r="G133" s="175">
        <v>0</v>
      </c>
      <c r="H133" s="175">
        <v>0</v>
      </c>
      <c r="I133" s="175">
        <v>0</v>
      </c>
      <c r="J133" s="175">
        <v>0</v>
      </c>
      <c r="K133" s="175">
        <v>5379.30863999964</v>
      </c>
      <c r="L133" s="175">
        <v>0</v>
      </c>
      <c r="M133" s="175">
        <v>0</v>
      </c>
      <c r="N133" s="175">
        <v>0</v>
      </c>
      <c r="O133" s="175">
        <v>0</v>
      </c>
      <c r="P133" s="175">
        <v>0</v>
      </c>
      <c r="Q133" s="175">
        <v>0</v>
      </c>
      <c r="R133" s="175">
        <v>0</v>
      </c>
      <c r="S133" s="175">
        <v>0</v>
      </c>
      <c r="T133" s="175">
        <v>0</v>
      </c>
      <c r="U133" s="175">
        <v>7121.8488000007201</v>
      </c>
      <c r="V133" s="175">
        <v>3560.9243999985401</v>
      </c>
      <c r="W133" s="175">
        <v>200.21143999975101</v>
      </c>
      <c r="X133" s="175">
        <v>200.18255039939899</v>
      </c>
      <c r="Y133" s="175">
        <v>0</v>
      </c>
      <c r="Z133" s="175">
        <v>0</v>
      </c>
      <c r="AA133" s="175">
        <v>0</v>
      </c>
      <c r="AB133" s="175">
        <v>0</v>
      </c>
      <c r="AC133" s="175">
        <v>0</v>
      </c>
      <c r="AD133" s="175">
        <v>0</v>
      </c>
      <c r="AE133" s="175">
        <v>14687.520000000701</v>
      </c>
      <c r="AF133" s="175">
        <v>0</v>
      </c>
      <c r="AG133" s="175">
        <v>0</v>
      </c>
      <c r="AH133" s="175">
        <v>0</v>
      </c>
      <c r="AI133" s="175">
        <v>0</v>
      </c>
      <c r="AJ133" s="175">
        <v>0</v>
      </c>
      <c r="AK133" s="175">
        <v>0</v>
      </c>
      <c r="AL133" s="175">
        <v>0</v>
      </c>
      <c r="AM133" s="175">
        <v>0</v>
      </c>
      <c r="AN133" s="175">
        <v>0</v>
      </c>
      <c r="AO133" s="175">
        <v>0</v>
      </c>
      <c r="AP133" s="175">
        <v>0</v>
      </c>
      <c r="AQ133" s="175">
        <v>0</v>
      </c>
      <c r="AR133" s="175">
        <v>0</v>
      </c>
      <c r="AS133" s="126"/>
      <c r="AT133" s="179">
        <f t="shared" si="16"/>
        <v>31149.995830398751</v>
      </c>
      <c r="AZ133" s="280">
        <f t="shared" si="13"/>
        <v>14687.520000000701</v>
      </c>
      <c r="BA133" s="280">
        <f t="shared" si="14"/>
        <v>10682.773199999261</v>
      </c>
      <c r="BB133" s="280">
        <f t="shared" si="15"/>
        <v>0</v>
      </c>
    </row>
    <row r="134" spans="1:54">
      <c r="A134" s="174" t="s">
        <v>98</v>
      </c>
      <c r="B134" s="174" t="s">
        <v>25</v>
      </c>
      <c r="C134" s="174" t="s">
        <v>17</v>
      </c>
      <c r="D134" s="175">
        <v>1</v>
      </c>
      <c r="E134" s="174">
        <v>2032</v>
      </c>
      <c r="F134" s="176">
        <v>0</v>
      </c>
      <c r="G134" s="175">
        <v>0</v>
      </c>
      <c r="H134" s="175">
        <v>0</v>
      </c>
      <c r="I134" s="175">
        <v>0</v>
      </c>
      <c r="J134" s="175">
        <v>0</v>
      </c>
      <c r="K134" s="175">
        <v>5501.2189729326701</v>
      </c>
      <c r="L134" s="175">
        <v>0</v>
      </c>
      <c r="M134" s="175">
        <v>0</v>
      </c>
      <c r="N134" s="175">
        <v>0</v>
      </c>
      <c r="O134" s="175">
        <v>0</v>
      </c>
      <c r="P134" s="175">
        <v>0</v>
      </c>
      <c r="Q134" s="175">
        <v>0</v>
      </c>
      <c r="R134" s="175">
        <v>0</v>
      </c>
      <c r="S134" s="175">
        <v>0</v>
      </c>
      <c r="T134" s="175">
        <v>0</v>
      </c>
      <c r="U134" s="175">
        <v>7276.5284252057399</v>
      </c>
      <c r="V134" s="175">
        <v>3638.26421260287</v>
      </c>
      <c r="W134" s="175">
        <v>205.75529293265899</v>
      </c>
      <c r="X134" s="175">
        <v>205.75303716852099</v>
      </c>
      <c r="Y134" s="175">
        <v>0</v>
      </c>
      <c r="Z134" s="175">
        <v>0</v>
      </c>
      <c r="AA134" s="175">
        <v>0</v>
      </c>
      <c r="AB134" s="175">
        <v>0</v>
      </c>
      <c r="AC134" s="175">
        <v>0</v>
      </c>
      <c r="AD134" s="175">
        <v>0</v>
      </c>
      <c r="AE134" s="175">
        <v>14585.290520549701</v>
      </c>
      <c r="AF134" s="175">
        <v>0</v>
      </c>
      <c r="AG134" s="175">
        <v>0</v>
      </c>
      <c r="AH134" s="175">
        <v>0</v>
      </c>
      <c r="AI134" s="175">
        <v>0</v>
      </c>
      <c r="AJ134" s="175">
        <v>0</v>
      </c>
      <c r="AK134" s="175">
        <v>0</v>
      </c>
      <c r="AL134" s="175">
        <v>0</v>
      </c>
      <c r="AM134" s="175">
        <v>0</v>
      </c>
      <c r="AN134" s="175">
        <v>0</v>
      </c>
      <c r="AO134" s="175">
        <v>0</v>
      </c>
      <c r="AP134" s="175">
        <v>0</v>
      </c>
      <c r="AQ134" s="175">
        <v>0</v>
      </c>
      <c r="AR134" s="175">
        <v>0</v>
      </c>
      <c r="AS134" s="126"/>
      <c r="AT134" s="179">
        <f t="shared" si="16"/>
        <v>31412.810461392161</v>
      </c>
      <c r="AZ134" s="280">
        <f t="shared" si="13"/>
        <v>14585.290520549701</v>
      </c>
      <c r="BA134" s="280">
        <f t="shared" si="14"/>
        <v>10914.79263780861</v>
      </c>
      <c r="BB134" s="280">
        <f t="shared" si="15"/>
        <v>0</v>
      </c>
    </row>
    <row r="135" spans="1:54">
      <c r="A135" s="174" t="s">
        <v>98</v>
      </c>
      <c r="B135" s="174" t="s">
        <v>25</v>
      </c>
      <c r="C135" s="174" t="s">
        <v>17</v>
      </c>
      <c r="D135" s="175">
        <v>1</v>
      </c>
      <c r="E135" s="174">
        <v>2033</v>
      </c>
      <c r="F135" s="176">
        <v>0</v>
      </c>
      <c r="G135" s="175">
        <v>0</v>
      </c>
      <c r="H135" s="175">
        <v>0</v>
      </c>
      <c r="I135" s="175">
        <v>0</v>
      </c>
      <c r="J135" s="175">
        <v>0</v>
      </c>
      <c r="K135" s="175">
        <v>5596.6910400003499</v>
      </c>
      <c r="L135" s="175">
        <v>0</v>
      </c>
      <c r="M135" s="175">
        <v>0</v>
      </c>
      <c r="N135" s="175">
        <v>0</v>
      </c>
      <c r="O135" s="175">
        <v>0</v>
      </c>
      <c r="P135" s="175">
        <v>0</v>
      </c>
      <c r="Q135" s="175">
        <v>0</v>
      </c>
      <c r="R135" s="175">
        <v>0</v>
      </c>
      <c r="S135" s="175">
        <v>0</v>
      </c>
      <c r="T135" s="175">
        <v>0</v>
      </c>
      <c r="U135" s="175">
        <v>7324.04640000173</v>
      </c>
      <c r="V135" s="175">
        <v>3662.0231999990401</v>
      </c>
      <c r="W135" s="175">
        <v>210.33759999990099</v>
      </c>
      <c r="X135" s="175">
        <v>210.324398398851</v>
      </c>
      <c r="Y135" s="175">
        <v>0</v>
      </c>
      <c r="Z135" s="175">
        <v>0</v>
      </c>
      <c r="AA135" s="175">
        <v>0</v>
      </c>
      <c r="AB135" s="175">
        <v>0</v>
      </c>
      <c r="AC135" s="175">
        <v>0</v>
      </c>
      <c r="AD135" s="175">
        <v>0</v>
      </c>
      <c r="AE135" s="175">
        <v>14834.0399999991</v>
      </c>
      <c r="AF135" s="175">
        <v>0</v>
      </c>
      <c r="AG135" s="175">
        <v>0</v>
      </c>
      <c r="AH135" s="175">
        <v>0</v>
      </c>
      <c r="AI135" s="175">
        <v>0</v>
      </c>
      <c r="AJ135" s="175">
        <v>0</v>
      </c>
      <c r="AK135" s="175">
        <v>0</v>
      </c>
      <c r="AL135" s="175">
        <v>0</v>
      </c>
      <c r="AM135" s="175">
        <v>0</v>
      </c>
      <c r="AN135" s="175">
        <v>0</v>
      </c>
      <c r="AO135" s="175">
        <v>0</v>
      </c>
      <c r="AP135" s="175">
        <v>0</v>
      </c>
      <c r="AQ135" s="175">
        <v>0</v>
      </c>
      <c r="AR135" s="175">
        <v>0</v>
      </c>
      <c r="AS135" s="126"/>
      <c r="AT135" s="179">
        <f t="shared" si="16"/>
        <v>31837.462638398974</v>
      </c>
      <c r="AZ135" s="280">
        <f t="shared" si="13"/>
        <v>14834.0399999991</v>
      </c>
      <c r="BA135" s="280">
        <f t="shared" si="14"/>
        <v>10986.06960000077</v>
      </c>
      <c r="BB135" s="280">
        <f t="shared" si="15"/>
        <v>0</v>
      </c>
    </row>
    <row r="136" spans="1:54">
      <c r="A136" s="174" t="s">
        <v>98</v>
      </c>
      <c r="B136" s="174" t="s">
        <v>25</v>
      </c>
      <c r="C136" s="174" t="s">
        <v>17</v>
      </c>
      <c r="D136" s="175">
        <v>1</v>
      </c>
      <c r="E136" s="174">
        <v>2034</v>
      </c>
      <c r="F136" s="176">
        <v>0</v>
      </c>
      <c r="G136" s="175">
        <v>0</v>
      </c>
      <c r="H136" s="175">
        <v>0</v>
      </c>
      <c r="I136" s="175">
        <v>0</v>
      </c>
      <c r="J136" s="175">
        <v>0</v>
      </c>
      <c r="K136" s="175">
        <v>5708.0995200008201</v>
      </c>
      <c r="L136" s="175">
        <v>0</v>
      </c>
      <c r="M136" s="175">
        <v>0</v>
      </c>
      <c r="N136" s="175">
        <v>0</v>
      </c>
      <c r="O136" s="175">
        <v>0</v>
      </c>
      <c r="P136" s="175">
        <v>0</v>
      </c>
      <c r="Q136" s="175">
        <v>0</v>
      </c>
      <c r="R136" s="175">
        <v>0</v>
      </c>
      <c r="S136" s="175">
        <v>0</v>
      </c>
      <c r="T136" s="175">
        <v>0</v>
      </c>
      <c r="U136" s="175">
        <v>7413.9119999989698</v>
      </c>
      <c r="V136" s="175">
        <v>3706.9560000013098</v>
      </c>
      <c r="W136" s="175">
        <v>215.57975999925</v>
      </c>
      <c r="X136" s="175">
        <v>215.5831343987</v>
      </c>
      <c r="Y136" s="175">
        <v>0</v>
      </c>
      <c r="Z136" s="175">
        <v>0</v>
      </c>
      <c r="AA136" s="175">
        <v>0</v>
      </c>
      <c r="AB136" s="175">
        <v>0</v>
      </c>
      <c r="AC136" s="175">
        <v>0</v>
      </c>
      <c r="AD136" s="175">
        <v>0</v>
      </c>
      <c r="AE136" s="175">
        <v>14690.4800000003</v>
      </c>
      <c r="AF136" s="175">
        <v>0</v>
      </c>
      <c r="AG136" s="175">
        <v>0</v>
      </c>
      <c r="AH136" s="175">
        <v>0</v>
      </c>
      <c r="AI136" s="175">
        <v>0</v>
      </c>
      <c r="AJ136" s="175">
        <v>0</v>
      </c>
      <c r="AK136" s="175">
        <v>0</v>
      </c>
      <c r="AL136" s="175">
        <v>0</v>
      </c>
      <c r="AM136" s="175">
        <v>0</v>
      </c>
      <c r="AN136" s="175">
        <v>0</v>
      </c>
      <c r="AO136" s="175">
        <v>0</v>
      </c>
      <c r="AP136" s="175">
        <v>0</v>
      </c>
      <c r="AQ136" s="175">
        <v>0</v>
      </c>
      <c r="AR136" s="175">
        <v>0</v>
      </c>
      <c r="AS136" s="126"/>
      <c r="AT136" s="179">
        <f t="shared" si="16"/>
        <v>31950.610414399351</v>
      </c>
      <c r="AZ136" s="280">
        <f t="shared" si="13"/>
        <v>14690.4800000003</v>
      </c>
      <c r="BA136" s="280">
        <f t="shared" si="14"/>
        <v>11120.868000000279</v>
      </c>
      <c r="BB136" s="280">
        <f t="shared" si="15"/>
        <v>0</v>
      </c>
    </row>
    <row r="137" spans="1:54">
      <c r="A137" s="174" t="s">
        <v>98</v>
      </c>
      <c r="B137" s="174" t="s">
        <v>25</v>
      </c>
      <c r="C137" s="174" t="s">
        <v>17</v>
      </c>
      <c r="D137" s="175">
        <v>1</v>
      </c>
      <c r="E137" s="174">
        <v>2035</v>
      </c>
      <c r="F137" s="176">
        <v>0</v>
      </c>
      <c r="G137" s="175">
        <v>0</v>
      </c>
      <c r="H137" s="175">
        <v>0</v>
      </c>
      <c r="I137" s="175">
        <v>0</v>
      </c>
      <c r="J137" s="175">
        <v>0</v>
      </c>
      <c r="K137" s="175">
        <v>5822.2252800013703</v>
      </c>
      <c r="L137" s="175">
        <v>0</v>
      </c>
      <c r="M137" s="175">
        <v>0</v>
      </c>
      <c r="N137" s="175">
        <v>0</v>
      </c>
      <c r="O137" s="175">
        <v>0</v>
      </c>
      <c r="P137" s="175">
        <v>0</v>
      </c>
      <c r="Q137" s="175">
        <v>0</v>
      </c>
      <c r="R137" s="175">
        <v>0</v>
      </c>
      <c r="S137" s="175">
        <v>0</v>
      </c>
      <c r="T137" s="175">
        <v>0</v>
      </c>
      <c r="U137" s="175">
        <v>7481.3112000005403</v>
      </c>
      <c r="V137" s="175">
        <v>3740.6556000002702</v>
      </c>
      <c r="W137" s="175">
        <v>220.984719999601</v>
      </c>
      <c r="X137" s="175">
        <v>220.967078399851</v>
      </c>
      <c r="Y137" s="175">
        <v>0</v>
      </c>
      <c r="Z137" s="175">
        <v>0</v>
      </c>
      <c r="AA137" s="175">
        <v>0</v>
      </c>
      <c r="AB137" s="175">
        <v>0</v>
      </c>
      <c r="AC137" s="175">
        <v>0</v>
      </c>
      <c r="AD137" s="175">
        <v>0</v>
      </c>
      <c r="AE137" s="175">
        <v>14983.520000000901</v>
      </c>
      <c r="AF137" s="175">
        <v>0</v>
      </c>
      <c r="AG137" s="175">
        <v>0</v>
      </c>
      <c r="AH137" s="175">
        <v>0</v>
      </c>
      <c r="AI137" s="175">
        <v>0</v>
      </c>
      <c r="AJ137" s="175">
        <v>0</v>
      </c>
      <c r="AK137" s="175">
        <v>0</v>
      </c>
      <c r="AL137" s="175">
        <v>0</v>
      </c>
      <c r="AM137" s="175">
        <v>0</v>
      </c>
      <c r="AN137" s="175">
        <v>0</v>
      </c>
      <c r="AO137" s="175">
        <v>0</v>
      </c>
      <c r="AP137" s="175">
        <v>0</v>
      </c>
      <c r="AQ137" s="175">
        <v>0</v>
      </c>
      <c r="AR137" s="175">
        <v>0</v>
      </c>
      <c r="AS137" s="126"/>
      <c r="AT137" s="179">
        <f t="shared" si="16"/>
        <v>32469.663878402534</v>
      </c>
      <c r="AZ137" s="280">
        <f t="shared" si="13"/>
        <v>14983.520000000901</v>
      </c>
      <c r="BA137" s="280">
        <f t="shared" si="14"/>
        <v>11221.96680000081</v>
      </c>
      <c r="BB137" s="280">
        <f t="shared" si="15"/>
        <v>0</v>
      </c>
    </row>
    <row r="138" spans="1:54">
      <c r="A138" s="174" t="s">
        <v>98</v>
      </c>
      <c r="B138" s="174" t="s">
        <v>25</v>
      </c>
      <c r="C138" s="174" t="s">
        <v>17</v>
      </c>
      <c r="D138" s="175">
        <v>1</v>
      </c>
      <c r="E138" s="174">
        <v>2036</v>
      </c>
      <c r="F138" s="176">
        <v>0</v>
      </c>
      <c r="G138" s="175">
        <v>0</v>
      </c>
      <c r="H138" s="175">
        <v>0</v>
      </c>
      <c r="I138" s="175">
        <v>0</v>
      </c>
      <c r="J138" s="175">
        <v>0</v>
      </c>
      <c r="K138" s="175">
        <v>5955.3397400531003</v>
      </c>
      <c r="L138" s="175">
        <v>0</v>
      </c>
      <c r="M138" s="175">
        <v>0</v>
      </c>
      <c r="N138" s="175">
        <v>0</v>
      </c>
      <c r="O138" s="175">
        <v>0</v>
      </c>
      <c r="P138" s="175">
        <v>0</v>
      </c>
      <c r="Q138" s="175">
        <v>0</v>
      </c>
      <c r="R138" s="175">
        <v>0</v>
      </c>
      <c r="S138" s="175">
        <v>0</v>
      </c>
      <c r="T138" s="175">
        <v>0</v>
      </c>
      <c r="U138" s="175">
        <v>7569.3917983545098</v>
      </c>
      <c r="V138" s="175">
        <v>3784.6958991772499</v>
      </c>
      <c r="W138" s="175">
        <v>227.140522521299</v>
      </c>
      <c r="X138" s="175">
        <v>227.12182343124101</v>
      </c>
      <c r="Y138" s="175">
        <v>0</v>
      </c>
      <c r="Z138" s="175">
        <v>0</v>
      </c>
      <c r="AA138" s="175">
        <v>0</v>
      </c>
      <c r="AB138" s="175">
        <v>0</v>
      </c>
      <c r="AC138" s="175">
        <v>0</v>
      </c>
      <c r="AD138" s="175">
        <v>0</v>
      </c>
      <c r="AE138" s="175">
        <v>14877.649315067199</v>
      </c>
      <c r="AF138" s="175">
        <v>0</v>
      </c>
      <c r="AG138" s="175">
        <v>0</v>
      </c>
      <c r="AH138" s="175">
        <v>0</v>
      </c>
      <c r="AI138" s="175">
        <v>0</v>
      </c>
      <c r="AJ138" s="175">
        <v>0</v>
      </c>
      <c r="AK138" s="175">
        <v>0</v>
      </c>
      <c r="AL138" s="175">
        <v>0</v>
      </c>
      <c r="AM138" s="175">
        <v>0</v>
      </c>
      <c r="AN138" s="175">
        <v>0</v>
      </c>
      <c r="AO138" s="175">
        <v>0</v>
      </c>
      <c r="AP138" s="175">
        <v>0</v>
      </c>
      <c r="AQ138" s="175">
        <v>0</v>
      </c>
      <c r="AR138" s="175">
        <v>0</v>
      </c>
      <c r="AS138" s="126"/>
      <c r="AT138" s="179">
        <f t="shared" si="16"/>
        <v>32641.3390986046</v>
      </c>
      <c r="AZ138" s="280">
        <f t="shared" si="13"/>
        <v>14877.649315067199</v>
      </c>
      <c r="BA138" s="280">
        <f t="shared" si="14"/>
        <v>11354.087697531759</v>
      </c>
      <c r="BB138" s="280">
        <f t="shared" si="15"/>
        <v>0</v>
      </c>
    </row>
    <row r="139" spans="1:54">
      <c r="A139" s="174" t="s">
        <v>98</v>
      </c>
      <c r="B139" s="174" t="s">
        <v>25</v>
      </c>
      <c r="C139" s="174" t="s">
        <v>17</v>
      </c>
      <c r="D139" s="175">
        <v>1</v>
      </c>
      <c r="E139" s="174">
        <v>2037</v>
      </c>
      <c r="F139" s="176">
        <v>0</v>
      </c>
      <c r="G139" s="175">
        <v>0</v>
      </c>
      <c r="H139" s="175">
        <v>0</v>
      </c>
      <c r="I139" s="175">
        <v>0</v>
      </c>
      <c r="J139" s="175">
        <v>0</v>
      </c>
      <c r="K139" s="175">
        <v>6057.72288000152</v>
      </c>
      <c r="L139" s="175">
        <v>0</v>
      </c>
      <c r="M139" s="175">
        <v>0</v>
      </c>
      <c r="N139" s="175">
        <v>0</v>
      </c>
      <c r="O139" s="175">
        <v>0</v>
      </c>
      <c r="P139" s="175">
        <v>0</v>
      </c>
      <c r="Q139" s="175">
        <v>0</v>
      </c>
      <c r="R139" s="175">
        <v>0</v>
      </c>
      <c r="S139" s="175">
        <v>0</v>
      </c>
      <c r="T139" s="175">
        <v>0</v>
      </c>
      <c r="U139" s="175">
        <v>7638.5759999992497</v>
      </c>
      <c r="V139" s="175">
        <v>3819.2880000014502</v>
      </c>
      <c r="W139" s="175">
        <v>232.15279999885101</v>
      </c>
      <c r="X139" s="175">
        <v>232.160673599999</v>
      </c>
      <c r="Y139" s="175">
        <v>0</v>
      </c>
      <c r="Z139" s="175">
        <v>0</v>
      </c>
      <c r="AA139" s="175">
        <v>0</v>
      </c>
      <c r="AB139" s="175">
        <v>0</v>
      </c>
      <c r="AC139" s="175">
        <v>0</v>
      </c>
      <c r="AD139" s="175">
        <v>0</v>
      </c>
      <c r="AE139" s="175">
        <v>15132.9999999989</v>
      </c>
      <c r="AF139" s="175">
        <v>0</v>
      </c>
      <c r="AG139" s="175">
        <v>0</v>
      </c>
      <c r="AH139" s="175">
        <v>0</v>
      </c>
      <c r="AI139" s="175">
        <v>0</v>
      </c>
      <c r="AJ139" s="175">
        <v>0</v>
      </c>
      <c r="AK139" s="175">
        <v>0</v>
      </c>
      <c r="AL139" s="175">
        <v>0</v>
      </c>
      <c r="AM139" s="175">
        <v>0</v>
      </c>
      <c r="AN139" s="175">
        <v>0</v>
      </c>
      <c r="AO139" s="175">
        <v>0</v>
      </c>
      <c r="AP139" s="175">
        <v>0</v>
      </c>
      <c r="AQ139" s="175">
        <v>0</v>
      </c>
      <c r="AR139" s="175">
        <v>0</v>
      </c>
      <c r="AS139" s="126"/>
      <c r="AT139" s="179">
        <f t="shared" si="16"/>
        <v>33112.900353599973</v>
      </c>
      <c r="AZ139" s="280">
        <f t="shared" si="13"/>
        <v>15132.9999999989</v>
      </c>
      <c r="BA139" s="280">
        <f t="shared" si="14"/>
        <v>11457.8640000007</v>
      </c>
      <c r="BB139" s="280">
        <f t="shared" si="15"/>
        <v>0</v>
      </c>
    </row>
    <row r="140" spans="1:54">
      <c r="A140" s="174" t="s">
        <v>98</v>
      </c>
      <c r="B140" s="174" t="s">
        <v>25</v>
      </c>
      <c r="C140" s="174" t="s">
        <v>17</v>
      </c>
      <c r="D140" s="175">
        <v>1</v>
      </c>
      <c r="E140" s="174">
        <v>2038</v>
      </c>
      <c r="F140" s="176">
        <v>0</v>
      </c>
      <c r="G140" s="175">
        <v>0</v>
      </c>
      <c r="H140" s="175">
        <v>0</v>
      </c>
      <c r="I140" s="175">
        <v>0</v>
      </c>
      <c r="J140" s="175">
        <v>0</v>
      </c>
      <c r="K140" s="175">
        <v>6179.0947200010496</v>
      </c>
      <c r="L140" s="175">
        <v>0</v>
      </c>
      <c r="M140" s="175">
        <v>0</v>
      </c>
      <c r="N140" s="175">
        <v>0</v>
      </c>
      <c r="O140" s="175">
        <v>0</v>
      </c>
      <c r="P140" s="175">
        <v>0</v>
      </c>
      <c r="Q140" s="175">
        <v>0</v>
      </c>
      <c r="R140" s="175">
        <v>0</v>
      </c>
      <c r="S140" s="175">
        <v>0</v>
      </c>
      <c r="T140" s="175">
        <v>0</v>
      </c>
      <c r="U140" s="175">
        <v>7705.9752000008202</v>
      </c>
      <c r="V140" s="175">
        <v>3852.9876000004101</v>
      </c>
      <c r="W140" s="175">
        <v>237.981040001802</v>
      </c>
      <c r="X140" s="175">
        <v>237.945283200201</v>
      </c>
      <c r="Y140" s="175">
        <v>0</v>
      </c>
      <c r="Z140" s="175">
        <v>0</v>
      </c>
      <c r="AA140" s="175">
        <v>0</v>
      </c>
      <c r="AB140" s="175">
        <v>0</v>
      </c>
      <c r="AC140" s="175">
        <v>0</v>
      </c>
      <c r="AD140" s="175">
        <v>0</v>
      </c>
      <c r="AE140" s="175">
        <v>22477.4999999994</v>
      </c>
      <c r="AF140" s="175">
        <v>0</v>
      </c>
      <c r="AG140" s="175">
        <v>0</v>
      </c>
      <c r="AH140" s="175">
        <v>0</v>
      </c>
      <c r="AI140" s="175">
        <v>0</v>
      </c>
      <c r="AJ140" s="175">
        <v>0</v>
      </c>
      <c r="AK140" s="175">
        <v>0</v>
      </c>
      <c r="AL140" s="175">
        <v>0</v>
      </c>
      <c r="AM140" s="175">
        <v>0</v>
      </c>
      <c r="AN140" s="175">
        <v>0</v>
      </c>
      <c r="AO140" s="175">
        <v>0</v>
      </c>
      <c r="AP140" s="175">
        <v>0</v>
      </c>
      <c r="AQ140" s="175">
        <v>0</v>
      </c>
      <c r="AR140" s="175">
        <v>0</v>
      </c>
      <c r="AS140" s="126"/>
      <c r="AT140" s="179">
        <f t="shared" si="16"/>
        <v>40691.483843203685</v>
      </c>
      <c r="AZ140" s="280">
        <f t="shared" si="13"/>
        <v>22477.4999999994</v>
      </c>
      <c r="BA140" s="280">
        <f t="shared" si="14"/>
        <v>11558.962800001231</v>
      </c>
      <c r="BB140" s="280">
        <f t="shared" si="15"/>
        <v>0</v>
      </c>
    </row>
    <row r="141" spans="1:54">
      <c r="A141" s="174" t="s">
        <v>98</v>
      </c>
      <c r="B141" s="174" t="s">
        <v>25</v>
      </c>
      <c r="C141" s="174" t="s">
        <v>17</v>
      </c>
      <c r="D141" s="175">
        <v>1</v>
      </c>
      <c r="E141" s="174">
        <v>2039</v>
      </c>
      <c r="F141" s="176">
        <v>0</v>
      </c>
      <c r="G141" s="175">
        <v>0</v>
      </c>
      <c r="H141" s="175">
        <v>0</v>
      </c>
      <c r="I141" s="175">
        <v>0</v>
      </c>
      <c r="J141" s="175">
        <v>0</v>
      </c>
      <c r="K141" s="175">
        <v>6302.2780799994998</v>
      </c>
      <c r="L141" s="175">
        <v>0</v>
      </c>
      <c r="M141" s="175">
        <v>0</v>
      </c>
      <c r="N141" s="175">
        <v>0</v>
      </c>
      <c r="O141" s="175">
        <v>0</v>
      </c>
      <c r="P141" s="175">
        <v>0</v>
      </c>
      <c r="Q141" s="175">
        <v>0</v>
      </c>
      <c r="R141" s="175">
        <v>0</v>
      </c>
      <c r="S141" s="175">
        <v>0</v>
      </c>
      <c r="T141" s="175">
        <v>0</v>
      </c>
      <c r="U141" s="175">
        <v>7773.37439999863</v>
      </c>
      <c r="V141" s="175">
        <v>3886.68719999932</v>
      </c>
      <c r="W141" s="175">
        <v>0</v>
      </c>
      <c r="X141" s="175">
        <v>243.90518399929999</v>
      </c>
      <c r="Y141" s="175">
        <v>0</v>
      </c>
      <c r="Z141" s="175">
        <v>0</v>
      </c>
      <c r="AA141" s="175">
        <v>0</v>
      </c>
      <c r="AB141" s="175">
        <v>0</v>
      </c>
      <c r="AC141" s="175">
        <v>0</v>
      </c>
      <c r="AD141" s="175">
        <v>0</v>
      </c>
      <c r="AE141" s="175">
        <v>22925.940000000599</v>
      </c>
      <c r="AF141" s="175">
        <v>0</v>
      </c>
      <c r="AG141" s="175">
        <v>0</v>
      </c>
      <c r="AH141" s="175">
        <v>0</v>
      </c>
      <c r="AI141" s="175">
        <v>0</v>
      </c>
      <c r="AJ141" s="175">
        <v>0</v>
      </c>
      <c r="AK141" s="175">
        <v>0</v>
      </c>
      <c r="AL141" s="175">
        <v>0</v>
      </c>
      <c r="AM141" s="175">
        <v>0</v>
      </c>
      <c r="AN141" s="175">
        <v>0</v>
      </c>
      <c r="AO141" s="175">
        <v>0</v>
      </c>
      <c r="AP141" s="175">
        <v>0</v>
      </c>
      <c r="AQ141" s="175">
        <v>0</v>
      </c>
      <c r="AR141" s="175">
        <v>0</v>
      </c>
      <c r="AS141" s="126"/>
      <c r="AT141" s="179">
        <f t="shared" si="16"/>
        <v>41132.184863997347</v>
      </c>
      <c r="AZ141" s="280">
        <f t="shared" si="13"/>
        <v>22925.940000000599</v>
      </c>
      <c r="BA141" s="280">
        <f t="shared" si="14"/>
        <v>11660.061599997949</v>
      </c>
      <c r="BB141" s="280">
        <f t="shared" si="15"/>
        <v>0</v>
      </c>
    </row>
    <row r="142" spans="1:54">
      <c r="A142" s="174" t="s">
        <v>98</v>
      </c>
      <c r="B142" s="174" t="s">
        <v>25</v>
      </c>
      <c r="C142" s="174" t="s">
        <v>17</v>
      </c>
      <c r="D142" s="175">
        <v>1</v>
      </c>
      <c r="E142" s="174">
        <v>2040</v>
      </c>
      <c r="F142" s="176">
        <v>0</v>
      </c>
      <c r="G142" s="175">
        <v>0</v>
      </c>
      <c r="H142" s="175">
        <v>0</v>
      </c>
      <c r="I142" s="175">
        <v>0</v>
      </c>
      <c r="J142" s="175">
        <v>0</v>
      </c>
      <c r="K142" s="175">
        <v>6445.79016854975</v>
      </c>
      <c r="L142" s="175">
        <v>0</v>
      </c>
      <c r="M142" s="175">
        <v>0</v>
      </c>
      <c r="N142" s="175">
        <v>0</v>
      </c>
      <c r="O142" s="175">
        <v>0</v>
      </c>
      <c r="P142" s="175">
        <v>0</v>
      </c>
      <c r="Q142" s="175">
        <v>0</v>
      </c>
      <c r="R142" s="175">
        <v>0</v>
      </c>
      <c r="S142" s="175">
        <v>0</v>
      </c>
      <c r="T142" s="175">
        <v>0</v>
      </c>
      <c r="U142" s="175">
        <v>7884.7831232871904</v>
      </c>
      <c r="V142" s="175">
        <v>3942.3915616454301</v>
      </c>
      <c r="W142" s="175">
        <v>0</v>
      </c>
      <c r="X142" s="175">
        <v>250.675197711479</v>
      </c>
      <c r="Y142" s="175">
        <v>0</v>
      </c>
      <c r="Z142" s="175">
        <v>0</v>
      </c>
      <c r="AA142" s="175">
        <v>0</v>
      </c>
      <c r="AB142" s="175">
        <v>0</v>
      </c>
      <c r="AC142" s="175">
        <v>0</v>
      </c>
      <c r="AD142" s="175">
        <v>0</v>
      </c>
      <c r="AE142" s="175">
        <v>22766.1425753441</v>
      </c>
      <c r="AF142" s="175">
        <v>0</v>
      </c>
      <c r="AG142" s="175">
        <v>0</v>
      </c>
      <c r="AH142" s="175">
        <v>0</v>
      </c>
      <c r="AI142" s="175">
        <v>0</v>
      </c>
      <c r="AJ142" s="175">
        <v>0</v>
      </c>
      <c r="AK142" s="175">
        <v>0</v>
      </c>
      <c r="AL142" s="175">
        <v>0</v>
      </c>
      <c r="AM142" s="175">
        <v>0</v>
      </c>
      <c r="AN142" s="175">
        <v>0</v>
      </c>
      <c r="AO142" s="175">
        <v>0</v>
      </c>
      <c r="AP142" s="175">
        <v>0</v>
      </c>
      <c r="AQ142" s="175">
        <v>0</v>
      </c>
      <c r="AR142" s="175">
        <v>0</v>
      </c>
      <c r="AS142" s="126"/>
      <c r="AT142" s="179">
        <f t="shared" si="16"/>
        <v>41289.782626537948</v>
      </c>
      <c r="AZ142" s="280">
        <f t="shared" si="13"/>
        <v>22766.1425753441</v>
      </c>
      <c r="BA142" s="280">
        <f t="shared" si="14"/>
        <v>11827.174684932621</v>
      </c>
      <c r="BB142" s="280">
        <f t="shared" si="15"/>
        <v>0</v>
      </c>
    </row>
    <row r="143" spans="1:54">
      <c r="A143" s="174" t="s">
        <v>98</v>
      </c>
      <c r="B143" s="174" t="s">
        <v>25</v>
      </c>
      <c r="C143" s="174" t="s">
        <v>17</v>
      </c>
      <c r="D143" s="175">
        <v>1</v>
      </c>
      <c r="E143" s="174">
        <v>2041</v>
      </c>
      <c r="F143" s="176">
        <v>0</v>
      </c>
      <c r="G143" s="175">
        <v>0</v>
      </c>
      <c r="H143" s="175">
        <v>0</v>
      </c>
      <c r="I143" s="175">
        <v>0</v>
      </c>
      <c r="J143" s="175">
        <v>0</v>
      </c>
      <c r="K143" s="175">
        <v>6556.7966400003797</v>
      </c>
      <c r="L143" s="175">
        <v>0</v>
      </c>
      <c r="M143" s="175">
        <v>0</v>
      </c>
      <c r="N143" s="175">
        <v>0</v>
      </c>
      <c r="O143" s="175">
        <v>0</v>
      </c>
      <c r="P143" s="175">
        <v>0</v>
      </c>
      <c r="Q143" s="175">
        <v>0</v>
      </c>
      <c r="R143" s="175">
        <v>0</v>
      </c>
      <c r="S143" s="175">
        <v>0</v>
      </c>
      <c r="T143" s="175">
        <v>0</v>
      </c>
      <c r="U143" s="175">
        <v>7930.6392000011401</v>
      </c>
      <c r="V143" s="175">
        <v>3965.3196000005701</v>
      </c>
      <c r="W143" s="175">
        <v>0</v>
      </c>
      <c r="X143" s="175">
        <v>256.25069279899901</v>
      </c>
      <c r="Y143" s="175">
        <v>0</v>
      </c>
      <c r="Z143" s="175">
        <v>0</v>
      </c>
      <c r="AA143" s="175">
        <v>0</v>
      </c>
      <c r="AB143" s="175">
        <v>0</v>
      </c>
      <c r="AC143" s="175">
        <v>0</v>
      </c>
      <c r="AD143" s="175">
        <v>0</v>
      </c>
      <c r="AE143" s="175">
        <v>23154.599999999198</v>
      </c>
      <c r="AF143" s="175">
        <v>0</v>
      </c>
      <c r="AG143" s="175">
        <v>0</v>
      </c>
      <c r="AH143" s="175">
        <v>0</v>
      </c>
      <c r="AI143" s="175">
        <v>0</v>
      </c>
      <c r="AJ143" s="175">
        <v>0</v>
      </c>
      <c r="AK143" s="175">
        <v>0</v>
      </c>
      <c r="AL143" s="175">
        <v>0</v>
      </c>
      <c r="AM143" s="175">
        <v>0</v>
      </c>
      <c r="AN143" s="175">
        <v>0</v>
      </c>
      <c r="AO143" s="175">
        <v>0</v>
      </c>
      <c r="AP143" s="175">
        <v>0</v>
      </c>
      <c r="AQ143" s="175">
        <v>0</v>
      </c>
      <c r="AR143" s="175">
        <v>0</v>
      </c>
      <c r="AS143" s="126"/>
      <c r="AT143" s="179">
        <f t="shared" si="16"/>
        <v>41863.606132800283</v>
      </c>
      <c r="AZ143" s="280">
        <f t="shared" si="13"/>
        <v>23154.599999999198</v>
      </c>
      <c r="BA143" s="280">
        <f t="shared" si="14"/>
        <v>11895.95880000171</v>
      </c>
      <c r="BB143" s="280">
        <f t="shared" si="15"/>
        <v>0</v>
      </c>
    </row>
    <row r="144" spans="1:54">
      <c r="A144" s="174" t="s">
        <v>98</v>
      </c>
      <c r="B144" s="174" t="s">
        <v>25</v>
      </c>
      <c r="C144" s="174" t="s">
        <v>17</v>
      </c>
      <c r="D144" s="175">
        <v>1</v>
      </c>
      <c r="E144" s="174">
        <v>2042</v>
      </c>
      <c r="F144" s="176">
        <v>0</v>
      </c>
      <c r="G144" s="175">
        <v>0</v>
      </c>
      <c r="H144" s="175">
        <v>0</v>
      </c>
      <c r="I144" s="175">
        <v>0</v>
      </c>
      <c r="J144" s="175">
        <v>0</v>
      </c>
      <c r="K144" s="175">
        <v>6688.1318399991296</v>
      </c>
      <c r="L144" s="175">
        <v>0</v>
      </c>
      <c r="M144" s="175">
        <v>0</v>
      </c>
      <c r="N144" s="175">
        <v>0</v>
      </c>
      <c r="O144" s="175">
        <v>0</v>
      </c>
      <c r="P144" s="175">
        <v>0</v>
      </c>
      <c r="Q144" s="175">
        <v>0</v>
      </c>
      <c r="R144" s="175">
        <v>0</v>
      </c>
      <c r="S144" s="175">
        <v>0</v>
      </c>
      <c r="T144" s="175">
        <v>0</v>
      </c>
      <c r="U144" s="175">
        <v>8020.5047999982298</v>
      </c>
      <c r="V144" s="175">
        <v>4010.2523999991199</v>
      </c>
      <c r="W144" s="175">
        <v>0</v>
      </c>
      <c r="X144" s="175">
        <v>262.66134239840102</v>
      </c>
      <c r="Y144" s="175">
        <v>0</v>
      </c>
      <c r="Z144" s="175">
        <v>0</v>
      </c>
      <c r="AA144" s="175">
        <v>0</v>
      </c>
      <c r="AB144" s="175">
        <v>0</v>
      </c>
      <c r="AC144" s="175">
        <v>0</v>
      </c>
      <c r="AD144" s="175">
        <v>0</v>
      </c>
      <c r="AE144" s="175">
        <v>22930.380000000201</v>
      </c>
      <c r="AF144" s="175">
        <v>0</v>
      </c>
      <c r="AG144" s="175">
        <v>0</v>
      </c>
      <c r="AH144" s="175">
        <v>0</v>
      </c>
      <c r="AI144" s="175">
        <v>0</v>
      </c>
      <c r="AJ144" s="175">
        <v>0</v>
      </c>
      <c r="AK144" s="175">
        <v>0</v>
      </c>
      <c r="AL144" s="175">
        <v>0</v>
      </c>
      <c r="AM144" s="175">
        <v>0</v>
      </c>
      <c r="AN144" s="175">
        <v>0</v>
      </c>
      <c r="AO144" s="175">
        <v>0</v>
      </c>
      <c r="AP144" s="175">
        <v>0</v>
      </c>
      <c r="AQ144" s="175">
        <v>0</v>
      </c>
      <c r="AR144" s="175">
        <v>0</v>
      </c>
      <c r="AS144" s="126"/>
      <c r="AT144" s="179">
        <f t="shared" si="16"/>
        <v>41911.930382395083</v>
      </c>
      <c r="AZ144" s="280">
        <f t="shared" si="13"/>
        <v>22930.380000000201</v>
      </c>
      <c r="BA144" s="280">
        <f t="shared" si="14"/>
        <v>12030.75719999735</v>
      </c>
      <c r="BB144" s="280">
        <f t="shared" si="15"/>
        <v>0</v>
      </c>
    </row>
    <row r="145" spans="1:54">
      <c r="A145" s="174" t="s">
        <v>98</v>
      </c>
      <c r="B145" s="174" t="s">
        <v>25</v>
      </c>
      <c r="C145" s="174" t="s">
        <v>17</v>
      </c>
      <c r="D145" s="175">
        <v>1</v>
      </c>
      <c r="E145" s="174">
        <v>2043</v>
      </c>
      <c r="F145" s="176">
        <v>0</v>
      </c>
      <c r="G145" s="175">
        <v>0</v>
      </c>
      <c r="H145" s="175">
        <v>0</v>
      </c>
      <c r="I145" s="175">
        <v>0</v>
      </c>
      <c r="J145" s="175">
        <v>0</v>
      </c>
      <c r="K145" s="175">
        <v>6822.1843200015901</v>
      </c>
      <c r="L145" s="175">
        <v>0</v>
      </c>
      <c r="M145" s="175">
        <v>0</v>
      </c>
      <c r="N145" s="175">
        <v>0</v>
      </c>
      <c r="O145" s="175">
        <v>0</v>
      </c>
      <c r="P145" s="175">
        <v>0</v>
      </c>
      <c r="Q145" s="175">
        <v>0</v>
      </c>
      <c r="R145" s="175">
        <v>0</v>
      </c>
      <c r="S145" s="175">
        <v>0</v>
      </c>
      <c r="T145" s="175">
        <v>0</v>
      </c>
      <c r="U145" s="175">
        <v>8087.9039999998104</v>
      </c>
      <c r="V145" s="175">
        <v>4043.9520000017301</v>
      </c>
      <c r="W145" s="175">
        <v>0</v>
      </c>
      <c r="X145" s="175">
        <v>269.22224160154798</v>
      </c>
      <c r="Y145" s="175">
        <v>0</v>
      </c>
      <c r="Z145" s="175">
        <v>0</v>
      </c>
      <c r="AA145" s="175">
        <v>0</v>
      </c>
      <c r="AB145" s="175">
        <v>0</v>
      </c>
      <c r="AC145" s="175">
        <v>0</v>
      </c>
      <c r="AD145" s="175">
        <v>0</v>
      </c>
      <c r="AE145" s="175">
        <v>23387.700000000601</v>
      </c>
      <c r="AF145" s="175">
        <v>0</v>
      </c>
      <c r="AG145" s="175">
        <v>0</v>
      </c>
      <c r="AH145" s="175">
        <v>0</v>
      </c>
      <c r="AI145" s="175">
        <v>0</v>
      </c>
      <c r="AJ145" s="175">
        <v>0</v>
      </c>
      <c r="AK145" s="175">
        <v>0</v>
      </c>
      <c r="AL145" s="175">
        <v>0</v>
      </c>
      <c r="AM145" s="175">
        <v>0</v>
      </c>
      <c r="AN145" s="175">
        <v>0</v>
      </c>
      <c r="AO145" s="175">
        <v>0</v>
      </c>
      <c r="AP145" s="175">
        <v>0</v>
      </c>
      <c r="AQ145" s="175">
        <v>0</v>
      </c>
      <c r="AR145" s="175">
        <v>0</v>
      </c>
      <c r="AS145" s="126"/>
      <c r="AT145" s="179">
        <f t="shared" si="16"/>
        <v>42610.96256160528</v>
      </c>
      <c r="AZ145" s="280">
        <f t="shared" si="13"/>
        <v>23387.700000000601</v>
      </c>
      <c r="BA145" s="280">
        <f t="shared" si="14"/>
        <v>12131.85600000154</v>
      </c>
      <c r="BB145" s="280">
        <f t="shared" si="15"/>
        <v>0</v>
      </c>
    </row>
    <row r="146" spans="1:54">
      <c r="A146" s="174" t="s">
        <v>98</v>
      </c>
      <c r="B146" s="174" t="s">
        <v>25</v>
      </c>
      <c r="C146" s="174" t="s">
        <v>17</v>
      </c>
      <c r="D146" s="175">
        <v>1</v>
      </c>
      <c r="E146" s="174">
        <v>2044</v>
      </c>
      <c r="F146" s="176">
        <v>0</v>
      </c>
      <c r="G146" s="175">
        <v>0</v>
      </c>
      <c r="H146" s="175">
        <v>0</v>
      </c>
      <c r="I146" s="175">
        <v>0</v>
      </c>
      <c r="J146" s="175">
        <v>0</v>
      </c>
      <c r="K146" s="175">
        <v>6977.1114660815001</v>
      </c>
      <c r="L146" s="175">
        <v>0</v>
      </c>
      <c r="M146" s="175">
        <v>0</v>
      </c>
      <c r="N146" s="175">
        <v>0</v>
      </c>
      <c r="O146" s="175">
        <v>0</v>
      </c>
      <c r="P146" s="175">
        <v>0</v>
      </c>
      <c r="Q146" s="175">
        <v>0</v>
      </c>
      <c r="R146" s="175">
        <v>0</v>
      </c>
      <c r="S146" s="175">
        <v>0</v>
      </c>
      <c r="T146" s="175">
        <v>0</v>
      </c>
      <c r="U146" s="175">
        <v>8200.1744482199192</v>
      </c>
      <c r="V146" s="175">
        <v>4100.0872241099596</v>
      </c>
      <c r="W146" s="175">
        <v>0</v>
      </c>
      <c r="X146" s="175">
        <v>276.71448249858003</v>
      </c>
      <c r="Y146" s="175">
        <v>0</v>
      </c>
      <c r="Z146" s="175">
        <v>0</v>
      </c>
      <c r="AA146" s="175">
        <v>0</v>
      </c>
      <c r="AB146" s="175">
        <v>0</v>
      </c>
      <c r="AC146" s="175">
        <v>0</v>
      </c>
      <c r="AD146" s="175">
        <v>0</v>
      </c>
      <c r="AE146" s="175">
        <v>23222.489424656102</v>
      </c>
      <c r="AF146" s="175">
        <v>0</v>
      </c>
      <c r="AG146" s="175">
        <v>0</v>
      </c>
      <c r="AH146" s="175">
        <v>0</v>
      </c>
      <c r="AI146" s="175">
        <v>0</v>
      </c>
      <c r="AJ146" s="175">
        <v>0</v>
      </c>
      <c r="AK146" s="175">
        <v>0</v>
      </c>
      <c r="AL146" s="175">
        <v>0</v>
      </c>
      <c r="AM146" s="175">
        <v>0</v>
      </c>
      <c r="AN146" s="175">
        <v>0</v>
      </c>
      <c r="AO146" s="175">
        <v>0</v>
      </c>
      <c r="AP146" s="175">
        <v>0</v>
      </c>
      <c r="AQ146" s="175">
        <v>0</v>
      </c>
      <c r="AR146" s="175">
        <v>0</v>
      </c>
      <c r="AS146" s="126"/>
      <c r="AT146" s="179">
        <f t="shared" si="16"/>
        <v>42776.57704556606</v>
      </c>
      <c r="AZ146" s="280">
        <f t="shared" si="13"/>
        <v>23222.489424656102</v>
      </c>
      <c r="BA146" s="280">
        <f t="shared" si="14"/>
        <v>12300.261672329878</v>
      </c>
      <c r="BB146" s="280">
        <f t="shared" si="15"/>
        <v>0</v>
      </c>
    </row>
    <row r="147" spans="1:54">
      <c r="A147" s="174" t="s">
        <v>98</v>
      </c>
      <c r="B147" s="174" t="s">
        <v>25</v>
      </c>
      <c r="C147" s="174" t="s">
        <v>17</v>
      </c>
      <c r="D147" s="175">
        <v>1</v>
      </c>
      <c r="E147" s="174">
        <v>2045</v>
      </c>
      <c r="F147" s="176">
        <v>0</v>
      </c>
      <c r="G147" s="175">
        <v>0</v>
      </c>
      <c r="H147" s="175">
        <v>0</v>
      </c>
      <c r="I147" s="175">
        <v>0</v>
      </c>
      <c r="J147" s="175">
        <v>0</v>
      </c>
      <c r="K147" s="175">
        <v>7097.5353599984101</v>
      </c>
      <c r="L147" s="175">
        <v>0</v>
      </c>
      <c r="M147" s="175">
        <v>0</v>
      </c>
      <c r="N147" s="175">
        <v>0</v>
      </c>
      <c r="O147" s="175">
        <v>0</v>
      </c>
      <c r="P147" s="175">
        <v>0</v>
      </c>
      <c r="Q147" s="175">
        <v>0</v>
      </c>
      <c r="R147" s="175">
        <v>0</v>
      </c>
      <c r="S147" s="175">
        <v>0</v>
      </c>
      <c r="T147" s="175">
        <v>0</v>
      </c>
      <c r="U147" s="175">
        <v>8267.6352000014795</v>
      </c>
      <c r="V147" s="175">
        <v>4133.8175999989198</v>
      </c>
      <c r="W147" s="175">
        <v>0</v>
      </c>
      <c r="X147" s="175">
        <v>282.84487199845</v>
      </c>
      <c r="Y147" s="175">
        <v>0</v>
      </c>
      <c r="Z147" s="175">
        <v>0</v>
      </c>
      <c r="AA147" s="175">
        <v>0</v>
      </c>
      <c r="AB147" s="175">
        <v>0</v>
      </c>
      <c r="AC147" s="175">
        <v>0</v>
      </c>
      <c r="AD147" s="175">
        <v>0</v>
      </c>
      <c r="AE147" s="175">
        <v>23620.8000000018</v>
      </c>
      <c r="AF147" s="175">
        <v>0</v>
      </c>
      <c r="AG147" s="175">
        <v>0</v>
      </c>
      <c r="AH147" s="175">
        <v>0</v>
      </c>
      <c r="AI147" s="175">
        <v>0</v>
      </c>
      <c r="AJ147" s="175">
        <v>0</v>
      </c>
      <c r="AK147" s="175">
        <v>0</v>
      </c>
      <c r="AL147" s="175">
        <v>0</v>
      </c>
      <c r="AM147" s="175">
        <v>0</v>
      </c>
      <c r="AN147" s="175">
        <v>0</v>
      </c>
      <c r="AO147" s="175">
        <v>0</v>
      </c>
      <c r="AP147" s="175">
        <v>0</v>
      </c>
      <c r="AQ147" s="175">
        <v>0</v>
      </c>
      <c r="AR147" s="175">
        <v>0</v>
      </c>
      <c r="AS147" s="126"/>
      <c r="AT147" s="179">
        <f t="shared" si="16"/>
        <v>43402.633031999059</v>
      </c>
      <c r="AZ147" s="280">
        <f t="shared" si="13"/>
        <v>23620.8000000018</v>
      </c>
      <c r="BA147" s="280">
        <f t="shared" si="14"/>
        <v>12401.452800000399</v>
      </c>
      <c r="BB147" s="280">
        <f t="shared" si="15"/>
        <v>0</v>
      </c>
    </row>
    <row r="148" spans="1:54">
      <c r="A148" s="174" t="s">
        <v>98</v>
      </c>
      <c r="B148" s="174" t="s">
        <v>25</v>
      </c>
      <c r="C148" s="174" t="s">
        <v>17</v>
      </c>
      <c r="D148" s="175">
        <v>1</v>
      </c>
      <c r="E148" s="174">
        <v>2046</v>
      </c>
      <c r="F148" s="176">
        <v>0</v>
      </c>
      <c r="G148" s="175">
        <v>0</v>
      </c>
      <c r="H148" s="175">
        <v>0</v>
      </c>
      <c r="I148" s="175">
        <v>0</v>
      </c>
      <c r="J148" s="175">
        <v>0</v>
      </c>
      <c r="K148" s="175">
        <v>7239.7396800011602</v>
      </c>
      <c r="L148" s="175">
        <v>0</v>
      </c>
      <c r="M148" s="175">
        <v>0</v>
      </c>
      <c r="N148" s="175">
        <v>0</v>
      </c>
      <c r="O148" s="175">
        <v>0</v>
      </c>
      <c r="P148" s="175">
        <v>0</v>
      </c>
      <c r="Q148" s="175">
        <v>0</v>
      </c>
      <c r="R148" s="175">
        <v>0</v>
      </c>
      <c r="S148" s="175">
        <v>0</v>
      </c>
      <c r="T148" s="175">
        <v>0</v>
      </c>
      <c r="U148" s="175">
        <v>8335.0343999994093</v>
      </c>
      <c r="V148" s="175">
        <v>4167.51720000153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B148" s="175">
        <v>0</v>
      </c>
      <c r="AC148" s="175">
        <v>0</v>
      </c>
      <c r="AD148" s="175">
        <v>0</v>
      </c>
      <c r="AE148" s="175">
        <v>23392.139999999799</v>
      </c>
      <c r="AF148" s="175">
        <v>0</v>
      </c>
      <c r="AG148" s="175">
        <v>0</v>
      </c>
      <c r="AH148" s="175">
        <v>0</v>
      </c>
      <c r="AI148" s="175">
        <v>0</v>
      </c>
      <c r="AJ148" s="175">
        <v>0</v>
      </c>
      <c r="AK148" s="175">
        <v>0</v>
      </c>
      <c r="AL148" s="175">
        <v>0</v>
      </c>
      <c r="AM148" s="175">
        <v>0</v>
      </c>
      <c r="AN148" s="175">
        <v>0</v>
      </c>
      <c r="AO148" s="175">
        <v>0</v>
      </c>
      <c r="AP148" s="175">
        <v>0</v>
      </c>
      <c r="AQ148" s="175">
        <v>0</v>
      </c>
      <c r="AR148" s="175">
        <v>0</v>
      </c>
      <c r="AS148" s="126"/>
      <c r="AT148" s="179">
        <f t="shared" si="16"/>
        <v>43134.431280001896</v>
      </c>
      <c r="AZ148" s="280">
        <f t="shared" si="13"/>
        <v>23392.139999999799</v>
      </c>
      <c r="BA148" s="280">
        <f t="shared" si="14"/>
        <v>12502.551600000939</v>
      </c>
      <c r="BB148" s="280">
        <f t="shared" si="15"/>
        <v>0</v>
      </c>
    </row>
    <row r="149" spans="1:54">
      <c r="A149" s="174" t="s">
        <v>98</v>
      </c>
      <c r="B149" s="174" t="s">
        <v>25</v>
      </c>
      <c r="C149" s="174" t="s">
        <v>17</v>
      </c>
      <c r="D149" s="175">
        <v>1</v>
      </c>
      <c r="E149" s="174">
        <v>2047</v>
      </c>
      <c r="F149" s="176">
        <v>0</v>
      </c>
      <c r="G149" s="175">
        <v>0</v>
      </c>
      <c r="H149" s="175">
        <v>0</v>
      </c>
      <c r="I149" s="175">
        <v>0</v>
      </c>
      <c r="J149" s="175">
        <v>0</v>
      </c>
      <c r="K149" s="175">
        <v>7383.7555199992303</v>
      </c>
      <c r="L149" s="175">
        <v>0</v>
      </c>
      <c r="M149" s="175">
        <v>0</v>
      </c>
      <c r="N149" s="175">
        <v>0</v>
      </c>
      <c r="O149" s="175">
        <v>0</v>
      </c>
      <c r="P149" s="175">
        <v>0</v>
      </c>
      <c r="Q149" s="175">
        <v>0</v>
      </c>
      <c r="R149" s="175">
        <v>0</v>
      </c>
      <c r="S149" s="175">
        <v>0</v>
      </c>
      <c r="T149" s="175">
        <v>0</v>
      </c>
      <c r="U149" s="175">
        <v>8424.9000000003507</v>
      </c>
      <c r="V149" s="175">
        <v>4212.4500000001699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B149" s="175">
        <v>0</v>
      </c>
      <c r="AC149" s="175">
        <v>0</v>
      </c>
      <c r="AD149" s="175">
        <v>0</v>
      </c>
      <c r="AE149" s="175">
        <v>23856.1199999993</v>
      </c>
      <c r="AF149" s="175">
        <v>0</v>
      </c>
      <c r="AG149" s="175">
        <v>0</v>
      </c>
      <c r="AH149" s="175">
        <v>0</v>
      </c>
      <c r="AI149" s="175">
        <v>0</v>
      </c>
      <c r="AJ149" s="175">
        <v>0</v>
      </c>
      <c r="AK149" s="175">
        <v>0</v>
      </c>
      <c r="AL149" s="175">
        <v>0</v>
      </c>
      <c r="AM149" s="175">
        <v>0</v>
      </c>
      <c r="AN149" s="175">
        <v>0</v>
      </c>
      <c r="AO149" s="175">
        <v>0</v>
      </c>
      <c r="AP149" s="175">
        <v>0</v>
      </c>
      <c r="AQ149" s="175">
        <v>0</v>
      </c>
      <c r="AR149" s="175">
        <v>0</v>
      </c>
      <c r="AS149" s="126"/>
      <c r="AT149" s="179">
        <f t="shared" si="16"/>
        <v>43877.225519999047</v>
      </c>
      <c r="AZ149" s="280">
        <f t="shared" si="13"/>
        <v>23856.1199999993</v>
      </c>
      <c r="BA149" s="280">
        <f t="shared" si="14"/>
        <v>12637.350000000521</v>
      </c>
      <c r="BB149" s="280">
        <f t="shared" si="15"/>
        <v>0</v>
      </c>
    </row>
    <row r="150" spans="1:54">
      <c r="A150" s="174" t="s">
        <v>98</v>
      </c>
      <c r="B150" s="174" t="s">
        <v>25</v>
      </c>
      <c r="C150" s="174" t="s">
        <v>17</v>
      </c>
      <c r="D150" s="175">
        <v>1</v>
      </c>
      <c r="E150" s="174">
        <v>2048</v>
      </c>
      <c r="F150" s="176">
        <v>0</v>
      </c>
      <c r="G150" s="175">
        <v>0</v>
      </c>
      <c r="H150" s="175">
        <v>0</v>
      </c>
      <c r="I150" s="175">
        <v>0</v>
      </c>
      <c r="J150" s="175">
        <v>0</v>
      </c>
      <c r="K150" s="175">
        <v>7552.0283572588496</v>
      </c>
      <c r="L150" s="175">
        <v>0</v>
      </c>
      <c r="M150" s="175">
        <v>0</v>
      </c>
      <c r="N150" s="175">
        <v>0</v>
      </c>
      <c r="O150" s="175">
        <v>0</v>
      </c>
      <c r="P150" s="175">
        <v>0</v>
      </c>
      <c r="Q150" s="175">
        <v>0</v>
      </c>
      <c r="R150" s="175">
        <v>0</v>
      </c>
      <c r="S150" s="175">
        <v>0</v>
      </c>
      <c r="T150" s="175">
        <v>0</v>
      </c>
      <c r="U150" s="175">
        <v>8538.0937249325907</v>
      </c>
      <c r="V150" s="175">
        <v>4269.04686246447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B150" s="175">
        <v>0</v>
      </c>
      <c r="AC150" s="175">
        <v>0</v>
      </c>
      <c r="AD150" s="175">
        <v>0</v>
      </c>
      <c r="AE150" s="175">
        <v>23689.9666849325</v>
      </c>
      <c r="AF150" s="175">
        <v>0</v>
      </c>
      <c r="AG150" s="175">
        <v>0</v>
      </c>
      <c r="AH150" s="175">
        <v>0</v>
      </c>
      <c r="AI150" s="175">
        <v>0</v>
      </c>
      <c r="AJ150" s="175">
        <v>0</v>
      </c>
      <c r="AK150" s="175">
        <v>0</v>
      </c>
      <c r="AL150" s="175">
        <v>0</v>
      </c>
      <c r="AM150" s="175">
        <v>0</v>
      </c>
      <c r="AN150" s="175">
        <v>0</v>
      </c>
      <c r="AO150" s="175">
        <v>0</v>
      </c>
      <c r="AP150" s="175">
        <v>0</v>
      </c>
      <c r="AQ150" s="175">
        <v>0</v>
      </c>
      <c r="AR150" s="175">
        <v>0</v>
      </c>
      <c r="AS150" s="126"/>
      <c r="AT150" s="179">
        <f t="shared" si="16"/>
        <v>44049.135629588411</v>
      </c>
      <c r="AZ150" s="280">
        <f t="shared" si="13"/>
        <v>23689.9666849325</v>
      </c>
      <c r="BA150" s="280">
        <f t="shared" si="14"/>
        <v>12807.140587397062</v>
      </c>
      <c r="BB150" s="280">
        <f t="shared" si="15"/>
        <v>0</v>
      </c>
    </row>
    <row r="151" spans="1:54">
      <c r="A151" s="174" t="s">
        <v>98</v>
      </c>
      <c r="B151" s="174" t="s">
        <v>25</v>
      </c>
      <c r="C151" s="174" t="s">
        <v>17</v>
      </c>
      <c r="D151" s="175">
        <v>1</v>
      </c>
      <c r="E151" s="174">
        <v>2049</v>
      </c>
      <c r="F151" s="176">
        <v>0</v>
      </c>
      <c r="G151" s="175">
        <v>0</v>
      </c>
      <c r="H151" s="175">
        <v>0</v>
      </c>
      <c r="I151" s="175">
        <v>0</v>
      </c>
      <c r="J151" s="175">
        <v>0</v>
      </c>
      <c r="K151" s="175">
        <v>7682.6563199992297</v>
      </c>
      <c r="L151" s="175">
        <v>0</v>
      </c>
      <c r="M151" s="175">
        <v>0</v>
      </c>
      <c r="N151" s="175">
        <v>0</v>
      </c>
      <c r="O151" s="175">
        <v>0</v>
      </c>
      <c r="P151" s="175">
        <v>0</v>
      </c>
      <c r="Q151" s="175">
        <v>0</v>
      </c>
      <c r="R151" s="175">
        <v>0</v>
      </c>
      <c r="S151" s="175">
        <v>0</v>
      </c>
      <c r="T151" s="175">
        <v>0</v>
      </c>
      <c r="U151" s="175">
        <v>8514.7656000010793</v>
      </c>
      <c r="V151" s="175">
        <v>4257.3827999987197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B151" s="175">
        <v>0</v>
      </c>
      <c r="AC151" s="175">
        <v>0</v>
      </c>
      <c r="AD151" s="175">
        <v>0</v>
      </c>
      <c r="AE151" s="175">
        <v>23625.240000000998</v>
      </c>
      <c r="AF151" s="175">
        <v>0</v>
      </c>
      <c r="AG151" s="175">
        <v>0</v>
      </c>
      <c r="AH151" s="175">
        <v>0</v>
      </c>
      <c r="AI151" s="175">
        <v>0</v>
      </c>
      <c r="AJ151" s="175">
        <v>0</v>
      </c>
      <c r="AK151" s="175">
        <v>0</v>
      </c>
      <c r="AL151" s="175">
        <v>0</v>
      </c>
      <c r="AM151" s="175">
        <v>0</v>
      </c>
      <c r="AN151" s="175">
        <v>0</v>
      </c>
      <c r="AO151" s="175">
        <v>0</v>
      </c>
      <c r="AP151" s="175">
        <v>0</v>
      </c>
      <c r="AQ151" s="175">
        <v>0</v>
      </c>
      <c r="AR151" s="175">
        <v>0</v>
      </c>
      <c r="AS151" s="126"/>
      <c r="AT151" s="179">
        <f t="shared" si="16"/>
        <v>44080.044720000027</v>
      </c>
      <c r="AZ151" s="280">
        <f t="shared" si="13"/>
        <v>23625.240000000998</v>
      </c>
      <c r="BA151" s="280">
        <f t="shared" si="14"/>
        <v>12772.148399999798</v>
      </c>
      <c r="BB151" s="280">
        <f t="shared" si="15"/>
        <v>0</v>
      </c>
    </row>
    <row r="152" spans="1:54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76">
        <v>0</v>
      </c>
      <c r="G152" s="175">
        <v>0</v>
      </c>
      <c r="H152" s="175">
        <v>0</v>
      </c>
      <c r="I152" s="175">
        <v>0</v>
      </c>
      <c r="J152" s="175">
        <v>0</v>
      </c>
      <c r="K152" s="175">
        <v>0</v>
      </c>
      <c r="L152" s="175">
        <v>0</v>
      </c>
      <c r="M152" s="175">
        <v>0</v>
      </c>
      <c r="N152" s="175">
        <v>0</v>
      </c>
      <c r="O152" s="175">
        <v>0</v>
      </c>
      <c r="P152" s="175">
        <v>0</v>
      </c>
      <c r="Q152" s="175">
        <v>0</v>
      </c>
      <c r="R152" s="175">
        <v>0</v>
      </c>
      <c r="S152" s="175">
        <v>0</v>
      </c>
      <c r="T152" s="175">
        <v>0</v>
      </c>
      <c r="U152" s="175">
        <v>0</v>
      </c>
      <c r="V152" s="175">
        <v>0</v>
      </c>
      <c r="W152" s="175">
        <v>0</v>
      </c>
      <c r="X152" s="175">
        <v>0</v>
      </c>
      <c r="Y152" s="175">
        <v>0</v>
      </c>
      <c r="Z152" s="175">
        <v>0</v>
      </c>
      <c r="AA152" s="175">
        <v>0</v>
      </c>
      <c r="AB152" s="175">
        <v>0</v>
      </c>
      <c r="AC152" s="175">
        <v>0</v>
      </c>
      <c r="AD152" s="175">
        <v>0</v>
      </c>
      <c r="AE152" s="175">
        <v>0</v>
      </c>
      <c r="AF152" s="175">
        <v>0</v>
      </c>
      <c r="AG152" s="175">
        <v>0</v>
      </c>
      <c r="AH152" s="175">
        <v>0</v>
      </c>
      <c r="AI152" s="175">
        <v>0</v>
      </c>
      <c r="AJ152" s="175">
        <v>0</v>
      </c>
      <c r="AK152" s="175">
        <v>0</v>
      </c>
      <c r="AL152" s="175">
        <v>0</v>
      </c>
      <c r="AM152" s="175">
        <v>0</v>
      </c>
      <c r="AN152" s="175">
        <v>0</v>
      </c>
      <c r="AO152" s="175">
        <v>0</v>
      </c>
      <c r="AP152" s="175">
        <v>0</v>
      </c>
      <c r="AQ152" s="175">
        <v>0</v>
      </c>
      <c r="AR152" s="175">
        <v>0</v>
      </c>
      <c r="AS152" s="126"/>
      <c r="AT152" s="179">
        <f t="shared" si="16"/>
        <v>0</v>
      </c>
      <c r="AV152" s="188">
        <f>SUM(AG152:AN152)</f>
        <v>0</v>
      </c>
      <c r="AW152" s="188">
        <f>SUM(AO152:AR152)</f>
        <v>0</v>
      </c>
      <c r="AX152" s="188">
        <f>SUM(W152:AD152)</f>
        <v>0</v>
      </c>
      <c r="AY152" s="188">
        <f>AV152+AW152</f>
        <v>0</v>
      </c>
    </row>
    <row r="153" spans="1:54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76">
        <v>0</v>
      </c>
      <c r="G153" s="175">
        <v>0</v>
      </c>
      <c r="H153" s="175">
        <v>0</v>
      </c>
      <c r="I153" s="175">
        <v>0</v>
      </c>
      <c r="J153" s="175">
        <v>0</v>
      </c>
      <c r="K153" s="175">
        <v>0</v>
      </c>
      <c r="L153" s="175">
        <v>0</v>
      </c>
      <c r="M153" s="175">
        <v>0</v>
      </c>
      <c r="N153" s="175">
        <v>0</v>
      </c>
      <c r="O153" s="175">
        <v>0</v>
      </c>
      <c r="P153" s="175">
        <v>0</v>
      </c>
      <c r="Q153" s="175">
        <v>0</v>
      </c>
      <c r="R153" s="175">
        <v>0</v>
      </c>
      <c r="S153" s="175">
        <v>0</v>
      </c>
      <c r="T153" s="175">
        <v>0</v>
      </c>
      <c r="U153" s="175">
        <v>0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B153" s="175">
        <v>0</v>
      </c>
      <c r="AC153" s="175">
        <v>0</v>
      </c>
      <c r="AD153" s="175">
        <v>0</v>
      </c>
      <c r="AE153" s="175">
        <v>0</v>
      </c>
      <c r="AF153" s="175">
        <v>0</v>
      </c>
      <c r="AG153" s="175">
        <v>0</v>
      </c>
      <c r="AH153" s="175">
        <v>0</v>
      </c>
      <c r="AI153" s="175">
        <v>0</v>
      </c>
      <c r="AJ153" s="175">
        <v>0</v>
      </c>
      <c r="AK153" s="175">
        <v>0</v>
      </c>
      <c r="AL153" s="175">
        <v>0</v>
      </c>
      <c r="AM153" s="175">
        <v>0</v>
      </c>
      <c r="AN153" s="175">
        <v>0</v>
      </c>
      <c r="AO153" s="175">
        <v>0</v>
      </c>
      <c r="AP153" s="175">
        <v>0</v>
      </c>
      <c r="AQ153" s="175">
        <v>0</v>
      </c>
      <c r="AR153" s="175">
        <v>0</v>
      </c>
      <c r="AS153" s="126"/>
      <c r="AT153" s="179">
        <f t="shared" si="16"/>
        <v>0</v>
      </c>
      <c r="AV153" s="188">
        <f t="shared" ref="AV153:AV181" si="17">SUM(AG153:AN153)</f>
        <v>0</v>
      </c>
      <c r="AW153" s="188">
        <f t="shared" ref="AW153:AW181" si="18">SUM(AO153:AR153)</f>
        <v>0</v>
      </c>
      <c r="AX153" s="188">
        <f t="shared" ref="AX153:AX181" si="19">SUM(W153:AD153)</f>
        <v>0</v>
      </c>
      <c r="AY153" s="188">
        <f t="shared" ref="AY153:AY154" si="20">AV153+AW153</f>
        <v>0</v>
      </c>
    </row>
    <row r="154" spans="1:54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76">
        <v>0</v>
      </c>
      <c r="G154" s="175">
        <v>0</v>
      </c>
      <c r="H154" s="175">
        <v>0</v>
      </c>
      <c r="I154" s="175">
        <v>0</v>
      </c>
      <c r="J154" s="175">
        <v>0</v>
      </c>
      <c r="K154" s="175">
        <v>0</v>
      </c>
      <c r="L154" s="175">
        <v>0</v>
      </c>
      <c r="M154" s="175">
        <v>0</v>
      </c>
      <c r="N154" s="175">
        <v>0</v>
      </c>
      <c r="O154" s="175">
        <v>0</v>
      </c>
      <c r="P154" s="175">
        <v>0</v>
      </c>
      <c r="Q154" s="175">
        <v>0</v>
      </c>
      <c r="R154" s="175">
        <v>0</v>
      </c>
      <c r="S154" s="175">
        <v>0</v>
      </c>
      <c r="T154" s="175">
        <v>0</v>
      </c>
      <c r="U154" s="175">
        <v>0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B154" s="175">
        <v>0</v>
      </c>
      <c r="AC154" s="175">
        <v>0</v>
      </c>
      <c r="AD154" s="175">
        <v>0</v>
      </c>
      <c r="AE154" s="175">
        <v>0</v>
      </c>
      <c r="AF154" s="175">
        <v>0</v>
      </c>
      <c r="AG154" s="175">
        <v>0</v>
      </c>
      <c r="AH154" s="175">
        <v>145.72774066701001</v>
      </c>
      <c r="AI154" s="175">
        <v>0</v>
      </c>
      <c r="AJ154" s="175">
        <v>0</v>
      </c>
      <c r="AK154" s="175">
        <v>0</v>
      </c>
      <c r="AL154" s="175">
        <v>0</v>
      </c>
      <c r="AM154" s="175">
        <v>0</v>
      </c>
      <c r="AN154" s="175">
        <v>0</v>
      </c>
      <c r="AO154" s="175">
        <v>240.5542299871</v>
      </c>
      <c r="AP154" s="175">
        <v>0</v>
      </c>
      <c r="AQ154" s="175">
        <v>30.069278748409999</v>
      </c>
      <c r="AR154" s="175">
        <v>60.138557496769998</v>
      </c>
      <c r="AS154" s="126"/>
      <c r="AT154" s="179">
        <f t="shared" si="16"/>
        <v>476.48980689928999</v>
      </c>
      <c r="AV154" s="188">
        <f t="shared" si="17"/>
        <v>145.72774066701001</v>
      </c>
      <c r="AW154" s="188">
        <f t="shared" si="18"/>
        <v>330.76206623227995</v>
      </c>
      <c r="AX154" s="188">
        <f t="shared" si="19"/>
        <v>0</v>
      </c>
      <c r="AY154" s="188">
        <f t="shared" si="20"/>
        <v>476.48980689928999</v>
      </c>
    </row>
    <row r="155" spans="1:54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76">
        <v>0</v>
      </c>
      <c r="G155" s="175">
        <v>0</v>
      </c>
      <c r="H155" s="175">
        <v>0</v>
      </c>
      <c r="I155" s="175">
        <v>0</v>
      </c>
      <c r="J155" s="175">
        <v>0</v>
      </c>
      <c r="K155" s="175">
        <v>0</v>
      </c>
      <c r="L155" s="175">
        <v>0</v>
      </c>
      <c r="M155" s="175">
        <v>0</v>
      </c>
      <c r="N155" s="175">
        <v>0</v>
      </c>
      <c r="O155" s="175">
        <v>0</v>
      </c>
      <c r="P155" s="175">
        <v>0</v>
      </c>
      <c r="Q155" s="175">
        <v>0</v>
      </c>
      <c r="R155" s="175">
        <v>123.02441219184</v>
      </c>
      <c r="S155" s="175">
        <v>0</v>
      </c>
      <c r="T155" s="175">
        <v>0</v>
      </c>
      <c r="U155" s="175">
        <v>7032.7657081971502</v>
      </c>
      <c r="V155" s="175">
        <v>0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B155" s="175">
        <v>0</v>
      </c>
      <c r="AC155" s="175">
        <v>0</v>
      </c>
      <c r="AD155" s="175">
        <v>0</v>
      </c>
      <c r="AE155" s="175">
        <v>0</v>
      </c>
      <c r="AF155" s="175">
        <v>0</v>
      </c>
      <c r="AG155" s="175">
        <v>0</v>
      </c>
      <c r="AH155" s="175">
        <v>281.79761395695999</v>
      </c>
      <c r="AI155" s="175">
        <v>0</v>
      </c>
      <c r="AJ155" s="175">
        <v>0</v>
      </c>
      <c r="AK155" s="175">
        <v>0</v>
      </c>
      <c r="AL155" s="175">
        <v>0</v>
      </c>
      <c r="AM155" s="175">
        <v>0</v>
      </c>
      <c r="AN155" s="175">
        <v>0</v>
      </c>
      <c r="AO155" s="175">
        <v>465.67504330537997</v>
      </c>
      <c r="AP155" s="175">
        <v>0</v>
      </c>
      <c r="AQ155" s="175">
        <v>55.828372396360002</v>
      </c>
      <c r="AR155" s="175">
        <v>111.65674479284</v>
      </c>
      <c r="AS155" s="126"/>
      <c r="AT155" s="179">
        <f t="shared" si="16"/>
        <v>8070.7478948405305</v>
      </c>
      <c r="AV155" s="188">
        <f t="shared" si="17"/>
        <v>281.79761395695999</v>
      </c>
      <c r="AW155" s="188">
        <f t="shared" si="18"/>
        <v>633.16016049457994</v>
      </c>
      <c r="AX155" s="188">
        <f t="shared" si="19"/>
        <v>0</v>
      </c>
      <c r="AY155" s="188">
        <f>AV155+AW155+AX155</f>
        <v>914.95777445153999</v>
      </c>
    </row>
    <row r="156" spans="1:54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76">
        <v>0</v>
      </c>
      <c r="G156" s="175">
        <v>0</v>
      </c>
      <c r="H156" s="175">
        <v>0</v>
      </c>
      <c r="I156" s="175">
        <v>0</v>
      </c>
      <c r="J156" s="175">
        <v>0</v>
      </c>
      <c r="K156" s="175">
        <v>0</v>
      </c>
      <c r="L156" s="175">
        <v>0</v>
      </c>
      <c r="M156" s="175">
        <v>0</v>
      </c>
      <c r="N156" s="175">
        <v>0</v>
      </c>
      <c r="O156" s="175">
        <v>0</v>
      </c>
      <c r="P156" s="175">
        <v>0</v>
      </c>
      <c r="Q156" s="175">
        <v>0</v>
      </c>
      <c r="R156" s="175">
        <v>192.61380836162999</v>
      </c>
      <c r="S156" s="175">
        <v>0</v>
      </c>
      <c r="T156" s="175">
        <v>0</v>
      </c>
      <c r="U156" s="175">
        <v>15085.750864256101</v>
      </c>
      <c r="V156" s="175">
        <v>3771.4377160640402</v>
      </c>
      <c r="W156" s="175">
        <v>549.46221121974997</v>
      </c>
      <c r="X156" s="175">
        <v>0</v>
      </c>
      <c r="Y156" s="175">
        <v>0</v>
      </c>
      <c r="Z156" s="175">
        <v>0</v>
      </c>
      <c r="AA156" s="175">
        <v>0</v>
      </c>
      <c r="AB156" s="175">
        <v>0</v>
      </c>
      <c r="AC156" s="175">
        <v>0</v>
      </c>
      <c r="AD156" s="175">
        <v>0</v>
      </c>
      <c r="AE156" s="175">
        <v>0</v>
      </c>
      <c r="AF156" s="175">
        <v>0</v>
      </c>
      <c r="AG156" s="175">
        <v>0</v>
      </c>
      <c r="AH156" s="175">
        <v>430.90022911272001</v>
      </c>
      <c r="AI156" s="175">
        <v>0</v>
      </c>
      <c r="AJ156" s="175">
        <v>0</v>
      </c>
      <c r="AK156" s="175">
        <v>0</v>
      </c>
      <c r="AL156" s="175">
        <v>0</v>
      </c>
      <c r="AM156" s="175">
        <v>0</v>
      </c>
      <c r="AN156" s="175">
        <v>0</v>
      </c>
      <c r="AO156" s="175">
        <v>695.38829399642998</v>
      </c>
      <c r="AP156" s="175">
        <v>0</v>
      </c>
      <c r="AQ156" s="175">
        <v>75.1019356125</v>
      </c>
      <c r="AR156" s="175">
        <v>150.20387122496001</v>
      </c>
      <c r="AS156" s="126"/>
      <c r="AT156" s="179">
        <f t="shared" si="16"/>
        <v>20950.858929848135</v>
      </c>
      <c r="AV156" s="188">
        <f t="shared" si="17"/>
        <v>430.90022911272001</v>
      </c>
      <c r="AW156" s="188">
        <f t="shared" si="18"/>
        <v>920.69410083389005</v>
      </c>
      <c r="AX156" s="188">
        <f t="shared" si="19"/>
        <v>549.46221121974997</v>
      </c>
      <c r="AY156" s="188">
        <f t="shared" ref="AY156:AY181" si="21">AV156+AW156+AX156</f>
        <v>1901.0565411663601</v>
      </c>
    </row>
    <row r="157" spans="1:54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76">
        <v>0</v>
      </c>
      <c r="G157" s="175">
        <v>0</v>
      </c>
      <c r="H157" s="175">
        <v>0</v>
      </c>
      <c r="I157" s="175">
        <v>0</v>
      </c>
      <c r="J157" s="175">
        <v>0</v>
      </c>
      <c r="K157" s="175">
        <v>0</v>
      </c>
      <c r="L157" s="175">
        <v>0</v>
      </c>
      <c r="M157" s="175">
        <v>0</v>
      </c>
      <c r="N157" s="175">
        <v>0</v>
      </c>
      <c r="O157" s="175">
        <v>0</v>
      </c>
      <c r="P157" s="175">
        <v>0</v>
      </c>
      <c r="Q157" s="175">
        <v>0</v>
      </c>
      <c r="R157" s="175">
        <v>199.65142374045999</v>
      </c>
      <c r="S157" s="175">
        <v>0</v>
      </c>
      <c r="T157" s="175">
        <v>0</v>
      </c>
      <c r="U157" s="175">
        <v>15221.0751412994</v>
      </c>
      <c r="V157" s="175">
        <v>3805.2687853249099</v>
      </c>
      <c r="W157" s="175">
        <v>566.85556922702006</v>
      </c>
      <c r="X157" s="175">
        <v>0</v>
      </c>
      <c r="Y157" s="175">
        <v>0</v>
      </c>
      <c r="Z157" s="175">
        <v>0</v>
      </c>
      <c r="AA157" s="175">
        <v>0</v>
      </c>
      <c r="AB157" s="175">
        <v>0</v>
      </c>
      <c r="AC157" s="175">
        <v>0</v>
      </c>
      <c r="AD157" s="175">
        <v>0</v>
      </c>
      <c r="AE157" s="175">
        <v>0</v>
      </c>
      <c r="AF157" s="175">
        <v>0</v>
      </c>
      <c r="AG157" s="175">
        <v>0</v>
      </c>
      <c r="AH157" s="175">
        <v>399.94766224650999</v>
      </c>
      <c r="AI157" s="175">
        <v>0</v>
      </c>
      <c r="AJ157" s="175">
        <v>0</v>
      </c>
      <c r="AK157" s="175">
        <v>0</v>
      </c>
      <c r="AL157" s="175">
        <v>0</v>
      </c>
      <c r="AM157" s="175">
        <v>0</v>
      </c>
      <c r="AN157" s="175">
        <v>32.675462550500001</v>
      </c>
      <c r="AO157" s="175">
        <v>646.10994770856996</v>
      </c>
      <c r="AP157" s="175">
        <v>33.783526676649998</v>
      </c>
      <c r="AQ157" s="175">
        <v>63.749514838700001</v>
      </c>
      <c r="AR157" s="175">
        <v>127.49902967740999</v>
      </c>
      <c r="AS157" s="126"/>
      <c r="AT157" s="179">
        <f t="shared" si="16"/>
        <v>21096.616063290126</v>
      </c>
      <c r="AV157" s="188">
        <f t="shared" si="17"/>
        <v>432.62312479701001</v>
      </c>
      <c r="AW157" s="188">
        <f t="shared" si="18"/>
        <v>871.14201890132995</v>
      </c>
      <c r="AX157" s="188">
        <f t="shared" si="19"/>
        <v>566.85556922702006</v>
      </c>
      <c r="AY157" s="188">
        <f t="shared" si="21"/>
        <v>1870.6207129253598</v>
      </c>
    </row>
    <row r="158" spans="1:54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76">
        <v>0</v>
      </c>
      <c r="G158" s="175">
        <v>0</v>
      </c>
      <c r="H158" s="175">
        <v>0</v>
      </c>
      <c r="I158" s="175">
        <v>0</v>
      </c>
      <c r="J158" s="175">
        <v>0</v>
      </c>
      <c r="K158" s="175">
        <v>0</v>
      </c>
      <c r="L158" s="175">
        <v>0</v>
      </c>
      <c r="M158" s="175">
        <v>0</v>
      </c>
      <c r="N158" s="175">
        <v>0</v>
      </c>
      <c r="O158" s="175">
        <v>0</v>
      </c>
      <c r="P158" s="175">
        <v>0</v>
      </c>
      <c r="Q158" s="175">
        <v>0</v>
      </c>
      <c r="R158" s="175">
        <v>205.46274258826</v>
      </c>
      <c r="S158" s="175">
        <v>0</v>
      </c>
      <c r="T158" s="175">
        <v>0</v>
      </c>
      <c r="U158" s="175">
        <v>15659.3402254705</v>
      </c>
      <c r="V158" s="175">
        <v>3914.83505636777</v>
      </c>
      <c r="W158" s="175">
        <v>584.12716491491005</v>
      </c>
      <c r="X158" s="175">
        <v>0</v>
      </c>
      <c r="Y158" s="175">
        <v>0</v>
      </c>
      <c r="Z158" s="175">
        <v>0</v>
      </c>
      <c r="AA158" s="175">
        <v>0</v>
      </c>
      <c r="AB158" s="175">
        <v>0</v>
      </c>
      <c r="AC158" s="175">
        <v>0</v>
      </c>
      <c r="AD158" s="175">
        <v>0</v>
      </c>
      <c r="AE158" s="175">
        <v>0</v>
      </c>
      <c r="AF158" s="175">
        <v>0</v>
      </c>
      <c r="AG158" s="175">
        <v>0</v>
      </c>
      <c r="AH158" s="175">
        <v>363.85659379330002</v>
      </c>
      <c r="AI158" s="175">
        <v>0</v>
      </c>
      <c r="AJ158" s="175">
        <v>0</v>
      </c>
      <c r="AK158" s="175">
        <v>0</v>
      </c>
      <c r="AL158" s="175">
        <v>0</v>
      </c>
      <c r="AM158" s="175">
        <v>0</v>
      </c>
      <c r="AN158" s="175">
        <v>62.5968103318</v>
      </c>
      <c r="AO158" s="175">
        <v>587.37374291384003</v>
      </c>
      <c r="AP158" s="175">
        <v>64.672024513780002</v>
      </c>
      <c r="AQ158" s="175">
        <v>51.062357444</v>
      </c>
      <c r="AR158" s="175">
        <v>102.12471488798001</v>
      </c>
      <c r="AS158" s="126"/>
      <c r="AT158" s="179">
        <f t="shared" si="16"/>
        <v>21595.451433226142</v>
      </c>
      <c r="AV158" s="188">
        <f t="shared" si="17"/>
        <v>426.45340412510001</v>
      </c>
      <c r="AW158" s="188">
        <f t="shared" si="18"/>
        <v>805.23283975959998</v>
      </c>
      <c r="AX158" s="188">
        <f t="shared" si="19"/>
        <v>584.12716491491005</v>
      </c>
      <c r="AY158" s="188">
        <f t="shared" si="21"/>
        <v>1815.81340879961</v>
      </c>
    </row>
    <row r="159" spans="1:54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76">
        <v>0</v>
      </c>
      <c r="G159" s="175">
        <v>0</v>
      </c>
      <c r="H159" s="175">
        <v>0</v>
      </c>
      <c r="I159" s="175">
        <v>0</v>
      </c>
      <c r="J159" s="175">
        <v>0</v>
      </c>
      <c r="K159" s="175">
        <v>0</v>
      </c>
      <c r="L159" s="175">
        <v>0</v>
      </c>
      <c r="M159" s="175">
        <v>0</v>
      </c>
      <c r="N159" s="175">
        <v>0</v>
      </c>
      <c r="O159" s="175">
        <v>0</v>
      </c>
      <c r="P159" s="175">
        <v>0</v>
      </c>
      <c r="Q159" s="175">
        <v>0</v>
      </c>
      <c r="R159" s="175">
        <v>284.26990828741998</v>
      </c>
      <c r="S159" s="175">
        <v>0</v>
      </c>
      <c r="T159" s="175">
        <v>0</v>
      </c>
      <c r="U159" s="175">
        <v>16245.1229441547</v>
      </c>
      <c r="V159" s="175">
        <v>4061.2807360386601</v>
      </c>
      <c r="W159" s="175">
        <v>607.19682957397004</v>
      </c>
      <c r="X159" s="175">
        <v>0</v>
      </c>
      <c r="Y159" s="175">
        <v>0</v>
      </c>
      <c r="Z159" s="175">
        <v>0</v>
      </c>
      <c r="AA159" s="175">
        <v>0</v>
      </c>
      <c r="AB159" s="175">
        <v>0</v>
      </c>
      <c r="AC159" s="175">
        <v>0</v>
      </c>
      <c r="AD159" s="175">
        <v>0</v>
      </c>
      <c r="AE159" s="175">
        <v>0</v>
      </c>
      <c r="AF159" s="175">
        <v>0</v>
      </c>
      <c r="AG159" s="175">
        <v>0</v>
      </c>
      <c r="AH159" s="175">
        <v>325.68434099896001</v>
      </c>
      <c r="AI159" s="175">
        <v>0</v>
      </c>
      <c r="AJ159" s="175">
        <v>0</v>
      </c>
      <c r="AK159" s="175">
        <v>0</v>
      </c>
      <c r="AL159" s="175">
        <v>0</v>
      </c>
      <c r="AM159" s="175">
        <v>0</v>
      </c>
      <c r="AN159" s="175">
        <v>89.185467146220105</v>
      </c>
      <c r="AO159" s="175">
        <v>526.20609174957997</v>
      </c>
      <c r="AP159" s="175">
        <v>92.221686297830004</v>
      </c>
      <c r="AQ159" s="175">
        <v>38.40761994455</v>
      </c>
      <c r="AR159" s="175">
        <v>76.815239888840097</v>
      </c>
      <c r="AS159" s="126"/>
      <c r="AT159" s="179">
        <f t="shared" si="16"/>
        <v>22346.390864080739</v>
      </c>
      <c r="AV159" s="188">
        <f t="shared" si="17"/>
        <v>414.86980814518012</v>
      </c>
      <c r="AW159" s="188">
        <f t="shared" si="18"/>
        <v>733.6506378808001</v>
      </c>
      <c r="AX159" s="188">
        <f t="shared" si="19"/>
        <v>607.19682957397004</v>
      </c>
      <c r="AY159" s="188">
        <f t="shared" si="21"/>
        <v>1755.7172755999502</v>
      </c>
    </row>
    <row r="160" spans="1:54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76">
        <v>0</v>
      </c>
      <c r="G160" s="175">
        <v>0</v>
      </c>
      <c r="H160" s="175">
        <v>0</v>
      </c>
      <c r="I160" s="175">
        <v>0</v>
      </c>
      <c r="J160" s="175">
        <v>0</v>
      </c>
      <c r="K160" s="175">
        <v>0</v>
      </c>
      <c r="L160" s="175">
        <v>0</v>
      </c>
      <c r="M160" s="175">
        <v>0</v>
      </c>
      <c r="N160" s="175">
        <v>0</v>
      </c>
      <c r="O160" s="175">
        <v>0</v>
      </c>
      <c r="P160" s="175">
        <v>0</v>
      </c>
      <c r="Q160" s="175">
        <v>0</v>
      </c>
      <c r="R160" s="175">
        <v>351.60913826279</v>
      </c>
      <c r="S160" s="175">
        <v>0</v>
      </c>
      <c r="T160" s="175">
        <v>0</v>
      </c>
      <c r="U160" s="175">
        <v>20511.923854283701</v>
      </c>
      <c r="V160" s="175">
        <v>5127.9809635709498</v>
      </c>
      <c r="W160" s="175">
        <v>757.10528668369898</v>
      </c>
      <c r="X160" s="175">
        <v>0</v>
      </c>
      <c r="Y160" s="175">
        <v>0</v>
      </c>
      <c r="Z160" s="175">
        <v>0</v>
      </c>
      <c r="AA160" s="175">
        <v>0</v>
      </c>
      <c r="AB160" s="175">
        <v>0</v>
      </c>
      <c r="AC160" s="175">
        <v>0</v>
      </c>
      <c r="AD160" s="175">
        <v>0</v>
      </c>
      <c r="AE160" s="175">
        <v>14210.7413616514</v>
      </c>
      <c r="AF160" s="175">
        <v>0</v>
      </c>
      <c r="AG160" s="175">
        <v>0</v>
      </c>
      <c r="AH160" s="175">
        <v>341.80030755013001</v>
      </c>
      <c r="AI160" s="175">
        <v>0</v>
      </c>
      <c r="AJ160" s="175">
        <v>0</v>
      </c>
      <c r="AK160" s="175">
        <v>0</v>
      </c>
      <c r="AL160" s="175">
        <v>0</v>
      </c>
      <c r="AM160" s="175">
        <v>0</v>
      </c>
      <c r="AN160" s="175">
        <v>133.67956814070999</v>
      </c>
      <c r="AO160" s="175">
        <v>551.52428248118997</v>
      </c>
      <c r="AP160" s="175">
        <v>138.05024917290999</v>
      </c>
      <c r="AQ160" s="175">
        <v>31.264321094789999</v>
      </c>
      <c r="AR160" s="175">
        <v>62.528642189540101</v>
      </c>
      <c r="AS160" s="126"/>
      <c r="AT160" s="179">
        <f t="shared" si="16"/>
        <v>42218.207975081816</v>
      </c>
      <c r="AV160" s="188">
        <f t="shared" si="17"/>
        <v>475.47987569084</v>
      </c>
      <c r="AW160" s="188">
        <f t="shared" si="18"/>
        <v>783.36749493843001</v>
      </c>
      <c r="AX160" s="188">
        <f t="shared" si="19"/>
        <v>757.10528668369898</v>
      </c>
      <c r="AY160" s="188">
        <f t="shared" si="21"/>
        <v>2015.952657312969</v>
      </c>
    </row>
    <row r="161" spans="1:51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76">
        <v>0</v>
      </c>
      <c r="G161" s="175">
        <v>0</v>
      </c>
      <c r="H161" s="175">
        <v>0</v>
      </c>
      <c r="I161" s="175">
        <v>0</v>
      </c>
      <c r="J161" s="175">
        <v>0</v>
      </c>
      <c r="K161" s="175">
        <v>0</v>
      </c>
      <c r="L161" s="175">
        <v>0</v>
      </c>
      <c r="M161" s="175">
        <v>0</v>
      </c>
      <c r="N161" s="175">
        <v>0</v>
      </c>
      <c r="O161" s="175">
        <v>0</v>
      </c>
      <c r="P161" s="175">
        <v>0</v>
      </c>
      <c r="Q161" s="175">
        <v>0</v>
      </c>
      <c r="R161" s="175">
        <v>442.16466607468999</v>
      </c>
      <c r="S161" s="175">
        <v>0</v>
      </c>
      <c r="T161" s="175">
        <v>0</v>
      </c>
      <c r="U161" s="175">
        <v>20223.229389837201</v>
      </c>
      <c r="V161" s="175">
        <v>5055.8073474594003</v>
      </c>
      <c r="W161" s="175">
        <v>760.00102088995902</v>
      </c>
      <c r="X161" s="175">
        <v>0</v>
      </c>
      <c r="Y161" s="175">
        <v>0</v>
      </c>
      <c r="Z161" s="175">
        <v>0</v>
      </c>
      <c r="AA161" s="175">
        <v>0</v>
      </c>
      <c r="AB161" s="175">
        <v>0</v>
      </c>
      <c r="AC161" s="175">
        <v>0</v>
      </c>
      <c r="AD161" s="175">
        <v>0</v>
      </c>
      <c r="AE161" s="175">
        <v>14280.7815833279</v>
      </c>
      <c r="AF161" s="175">
        <v>0</v>
      </c>
      <c r="AG161" s="175">
        <v>0</v>
      </c>
      <c r="AH161" s="175">
        <v>279.12436755712997</v>
      </c>
      <c r="AI161" s="175">
        <v>0</v>
      </c>
      <c r="AJ161" s="175">
        <v>0</v>
      </c>
      <c r="AK161" s="175">
        <v>0</v>
      </c>
      <c r="AL161" s="175">
        <v>0</v>
      </c>
      <c r="AM161" s="175">
        <v>0</v>
      </c>
      <c r="AN161" s="175">
        <v>133.53614248452001</v>
      </c>
      <c r="AO161" s="175">
        <v>450.5405404572</v>
      </c>
      <c r="AP161" s="175">
        <v>132.40278987062999</v>
      </c>
      <c r="AQ161" s="175">
        <v>17.523536715079999</v>
      </c>
      <c r="AR161" s="175">
        <v>35.047073430250002</v>
      </c>
      <c r="AS161" s="126"/>
      <c r="AT161" s="179">
        <f t="shared" si="16"/>
        <v>41810.158458103964</v>
      </c>
      <c r="AV161" s="188">
        <f t="shared" si="17"/>
        <v>412.66051004165001</v>
      </c>
      <c r="AW161" s="188">
        <f t="shared" si="18"/>
        <v>635.51394047315989</v>
      </c>
      <c r="AX161" s="188">
        <f t="shared" si="19"/>
        <v>760.00102088995902</v>
      </c>
      <c r="AY161" s="188">
        <f t="shared" si="21"/>
        <v>1808.1754714047688</v>
      </c>
    </row>
    <row r="162" spans="1:51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76">
        <v>0</v>
      </c>
      <c r="G162" s="175">
        <v>0</v>
      </c>
      <c r="H162" s="175">
        <v>0</v>
      </c>
      <c r="I162" s="175">
        <v>0</v>
      </c>
      <c r="J162" s="175">
        <v>0</v>
      </c>
      <c r="K162" s="175">
        <v>0</v>
      </c>
      <c r="L162" s="175">
        <v>0</v>
      </c>
      <c r="M162" s="175">
        <v>0</v>
      </c>
      <c r="N162" s="175">
        <v>0</v>
      </c>
      <c r="O162" s="175">
        <v>0</v>
      </c>
      <c r="P162" s="175">
        <v>0</v>
      </c>
      <c r="Q162" s="175">
        <v>0</v>
      </c>
      <c r="R162" s="175">
        <v>543.13628682521005</v>
      </c>
      <c r="S162" s="175">
        <v>0</v>
      </c>
      <c r="T162" s="175">
        <v>0</v>
      </c>
      <c r="U162" s="175">
        <v>20681.8996199799</v>
      </c>
      <c r="V162" s="175">
        <v>5170.4749049948596</v>
      </c>
      <c r="W162" s="175">
        <v>775.86936497570002</v>
      </c>
      <c r="X162" s="175">
        <v>0</v>
      </c>
      <c r="Y162" s="175">
        <v>0</v>
      </c>
      <c r="Z162" s="175">
        <v>0</v>
      </c>
      <c r="AA162" s="175">
        <v>0</v>
      </c>
      <c r="AB162" s="175">
        <v>0</v>
      </c>
      <c r="AC162" s="175">
        <v>0</v>
      </c>
      <c r="AD162" s="175">
        <v>0</v>
      </c>
      <c r="AE162" s="175">
        <v>28866.8859172216</v>
      </c>
      <c r="AF162" s="175">
        <v>0</v>
      </c>
      <c r="AG162" s="175">
        <v>0</v>
      </c>
      <c r="AH162" s="175">
        <v>222.20534782029</v>
      </c>
      <c r="AI162" s="175">
        <v>0</v>
      </c>
      <c r="AJ162" s="175">
        <v>47.60844569076</v>
      </c>
      <c r="AK162" s="175">
        <v>0</v>
      </c>
      <c r="AL162" s="175">
        <v>92.867409510879995</v>
      </c>
      <c r="AM162" s="175">
        <v>0</v>
      </c>
      <c r="AN162" s="175">
        <v>129.94725983813001</v>
      </c>
      <c r="AO162" s="175">
        <v>359.43500571217999</v>
      </c>
      <c r="AP162" s="175">
        <v>134.52808551878999</v>
      </c>
      <c r="AQ162" s="175">
        <v>7.6278812249900003</v>
      </c>
      <c r="AR162" s="175">
        <v>15.25576245005</v>
      </c>
      <c r="AT162" s="185">
        <f t="shared" si="16"/>
        <v>57047.741291763334</v>
      </c>
      <c r="AV162" s="188">
        <f t="shared" si="17"/>
        <v>492.62846286006004</v>
      </c>
      <c r="AW162" s="188">
        <f t="shared" si="18"/>
        <v>516.84673490601006</v>
      </c>
      <c r="AX162" s="188">
        <f t="shared" si="19"/>
        <v>775.86936497570002</v>
      </c>
      <c r="AY162" s="188">
        <f t="shared" si="21"/>
        <v>1785.34456274177</v>
      </c>
    </row>
    <row r="163" spans="1:51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76">
        <v>0</v>
      </c>
      <c r="G163" s="175">
        <v>0</v>
      </c>
      <c r="H163" s="175">
        <v>0</v>
      </c>
      <c r="I163" s="175">
        <v>0</v>
      </c>
      <c r="J163" s="175">
        <v>0</v>
      </c>
      <c r="K163" s="175">
        <v>4826.8752071115896</v>
      </c>
      <c r="L163" s="175">
        <v>0</v>
      </c>
      <c r="M163" s="175">
        <v>0</v>
      </c>
      <c r="N163" s="175">
        <v>0</v>
      </c>
      <c r="O163" s="175">
        <v>0</v>
      </c>
      <c r="P163" s="175">
        <v>0</v>
      </c>
      <c r="Q163" s="175">
        <v>0</v>
      </c>
      <c r="R163" s="175">
        <v>646.18078740748001</v>
      </c>
      <c r="S163" s="175">
        <v>0</v>
      </c>
      <c r="T163" s="175">
        <v>0</v>
      </c>
      <c r="U163" s="175">
        <v>31675.547912546201</v>
      </c>
      <c r="V163" s="175">
        <v>15837.7739562731</v>
      </c>
      <c r="W163" s="175">
        <v>787.57033358765</v>
      </c>
      <c r="X163" s="175">
        <v>605.75382120030997</v>
      </c>
      <c r="Y163" s="175">
        <v>0</v>
      </c>
      <c r="Z163" s="175">
        <v>0</v>
      </c>
      <c r="AA163" s="175">
        <v>0</v>
      </c>
      <c r="AB163" s="175">
        <v>0</v>
      </c>
      <c r="AC163" s="175">
        <v>0</v>
      </c>
      <c r="AD163" s="175">
        <v>0</v>
      </c>
      <c r="AE163" s="175">
        <v>29388.3676003076</v>
      </c>
      <c r="AF163" s="175">
        <v>0</v>
      </c>
      <c r="AG163" s="175">
        <v>0</v>
      </c>
      <c r="AH163" s="175">
        <v>167.36978732604001</v>
      </c>
      <c r="AI163" s="175">
        <v>0</v>
      </c>
      <c r="AJ163" s="175">
        <v>43.101453987340001</v>
      </c>
      <c r="AK163" s="175">
        <v>0</v>
      </c>
      <c r="AL163" s="175">
        <v>175.31340728683</v>
      </c>
      <c r="AM163" s="175">
        <v>0</v>
      </c>
      <c r="AN163" s="175">
        <v>110.71946134308</v>
      </c>
      <c r="AO163" s="175">
        <v>270.96997451686002</v>
      </c>
      <c r="AP163" s="175">
        <v>114.72235302803</v>
      </c>
      <c r="AQ163" s="175">
        <v>1.82992720517</v>
      </c>
      <c r="AR163" s="175">
        <v>3.6598544102699999</v>
      </c>
      <c r="AS163" s="126"/>
      <c r="AT163" s="185">
        <f t="shared" si="16"/>
        <v>84655.755837537552</v>
      </c>
      <c r="AV163" s="188">
        <f t="shared" si="17"/>
        <v>496.50410994329002</v>
      </c>
      <c r="AW163" s="188">
        <f t="shared" si="18"/>
        <v>391.18210916033001</v>
      </c>
      <c r="AX163" s="188">
        <f t="shared" si="19"/>
        <v>1393.32415478796</v>
      </c>
      <c r="AY163" s="188">
        <f t="shared" si="21"/>
        <v>2281.01037389158</v>
      </c>
    </row>
    <row r="164" spans="1:51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76">
        <v>0</v>
      </c>
      <c r="G164" s="175">
        <v>0</v>
      </c>
      <c r="H164" s="175">
        <v>0</v>
      </c>
      <c r="I164" s="175">
        <v>0</v>
      </c>
      <c r="J164" s="175">
        <v>0</v>
      </c>
      <c r="K164" s="175">
        <v>5382.8896003221498</v>
      </c>
      <c r="L164" s="175">
        <v>0</v>
      </c>
      <c r="M164" s="175">
        <v>0</v>
      </c>
      <c r="N164" s="175">
        <v>0</v>
      </c>
      <c r="O164" s="175">
        <v>0</v>
      </c>
      <c r="P164" s="175">
        <v>0</v>
      </c>
      <c r="Q164" s="175">
        <v>0</v>
      </c>
      <c r="R164" s="175">
        <v>666.53053983054997</v>
      </c>
      <c r="S164" s="175">
        <v>0</v>
      </c>
      <c r="T164" s="175">
        <v>0</v>
      </c>
      <c r="U164" s="175">
        <v>33411.924891627103</v>
      </c>
      <c r="V164" s="175">
        <v>16705.9624458135</v>
      </c>
      <c r="W164" s="175">
        <v>809.07287485898996</v>
      </c>
      <c r="X164" s="175">
        <v>622.29233970800999</v>
      </c>
      <c r="Y164" s="175">
        <v>0</v>
      </c>
      <c r="Z164" s="175">
        <v>0</v>
      </c>
      <c r="AA164" s="175">
        <v>0</v>
      </c>
      <c r="AB164" s="175">
        <v>0</v>
      </c>
      <c r="AC164" s="175">
        <v>0</v>
      </c>
      <c r="AD164" s="175">
        <v>0</v>
      </c>
      <c r="AE164" s="175">
        <v>30288.648719684199</v>
      </c>
      <c r="AF164" s="175">
        <v>0</v>
      </c>
      <c r="AG164" s="175">
        <v>0</v>
      </c>
      <c r="AH164" s="175">
        <v>81.531578835559998</v>
      </c>
      <c r="AI164" s="175">
        <v>0</v>
      </c>
      <c r="AJ164" s="175">
        <v>37.994614690799999</v>
      </c>
      <c r="AK164" s="175">
        <v>0</v>
      </c>
      <c r="AL164" s="175">
        <v>247.55612571413999</v>
      </c>
      <c r="AM164" s="175">
        <v>0</v>
      </c>
      <c r="AN164" s="175">
        <v>92.186274022930107</v>
      </c>
      <c r="AO164" s="175">
        <v>192.7532305185</v>
      </c>
      <c r="AP164" s="175">
        <v>95.894731400330002</v>
      </c>
      <c r="AQ164" s="175">
        <v>0</v>
      </c>
      <c r="AR164" s="175">
        <v>0</v>
      </c>
      <c r="AS164" s="126"/>
      <c r="AT164" s="185">
        <f t="shared" si="16"/>
        <v>88635.237967026769</v>
      </c>
      <c r="AV164" s="188">
        <f t="shared" si="17"/>
        <v>459.26859326343009</v>
      </c>
      <c r="AW164" s="188">
        <f t="shared" si="18"/>
        <v>288.64796191882999</v>
      </c>
      <c r="AX164" s="188">
        <f t="shared" si="19"/>
        <v>1431.3652145669998</v>
      </c>
      <c r="AY164" s="188">
        <f t="shared" si="21"/>
        <v>2179.2817697492601</v>
      </c>
    </row>
    <row r="165" spans="1:51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76">
        <v>0</v>
      </c>
      <c r="G165" s="175">
        <v>0</v>
      </c>
      <c r="H165" s="175">
        <v>0</v>
      </c>
      <c r="I165" s="175">
        <v>0</v>
      </c>
      <c r="J165" s="175">
        <v>0</v>
      </c>
      <c r="K165" s="175">
        <v>5421.5391140634501</v>
      </c>
      <c r="L165" s="175">
        <v>0</v>
      </c>
      <c r="M165" s="175">
        <v>0</v>
      </c>
      <c r="N165" s="175">
        <v>0</v>
      </c>
      <c r="O165" s="175">
        <v>0</v>
      </c>
      <c r="P165" s="175">
        <v>0</v>
      </c>
      <c r="Q165" s="175">
        <v>0</v>
      </c>
      <c r="R165" s="175">
        <v>777.99907648617</v>
      </c>
      <c r="S165" s="175">
        <v>0</v>
      </c>
      <c r="T165" s="175">
        <v>0</v>
      </c>
      <c r="U165" s="175">
        <v>33306.282987174702</v>
      </c>
      <c r="V165" s="175">
        <v>16653.1414935873</v>
      </c>
      <c r="W165" s="175">
        <v>824.17235298437004</v>
      </c>
      <c r="X165" s="175">
        <v>633.90599017447096</v>
      </c>
      <c r="Y165" s="175">
        <v>0</v>
      </c>
      <c r="Z165" s="175">
        <v>0</v>
      </c>
      <c r="AA165" s="175">
        <v>0</v>
      </c>
      <c r="AB165" s="175">
        <v>0</v>
      </c>
      <c r="AC165" s="175">
        <v>0</v>
      </c>
      <c r="AD165" s="175">
        <v>0</v>
      </c>
      <c r="AE165" s="175">
        <v>30367.637730072998</v>
      </c>
      <c r="AF165" s="175">
        <v>0</v>
      </c>
      <c r="AG165" s="175">
        <v>0</v>
      </c>
      <c r="AH165" s="175">
        <v>28.54891830807</v>
      </c>
      <c r="AI165" s="175">
        <v>0</v>
      </c>
      <c r="AJ165" s="175">
        <v>31.798460950879999</v>
      </c>
      <c r="AK165" s="175">
        <v>0</v>
      </c>
      <c r="AL165" s="175">
        <v>227.05783937549</v>
      </c>
      <c r="AM165" s="175">
        <v>0</v>
      </c>
      <c r="AN165" s="175">
        <v>73.256712594310002</v>
      </c>
      <c r="AO165" s="175">
        <v>124.03173462626999</v>
      </c>
      <c r="AP165" s="175">
        <v>76.383899751800001</v>
      </c>
      <c r="AQ165" s="175">
        <v>0</v>
      </c>
      <c r="AR165" s="175">
        <v>0</v>
      </c>
      <c r="AS165" s="126"/>
      <c r="AT165" s="185">
        <f t="shared" si="16"/>
        <v>88545.756310150289</v>
      </c>
      <c r="AV165" s="188">
        <f t="shared" si="17"/>
        <v>360.66193122875001</v>
      </c>
      <c r="AW165" s="188">
        <f t="shared" si="18"/>
        <v>200.41563437807</v>
      </c>
      <c r="AX165" s="188">
        <f t="shared" si="19"/>
        <v>1458.0783431588411</v>
      </c>
      <c r="AY165" s="188">
        <f t="shared" si="21"/>
        <v>2019.155908765661</v>
      </c>
    </row>
    <row r="166" spans="1:51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76">
        <v>0</v>
      </c>
      <c r="G166" s="175">
        <v>0</v>
      </c>
      <c r="H166" s="175">
        <v>0</v>
      </c>
      <c r="I166" s="175">
        <v>0</v>
      </c>
      <c r="J166" s="175">
        <v>0</v>
      </c>
      <c r="K166" s="175">
        <v>5137.3907490083702</v>
      </c>
      <c r="L166" s="175">
        <v>0</v>
      </c>
      <c r="M166" s="175">
        <v>0</v>
      </c>
      <c r="N166" s="175">
        <v>0</v>
      </c>
      <c r="O166" s="175">
        <v>0</v>
      </c>
      <c r="P166" s="175">
        <v>0</v>
      </c>
      <c r="Q166" s="175">
        <v>0</v>
      </c>
      <c r="R166" s="175">
        <v>894.51822787383003</v>
      </c>
      <c r="S166" s="175">
        <v>0</v>
      </c>
      <c r="T166" s="175">
        <v>0</v>
      </c>
      <c r="U166" s="175">
        <v>34057.2328325204</v>
      </c>
      <c r="V166" s="175">
        <v>17028.6164162602</v>
      </c>
      <c r="W166" s="175">
        <v>846.15292856576002</v>
      </c>
      <c r="X166" s="175">
        <v>650.81218511837005</v>
      </c>
      <c r="Y166" s="175">
        <v>0</v>
      </c>
      <c r="Z166" s="175">
        <v>0</v>
      </c>
      <c r="AA166" s="175">
        <v>0</v>
      </c>
      <c r="AB166" s="175">
        <v>0</v>
      </c>
      <c r="AC166" s="175">
        <v>0</v>
      </c>
      <c r="AD166" s="175">
        <v>0</v>
      </c>
      <c r="AE166" s="175">
        <v>31424.547005929398</v>
      </c>
      <c r="AF166" s="175">
        <v>0</v>
      </c>
      <c r="AG166" s="175">
        <v>0</v>
      </c>
      <c r="AH166" s="175">
        <v>0</v>
      </c>
      <c r="AI166" s="175">
        <v>0</v>
      </c>
      <c r="AJ166" s="175">
        <v>25.40111030349</v>
      </c>
      <c r="AK166" s="175">
        <v>0</v>
      </c>
      <c r="AL166" s="175">
        <v>239.70874922073</v>
      </c>
      <c r="AM166" s="175">
        <v>0</v>
      </c>
      <c r="AN166" s="175">
        <v>55.824139789029999</v>
      </c>
      <c r="AO166" s="175">
        <v>69.209810055250003</v>
      </c>
      <c r="AP166" s="175">
        <v>58.136240228209999</v>
      </c>
      <c r="AQ166" s="175">
        <v>0</v>
      </c>
      <c r="AR166" s="175">
        <v>0</v>
      </c>
      <c r="AS166" s="126"/>
      <c r="AT166" s="185">
        <f t="shared" si="16"/>
        <v>90487.550394873033</v>
      </c>
      <c r="AV166" s="188">
        <f t="shared" si="17"/>
        <v>320.93399931324996</v>
      </c>
      <c r="AW166" s="188">
        <f t="shared" si="18"/>
        <v>127.34605028346</v>
      </c>
      <c r="AX166" s="188">
        <f t="shared" si="19"/>
        <v>1496.9651136841301</v>
      </c>
      <c r="AY166" s="188">
        <f t="shared" si="21"/>
        <v>1945.24516328084</v>
      </c>
    </row>
    <row r="167" spans="1:51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76">
        <v>0</v>
      </c>
      <c r="G167" s="175">
        <v>0</v>
      </c>
      <c r="H167" s="175">
        <v>0</v>
      </c>
      <c r="I167" s="175">
        <v>0</v>
      </c>
      <c r="J167" s="175">
        <v>0</v>
      </c>
      <c r="K167" s="175">
        <v>5745.2531505519801</v>
      </c>
      <c r="L167" s="175">
        <v>0</v>
      </c>
      <c r="M167" s="175">
        <v>0</v>
      </c>
      <c r="N167" s="175">
        <v>0</v>
      </c>
      <c r="O167" s="175">
        <v>0</v>
      </c>
      <c r="P167" s="175">
        <v>0</v>
      </c>
      <c r="Q167" s="175">
        <v>0</v>
      </c>
      <c r="R167" s="175">
        <v>931.82024875968</v>
      </c>
      <c r="S167" s="175">
        <v>0</v>
      </c>
      <c r="T167" s="175">
        <v>0</v>
      </c>
      <c r="U167" s="175">
        <v>35452.582236393202</v>
      </c>
      <c r="V167" s="175">
        <v>17726.291118196699</v>
      </c>
      <c r="W167" s="175">
        <v>876.31567227074004</v>
      </c>
      <c r="X167" s="175">
        <v>674.01163354022003</v>
      </c>
      <c r="Y167" s="175">
        <v>0</v>
      </c>
      <c r="Z167" s="175">
        <v>0</v>
      </c>
      <c r="AA167" s="175">
        <v>0</v>
      </c>
      <c r="AB167" s="175">
        <v>0</v>
      </c>
      <c r="AC167" s="175">
        <v>0</v>
      </c>
      <c r="AD167" s="175">
        <v>0</v>
      </c>
      <c r="AE167" s="175">
        <v>32264.399059289201</v>
      </c>
      <c r="AF167" s="175">
        <v>0</v>
      </c>
      <c r="AG167" s="175">
        <v>0</v>
      </c>
      <c r="AH167" s="175">
        <v>0</v>
      </c>
      <c r="AI167" s="175">
        <v>0</v>
      </c>
      <c r="AJ167" s="175">
        <v>19.070700077889999</v>
      </c>
      <c r="AK167" s="175">
        <v>0</v>
      </c>
      <c r="AL167" s="175">
        <v>306.09788128148</v>
      </c>
      <c r="AM167" s="175">
        <v>0</v>
      </c>
      <c r="AN167" s="175">
        <v>31.95943428963</v>
      </c>
      <c r="AO167" s="175">
        <v>30.003519595419998</v>
      </c>
      <c r="AP167" s="175">
        <v>41.744026410549999</v>
      </c>
      <c r="AQ167" s="175">
        <v>0</v>
      </c>
      <c r="AR167" s="175">
        <v>0</v>
      </c>
      <c r="AS167" s="126"/>
      <c r="AT167" s="185">
        <f t="shared" si="16"/>
        <v>94099.548680656721</v>
      </c>
      <c r="AV167" s="188">
        <f t="shared" si="17"/>
        <v>357.12801564900002</v>
      </c>
      <c r="AW167" s="188">
        <f t="shared" si="18"/>
        <v>71.747546005969994</v>
      </c>
      <c r="AX167" s="188">
        <f t="shared" si="19"/>
        <v>1550.3273058109601</v>
      </c>
      <c r="AY167" s="188">
        <f t="shared" si="21"/>
        <v>1979.20286746593</v>
      </c>
    </row>
    <row r="168" spans="1:51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76">
        <v>0</v>
      </c>
      <c r="G168" s="175">
        <v>0</v>
      </c>
      <c r="H168" s="175">
        <v>0</v>
      </c>
      <c r="I168" s="175">
        <v>0</v>
      </c>
      <c r="J168" s="175">
        <v>0</v>
      </c>
      <c r="K168" s="175">
        <v>4871.5318051045197</v>
      </c>
      <c r="L168" s="175">
        <v>0</v>
      </c>
      <c r="M168" s="175">
        <v>0</v>
      </c>
      <c r="N168" s="175">
        <v>0</v>
      </c>
      <c r="O168" s="175">
        <v>0</v>
      </c>
      <c r="P168" s="175">
        <v>0</v>
      </c>
      <c r="Q168" s="175">
        <v>0</v>
      </c>
      <c r="R168" s="175">
        <v>1039.50023725494</v>
      </c>
      <c r="S168" s="175">
        <v>0</v>
      </c>
      <c r="T168" s="175">
        <v>0</v>
      </c>
      <c r="U168" s="175">
        <v>36364.093425679202</v>
      </c>
      <c r="V168" s="175">
        <v>18182.046712839601</v>
      </c>
      <c r="W168" s="175">
        <v>881.20051735199002</v>
      </c>
      <c r="X168" s="175">
        <v>677.76877548560003</v>
      </c>
      <c r="Y168" s="175">
        <v>0</v>
      </c>
      <c r="Z168" s="175">
        <v>0</v>
      </c>
      <c r="AA168" s="175">
        <v>0</v>
      </c>
      <c r="AB168" s="175">
        <v>0</v>
      </c>
      <c r="AC168" s="175">
        <v>0</v>
      </c>
      <c r="AD168" s="175">
        <v>0</v>
      </c>
      <c r="AE168" s="175">
        <v>32642.050580075502</v>
      </c>
      <c r="AF168" s="175">
        <v>0</v>
      </c>
      <c r="AG168" s="175">
        <v>0</v>
      </c>
      <c r="AH168" s="175">
        <v>0</v>
      </c>
      <c r="AI168" s="175">
        <v>0</v>
      </c>
      <c r="AJ168" s="175">
        <v>50.014143323399999</v>
      </c>
      <c r="AK168" s="175">
        <v>0</v>
      </c>
      <c r="AL168" s="175">
        <v>361.77957126378999</v>
      </c>
      <c r="AM168" s="175">
        <v>0</v>
      </c>
      <c r="AN168" s="175">
        <v>15.24451951674</v>
      </c>
      <c r="AO168" s="175">
        <v>6.5589520877699998</v>
      </c>
      <c r="AP168" s="175">
        <v>26.49816772941</v>
      </c>
      <c r="AQ168" s="175">
        <v>0</v>
      </c>
      <c r="AR168" s="175">
        <v>0</v>
      </c>
      <c r="AS168" s="126"/>
      <c r="AT168" s="185">
        <f t="shared" si="16"/>
        <v>95118.287407712458</v>
      </c>
      <c r="AV168" s="188">
        <f t="shared" si="17"/>
        <v>427.03823410392999</v>
      </c>
      <c r="AW168" s="188">
        <f t="shared" si="18"/>
        <v>33.057119817180002</v>
      </c>
      <c r="AX168" s="188">
        <f t="shared" si="19"/>
        <v>1558.96929283759</v>
      </c>
      <c r="AY168" s="188">
        <f t="shared" si="21"/>
        <v>2019.0646467587001</v>
      </c>
    </row>
    <row r="169" spans="1:51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76">
        <v>0</v>
      </c>
      <c r="G169" s="175">
        <v>0</v>
      </c>
      <c r="H169" s="175">
        <v>0</v>
      </c>
      <c r="I169" s="175">
        <v>0</v>
      </c>
      <c r="J169" s="175">
        <v>0</v>
      </c>
      <c r="K169" s="175">
        <v>4958.7778954226496</v>
      </c>
      <c r="L169" s="175">
        <v>0</v>
      </c>
      <c r="M169" s="175">
        <v>0</v>
      </c>
      <c r="N169" s="175">
        <v>0</v>
      </c>
      <c r="O169" s="175">
        <v>0</v>
      </c>
      <c r="P169" s="175">
        <v>0</v>
      </c>
      <c r="Q169" s="175">
        <v>0</v>
      </c>
      <c r="R169" s="175">
        <v>1069.3577166069099</v>
      </c>
      <c r="S169" s="175">
        <v>0</v>
      </c>
      <c r="T169" s="175">
        <v>0</v>
      </c>
      <c r="U169" s="175">
        <v>36652.428726178499</v>
      </c>
      <c r="V169" s="175">
        <v>18326.214363089199</v>
      </c>
      <c r="W169" s="175">
        <v>906.05663857340005</v>
      </c>
      <c r="X169" s="175">
        <v>696.88667485694998</v>
      </c>
      <c r="Y169" s="175">
        <v>0</v>
      </c>
      <c r="Z169" s="175">
        <v>0</v>
      </c>
      <c r="AA169" s="175">
        <v>0</v>
      </c>
      <c r="AB169" s="175">
        <v>0</v>
      </c>
      <c r="AC169" s="175">
        <v>0</v>
      </c>
      <c r="AD169" s="175">
        <v>0</v>
      </c>
      <c r="AE169" s="175">
        <v>33735.130720124398</v>
      </c>
      <c r="AF169" s="175">
        <v>0</v>
      </c>
      <c r="AG169" s="175">
        <v>0</v>
      </c>
      <c r="AH169" s="175">
        <v>0</v>
      </c>
      <c r="AI169" s="175">
        <v>0</v>
      </c>
      <c r="AJ169" s="175">
        <v>57.447729845939897</v>
      </c>
      <c r="AK169" s="175">
        <v>0</v>
      </c>
      <c r="AL169" s="175">
        <v>324.39190853170999</v>
      </c>
      <c r="AM169" s="175">
        <v>0</v>
      </c>
      <c r="AN169" s="175">
        <v>5.6865276803700002</v>
      </c>
      <c r="AO169" s="175">
        <v>0</v>
      </c>
      <c r="AP169" s="175">
        <v>14.82962450254</v>
      </c>
      <c r="AQ169" s="175">
        <v>0</v>
      </c>
      <c r="AR169" s="175">
        <v>0</v>
      </c>
      <c r="AS169" s="126"/>
      <c r="AT169" s="185">
        <f t="shared" si="16"/>
        <v>96747.208525412556</v>
      </c>
      <c r="AV169" s="188">
        <f t="shared" si="17"/>
        <v>387.52616605801984</v>
      </c>
      <c r="AW169" s="188">
        <f t="shared" si="18"/>
        <v>14.82962450254</v>
      </c>
      <c r="AX169" s="188">
        <f t="shared" si="19"/>
        <v>1602.9433134303499</v>
      </c>
      <c r="AY169" s="188">
        <f t="shared" si="21"/>
        <v>2005.2991039909098</v>
      </c>
    </row>
    <row r="170" spans="1:51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76">
        <v>0</v>
      </c>
      <c r="G170" s="175">
        <v>0</v>
      </c>
      <c r="H170" s="175">
        <v>0</v>
      </c>
      <c r="I170" s="175">
        <v>0</v>
      </c>
      <c r="J170" s="175">
        <v>0</v>
      </c>
      <c r="K170" s="175">
        <v>5183.5973782368501</v>
      </c>
      <c r="L170" s="175">
        <v>0</v>
      </c>
      <c r="M170" s="175">
        <v>0</v>
      </c>
      <c r="N170" s="175">
        <v>0</v>
      </c>
      <c r="O170" s="175">
        <v>0</v>
      </c>
      <c r="P170" s="175">
        <v>0</v>
      </c>
      <c r="Q170" s="175">
        <v>0</v>
      </c>
      <c r="R170" s="175">
        <v>1218.9661919958401</v>
      </c>
      <c r="S170" s="175">
        <v>0</v>
      </c>
      <c r="T170" s="175">
        <v>0</v>
      </c>
      <c r="U170" s="175">
        <v>37958.570171955602</v>
      </c>
      <c r="V170" s="175">
        <v>18979.285085977699</v>
      </c>
      <c r="W170" s="175">
        <v>937.23805115349103</v>
      </c>
      <c r="X170" s="175">
        <v>720.86962487880896</v>
      </c>
      <c r="Y170" s="175">
        <v>0</v>
      </c>
      <c r="Z170" s="175">
        <v>0</v>
      </c>
      <c r="AA170" s="175">
        <v>0</v>
      </c>
      <c r="AB170" s="175">
        <v>0</v>
      </c>
      <c r="AC170" s="175">
        <v>0</v>
      </c>
      <c r="AD170" s="175">
        <v>0</v>
      </c>
      <c r="AE170" s="175">
        <v>52075.971667567697</v>
      </c>
      <c r="AF170" s="175">
        <v>0</v>
      </c>
      <c r="AG170" s="175">
        <v>0</v>
      </c>
      <c r="AH170" s="175">
        <v>0</v>
      </c>
      <c r="AI170" s="175">
        <v>0</v>
      </c>
      <c r="AJ170" s="175">
        <v>25.351844221339999</v>
      </c>
      <c r="AK170" s="175">
        <v>0</v>
      </c>
      <c r="AL170" s="175">
        <v>262.44088200778998</v>
      </c>
      <c r="AM170" s="175">
        <v>0</v>
      </c>
      <c r="AN170" s="175">
        <v>1.2271187291600001</v>
      </c>
      <c r="AO170" s="175">
        <v>0</v>
      </c>
      <c r="AP170" s="175">
        <v>6.4102315119800002</v>
      </c>
      <c r="AQ170" s="175">
        <v>0</v>
      </c>
      <c r="AR170" s="175">
        <v>0</v>
      </c>
      <c r="AS170" s="126"/>
      <c r="AT170" s="185">
        <f t="shared" si="16"/>
        <v>117369.92824823628</v>
      </c>
      <c r="AV170" s="188">
        <f t="shared" si="17"/>
        <v>289.01984495828998</v>
      </c>
      <c r="AW170" s="188">
        <f t="shared" si="18"/>
        <v>6.4102315119800002</v>
      </c>
      <c r="AX170" s="188">
        <f t="shared" si="19"/>
        <v>1658.1076760322999</v>
      </c>
      <c r="AY170" s="188">
        <f t="shared" si="21"/>
        <v>1953.5377525025699</v>
      </c>
    </row>
    <row r="171" spans="1:51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76">
        <v>0</v>
      </c>
      <c r="G171" s="175">
        <v>0</v>
      </c>
      <c r="H171" s="175">
        <v>0</v>
      </c>
      <c r="I171" s="175">
        <v>0</v>
      </c>
      <c r="J171" s="175">
        <v>0</v>
      </c>
      <c r="K171" s="175">
        <v>5536.3342333355104</v>
      </c>
      <c r="L171" s="175">
        <v>0</v>
      </c>
      <c r="M171" s="175">
        <v>0</v>
      </c>
      <c r="N171" s="175">
        <v>0</v>
      </c>
      <c r="O171" s="175">
        <v>0</v>
      </c>
      <c r="P171" s="175">
        <v>0</v>
      </c>
      <c r="Q171" s="175">
        <v>0</v>
      </c>
      <c r="R171" s="175">
        <v>1247.38880360145</v>
      </c>
      <c r="S171" s="175">
        <v>0</v>
      </c>
      <c r="T171" s="175">
        <v>0</v>
      </c>
      <c r="U171" s="175">
        <v>38817.368530689797</v>
      </c>
      <c r="V171" s="175">
        <v>19408.684265345</v>
      </c>
      <c r="W171" s="175">
        <v>0</v>
      </c>
      <c r="X171" s="175">
        <v>738.20356588222103</v>
      </c>
      <c r="Y171" s="175">
        <v>0</v>
      </c>
      <c r="Z171" s="175">
        <v>0</v>
      </c>
      <c r="AA171" s="175">
        <v>0</v>
      </c>
      <c r="AB171" s="175">
        <v>0</v>
      </c>
      <c r="AC171" s="175">
        <v>0</v>
      </c>
      <c r="AD171" s="175">
        <v>0</v>
      </c>
      <c r="AE171" s="175">
        <v>52894.991830655898</v>
      </c>
      <c r="AF171" s="175">
        <v>0</v>
      </c>
      <c r="AG171" s="175">
        <v>0</v>
      </c>
      <c r="AH171" s="175">
        <v>0</v>
      </c>
      <c r="AI171" s="175">
        <v>0</v>
      </c>
      <c r="AJ171" s="175">
        <v>6.1316121186099997</v>
      </c>
      <c r="AK171" s="175">
        <v>0</v>
      </c>
      <c r="AL171" s="175">
        <v>199.51598440167999</v>
      </c>
      <c r="AM171" s="175">
        <v>0</v>
      </c>
      <c r="AN171" s="175">
        <v>0</v>
      </c>
      <c r="AO171" s="175">
        <v>0</v>
      </c>
      <c r="AP171" s="175">
        <v>1.4277726928400001</v>
      </c>
      <c r="AQ171" s="175">
        <v>0</v>
      </c>
      <c r="AR171" s="175">
        <v>0</v>
      </c>
      <c r="AS171" s="126"/>
      <c r="AT171" s="185">
        <f t="shared" si="16"/>
        <v>118850.04659872301</v>
      </c>
      <c r="AV171" s="188">
        <f t="shared" si="17"/>
        <v>205.64759652028999</v>
      </c>
      <c r="AW171" s="188">
        <f t="shared" si="18"/>
        <v>1.4277726928400001</v>
      </c>
      <c r="AX171" s="188">
        <f t="shared" si="19"/>
        <v>738.20356588222103</v>
      </c>
      <c r="AY171" s="188">
        <f t="shared" si="21"/>
        <v>945.27893509535102</v>
      </c>
    </row>
    <row r="172" spans="1:51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76">
        <v>0</v>
      </c>
      <c r="G172" s="175">
        <v>0</v>
      </c>
      <c r="H172" s="175">
        <v>0</v>
      </c>
      <c r="I172" s="175">
        <v>0</v>
      </c>
      <c r="J172" s="175">
        <v>0</v>
      </c>
      <c r="K172" s="175">
        <v>5166.6427073895802</v>
      </c>
      <c r="L172" s="175">
        <v>0</v>
      </c>
      <c r="M172" s="175">
        <v>0</v>
      </c>
      <c r="N172" s="175">
        <v>0</v>
      </c>
      <c r="O172" s="175">
        <v>0</v>
      </c>
      <c r="P172" s="175">
        <v>0</v>
      </c>
      <c r="Q172" s="175">
        <v>0</v>
      </c>
      <c r="R172" s="175">
        <v>1380.3890507000101</v>
      </c>
      <c r="S172" s="175">
        <v>0</v>
      </c>
      <c r="T172" s="175">
        <v>0</v>
      </c>
      <c r="U172" s="175">
        <v>40318.149954772998</v>
      </c>
      <c r="V172" s="175">
        <v>20159.074977386499</v>
      </c>
      <c r="W172" s="175">
        <v>0</v>
      </c>
      <c r="X172" s="175">
        <v>751.58461415942998</v>
      </c>
      <c r="Y172" s="175">
        <v>0</v>
      </c>
      <c r="Z172" s="175">
        <v>0</v>
      </c>
      <c r="AA172" s="175">
        <v>0</v>
      </c>
      <c r="AB172" s="175">
        <v>0</v>
      </c>
      <c r="AC172" s="175">
        <v>0</v>
      </c>
      <c r="AD172" s="175">
        <v>0</v>
      </c>
      <c r="AE172" s="175">
        <v>54375.951658075697</v>
      </c>
      <c r="AF172" s="175">
        <v>0</v>
      </c>
      <c r="AG172" s="175">
        <v>0</v>
      </c>
      <c r="AH172" s="175">
        <v>0</v>
      </c>
      <c r="AI172" s="175">
        <v>0</v>
      </c>
      <c r="AJ172" s="175">
        <v>0</v>
      </c>
      <c r="AK172" s="175">
        <v>0</v>
      </c>
      <c r="AL172" s="175">
        <v>140.62294515078</v>
      </c>
      <c r="AM172" s="175">
        <v>0</v>
      </c>
      <c r="AN172" s="175">
        <v>0</v>
      </c>
      <c r="AO172" s="175">
        <v>0</v>
      </c>
      <c r="AP172" s="175">
        <v>0</v>
      </c>
      <c r="AQ172" s="175">
        <v>0</v>
      </c>
      <c r="AR172" s="175">
        <v>0</v>
      </c>
      <c r="AS172" s="126"/>
      <c r="AT172" s="185">
        <f t="shared" si="16"/>
        <v>122292.41590763499</v>
      </c>
      <c r="AV172" s="188">
        <f t="shared" si="17"/>
        <v>140.62294515078</v>
      </c>
      <c r="AW172" s="188">
        <f t="shared" si="18"/>
        <v>0</v>
      </c>
      <c r="AX172" s="188">
        <f t="shared" si="19"/>
        <v>751.58461415942998</v>
      </c>
      <c r="AY172" s="188">
        <f t="shared" si="21"/>
        <v>892.20755931020994</v>
      </c>
    </row>
    <row r="173" spans="1:51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76">
        <v>0</v>
      </c>
      <c r="G173" s="175">
        <v>0</v>
      </c>
      <c r="H173" s="175">
        <v>0</v>
      </c>
      <c r="I173" s="175">
        <v>0</v>
      </c>
      <c r="J173" s="175">
        <v>0</v>
      </c>
      <c r="K173" s="175">
        <v>4521.0951697628498</v>
      </c>
      <c r="L173" s="175">
        <v>0</v>
      </c>
      <c r="M173" s="175">
        <v>0</v>
      </c>
      <c r="N173" s="175">
        <v>0</v>
      </c>
      <c r="O173" s="175">
        <v>0</v>
      </c>
      <c r="P173" s="175">
        <v>0</v>
      </c>
      <c r="Q173" s="175">
        <v>0</v>
      </c>
      <c r="R173" s="175">
        <v>1392.47368904732</v>
      </c>
      <c r="S173" s="175">
        <v>0</v>
      </c>
      <c r="T173" s="175">
        <v>0</v>
      </c>
      <c r="U173" s="175">
        <v>39719.695184879201</v>
      </c>
      <c r="V173" s="175">
        <v>19859.847592439601</v>
      </c>
      <c r="W173" s="175">
        <v>0</v>
      </c>
      <c r="X173" s="175">
        <v>760.72714859564996</v>
      </c>
      <c r="Y173" s="175">
        <v>0</v>
      </c>
      <c r="Z173" s="175">
        <v>0</v>
      </c>
      <c r="AA173" s="175">
        <v>0</v>
      </c>
      <c r="AB173" s="175">
        <v>0</v>
      </c>
      <c r="AC173" s="175">
        <v>0</v>
      </c>
      <c r="AD173" s="175">
        <v>0</v>
      </c>
      <c r="AE173" s="175">
        <v>54477.652663426503</v>
      </c>
      <c r="AF173" s="175">
        <v>0</v>
      </c>
      <c r="AG173" s="175">
        <v>0</v>
      </c>
      <c r="AH173" s="175">
        <v>0</v>
      </c>
      <c r="AI173" s="175">
        <v>0</v>
      </c>
      <c r="AJ173" s="175">
        <v>0</v>
      </c>
      <c r="AK173" s="175">
        <v>0</v>
      </c>
      <c r="AL173" s="175">
        <v>89.721883362780005</v>
      </c>
      <c r="AM173" s="175">
        <v>0</v>
      </c>
      <c r="AN173" s="175">
        <v>0</v>
      </c>
      <c r="AO173" s="175">
        <v>0</v>
      </c>
      <c r="AP173" s="175">
        <v>0</v>
      </c>
      <c r="AQ173" s="175">
        <v>0</v>
      </c>
      <c r="AR173" s="175">
        <v>0</v>
      </c>
      <c r="AS173" s="126"/>
      <c r="AT173" s="185">
        <f t="shared" si="16"/>
        <v>120821.21333151391</v>
      </c>
      <c r="AV173" s="188">
        <f t="shared" si="17"/>
        <v>89.721883362780005</v>
      </c>
      <c r="AW173" s="188">
        <f t="shared" si="18"/>
        <v>0</v>
      </c>
      <c r="AX173" s="188">
        <f t="shared" si="19"/>
        <v>760.72714859564996</v>
      </c>
      <c r="AY173" s="188">
        <f t="shared" si="21"/>
        <v>850.44903195842994</v>
      </c>
    </row>
    <row r="174" spans="1:51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76">
        <v>0</v>
      </c>
      <c r="G174" s="175">
        <v>0</v>
      </c>
      <c r="H174" s="175">
        <v>0</v>
      </c>
      <c r="I174" s="175">
        <v>0</v>
      </c>
      <c r="J174" s="175">
        <v>0</v>
      </c>
      <c r="K174" s="175">
        <v>4330.44494892083</v>
      </c>
      <c r="L174" s="175">
        <v>0</v>
      </c>
      <c r="M174" s="175">
        <v>0</v>
      </c>
      <c r="N174" s="175">
        <v>0</v>
      </c>
      <c r="O174" s="175">
        <v>0</v>
      </c>
      <c r="P174" s="175">
        <v>0</v>
      </c>
      <c r="Q174" s="175">
        <v>0</v>
      </c>
      <c r="R174" s="175">
        <v>1547.839551818</v>
      </c>
      <c r="S174" s="175">
        <v>0</v>
      </c>
      <c r="T174" s="175">
        <v>0</v>
      </c>
      <c r="U174" s="175">
        <v>40815.107560059601</v>
      </c>
      <c r="V174" s="175">
        <v>20407.553780029899</v>
      </c>
      <c r="W174" s="175">
        <v>0</v>
      </c>
      <c r="X174" s="175">
        <v>780.32129522024002</v>
      </c>
      <c r="Y174" s="175">
        <v>0</v>
      </c>
      <c r="Z174" s="175">
        <v>0</v>
      </c>
      <c r="AA174" s="175">
        <v>0</v>
      </c>
      <c r="AB174" s="175">
        <v>0</v>
      </c>
      <c r="AC174" s="175">
        <v>0</v>
      </c>
      <c r="AD174" s="175">
        <v>0</v>
      </c>
      <c r="AE174" s="175">
        <v>56393.776743723698</v>
      </c>
      <c r="AF174" s="175">
        <v>0</v>
      </c>
      <c r="AG174" s="175">
        <v>0</v>
      </c>
      <c r="AH174" s="175">
        <v>0</v>
      </c>
      <c r="AI174" s="175">
        <v>0</v>
      </c>
      <c r="AJ174" s="175">
        <v>0</v>
      </c>
      <c r="AK174" s="175">
        <v>0</v>
      </c>
      <c r="AL174" s="175">
        <v>50.16032840882</v>
      </c>
      <c r="AM174" s="175">
        <v>0</v>
      </c>
      <c r="AN174" s="175">
        <v>0</v>
      </c>
      <c r="AO174" s="175">
        <v>0</v>
      </c>
      <c r="AP174" s="175">
        <v>0</v>
      </c>
      <c r="AQ174" s="175">
        <v>0</v>
      </c>
      <c r="AR174" s="175">
        <v>0</v>
      </c>
      <c r="AS174" s="126"/>
      <c r="AT174" s="185">
        <f t="shared" si="16"/>
        <v>124325.20420818109</v>
      </c>
      <c r="AV174" s="188">
        <f t="shared" si="17"/>
        <v>50.16032840882</v>
      </c>
      <c r="AW174" s="188">
        <f t="shared" si="18"/>
        <v>0</v>
      </c>
      <c r="AX174" s="188">
        <f t="shared" si="19"/>
        <v>780.32129522024002</v>
      </c>
      <c r="AY174" s="188">
        <f t="shared" si="21"/>
        <v>830.48162362905998</v>
      </c>
    </row>
    <row r="175" spans="1:51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76">
        <v>0</v>
      </c>
      <c r="G175" s="175">
        <v>0</v>
      </c>
      <c r="H175" s="175">
        <v>0</v>
      </c>
      <c r="I175" s="175">
        <v>0</v>
      </c>
      <c r="J175" s="175">
        <v>0</v>
      </c>
      <c r="K175" s="175">
        <v>2605.9007511710802</v>
      </c>
      <c r="L175" s="175">
        <v>0</v>
      </c>
      <c r="M175" s="175">
        <v>0</v>
      </c>
      <c r="N175" s="175">
        <v>0</v>
      </c>
      <c r="O175" s="175">
        <v>0</v>
      </c>
      <c r="P175" s="175">
        <v>0</v>
      </c>
      <c r="Q175" s="175">
        <v>0</v>
      </c>
      <c r="R175" s="175">
        <v>1681.5467202351199</v>
      </c>
      <c r="S175" s="175">
        <v>0</v>
      </c>
      <c r="T175" s="175">
        <v>0</v>
      </c>
      <c r="U175" s="175">
        <v>41179.626961340502</v>
      </c>
      <c r="V175" s="175">
        <v>20589.813480670298</v>
      </c>
      <c r="W175" s="175">
        <v>0</v>
      </c>
      <c r="X175" s="175">
        <v>791.58307035711005</v>
      </c>
      <c r="Y175" s="175">
        <v>0</v>
      </c>
      <c r="Z175" s="175">
        <v>0</v>
      </c>
      <c r="AA175" s="175">
        <v>0</v>
      </c>
      <c r="AB175" s="175">
        <v>0</v>
      </c>
      <c r="AC175" s="175">
        <v>0</v>
      </c>
      <c r="AD175" s="175">
        <v>0</v>
      </c>
      <c r="AE175" s="175">
        <v>57923.839816300897</v>
      </c>
      <c r="AF175" s="175">
        <v>0</v>
      </c>
      <c r="AG175" s="175">
        <v>0</v>
      </c>
      <c r="AH175" s="175">
        <v>0</v>
      </c>
      <c r="AI175" s="175">
        <v>0</v>
      </c>
      <c r="AJ175" s="175">
        <v>0</v>
      </c>
      <c r="AK175" s="175">
        <v>0</v>
      </c>
      <c r="AL175" s="175">
        <v>21.271908041749999</v>
      </c>
      <c r="AM175" s="175">
        <v>0</v>
      </c>
      <c r="AN175" s="175">
        <v>0</v>
      </c>
      <c r="AO175" s="175">
        <v>0</v>
      </c>
      <c r="AP175" s="175">
        <v>0</v>
      </c>
      <c r="AQ175" s="175">
        <v>0</v>
      </c>
      <c r="AR175" s="175">
        <v>0</v>
      </c>
      <c r="AS175" s="126"/>
      <c r="AT175" s="185">
        <f t="shared" si="16"/>
        <v>124793.58270811675</v>
      </c>
      <c r="AV175" s="188">
        <f t="shared" si="17"/>
        <v>21.271908041749999</v>
      </c>
      <c r="AW175" s="188">
        <f t="shared" si="18"/>
        <v>0</v>
      </c>
      <c r="AX175" s="188">
        <f t="shared" si="19"/>
        <v>791.58307035711005</v>
      </c>
      <c r="AY175" s="188">
        <f t="shared" si="21"/>
        <v>812.85497839886</v>
      </c>
    </row>
    <row r="176" spans="1:51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76">
        <v>0</v>
      </c>
      <c r="G176" s="175">
        <v>0</v>
      </c>
      <c r="H176" s="175">
        <v>0</v>
      </c>
      <c r="I176" s="175">
        <v>0</v>
      </c>
      <c r="J176" s="175">
        <v>0</v>
      </c>
      <c r="K176" s="175">
        <v>2773.8483324569402</v>
      </c>
      <c r="L176" s="175">
        <v>0</v>
      </c>
      <c r="M176" s="175">
        <v>0</v>
      </c>
      <c r="N176" s="175">
        <v>0</v>
      </c>
      <c r="O176" s="175">
        <v>0</v>
      </c>
      <c r="P176" s="175">
        <v>0</v>
      </c>
      <c r="Q176" s="175">
        <v>0</v>
      </c>
      <c r="R176" s="175">
        <v>1740.9856416243299</v>
      </c>
      <c r="S176" s="175">
        <v>0</v>
      </c>
      <c r="T176" s="175">
        <v>0</v>
      </c>
      <c r="U176" s="175">
        <v>43647.965675480002</v>
      </c>
      <c r="V176" s="175">
        <v>21823.982837740001</v>
      </c>
      <c r="W176" s="175">
        <v>0</v>
      </c>
      <c r="X176" s="175">
        <v>820.98150826381004</v>
      </c>
      <c r="Y176" s="175">
        <v>0</v>
      </c>
      <c r="Z176" s="175">
        <v>0</v>
      </c>
      <c r="AA176" s="175">
        <v>0</v>
      </c>
      <c r="AB176" s="175">
        <v>0</v>
      </c>
      <c r="AC176" s="175">
        <v>0</v>
      </c>
      <c r="AD176" s="175">
        <v>0</v>
      </c>
      <c r="AE176" s="175">
        <v>59730.3148143531</v>
      </c>
      <c r="AF176" s="175">
        <v>0</v>
      </c>
      <c r="AG176" s="175">
        <v>0</v>
      </c>
      <c r="AH176" s="175">
        <v>0</v>
      </c>
      <c r="AI176" s="175">
        <v>0</v>
      </c>
      <c r="AJ176" s="175">
        <v>0</v>
      </c>
      <c r="AK176" s="175">
        <v>0</v>
      </c>
      <c r="AL176" s="175">
        <v>4.7952414828399998</v>
      </c>
      <c r="AM176" s="175">
        <v>0</v>
      </c>
      <c r="AN176" s="175">
        <v>0</v>
      </c>
      <c r="AO176" s="175">
        <v>0</v>
      </c>
      <c r="AP176" s="175">
        <v>0</v>
      </c>
      <c r="AQ176" s="175">
        <v>0</v>
      </c>
      <c r="AR176" s="175">
        <v>0</v>
      </c>
      <c r="AS176" s="126"/>
      <c r="AT176" s="185">
        <f t="shared" si="16"/>
        <v>130542.87405140103</v>
      </c>
      <c r="AV176" s="188">
        <f t="shared" si="17"/>
        <v>4.7952414828399998</v>
      </c>
      <c r="AW176" s="188">
        <f t="shared" si="18"/>
        <v>0</v>
      </c>
      <c r="AX176" s="188">
        <f t="shared" si="19"/>
        <v>820.98150826381004</v>
      </c>
      <c r="AY176" s="188">
        <f t="shared" si="21"/>
        <v>825.77674974665001</v>
      </c>
    </row>
    <row r="177" spans="1:54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76">
        <v>0</v>
      </c>
      <c r="G177" s="175">
        <v>0</v>
      </c>
      <c r="H177" s="175">
        <v>0</v>
      </c>
      <c r="I177" s="175">
        <v>0</v>
      </c>
      <c r="J177" s="175">
        <v>0</v>
      </c>
      <c r="K177" s="175">
        <v>2007.24380721753</v>
      </c>
      <c r="L177" s="175">
        <v>0</v>
      </c>
      <c r="M177" s="175">
        <v>0</v>
      </c>
      <c r="N177" s="175">
        <v>0</v>
      </c>
      <c r="O177" s="175">
        <v>0</v>
      </c>
      <c r="P177" s="175">
        <v>0</v>
      </c>
      <c r="Q177" s="175">
        <v>0</v>
      </c>
      <c r="R177" s="175">
        <v>1885.8192840821901</v>
      </c>
      <c r="S177" s="175">
        <v>0</v>
      </c>
      <c r="T177" s="175">
        <v>0</v>
      </c>
      <c r="U177" s="175">
        <v>43099.203325109404</v>
      </c>
      <c r="V177" s="175">
        <v>21549.601662554502</v>
      </c>
      <c r="W177" s="175">
        <v>0</v>
      </c>
      <c r="X177" s="175">
        <v>835.14499184552903</v>
      </c>
      <c r="Y177" s="175">
        <v>0</v>
      </c>
      <c r="Z177" s="175">
        <v>0</v>
      </c>
      <c r="AA177" s="175">
        <v>0</v>
      </c>
      <c r="AB177" s="175">
        <v>0</v>
      </c>
      <c r="AC177" s="175">
        <v>0</v>
      </c>
      <c r="AD177" s="175">
        <v>0</v>
      </c>
      <c r="AE177" s="175">
        <v>60961.521843774797</v>
      </c>
      <c r="AF177" s="175">
        <v>0</v>
      </c>
      <c r="AG177" s="175">
        <v>0</v>
      </c>
      <c r="AH177" s="175">
        <v>0</v>
      </c>
      <c r="AI177" s="175">
        <v>0</v>
      </c>
      <c r="AJ177" s="175">
        <v>0</v>
      </c>
      <c r="AK177" s="175">
        <v>0</v>
      </c>
      <c r="AL177" s="175">
        <v>0</v>
      </c>
      <c r="AM177" s="175">
        <v>0</v>
      </c>
      <c r="AN177" s="175">
        <v>0</v>
      </c>
      <c r="AO177" s="175">
        <v>0</v>
      </c>
      <c r="AP177" s="175">
        <v>0</v>
      </c>
      <c r="AQ177" s="175">
        <v>0</v>
      </c>
      <c r="AR177" s="175">
        <v>0</v>
      </c>
      <c r="AS177" s="126"/>
      <c r="AT177" s="185">
        <f t="shared" si="16"/>
        <v>130338.53491458396</v>
      </c>
      <c r="AV177" s="188">
        <f t="shared" si="17"/>
        <v>0</v>
      </c>
      <c r="AW177" s="188">
        <f t="shared" si="18"/>
        <v>0</v>
      </c>
      <c r="AX177" s="188">
        <f t="shared" si="19"/>
        <v>835.14499184552903</v>
      </c>
      <c r="AY177" s="188">
        <f t="shared" si="21"/>
        <v>835.14499184552903</v>
      </c>
    </row>
    <row r="178" spans="1:54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76">
        <v>0</v>
      </c>
      <c r="G178" s="175">
        <v>0</v>
      </c>
      <c r="H178" s="175">
        <v>0</v>
      </c>
      <c r="I178" s="175">
        <v>0</v>
      </c>
      <c r="J178" s="175">
        <v>0</v>
      </c>
      <c r="K178" s="175">
        <v>1585.4525230490599</v>
      </c>
      <c r="L178" s="175">
        <v>0</v>
      </c>
      <c r="M178" s="175">
        <v>0</v>
      </c>
      <c r="N178" s="175">
        <v>0</v>
      </c>
      <c r="O178" s="175">
        <v>0</v>
      </c>
      <c r="P178" s="175">
        <v>0</v>
      </c>
      <c r="Q178" s="175">
        <v>0</v>
      </c>
      <c r="R178" s="175">
        <v>2062.9369976937901</v>
      </c>
      <c r="S178" s="175">
        <v>0</v>
      </c>
      <c r="T178" s="175">
        <v>0</v>
      </c>
      <c r="U178" s="175">
        <v>44210.677307993203</v>
      </c>
      <c r="V178" s="175">
        <v>22105.338653996499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B178" s="175">
        <v>0</v>
      </c>
      <c r="AC178" s="175">
        <v>0</v>
      </c>
      <c r="AD178" s="175">
        <v>0</v>
      </c>
      <c r="AE178" s="175">
        <v>62515.056456708902</v>
      </c>
      <c r="AF178" s="175">
        <v>0</v>
      </c>
      <c r="AG178" s="175">
        <v>0</v>
      </c>
      <c r="AH178" s="175">
        <v>0</v>
      </c>
      <c r="AI178" s="175">
        <v>0</v>
      </c>
      <c r="AJ178" s="175">
        <v>0</v>
      </c>
      <c r="AK178" s="175">
        <v>0</v>
      </c>
      <c r="AL178" s="175">
        <v>0</v>
      </c>
      <c r="AM178" s="175">
        <v>0</v>
      </c>
      <c r="AN178" s="175">
        <v>0</v>
      </c>
      <c r="AO178" s="175">
        <v>0</v>
      </c>
      <c r="AP178" s="175">
        <v>0</v>
      </c>
      <c r="AQ178" s="175">
        <v>0</v>
      </c>
      <c r="AR178" s="175">
        <v>0</v>
      </c>
      <c r="AS178" s="126"/>
      <c r="AT178" s="185">
        <f t="shared" si="16"/>
        <v>132479.46193944145</v>
      </c>
      <c r="AV178" s="188">
        <f t="shared" si="17"/>
        <v>0</v>
      </c>
      <c r="AW178" s="188">
        <f t="shared" si="18"/>
        <v>0</v>
      </c>
      <c r="AX178" s="188">
        <f t="shared" si="19"/>
        <v>0</v>
      </c>
      <c r="AY178" s="188">
        <f t="shared" si="21"/>
        <v>0</v>
      </c>
    </row>
    <row r="179" spans="1:54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76">
        <v>0</v>
      </c>
      <c r="G179" s="175">
        <v>0</v>
      </c>
      <c r="H179" s="175">
        <v>0</v>
      </c>
      <c r="I179" s="175">
        <v>0</v>
      </c>
      <c r="J179" s="175">
        <v>0</v>
      </c>
      <c r="K179" s="175">
        <v>2028.1966825900599</v>
      </c>
      <c r="L179" s="175">
        <v>0</v>
      </c>
      <c r="M179" s="175">
        <v>0</v>
      </c>
      <c r="N179" s="175">
        <v>0</v>
      </c>
      <c r="O179" s="175">
        <v>0</v>
      </c>
      <c r="P179" s="175">
        <v>0</v>
      </c>
      <c r="Q179" s="175">
        <v>0</v>
      </c>
      <c r="R179" s="175">
        <v>2250.6081632606101</v>
      </c>
      <c r="S179" s="175">
        <v>0</v>
      </c>
      <c r="T179" s="175">
        <v>0</v>
      </c>
      <c r="U179" s="175">
        <v>45369.0772969108</v>
      </c>
      <c r="V179" s="175">
        <v>22684.5386484554</v>
      </c>
      <c r="W179" s="175">
        <v>0</v>
      </c>
      <c r="X179" s="175">
        <v>0</v>
      </c>
      <c r="Y179" s="175">
        <v>0</v>
      </c>
      <c r="Z179" s="175">
        <v>0</v>
      </c>
      <c r="AA179" s="175">
        <v>0</v>
      </c>
      <c r="AB179" s="175">
        <v>0</v>
      </c>
      <c r="AC179" s="175">
        <v>0</v>
      </c>
      <c r="AD179" s="175">
        <v>0</v>
      </c>
      <c r="AE179" s="175">
        <v>63767.4559739537</v>
      </c>
      <c r="AF179" s="175">
        <v>0</v>
      </c>
      <c r="AG179" s="175">
        <v>0</v>
      </c>
      <c r="AH179" s="175">
        <v>0</v>
      </c>
      <c r="AI179" s="175">
        <v>0</v>
      </c>
      <c r="AJ179" s="175">
        <v>0</v>
      </c>
      <c r="AK179" s="175">
        <v>0</v>
      </c>
      <c r="AL179" s="175">
        <v>0</v>
      </c>
      <c r="AM179" s="175">
        <v>0</v>
      </c>
      <c r="AN179" s="175">
        <v>0</v>
      </c>
      <c r="AO179" s="175">
        <v>0</v>
      </c>
      <c r="AP179" s="175">
        <v>0</v>
      </c>
      <c r="AQ179" s="175">
        <v>0</v>
      </c>
      <c r="AR179" s="175">
        <v>0</v>
      </c>
      <c r="AS179" s="126"/>
      <c r="AT179" s="185">
        <f t="shared" si="16"/>
        <v>136099.87676517057</v>
      </c>
      <c r="AV179" s="188">
        <f t="shared" si="17"/>
        <v>0</v>
      </c>
      <c r="AW179" s="188">
        <f t="shared" si="18"/>
        <v>0</v>
      </c>
      <c r="AX179" s="188">
        <f t="shared" si="19"/>
        <v>0</v>
      </c>
      <c r="AY179" s="188">
        <f t="shared" si="21"/>
        <v>0</v>
      </c>
    </row>
    <row r="180" spans="1:54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76">
        <v>0</v>
      </c>
      <c r="G180" s="175">
        <v>0</v>
      </c>
      <c r="H180" s="175">
        <v>0</v>
      </c>
      <c r="I180" s="175">
        <v>0</v>
      </c>
      <c r="J180" s="175">
        <v>0</v>
      </c>
      <c r="K180" s="175">
        <v>1773.27838699214</v>
      </c>
      <c r="L180" s="175">
        <v>0</v>
      </c>
      <c r="M180" s="175">
        <v>0</v>
      </c>
      <c r="N180" s="175">
        <v>0</v>
      </c>
      <c r="O180" s="175">
        <v>0</v>
      </c>
      <c r="P180" s="175">
        <v>0</v>
      </c>
      <c r="Q180" s="175">
        <v>0</v>
      </c>
      <c r="R180" s="175">
        <v>2438.38941049906</v>
      </c>
      <c r="S180" s="175">
        <v>0</v>
      </c>
      <c r="T180" s="175">
        <v>0</v>
      </c>
      <c r="U180" s="175">
        <v>47507.585741455703</v>
      </c>
      <c r="V180" s="175">
        <v>23753.792870727899</v>
      </c>
      <c r="W180" s="175">
        <v>0</v>
      </c>
      <c r="X180" s="175">
        <v>0</v>
      </c>
      <c r="Y180" s="175">
        <v>0</v>
      </c>
      <c r="Z180" s="175">
        <v>0</v>
      </c>
      <c r="AA180" s="175">
        <v>0</v>
      </c>
      <c r="AB180" s="175">
        <v>0</v>
      </c>
      <c r="AC180" s="175">
        <v>0</v>
      </c>
      <c r="AD180" s="175">
        <v>0</v>
      </c>
      <c r="AE180" s="175">
        <v>66130.376518578603</v>
      </c>
      <c r="AF180" s="175">
        <v>0</v>
      </c>
      <c r="AG180" s="175">
        <v>0</v>
      </c>
      <c r="AH180" s="175">
        <v>0</v>
      </c>
      <c r="AI180" s="175">
        <v>0</v>
      </c>
      <c r="AJ180" s="175">
        <v>0</v>
      </c>
      <c r="AK180" s="175">
        <v>0</v>
      </c>
      <c r="AL180" s="175">
        <v>0</v>
      </c>
      <c r="AM180" s="175">
        <v>0</v>
      </c>
      <c r="AN180" s="175">
        <v>0</v>
      </c>
      <c r="AO180" s="175">
        <v>0</v>
      </c>
      <c r="AP180" s="175">
        <v>0</v>
      </c>
      <c r="AQ180" s="175">
        <v>0</v>
      </c>
      <c r="AR180" s="175">
        <v>0</v>
      </c>
      <c r="AS180" s="126"/>
      <c r="AT180" s="185">
        <f t="shared" si="16"/>
        <v>141603.42292825342</v>
      </c>
      <c r="AV180" s="188">
        <f t="shared" si="17"/>
        <v>0</v>
      </c>
      <c r="AW180" s="188">
        <f t="shared" si="18"/>
        <v>0</v>
      </c>
      <c r="AX180" s="188">
        <f t="shared" si="19"/>
        <v>0</v>
      </c>
      <c r="AY180" s="188">
        <f t="shared" si="21"/>
        <v>0</v>
      </c>
    </row>
    <row r="181" spans="1:54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76">
        <v>0</v>
      </c>
      <c r="G181" s="175">
        <v>0</v>
      </c>
      <c r="H181" s="175">
        <v>0</v>
      </c>
      <c r="I181" s="175">
        <v>0</v>
      </c>
      <c r="J181" s="175">
        <v>0</v>
      </c>
      <c r="K181" s="175">
        <v>1707.0033592058501</v>
      </c>
      <c r="L181" s="175">
        <v>0</v>
      </c>
      <c r="M181" s="175">
        <v>0</v>
      </c>
      <c r="N181" s="175">
        <v>0</v>
      </c>
      <c r="O181" s="175">
        <v>0</v>
      </c>
      <c r="P181" s="175">
        <v>0</v>
      </c>
      <c r="Q181" s="175">
        <v>0</v>
      </c>
      <c r="R181" s="175">
        <v>2453.2739010482201</v>
      </c>
      <c r="S181" s="175">
        <v>0</v>
      </c>
      <c r="T181" s="175">
        <v>0</v>
      </c>
      <c r="U181" s="175">
        <v>46755.158998745901</v>
      </c>
      <c r="V181" s="175">
        <v>23377.5794993729</v>
      </c>
      <c r="W181" s="175">
        <v>0</v>
      </c>
      <c r="X181" s="175">
        <v>0</v>
      </c>
      <c r="Y181" s="175">
        <v>0</v>
      </c>
      <c r="Z181" s="175">
        <v>0</v>
      </c>
      <c r="AA181" s="175">
        <v>0</v>
      </c>
      <c r="AB181" s="175">
        <v>0</v>
      </c>
      <c r="AC181" s="175">
        <v>0</v>
      </c>
      <c r="AD181" s="175">
        <v>0</v>
      </c>
      <c r="AE181" s="175">
        <v>66744.565931067496</v>
      </c>
      <c r="AF181" s="175">
        <v>0</v>
      </c>
      <c r="AG181" s="175">
        <v>0</v>
      </c>
      <c r="AH181" s="175">
        <v>0</v>
      </c>
      <c r="AI181" s="175">
        <v>0</v>
      </c>
      <c r="AJ181" s="175">
        <v>0</v>
      </c>
      <c r="AK181" s="175">
        <v>0</v>
      </c>
      <c r="AL181" s="175">
        <v>0</v>
      </c>
      <c r="AM181" s="175">
        <v>0</v>
      </c>
      <c r="AN181" s="175">
        <v>0</v>
      </c>
      <c r="AO181" s="175">
        <v>0</v>
      </c>
      <c r="AP181" s="175">
        <v>0</v>
      </c>
      <c r="AQ181" s="175">
        <v>0</v>
      </c>
      <c r="AR181" s="175">
        <v>0</v>
      </c>
      <c r="AS181" s="126"/>
      <c r="AT181" s="185">
        <f t="shared" si="16"/>
        <v>141037.58168944035</v>
      </c>
      <c r="AV181" s="188">
        <f t="shared" si="17"/>
        <v>0</v>
      </c>
      <c r="AW181" s="188">
        <f t="shared" si="18"/>
        <v>0</v>
      </c>
      <c r="AX181" s="188">
        <f t="shared" si="19"/>
        <v>0</v>
      </c>
      <c r="AY181" s="188">
        <f t="shared" si="21"/>
        <v>0</v>
      </c>
    </row>
    <row r="182" spans="1:54">
      <c r="A182" s="174" t="s">
        <v>98</v>
      </c>
      <c r="B182" s="174" t="s">
        <v>25</v>
      </c>
      <c r="C182" s="174" t="s">
        <v>28</v>
      </c>
      <c r="D182" s="175">
        <v>1</v>
      </c>
      <c r="E182" s="174">
        <v>2020</v>
      </c>
      <c r="F182" s="174" t="s">
        <v>18</v>
      </c>
      <c r="G182" s="175">
        <v>1302</v>
      </c>
      <c r="H182" s="175">
        <v>0</v>
      </c>
      <c r="I182" s="175">
        <v>0</v>
      </c>
      <c r="J182" s="175">
        <v>0</v>
      </c>
      <c r="K182" s="175">
        <v>0</v>
      </c>
      <c r="L182" s="175">
        <v>0</v>
      </c>
      <c r="M182" s="175">
        <v>0</v>
      </c>
      <c r="N182" s="175">
        <v>0</v>
      </c>
      <c r="O182" s="175">
        <v>0</v>
      </c>
      <c r="P182" s="175">
        <v>0</v>
      </c>
      <c r="Q182" s="175">
        <v>0</v>
      </c>
      <c r="R182" s="175">
        <v>0</v>
      </c>
      <c r="S182" s="175">
        <v>0</v>
      </c>
      <c r="T182" s="175">
        <v>0</v>
      </c>
      <c r="U182" s="175">
        <v>0</v>
      </c>
      <c r="V182" s="175">
        <v>0</v>
      </c>
      <c r="W182" s="175">
        <v>0</v>
      </c>
      <c r="X182" s="175">
        <v>0</v>
      </c>
      <c r="Y182" s="175">
        <v>0</v>
      </c>
      <c r="Z182" s="175">
        <v>0</v>
      </c>
      <c r="AA182" s="175">
        <v>0</v>
      </c>
      <c r="AB182" s="175">
        <v>0</v>
      </c>
      <c r="AC182" s="175">
        <v>0</v>
      </c>
      <c r="AD182" s="175">
        <v>0</v>
      </c>
      <c r="AE182" s="175">
        <v>0</v>
      </c>
      <c r="AF182" s="175">
        <v>0</v>
      </c>
      <c r="AG182" s="175">
        <v>0</v>
      </c>
      <c r="AH182" s="175">
        <v>0</v>
      </c>
      <c r="AI182" s="175">
        <v>0</v>
      </c>
      <c r="AJ182" s="175">
        <v>0</v>
      </c>
      <c r="AK182" s="175">
        <v>0</v>
      </c>
      <c r="AL182" s="175">
        <v>0</v>
      </c>
      <c r="AM182" s="175">
        <v>0</v>
      </c>
      <c r="AN182" s="175">
        <v>0</v>
      </c>
      <c r="AO182" s="175">
        <v>0</v>
      </c>
      <c r="AP182" s="175">
        <v>0</v>
      </c>
      <c r="AQ182" s="175">
        <v>0</v>
      </c>
      <c r="AR182" s="175">
        <v>0</v>
      </c>
      <c r="AS182" s="126"/>
      <c r="AT182" s="185">
        <f t="shared" si="16"/>
        <v>1302</v>
      </c>
      <c r="AV182" s="188">
        <f>SUM(AG182:AN182)</f>
        <v>0</v>
      </c>
      <c r="AW182" s="188">
        <f>SUM(AO182:AR182)</f>
        <v>0</v>
      </c>
      <c r="AX182" s="188">
        <f>SUM(W182:AD182)</f>
        <v>0</v>
      </c>
      <c r="AY182" s="188">
        <f>AV182+AW182</f>
        <v>0</v>
      </c>
      <c r="AZ182" s="280">
        <f>SUM(AE182:AF182)</f>
        <v>0</v>
      </c>
      <c r="BA182" s="280">
        <f>SUM(U182:V182)</f>
        <v>0</v>
      </c>
      <c r="BB182" s="280">
        <f>Q182</f>
        <v>0</v>
      </c>
    </row>
    <row r="183" spans="1:54">
      <c r="A183" s="174" t="s">
        <v>98</v>
      </c>
      <c r="B183" s="174" t="s">
        <v>25</v>
      </c>
      <c r="C183" s="174" t="s">
        <v>28</v>
      </c>
      <c r="D183" s="175">
        <v>1</v>
      </c>
      <c r="E183" s="174">
        <v>2021</v>
      </c>
      <c r="F183" s="174" t="s">
        <v>18</v>
      </c>
      <c r="G183" s="175">
        <v>1302</v>
      </c>
      <c r="H183" s="175">
        <v>0</v>
      </c>
      <c r="I183" s="175">
        <v>0</v>
      </c>
      <c r="J183" s="175">
        <v>0</v>
      </c>
      <c r="K183" s="175">
        <v>0</v>
      </c>
      <c r="L183" s="175">
        <v>0</v>
      </c>
      <c r="M183" s="175">
        <v>0</v>
      </c>
      <c r="N183" s="175">
        <v>0</v>
      </c>
      <c r="O183" s="175">
        <v>0</v>
      </c>
      <c r="P183" s="175">
        <v>0</v>
      </c>
      <c r="Q183" s="175">
        <v>0</v>
      </c>
      <c r="R183" s="175">
        <v>0</v>
      </c>
      <c r="S183" s="175">
        <v>0</v>
      </c>
      <c r="T183" s="175">
        <v>0</v>
      </c>
      <c r="U183" s="175">
        <v>0</v>
      </c>
      <c r="V183" s="175">
        <v>0</v>
      </c>
      <c r="W183" s="175">
        <v>0</v>
      </c>
      <c r="X183" s="175">
        <v>0</v>
      </c>
      <c r="Y183" s="175">
        <v>0</v>
      </c>
      <c r="Z183" s="175">
        <v>0</v>
      </c>
      <c r="AA183" s="175">
        <v>0</v>
      </c>
      <c r="AB183" s="175">
        <v>0</v>
      </c>
      <c r="AC183" s="175">
        <v>0</v>
      </c>
      <c r="AD183" s="175">
        <v>0</v>
      </c>
      <c r="AE183" s="175">
        <v>0</v>
      </c>
      <c r="AF183" s="175">
        <v>0</v>
      </c>
      <c r="AG183" s="175">
        <v>0</v>
      </c>
      <c r="AH183" s="175">
        <v>0</v>
      </c>
      <c r="AI183" s="175">
        <v>0</v>
      </c>
      <c r="AJ183" s="175">
        <v>0</v>
      </c>
      <c r="AK183" s="175">
        <v>0</v>
      </c>
      <c r="AL183" s="175">
        <v>0</v>
      </c>
      <c r="AM183" s="175">
        <v>0</v>
      </c>
      <c r="AN183" s="175">
        <v>0</v>
      </c>
      <c r="AO183" s="175">
        <v>0</v>
      </c>
      <c r="AP183" s="175">
        <v>0</v>
      </c>
      <c r="AQ183" s="175">
        <v>0</v>
      </c>
      <c r="AR183" s="175">
        <v>0</v>
      </c>
      <c r="AS183" s="126"/>
      <c r="AT183" s="185">
        <f t="shared" si="16"/>
        <v>1302</v>
      </c>
      <c r="AV183" s="188">
        <f t="shared" ref="AV183:AV211" si="22">SUM(AG183:AN183)</f>
        <v>0</v>
      </c>
      <c r="AW183" s="188">
        <f t="shared" ref="AW183:AW211" si="23">SUM(AO183:AR183)</f>
        <v>0</v>
      </c>
      <c r="AX183" s="188">
        <f t="shared" ref="AX183:AX211" si="24">SUM(W183:AD183)</f>
        <v>0</v>
      </c>
      <c r="AY183" s="188">
        <f t="shared" ref="AY183:AY184" si="25">AV183+AW183</f>
        <v>0</v>
      </c>
      <c r="AZ183" s="280">
        <f t="shared" ref="AZ183:AZ211" si="26">SUM(AE183:AF183)</f>
        <v>0</v>
      </c>
      <c r="BA183" s="280">
        <f t="shared" ref="BA183:BA211" si="27">SUM(U183:V183)</f>
        <v>0</v>
      </c>
      <c r="BB183" s="280">
        <f t="shared" ref="BB183:BB211" si="28">Q183</f>
        <v>0</v>
      </c>
    </row>
    <row r="184" spans="1:54">
      <c r="A184" s="174" t="s">
        <v>98</v>
      </c>
      <c r="B184" s="174" t="s">
        <v>25</v>
      </c>
      <c r="C184" s="174" t="s">
        <v>28</v>
      </c>
      <c r="D184" s="175">
        <v>1</v>
      </c>
      <c r="E184" s="174">
        <v>2022</v>
      </c>
      <c r="F184" s="174" t="s">
        <v>18</v>
      </c>
      <c r="G184" s="175">
        <v>935.22</v>
      </c>
      <c r="H184" s="175">
        <v>0</v>
      </c>
      <c r="I184" s="175">
        <v>0</v>
      </c>
      <c r="J184" s="175">
        <v>0</v>
      </c>
      <c r="K184" s="175">
        <v>0</v>
      </c>
      <c r="L184" s="175">
        <v>0</v>
      </c>
      <c r="M184" s="175">
        <v>0</v>
      </c>
      <c r="N184" s="175">
        <v>0</v>
      </c>
      <c r="O184" s="175">
        <v>0</v>
      </c>
      <c r="P184" s="175">
        <v>0</v>
      </c>
      <c r="Q184" s="175">
        <v>150</v>
      </c>
      <c r="R184" s="175">
        <v>0</v>
      </c>
      <c r="S184" s="175">
        <v>0</v>
      </c>
      <c r="T184" s="175">
        <v>0</v>
      </c>
      <c r="U184" s="175">
        <v>0</v>
      </c>
      <c r="V184" s="175">
        <v>0</v>
      </c>
      <c r="W184" s="175">
        <v>0</v>
      </c>
      <c r="X184" s="175">
        <v>0</v>
      </c>
      <c r="Y184" s="175">
        <v>0</v>
      </c>
      <c r="Z184" s="175">
        <v>0</v>
      </c>
      <c r="AA184" s="175">
        <v>0</v>
      </c>
      <c r="AB184" s="175">
        <v>0</v>
      </c>
      <c r="AC184" s="175">
        <v>0</v>
      </c>
      <c r="AD184" s="175">
        <v>0</v>
      </c>
      <c r="AE184" s="175">
        <v>0</v>
      </c>
      <c r="AF184" s="175">
        <v>0</v>
      </c>
      <c r="AG184" s="175">
        <v>0</v>
      </c>
      <c r="AH184" s="175">
        <v>0.27616960000000002</v>
      </c>
      <c r="AI184" s="175">
        <v>0</v>
      </c>
      <c r="AJ184" s="175">
        <v>0</v>
      </c>
      <c r="AK184" s="175">
        <v>0</v>
      </c>
      <c r="AL184" s="175">
        <v>0</v>
      </c>
      <c r="AM184" s="175">
        <v>0</v>
      </c>
      <c r="AN184" s="175">
        <v>0</v>
      </c>
      <c r="AO184" s="175">
        <v>1.4311032800000001</v>
      </c>
      <c r="AP184" s="175">
        <v>0</v>
      </c>
      <c r="AQ184" s="175">
        <v>0.17888791000000001</v>
      </c>
      <c r="AR184" s="175">
        <v>0.35777582000000002</v>
      </c>
      <c r="AS184" s="126"/>
      <c r="AT184" s="185">
        <f t="shared" si="16"/>
        <v>1087.4639366099998</v>
      </c>
      <c r="AV184" s="188">
        <f t="shared" si="22"/>
        <v>0.27616960000000002</v>
      </c>
      <c r="AW184" s="188">
        <f t="shared" si="23"/>
        <v>1.9677670100000002</v>
      </c>
      <c r="AX184" s="188">
        <f t="shared" si="24"/>
        <v>0</v>
      </c>
      <c r="AY184" s="188">
        <f t="shared" si="25"/>
        <v>2.2439366100000004</v>
      </c>
      <c r="AZ184" s="280">
        <f t="shared" si="26"/>
        <v>0</v>
      </c>
      <c r="BA184" s="280">
        <f t="shared" si="27"/>
        <v>0</v>
      </c>
      <c r="BB184" s="280">
        <f t="shared" si="28"/>
        <v>150</v>
      </c>
    </row>
    <row r="185" spans="1:54">
      <c r="A185" s="174" t="s">
        <v>98</v>
      </c>
      <c r="B185" s="174" t="s">
        <v>25</v>
      </c>
      <c r="C185" s="174" t="s">
        <v>28</v>
      </c>
      <c r="D185" s="175">
        <v>1</v>
      </c>
      <c r="E185" s="174">
        <v>2023</v>
      </c>
      <c r="F185" s="174" t="s">
        <v>18</v>
      </c>
      <c r="G185" s="175">
        <v>935.22</v>
      </c>
      <c r="H185" s="175">
        <v>0</v>
      </c>
      <c r="I185" s="175">
        <v>0</v>
      </c>
      <c r="J185" s="175">
        <v>0</v>
      </c>
      <c r="K185" s="175">
        <v>0</v>
      </c>
      <c r="L185" s="175">
        <v>0</v>
      </c>
      <c r="M185" s="175">
        <v>0</v>
      </c>
      <c r="N185" s="175">
        <v>0</v>
      </c>
      <c r="O185" s="175">
        <v>0</v>
      </c>
      <c r="P185" s="175">
        <v>0</v>
      </c>
      <c r="Q185" s="175">
        <v>100</v>
      </c>
      <c r="R185" s="175">
        <v>1.022</v>
      </c>
      <c r="S185" s="175">
        <v>0</v>
      </c>
      <c r="T185" s="175">
        <v>0</v>
      </c>
      <c r="U185" s="175">
        <v>51.712000000000003</v>
      </c>
      <c r="V185" s="175">
        <v>0</v>
      </c>
      <c r="W185" s="175">
        <v>0</v>
      </c>
      <c r="X185" s="175">
        <v>0</v>
      </c>
      <c r="Y185" s="175">
        <v>0</v>
      </c>
      <c r="Z185" s="175">
        <v>0</v>
      </c>
      <c r="AA185" s="175">
        <v>0</v>
      </c>
      <c r="AB185" s="175">
        <v>0</v>
      </c>
      <c r="AC185" s="175">
        <v>0</v>
      </c>
      <c r="AD185" s="175">
        <v>0</v>
      </c>
      <c r="AE185" s="175">
        <v>0</v>
      </c>
      <c r="AF185" s="175">
        <v>0</v>
      </c>
      <c r="AG185" s="175">
        <v>0</v>
      </c>
      <c r="AH185" s="175">
        <v>0.51176080000000002</v>
      </c>
      <c r="AI185" s="175">
        <v>0</v>
      </c>
      <c r="AJ185" s="175">
        <v>0</v>
      </c>
      <c r="AK185" s="175">
        <v>0</v>
      </c>
      <c r="AL185" s="175">
        <v>0</v>
      </c>
      <c r="AM185" s="175">
        <v>0</v>
      </c>
      <c r="AN185" s="175">
        <v>0</v>
      </c>
      <c r="AO185" s="175">
        <v>2.6732780799999998</v>
      </c>
      <c r="AP185" s="175">
        <v>0</v>
      </c>
      <c r="AQ185" s="175">
        <v>0.32049122000000002</v>
      </c>
      <c r="AR185" s="175">
        <v>0.64098244000000004</v>
      </c>
      <c r="AS185" s="126"/>
      <c r="AT185" s="185">
        <f t="shared" si="16"/>
        <v>1092.10051254</v>
      </c>
      <c r="AV185" s="188">
        <f t="shared" si="22"/>
        <v>0.51176080000000002</v>
      </c>
      <c r="AW185" s="188">
        <f t="shared" si="23"/>
        <v>3.63475174</v>
      </c>
      <c r="AX185" s="188">
        <f t="shared" si="24"/>
        <v>0</v>
      </c>
      <c r="AY185" s="188">
        <f>AV185+AW185+AX185</f>
        <v>4.1465125399999998</v>
      </c>
      <c r="AZ185" s="280">
        <f t="shared" si="26"/>
        <v>0</v>
      </c>
      <c r="BA185" s="280">
        <f t="shared" si="27"/>
        <v>51.712000000000003</v>
      </c>
      <c r="BB185" s="280">
        <f t="shared" si="28"/>
        <v>100</v>
      </c>
    </row>
    <row r="186" spans="1:54">
      <c r="A186" s="174" t="s">
        <v>98</v>
      </c>
      <c r="B186" s="174" t="s">
        <v>25</v>
      </c>
      <c r="C186" s="174" t="s">
        <v>28</v>
      </c>
      <c r="D186" s="175">
        <v>1</v>
      </c>
      <c r="E186" s="174">
        <v>2024</v>
      </c>
      <c r="F186" s="174" t="s">
        <v>18</v>
      </c>
      <c r="G186" s="175">
        <v>935.22</v>
      </c>
      <c r="H186" s="175">
        <v>0</v>
      </c>
      <c r="I186" s="175">
        <v>0</v>
      </c>
      <c r="J186" s="175">
        <v>0</v>
      </c>
      <c r="K186" s="175">
        <v>0</v>
      </c>
      <c r="L186" s="175">
        <v>0</v>
      </c>
      <c r="M186" s="175">
        <v>0</v>
      </c>
      <c r="N186" s="175">
        <v>0</v>
      </c>
      <c r="O186" s="175">
        <v>0</v>
      </c>
      <c r="P186" s="175">
        <v>0</v>
      </c>
      <c r="Q186" s="175">
        <v>0</v>
      </c>
      <c r="R186" s="175">
        <v>1.5329999999999999</v>
      </c>
      <c r="S186" s="175">
        <v>0</v>
      </c>
      <c r="T186" s="175">
        <v>0</v>
      </c>
      <c r="U186" s="175">
        <v>103.42400000000001</v>
      </c>
      <c r="V186" s="175">
        <v>25.856000000000002</v>
      </c>
      <c r="W186" s="175">
        <v>4.2698</v>
      </c>
      <c r="X186" s="175">
        <v>0</v>
      </c>
      <c r="Y186" s="175">
        <v>0</v>
      </c>
      <c r="Z186" s="175">
        <v>0</v>
      </c>
      <c r="AA186" s="175">
        <v>0</v>
      </c>
      <c r="AB186" s="175">
        <v>0</v>
      </c>
      <c r="AC186" s="175">
        <v>0</v>
      </c>
      <c r="AD186" s="175">
        <v>0</v>
      </c>
      <c r="AE186" s="175">
        <v>0</v>
      </c>
      <c r="AF186" s="175">
        <v>0</v>
      </c>
      <c r="AG186" s="175">
        <v>0</v>
      </c>
      <c r="AH186" s="175">
        <v>0.74846111999999998</v>
      </c>
      <c r="AI186" s="175">
        <v>0</v>
      </c>
      <c r="AJ186" s="175">
        <v>0</v>
      </c>
      <c r="AK186" s="175">
        <v>0</v>
      </c>
      <c r="AL186" s="175">
        <v>0</v>
      </c>
      <c r="AM186" s="175">
        <v>0</v>
      </c>
      <c r="AN186" s="175">
        <v>0</v>
      </c>
      <c r="AO186" s="175">
        <v>3.7901699999999998</v>
      </c>
      <c r="AP186" s="175">
        <v>0</v>
      </c>
      <c r="AQ186" s="175">
        <v>0.40933836000000001</v>
      </c>
      <c r="AR186" s="175">
        <v>0.81867672000000002</v>
      </c>
      <c r="AS186" s="126"/>
      <c r="AT186" s="185">
        <f t="shared" si="16"/>
        <v>1076.0694462000001</v>
      </c>
      <c r="AV186" s="188">
        <f t="shared" si="22"/>
        <v>0.74846111999999998</v>
      </c>
      <c r="AW186" s="188">
        <f t="shared" si="23"/>
        <v>5.0181850799999994</v>
      </c>
      <c r="AX186" s="188">
        <f t="shared" si="24"/>
        <v>4.2698</v>
      </c>
      <c r="AY186" s="188">
        <f t="shared" ref="AY186:AY211" si="29">AV186+AW186+AX186</f>
        <v>10.0364462</v>
      </c>
      <c r="AZ186" s="280">
        <f t="shared" si="26"/>
        <v>0</v>
      </c>
      <c r="BA186" s="280">
        <f t="shared" si="27"/>
        <v>129.28</v>
      </c>
      <c r="BB186" s="280">
        <f t="shared" si="28"/>
        <v>0</v>
      </c>
    </row>
    <row r="187" spans="1:54">
      <c r="A187" s="174" t="s">
        <v>98</v>
      </c>
      <c r="B187" s="174" t="s">
        <v>25</v>
      </c>
      <c r="C187" s="174" t="s">
        <v>28</v>
      </c>
      <c r="D187" s="175">
        <v>1</v>
      </c>
      <c r="E187" s="174">
        <v>2025</v>
      </c>
      <c r="F187" s="174" t="s">
        <v>18</v>
      </c>
      <c r="G187" s="175">
        <v>935.22</v>
      </c>
      <c r="H187" s="175">
        <v>0</v>
      </c>
      <c r="I187" s="175">
        <v>0</v>
      </c>
      <c r="J187" s="175">
        <v>0</v>
      </c>
      <c r="K187" s="175">
        <v>0</v>
      </c>
      <c r="L187" s="175">
        <v>0</v>
      </c>
      <c r="M187" s="175">
        <v>0</v>
      </c>
      <c r="N187" s="175">
        <v>0</v>
      </c>
      <c r="O187" s="175">
        <v>0</v>
      </c>
      <c r="P187" s="175">
        <v>0</v>
      </c>
      <c r="Q187" s="175">
        <v>0</v>
      </c>
      <c r="R187" s="175">
        <v>1.5329999999999999</v>
      </c>
      <c r="S187" s="175">
        <v>0</v>
      </c>
      <c r="T187" s="175">
        <v>0</v>
      </c>
      <c r="U187" s="175">
        <v>103.42400000000001</v>
      </c>
      <c r="V187" s="175">
        <v>25.856000000000002</v>
      </c>
      <c r="W187" s="175">
        <v>4.2698</v>
      </c>
      <c r="X187" s="175">
        <v>0</v>
      </c>
      <c r="Y187" s="175">
        <v>0</v>
      </c>
      <c r="Z187" s="175">
        <v>0</v>
      </c>
      <c r="AA187" s="175">
        <v>0</v>
      </c>
      <c r="AB187" s="175">
        <v>0</v>
      </c>
      <c r="AC187" s="175">
        <v>0</v>
      </c>
      <c r="AD187" s="175">
        <v>0</v>
      </c>
      <c r="AE187" s="175">
        <v>0</v>
      </c>
      <c r="AF187" s="175">
        <v>0</v>
      </c>
      <c r="AG187" s="175">
        <v>0</v>
      </c>
      <c r="AH187" s="175">
        <v>0.67579727999999994</v>
      </c>
      <c r="AI187" s="175">
        <v>0</v>
      </c>
      <c r="AJ187" s="175">
        <v>0</v>
      </c>
      <c r="AK187" s="175">
        <v>0</v>
      </c>
      <c r="AL187" s="175">
        <v>0</v>
      </c>
      <c r="AM187" s="175">
        <v>0</v>
      </c>
      <c r="AN187" s="175">
        <v>5.5212200000000003E-2</v>
      </c>
      <c r="AO187" s="175">
        <v>3.405729</v>
      </c>
      <c r="AP187" s="175">
        <v>0.17807733000000001</v>
      </c>
      <c r="AQ187" s="175">
        <v>0.33603191999999998</v>
      </c>
      <c r="AR187" s="175">
        <v>0.67206383999999997</v>
      </c>
      <c r="AS187" s="126"/>
      <c r="AT187" s="185">
        <f t="shared" si="16"/>
        <v>1075.6257115700002</v>
      </c>
      <c r="AV187" s="188">
        <f t="shared" si="22"/>
        <v>0.73100947999999999</v>
      </c>
      <c r="AW187" s="188">
        <f t="shared" si="23"/>
        <v>4.5919020899999996</v>
      </c>
      <c r="AX187" s="188">
        <f t="shared" si="24"/>
        <v>4.2698</v>
      </c>
      <c r="AY187" s="188">
        <f t="shared" si="29"/>
        <v>9.5927115699999987</v>
      </c>
      <c r="AZ187" s="280">
        <f t="shared" si="26"/>
        <v>0</v>
      </c>
      <c r="BA187" s="280">
        <f t="shared" si="27"/>
        <v>129.28</v>
      </c>
      <c r="BB187" s="280">
        <f t="shared" si="28"/>
        <v>0</v>
      </c>
    </row>
    <row r="188" spans="1:54">
      <c r="A188" s="174" t="s">
        <v>98</v>
      </c>
      <c r="B188" s="174" t="s">
        <v>25</v>
      </c>
      <c r="C188" s="174" t="s">
        <v>28</v>
      </c>
      <c r="D188" s="175">
        <v>1</v>
      </c>
      <c r="E188" s="174">
        <v>2026</v>
      </c>
      <c r="F188" s="174" t="s">
        <v>18</v>
      </c>
      <c r="G188" s="175">
        <v>935.22</v>
      </c>
      <c r="H188" s="175">
        <v>0</v>
      </c>
      <c r="I188" s="175">
        <v>0</v>
      </c>
      <c r="J188" s="175">
        <v>0</v>
      </c>
      <c r="K188" s="175">
        <v>0</v>
      </c>
      <c r="L188" s="175">
        <v>0</v>
      </c>
      <c r="M188" s="175">
        <v>0</v>
      </c>
      <c r="N188" s="175">
        <v>0</v>
      </c>
      <c r="O188" s="175">
        <v>0</v>
      </c>
      <c r="P188" s="175">
        <v>0</v>
      </c>
      <c r="Q188" s="175">
        <v>0</v>
      </c>
      <c r="R188" s="175">
        <v>1.5329999999999999</v>
      </c>
      <c r="S188" s="175">
        <v>0</v>
      </c>
      <c r="T188" s="175">
        <v>0</v>
      </c>
      <c r="U188" s="175">
        <v>103.42400000000001</v>
      </c>
      <c r="V188" s="175">
        <v>25.856000000000002</v>
      </c>
      <c r="W188" s="175">
        <v>4.2698</v>
      </c>
      <c r="X188" s="175">
        <v>0</v>
      </c>
      <c r="Y188" s="175">
        <v>0</v>
      </c>
      <c r="Z188" s="175">
        <v>0</v>
      </c>
      <c r="AA188" s="175">
        <v>0</v>
      </c>
      <c r="AB188" s="175">
        <v>0</v>
      </c>
      <c r="AC188" s="175">
        <v>0</v>
      </c>
      <c r="AD188" s="175">
        <v>0</v>
      </c>
      <c r="AE188" s="175">
        <v>0</v>
      </c>
      <c r="AF188" s="175">
        <v>0</v>
      </c>
      <c r="AG188" s="175">
        <v>0</v>
      </c>
      <c r="AH188" s="175">
        <v>0.59643024</v>
      </c>
      <c r="AI188" s="175">
        <v>0</v>
      </c>
      <c r="AJ188" s="175">
        <v>0</v>
      </c>
      <c r="AK188" s="175">
        <v>0</v>
      </c>
      <c r="AL188" s="175">
        <v>0</v>
      </c>
      <c r="AM188" s="175">
        <v>0</v>
      </c>
      <c r="AN188" s="175">
        <v>0.10260809999999999</v>
      </c>
      <c r="AO188" s="175">
        <v>3.0057862499999999</v>
      </c>
      <c r="AP188" s="175">
        <v>0.33094820000000003</v>
      </c>
      <c r="AQ188" s="175">
        <v>0.26130302999999999</v>
      </c>
      <c r="AR188" s="175">
        <v>0.52260605999999998</v>
      </c>
      <c r="AS188" s="126"/>
      <c r="AT188" s="185">
        <f t="shared" si="16"/>
        <v>1075.1224818800001</v>
      </c>
      <c r="AV188" s="188">
        <f t="shared" si="22"/>
        <v>0.69903833999999998</v>
      </c>
      <c r="AW188" s="188">
        <f t="shared" si="23"/>
        <v>4.1206435399999997</v>
      </c>
      <c r="AX188" s="188">
        <f t="shared" si="24"/>
        <v>4.2698</v>
      </c>
      <c r="AY188" s="188">
        <f t="shared" si="29"/>
        <v>9.0894818799999992</v>
      </c>
      <c r="AZ188" s="280">
        <f t="shared" si="26"/>
        <v>0</v>
      </c>
      <c r="BA188" s="280">
        <f t="shared" si="27"/>
        <v>129.28</v>
      </c>
      <c r="BB188" s="280">
        <f t="shared" si="28"/>
        <v>0</v>
      </c>
    </row>
    <row r="189" spans="1:54">
      <c r="A189" s="174" t="s">
        <v>98</v>
      </c>
      <c r="B189" s="174" t="s">
        <v>25</v>
      </c>
      <c r="C189" s="174" t="s">
        <v>28</v>
      </c>
      <c r="D189" s="175">
        <v>1</v>
      </c>
      <c r="E189" s="174">
        <v>2027</v>
      </c>
      <c r="F189" s="174" t="s">
        <v>18</v>
      </c>
      <c r="G189" s="175">
        <v>935.22</v>
      </c>
      <c r="H189" s="175">
        <v>0</v>
      </c>
      <c r="I189" s="175">
        <v>0</v>
      </c>
      <c r="J189" s="175">
        <v>0</v>
      </c>
      <c r="K189" s="175">
        <v>0</v>
      </c>
      <c r="L189" s="175">
        <v>0</v>
      </c>
      <c r="M189" s="175">
        <v>0</v>
      </c>
      <c r="N189" s="175">
        <v>0</v>
      </c>
      <c r="O189" s="175">
        <v>0</v>
      </c>
      <c r="P189" s="175">
        <v>0</v>
      </c>
      <c r="Q189" s="175">
        <v>0</v>
      </c>
      <c r="R189" s="175">
        <v>2.044</v>
      </c>
      <c r="S189" s="175">
        <v>0</v>
      </c>
      <c r="T189" s="175">
        <v>0</v>
      </c>
      <c r="U189" s="175">
        <v>103.42400000000001</v>
      </c>
      <c r="V189" s="175">
        <v>25.856000000000002</v>
      </c>
      <c r="W189" s="175">
        <v>4.2698</v>
      </c>
      <c r="X189" s="175">
        <v>0</v>
      </c>
      <c r="Y189" s="175">
        <v>0</v>
      </c>
      <c r="Z189" s="175">
        <v>0</v>
      </c>
      <c r="AA189" s="175">
        <v>0</v>
      </c>
      <c r="AB189" s="175">
        <v>0</v>
      </c>
      <c r="AC189" s="175">
        <v>0</v>
      </c>
      <c r="AD189" s="175">
        <v>0</v>
      </c>
      <c r="AE189" s="175">
        <v>0</v>
      </c>
      <c r="AF189" s="175">
        <v>0</v>
      </c>
      <c r="AG189" s="175">
        <v>0</v>
      </c>
      <c r="AH189" s="175">
        <v>0.51370879999999997</v>
      </c>
      <c r="AI189" s="175">
        <v>0</v>
      </c>
      <c r="AJ189" s="175">
        <v>0</v>
      </c>
      <c r="AK189" s="175">
        <v>0</v>
      </c>
      <c r="AL189" s="175">
        <v>0</v>
      </c>
      <c r="AM189" s="175">
        <v>0</v>
      </c>
      <c r="AN189" s="175">
        <v>0.14067410999999999</v>
      </c>
      <c r="AO189" s="175">
        <v>2.6173855000000001</v>
      </c>
      <c r="AP189" s="175">
        <v>0.45871704000000002</v>
      </c>
      <c r="AQ189" s="175">
        <v>0.19104215999999999</v>
      </c>
      <c r="AR189" s="175">
        <v>0.38208431999999998</v>
      </c>
      <c r="AS189" s="126"/>
      <c r="AT189" s="185">
        <f t="shared" si="16"/>
        <v>1075.1174119300001</v>
      </c>
      <c r="AV189" s="188">
        <f t="shared" si="22"/>
        <v>0.65438290999999993</v>
      </c>
      <c r="AW189" s="188">
        <f t="shared" si="23"/>
        <v>3.6492290199999999</v>
      </c>
      <c r="AX189" s="188">
        <f t="shared" si="24"/>
        <v>4.2698</v>
      </c>
      <c r="AY189" s="188">
        <f t="shared" si="29"/>
        <v>8.5734119299999989</v>
      </c>
      <c r="AZ189" s="280">
        <f t="shared" si="26"/>
        <v>0</v>
      </c>
      <c r="BA189" s="280">
        <f t="shared" si="27"/>
        <v>129.28</v>
      </c>
      <c r="BB189" s="280">
        <f t="shared" si="28"/>
        <v>0</v>
      </c>
    </row>
    <row r="190" spans="1:54">
      <c r="A190" s="174" t="s">
        <v>98</v>
      </c>
      <c r="B190" s="174" t="s">
        <v>25</v>
      </c>
      <c r="C190" s="174" t="s">
        <v>28</v>
      </c>
      <c r="D190" s="175">
        <v>1</v>
      </c>
      <c r="E190" s="174">
        <v>2028</v>
      </c>
      <c r="F190" s="174" t="s">
        <v>18</v>
      </c>
      <c r="G190" s="175">
        <v>935.22</v>
      </c>
      <c r="H190" s="175">
        <v>0</v>
      </c>
      <c r="I190" s="175">
        <v>0</v>
      </c>
      <c r="J190" s="175">
        <v>0</v>
      </c>
      <c r="K190" s="175">
        <v>0</v>
      </c>
      <c r="L190" s="175">
        <v>0</v>
      </c>
      <c r="M190" s="175">
        <v>0</v>
      </c>
      <c r="N190" s="175">
        <v>0</v>
      </c>
      <c r="O190" s="175">
        <v>0</v>
      </c>
      <c r="P190" s="175">
        <v>0</v>
      </c>
      <c r="Q190" s="175">
        <v>0</v>
      </c>
      <c r="R190" s="175">
        <v>2.044</v>
      </c>
      <c r="S190" s="175">
        <v>0</v>
      </c>
      <c r="T190" s="175">
        <v>0</v>
      </c>
      <c r="U190" s="175">
        <v>103.42400000000001</v>
      </c>
      <c r="V190" s="175">
        <v>25.856000000000002</v>
      </c>
      <c r="W190" s="175">
        <v>4.2698</v>
      </c>
      <c r="X190" s="175">
        <v>0</v>
      </c>
      <c r="Y190" s="175">
        <v>0</v>
      </c>
      <c r="Z190" s="175">
        <v>0</v>
      </c>
      <c r="AA190" s="175">
        <v>0</v>
      </c>
      <c r="AB190" s="175">
        <v>0</v>
      </c>
      <c r="AC190" s="175">
        <v>0</v>
      </c>
      <c r="AD190" s="175">
        <v>0</v>
      </c>
      <c r="AE190" s="175">
        <v>12.3</v>
      </c>
      <c r="AF190" s="175">
        <v>0</v>
      </c>
      <c r="AG190" s="175">
        <v>0</v>
      </c>
      <c r="AH190" s="175">
        <v>0.4309424</v>
      </c>
      <c r="AI190" s="175">
        <v>0</v>
      </c>
      <c r="AJ190" s="175">
        <v>0</v>
      </c>
      <c r="AK190" s="175">
        <v>0</v>
      </c>
      <c r="AL190" s="175">
        <v>0</v>
      </c>
      <c r="AM190" s="175">
        <v>0</v>
      </c>
      <c r="AN190" s="175">
        <v>0.16854343999999999</v>
      </c>
      <c r="AO190" s="175">
        <v>2.2048390000000002</v>
      </c>
      <c r="AP190" s="175">
        <v>0.55188607999999995</v>
      </c>
      <c r="AQ190" s="175">
        <v>0.12498597</v>
      </c>
      <c r="AR190" s="175">
        <v>0.24997194</v>
      </c>
      <c r="AS190" s="126"/>
      <c r="AT190" s="185">
        <f t="shared" si="16"/>
        <v>1086.84496883</v>
      </c>
      <c r="AV190" s="188">
        <f t="shared" si="22"/>
        <v>0.59948584000000005</v>
      </c>
      <c r="AW190" s="188">
        <f t="shared" si="23"/>
        <v>3.1316829900000003</v>
      </c>
      <c r="AX190" s="188">
        <f t="shared" si="24"/>
        <v>4.2698</v>
      </c>
      <c r="AY190" s="188">
        <f t="shared" si="29"/>
        <v>8.0009688300000015</v>
      </c>
      <c r="AZ190" s="280">
        <f t="shared" si="26"/>
        <v>12.3</v>
      </c>
      <c r="BA190" s="280">
        <f t="shared" si="27"/>
        <v>129.28</v>
      </c>
      <c r="BB190" s="280">
        <f t="shared" si="28"/>
        <v>0</v>
      </c>
    </row>
    <row r="191" spans="1:54">
      <c r="A191" s="174" t="s">
        <v>98</v>
      </c>
      <c r="B191" s="174" t="s">
        <v>25</v>
      </c>
      <c r="C191" s="174" t="s">
        <v>28</v>
      </c>
      <c r="D191" s="175">
        <v>1</v>
      </c>
      <c r="E191" s="174">
        <v>2029</v>
      </c>
      <c r="F191" s="174" t="s">
        <v>18</v>
      </c>
      <c r="G191" s="175">
        <v>935.22</v>
      </c>
      <c r="H191" s="175">
        <v>0</v>
      </c>
      <c r="I191" s="175">
        <v>0</v>
      </c>
      <c r="J191" s="175">
        <v>0</v>
      </c>
      <c r="K191" s="175">
        <v>0</v>
      </c>
      <c r="L191" s="175">
        <v>0</v>
      </c>
      <c r="M191" s="175">
        <v>0</v>
      </c>
      <c r="N191" s="175">
        <v>0</v>
      </c>
      <c r="O191" s="175">
        <v>0</v>
      </c>
      <c r="P191" s="175">
        <v>0</v>
      </c>
      <c r="Q191" s="175">
        <v>0</v>
      </c>
      <c r="R191" s="175">
        <v>2.5550000000000002</v>
      </c>
      <c r="S191" s="175">
        <v>0</v>
      </c>
      <c r="T191" s="175">
        <v>0</v>
      </c>
      <c r="U191" s="175">
        <v>103.42400000000001</v>
      </c>
      <c r="V191" s="175">
        <v>25.856000000000002</v>
      </c>
      <c r="W191" s="175">
        <v>4.2698</v>
      </c>
      <c r="X191" s="175">
        <v>0</v>
      </c>
      <c r="Y191" s="175">
        <v>0</v>
      </c>
      <c r="Z191" s="175">
        <v>0</v>
      </c>
      <c r="AA191" s="175">
        <v>0</v>
      </c>
      <c r="AB191" s="175">
        <v>0</v>
      </c>
      <c r="AC191" s="175">
        <v>0</v>
      </c>
      <c r="AD191" s="175">
        <v>0</v>
      </c>
      <c r="AE191" s="175">
        <v>12.3</v>
      </c>
      <c r="AF191" s="175">
        <v>0</v>
      </c>
      <c r="AG191" s="175">
        <v>0</v>
      </c>
      <c r="AH191" s="175">
        <v>0.35115967999999997</v>
      </c>
      <c r="AI191" s="175">
        <v>0</v>
      </c>
      <c r="AJ191" s="175">
        <v>0</v>
      </c>
      <c r="AK191" s="175">
        <v>0</v>
      </c>
      <c r="AL191" s="175">
        <v>0</v>
      </c>
      <c r="AM191" s="175">
        <v>0</v>
      </c>
      <c r="AN191" s="175">
        <v>0.1679986</v>
      </c>
      <c r="AO191" s="175">
        <v>1.7894902500000001</v>
      </c>
      <c r="AP191" s="175">
        <v>0.5258872</v>
      </c>
      <c r="AQ191" s="175">
        <v>6.9601289999999996E-2</v>
      </c>
      <c r="AR191" s="175">
        <v>0.13920257999999999</v>
      </c>
      <c r="AS191" s="126"/>
      <c r="AT191" s="185">
        <f t="shared" si="16"/>
        <v>1086.6681395999999</v>
      </c>
      <c r="AV191" s="188">
        <f t="shared" si="22"/>
        <v>0.51915827999999997</v>
      </c>
      <c r="AW191" s="188">
        <f t="shared" si="23"/>
        <v>2.5241813200000003</v>
      </c>
      <c r="AX191" s="188">
        <f t="shared" si="24"/>
        <v>4.2698</v>
      </c>
      <c r="AY191" s="188">
        <f t="shared" si="29"/>
        <v>7.3131396000000004</v>
      </c>
      <c r="AZ191" s="280">
        <f t="shared" si="26"/>
        <v>12.3</v>
      </c>
      <c r="BA191" s="280">
        <f t="shared" si="27"/>
        <v>129.28</v>
      </c>
      <c r="BB191" s="280">
        <f t="shared" si="28"/>
        <v>0</v>
      </c>
    </row>
    <row r="192" spans="1:54">
      <c r="A192" s="174" t="s">
        <v>98</v>
      </c>
      <c r="B192" s="174" t="s">
        <v>25</v>
      </c>
      <c r="C192" s="174" t="s">
        <v>28</v>
      </c>
      <c r="D192" s="175">
        <v>1</v>
      </c>
      <c r="E192" s="174">
        <v>2030</v>
      </c>
      <c r="F192" s="174" t="s">
        <v>18</v>
      </c>
      <c r="G192" s="175">
        <v>935.22</v>
      </c>
      <c r="H192" s="175">
        <v>0</v>
      </c>
      <c r="I192" s="175">
        <v>0</v>
      </c>
      <c r="J192" s="175">
        <v>0</v>
      </c>
      <c r="K192" s="175">
        <v>0</v>
      </c>
      <c r="L192" s="175">
        <v>0</v>
      </c>
      <c r="M192" s="175">
        <v>0</v>
      </c>
      <c r="N192" s="175">
        <v>0</v>
      </c>
      <c r="O192" s="175">
        <v>0</v>
      </c>
      <c r="P192" s="175">
        <v>0</v>
      </c>
      <c r="Q192" s="175">
        <v>0</v>
      </c>
      <c r="R192" s="175">
        <v>3.0659999999999998</v>
      </c>
      <c r="S192" s="175">
        <v>0</v>
      </c>
      <c r="T192" s="175">
        <v>0</v>
      </c>
      <c r="U192" s="175">
        <v>103.42400000000001</v>
      </c>
      <c r="V192" s="175">
        <v>25.856000000000002</v>
      </c>
      <c r="W192" s="175">
        <v>4.2698</v>
      </c>
      <c r="X192" s="175">
        <v>0</v>
      </c>
      <c r="Y192" s="175">
        <v>0</v>
      </c>
      <c r="Z192" s="175">
        <v>0</v>
      </c>
      <c r="AA192" s="175">
        <v>0</v>
      </c>
      <c r="AB192" s="175">
        <v>0</v>
      </c>
      <c r="AC192" s="175">
        <v>0</v>
      </c>
      <c r="AD192" s="175">
        <v>0</v>
      </c>
      <c r="AE192" s="175">
        <v>24.6</v>
      </c>
      <c r="AF192" s="175">
        <v>0</v>
      </c>
      <c r="AG192" s="175">
        <v>0</v>
      </c>
      <c r="AH192" s="175">
        <v>0.27479039999999999</v>
      </c>
      <c r="AI192" s="175">
        <v>0</v>
      </c>
      <c r="AJ192" s="175">
        <v>0.26200613</v>
      </c>
      <c r="AK192" s="175">
        <v>0</v>
      </c>
      <c r="AL192" s="175">
        <v>0.48867208000000001</v>
      </c>
      <c r="AM192" s="175">
        <v>0</v>
      </c>
      <c r="AN192" s="175">
        <v>0.16069939999999999</v>
      </c>
      <c r="AO192" s="175">
        <v>1.3844162499999999</v>
      </c>
      <c r="AP192" s="175">
        <v>0.51815445000000004</v>
      </c>
      <c r="AQ192" s="175">
        <v>2.93799E-2</v>
      </c>
      <c r="AR192" s="175">
        <v>5.8759800000000001E-2</v>
      </c>
      <c r="AS192" s="126"/>
      <c r="AT192" s="185">
        <f t="shared" si="16"/>
        <v>1099.6126784100002</v>
      </c>
      <c r="AV192" s="188">
        <f t="shared" si="22"/>
        <v>1.1861680099999998</v>
      </c>
      <c r="AW192" s="188">
        <f t="shared" si="23"/>
        <v>1.9907104</v>
      </c>
      <c r="AX192" s="188">
        <f t="shared" si="24"/>
        <v>4.2698</v>
      </c>
      <c r="AY192" s="188">
        <f t="shared" si="29"/>
        <v>7.4466784099999996</v>
      </c>
      <c r="AZ192" s="280">
        <f t="shared" si="26"/>
        <v>24.6</v>
      </c>
      <c r="BA192" s="280">
        <f t="shared" si="27"/>
        <v>129.28</v>
      </c>
      <c r="BB192" s="280">
        <f t="shared" si="28"/>
        <v>0</v>
      </c>
    </row>
    <row r="193" spans="1:54">
      <c r="A193" s="174" t="s">
        <v>98</v>
      </c>
      <c r="B193" s="174" t="s">
        <v>25</v>
      </c>
      <c r="C193" s="174" t="s">
        <v>28</v>
      </c>
      <c r="D193" s="175">
        <v>1</v>
      </c>
      <c r="E193" s="174">
        <v>2031</v>
      </c>
      <c r="F193" s="174" t="s">
        <v>18</v>
      </c>
      <c r="G193" s="175">
        <v>673.32</v>
      </c>
      <c r="H193" s="175">
        <v>0</v>
      </c>
      <c r="I193" s="175">
        <v>0</v>
      </c>
      <c r="J193" s="175">
        <v>0</v>
      </c>
      <c r="K193" s="175">
        <v>122</v>
      </c>
      <c r="L193" s="175">
        <v>0</v>
      </c>
      <c r="M193" s="175">
        <v>0</v>
      </c>
      <c r="N193" s="175">
        <v>0</v>
      </c>
      <c r="O193" s="175">
        <v>0</v>
      </c>
      <c r="P193" s="175">
        <v>0</v>
      </c>
      <c r="Q193" s="175">
        <v>0</v>
      </c>
      <c r="R193" s="175">
        <v>3.577</v>
      </c>
      <c r="S193" s="175">
        <v>0</v>
      </c>
      <c r="T193" s="175">
        <v>0</v>
      </c>
      <c r="U193" s="175">
        <v>155.136</v>
      </c>
      <c r="V193" s="175">
        <v>77.567999999999998</v>
      </c>
      <c r="W193" s="175">
        <v>4.2698</v>
      </c>
      <c r="X193" s="175">
        <v>3.2841</v>
      </c>
      <c r="Y193" s="175">
        <v>0</v>
      </c>
      <c r="Z193" s="175">
        <v>0</v>
      </c>
      <c r="AA193" s="175">
        <v>0</v>
      </c>
      <c r="AB193" s="175">
        <v>0</v>
      </c>
      <c r="AC193" s="175">
        <v>0</v>
      </c>
      <c r="AD193" s="175">
        <v>0</v>
      </c>
      <c r="AE193" s="175">
        <v>24.6</v>
      </c>
      <c r="AF193" s="175">
        <v>0</v>
      </c>
      <c r="AG193" s="175">
        <v>0</v>
      </c>
      <c r="AH193" s="175">
        <v>0.20453968</v>
      </c>
      <c r="AI193" s="175">
        <v>0</v>
      </c>
      <c r="AJ193" s="175">
        <v>0.23518744</v>
      </c>
      <c r="AK193" s="175">
        <v>0</v>
      </c>
      <c r="AL193" s="175">
        <v>0.90812652000000005</v>
      </c>
      <c r="AM193" s="175">
        <v>0</v>
      </c>
      <c r="AN193" s="175">
        <v>0.13530834999999999</v>
      </c>
      <c r="AO193" s="175">
        <v>1.0284180000000001</v>
      </c>
      <c r="AP193" s="175">
        <v>0.43540814999999999</v>
      </c>
      <c r="AQ193" s="175">
        <v>6.9451499999999998E-3</v>
      </c>
      <c r="AR193" s="175">
        <v>1.38903E-2</v>
      </c>
      <c r="AS193" s="126"/>
      <c r="AT193" s="185">
        <f t="shared" si="16"/>
        <v>1066.7227235900002</v>
      </c>
      <c r="AV193" s="188">
        <f t="shared" si="22"/>
        <v>1.4831619900000002</v>
      </c>
      <c r="AW193" s="188">
        <f t="shared" si="23"/>
        <v>1.4846615999999999</v>
      </c>
      <c r="AX193" s="188">
        <f t="shared" si="24"/>
        <v>7.5539000000000005</v>
      </c>
      <c r="AY193" s="188">
        <f t="shared" si="29"/>
        <v>10.521723590000001</v>
      </c>
      <c r="AZ193" s="280">
        <f t="shared" si="26"/>
        <v>24.6</v>
      </c>
      <c r="BA193" s="280">
        <f t="shared" si="27"/>
        <v>232.70400000000001</v>
      </c>
      <c r="BB193" s="280">
        <f t="shared" si="28"/>
        <v>0</v>
      </c>
    </row>
    <row r="194" spans="1:54">
      <c r="A194" s="174" t="s">
        <v>98</v>
      </c>
      <c r="B194" s="174" t="s">
        <v>25</v>
      </c>
      <c r="C194" s="174" t="s">
        <v>28</v>
      </c>
      <c r="D194" s="175">
        <v>1</v>
      </c>
      <c r="E194" s="174">
        <v>2032</v>
      </c>
      <c r="F194" s="174" t="s">
        <v>18</v>
      </c>
      <c r="G194" s="175">
        <v>673.32</v>
      </c>
      <c r="H194" s="175">
        <v>0</v>
      </c>
      <c r="I194" s="175">
        <v>0</v>
      </c>
      <c r="J194" s="175">
        <v>0</v>
      </c>
      <c r="K194" s="175">
        <v>122</v>
      </c>
      <c r="L194" s="175">
        <v>0</v>
      </c>
      <c r="M194" s="175">
        <v>0</v>
      </c>
      <c r="N194" s="175">
        <v>0</v>
      </c>
      <c r="O194" s="175">
        <v>0</v>
      </c>
      <c r="P194" s="175">
        <v>0</v>
      </c>
      <c r="Q194" s="175">
        <v>0</v>
      </c>
      <c r="R194" s="175">
        <v>3.577</v>
      </c>
      <c r="S194" s="175">
        <v>0</v>
      </c>
      <c r="T194" s="175">
        <v>0</v>
      </c>
      <c r="U194" s="175">
        <v>155.136</v>
      </c>
      <c r="V194" s="175">
        <v>77.567999999999998</v>
      </c>
      <c r="W194" s="175">
        <v>4.2698</v>
      </c>
      <c r="X194" s="175">
        <v>3.2841</v>
      </c>
      <c r="Y194" s="175">
        <v>0</v>
      </c>
      <c r="Z194" s="175">
        <v>0</v>
      </c>
      <c r="AA194" s="175">
        <v>0</v>
      </c>
      <c r="AB194" s="175">
        <v>0</v>
      </c>
      <c r="AC194" s="175">
        <v>0</v>
      </c>
      <c r="AD194" s="175">
        <v>0</v>
      </c>
      <c r="AE194" s="175">
        <v>24.6</v>
      </c>
      <c r="AF194" s="175">
        <v>0</v>
      </c>
      <c r="AG194" s="175">
        <v>0</v>
      </c>
      <c r="AH194" s="175">
        <v>9.7527429999999998E-2</v>
      </c>
      <c r="AI194" s="175">
        <v>0</v>
      </c>
      <c r="AJ194" s="175">
        <v>0.20404868000000001</v>
      </c>
      <c r="AK194" s="175">
        <v>0</v>
      </c>
      <c r="AL194" s="175">
        <v>1.2478028400000001</v>
      </c>
      <c r="AM194" s="175">
        <v>0</v>
      </c>
      <c r="AN194" s="175">
        <v>0.11027244999999999</v>
      </c>
      <c r="AO194" s="175">
        <v>0.71349874999999996</v>
      </c>
      <c r="AP194" s="175">
        <v>0.35496565000000002</v>
      </c>
      <c r="AQ194" s="175">
        <v>0</v>
      </c>
      <c r="AR194" s="175">
        <v>0</v>
      </c>
      <c r="AS194" s="126"/>
      <c r="AT194" s="185">
        <f t="shared" ref="AT194:AT241" si="30">SUM(G194:AR194)</f>
        <v>1066.4830158</v>
      </c>
      <c r="AV194" s="188">
        <f t="shared" si="22"/>
        <v>1.6596514000000002</v>
      </c>
      <c r="AW194" s="188">
        <f t="shared" si="23"/>
        <v>1.0684643999999999</v>
      </c>
      <c r="AX194" s="188">
        <f t="shared" si="24"/>
        <v>7.5539000000000005</v>
      </c>
      <c r="AY194" s="188">
        <f t="shared" si="29"/>
        <v>10.2820158</v>
      </c>
      <c r="AZ194" s="280">
        <f t="shared" si="26"/>
        <v>24.6</v>
      </c>
      <c r="BA194" s="280">
        <f t="shared" si="27"/>
        <v>232.70400000000001</v>
      </c>
      <c r="BB194" s="280">
        <f t="shared" si="28"/>
        <v>0</v>
      </c>
    </row>
    <row r="195" spans="1:54">
      <c r="A195" s="174" t="s">
        <v>98</v>
      </c>
      <c r="B195" s="174" t="s">
        <v>25</v>
      </c>
      <c r="C195" s="174" t="s">
        <v>28</v>
      </c>
      <c r="D195" s="175">
        <v>1</v>
      </c>
      <c r="E195" s="174">
        <v>2033</v>
      </c>
      <c r="F195" s="174" t="s">
        <v>18</v>
      </c>
      <c r="G195" s="175">
        <v>673.32</v>
      </c>
      <c r="H195" s="175">
        <v>0</v>
      </c>
      <c r="I195" s="175">
        <v>0</v>
      </c>
      <c r="J195" s="175">
        <v>0</v>
      </c>
      <c r="K195" s="175">
        <v>122</v>
      </c>
      <c r="L195" s="175">
        <v>0</v>
      </c>
      <c r="M195" s="175">
        <v>0</v>
      </c>
      <c r="N195" s="175">
        <v>0</v>
      </c>
      <c r="O195" s="175">
        <v>0</v>
      </c>
      <c r="P195" s="175">
        <v>0</v>
      </c>
      <c r="Q195" s="175">
        <v>0</v>
      </c>
      <c r="R195" s="175">
        <v>4.0880000000000001</v>
      </c>
      <c r="S195" s="175">
        <v>0</v>
      </c>
      <c r="T195" s="175">
        <v>0</v>
      </c>
      <c r="U195" s="175">
        <v>155.136</v>
      </c>
      <c r="V195" s="175">
        <v>77.567999999999998</v>
      </c>
      <c r="W195" s="175">
        <v>4.2698</v>
      </c>
      <c r="X195" s="175">
        <v>3.2841</v>
      </c>
      <c r="Y195" s="175">
        <v>0</v>
      </c>
      <c r="Z195" s="175">
        <v>0</v>
      </c>
      <c r="AA195" s="175">
        <v>0</v>
      </c>
      <c r="AB195" s="175">
        <v>0</v>
      </c>
      <c r="AC195" s="175">
        <v>0</v>
      </c>
      <c r="AD195" s="175">
        <v>0</v>
      </c>
      <c r="AE195" s="175">
        <v>24.6</v>
      </c>
      <c r="AF195" s="175">
        <v>0</v>
      </c>
      <c r="AG195" s="175">
        <v>0</v>
      </c>
      <c r="AH195" s="175">
        <v>3.3597540000000002E-2</v>
      </c>
      <c r="AI195" s="175">
        <v>0</v>
      </c>
      <c r="AJ195" s="175">
        <v>0.15096672999999999</v>
      </c>
      <c r="AK195" s="175">
        <v>0</v>
      </c>
      <c r="AL195" s="175">
        <v>1.10368596</v>
      </c>
      <c r="AM195" s="175">
        <v>0</v>
      </c>
      <c r="AN195" s="175">
        <v>8.6211499999999996E-2</v>
      </c>
      <c r="AO195" s="175">
        <v>0.45430150000000002</v>
      </c>
      <c r="AP195" s="175">
        <v>0.27977774999999999</v>
      </c>
      <c r="AQ195" s="175">
        <v>0</v>
      </c>
      <c r="AR195" s="175">
        <v>0</v>
      </c>
      <c r="AS195" s="126"/>
      <c r="AT195" s="185">
        <f t="shared" si="30"/>
        <v>1066.3744409799999</v>
      </c>
      <c r="AV195" s="188">
        <f t="shared" si="22"/>
        <v>1.3744617300000002</v>
      </c>
      <c r="AW195" s="188">
        <f t="shared" si="23"/>
        <v>0.73407924999999996</v>
      </c>
      <c r="AX195" s="188">
        <f t="shared" si="24"/>
        <v>7.5539000000000005</v>
      </c>
      <c r="AY195" s="188">
        <f t="shared" si="29"/>
        <v>9.6624409799999995</v>
      </c>
      <c r="AZ195" s="280">
        <f t="shared" si="26"/>
        <v>24.6</v>
      </c>
      <c r="BA195" s="280">
        <f t="shared" si="27"/>
        <v>232.70400000000001</v>
      </c>
      <c r="BB195" s="280">
        <f t="shared" si="28"/>
        <v>0</v>
      </c>
    </row>
    <row r="196" spans="1:54">
      <c r="A196" s="174" t="s">
        <v>98</v>
      </c>
      <c r="B196" s="174" t="s">
        <v>25</v>
      </c>
      <c r="C196" s="174" t="s">
        <v>28</v>
      </c>
      <c r="D196" s="175">
        <v>1</v>
      </c>
      <c r="E196" s="174">
        <v>2034</v>
      </c>
      <c r="F196" s="174" t="s">
        <v>18</v>
      </c>
      <c r="G196" s="175">
        <v>673.32</v>
      </c>
      <c r="H196" s="175">
        <v>0</v>
      </c>
      <c r="I196" s="175">
        <v>0</v>
      </c>
      <c r="J196" s="175">
        <v>0</v>
      </c>
      <c r="K196" s="175">
        <v>122</v>
      </c>
      <c r="L196" s="175">
        <v>0</v>
      </c>
      <c r="M196" s="175">
        <v>0</v>
      </c>
      <c r="N196" s="175">
        <v>0</v>
      </c>
      <c r="O196" s="175">
        <v>0</v>
      </c>
      <c r="P196" s="175">
        <v>0</v>
      </c>
      <c r="Q196" s="175">
        <v>0</v>
      </c>
      <c r="R196" s="175">
        <v>4.5990000000000002</v>
      </c>
      <c r="S196" s="175">
        <v>0</v>
      </c>
      <c r="T196" s="175">
        <v>0</v>
      </c>
      <c r="U196" s="175">
        <v>155.136</v>
      </c>
      <c r="V196" s="175">
        <v>77.567999999999998</v>
      </c>
      <c r="W196" s="175">
        <v>4.2698</v>
      </c>
      <c r="X196" s="175">
        <v>3.2841</v>
      </c>
      <c r="Y196" s="175">
        <v>0</v>
      </c>
      <c r="Z196" s="175">
        <v>0</v>
      </c>
      <c r="AA196" s="175">
        <v>0</v>
      </c>
      <c r="AB196" s="175">
        <v>0</v>
      </c>
      <c r="AC196" s="175">
        <v>0</v>
      </c>
      <c r="AD196" s="175">
        <v>0</v>
      </c>
      <c r="AE196" s="175">
        <v>24.6</v>
      </c>
      <c r="AF196" s="175">
        <v>0</v>
      </c>
      <c r="AG196" s="175">
        <v>0</v>
      </c>
      <c r="AH196" s="175">
        <v>0</v>
      </c>
      <c r="AI196" s="175">
        <v>0</v>
      </c>
      <c r="AJ196" s="175">
        <v>0.13161668000000001</v>
      </c>
      <c r="AK196" s="175">
        <v>0</v>
      </c>
      <c r="AL196" s="175">
        <v>1.15329354</v>
      </c>
      <c r="AM196" s="175">
        <v>0</v>
      </c>
      <c r="AN196" s="175">
        <v>6.4046500000000006E-2</v>
      </c>
      <c r="AO196" s="175">
        <v>0.24476824999999999</v>
      </c>
      <c r="AP196" s="175">
        <v>0.20560524999999999</v>
      </c>
      <c r="AQ196" s="175">
        <v>0</v>
      </c>
      <c r="AR196" s="175">
        <v>0</v>
      </c>
      <c r="AS196" s="126"/>
      <c r="AT196" s="185">
        <f t="shared" si="30"/>
        <v>1066.5762302200001</v>
      </c>
      <c r="AV196" s="188">
        <f t="shared" si="22"/>
        <v>1.3489567199999999</v>
      </c>
      <c r="AW196" s="188">
        <f t="shared" si="23"/>
        <v>0.45037349999999998</v>
      </c>
      <c r="AX196" s="188">
        <f t="shared" si="24"/>
        <v>7.5539000000000005</v>
      </c>
      <c r="AY196" s="188">
        <f t="shared" si="29"/>
        <v>9.3532302200000004</v>
      </c>
      <c r="AZ196" s="280">
        <f t="shared" si="26"/>
        <v>24.6</v>
      </c>
      <c r="BA196" s="280">
        <f t="shared" si="27"/>
        <v>232.70400000000001</v>
      </c>
      <c r="BB196" s="280">
        <f t="shared" si="28"/>
        <v>0</v>
      </c>
    </row>
    <row r="197" spans="1:54">
      <c r="A197" s="174" t="s">
        <v>98</v>
      </c>
      <c r="B197" s="174" t="s">
        <v>25</v>
      </c>
      <c r="C197" s="174" t="s">
        <v>28</v>
      </c>
      <c r="D197" s="175">
        <v>1</v>
      </c>
      <c r="E197" s="174">
        <v>2035</v>
      </c>
      <c r="F197" s="174" t="s">
        <v>18</v>
      </c>
      <c r="G197" s="175">
        <v>673.32</v>
      </c>
      <c r="H197" s="175">
        <v>0</v>
      </c>
      <c r="I197" s="175">
        <v>0</v>
      </c>
      <c r="J197" s="175">
        <v>0</v>
      </c>
      <c r="K197" s="175">
        <v>122</v>
      </c>
      <c r="L197" s="175">
        <v>0</v>
      </c>
      <c r="M197" s="175">
        <v>0</v>
      </c>
      <c r="N197" s="175">
        <v>0</v>
      </c>
      <c r="O197" s="175">
        <v>0</v>
      </c>
      <c r="P197" s="175">
        <v>0</v>
      </c>
      <c r="Q197" s="175">
        <v>0</v>
      </c>
      <c r="R197" s="175">
        <v>4.5990000000000002</v>
      </c>
      <c r="S197" s="175">
        <v>0</v>
      </c>
      <c r="T197" s="175">
        <v>0</v>
      </c>
      <c r="U197" s="175">
        <v>155.136</v>
      </c>
      <c r="V197" s="175">
        <v>77.567999999999998</v>
      </c>
      <c r="W197" s="175">
        <v>4.2698</v>
      </c>
      <c r="X197" s="175">
        <v>3.2841</v>
      </c>
      <c r="Y197" s="175">
        <v>0</v>
      </c>
      <c r="Z197" s="175">
        <v>0</v>
      </c>
      <c r="AA197" s="175">
        <v>0</v>
      </c>
      <c r="AB197" s="175">
        <v>0</v>
      </c>
      <c r="AC197" s="175">
        <v>0</v>
      </c>
      <c r="AD197" s="175">
        <v>0</v>
      </c>
      <c r="AE197" s="175">
        <v>24.6</v>
      </c>
      <c r="AF197" s="175">
        <v>0</v>
      </c>
      <c r="AG197" s="175">
        <v>0</v>
      </c>
      <c r="AH197" s="175">
        <v>0</v>
      </c>
      <c r="AI197" s="175">
        <v>0</v>
      </c>
      <c r="AJ197" s="175">
        <v>9.5930370000000001E-2</v>
      </c>
      <c r="AK197" s="175">
        <v>0</v>
      </c>
      <c r="AL197" s="175">
        <v>1.4210828</v>
      </c>
      <c r="AM197" s="175">
        <v>0</v>
      </c>
      <c r="AN197" s="175">
        <v>3.5497000000000001E-2</v>
      </c>
      <c r="AO197" s="175">
        <v>0.10236924999999999</v>
      </c>
      <c r="AP197" s="175">
        <v>0.14242679999999999</v>
      </c>
      <c r="AQ197" s="175">
        <v>0</v>
      </c>
      <c r="AR197" s="175">
        <v>0</v>
      </c>
      <c r="AS197" s="126"/>
      <c r="AT197" s="185">
        <f t="shared" si="30"/>
        <v>1066.5742062200002</v>
      </c>
      <c r="AV197" s="188">
        <f t="shared" si="22"/>
        <v>1.5525101700000001</v>
      </c>
      <c r="AW197" s="188">
        <f t="shared" si="23"/>
        <v>0.24479604999999999</v>
      </c>
      <c r="AX197" s="188">
        <f t="shared" si="24"/>
        <v>7.5539000000000005</v>
      </c>
      <c r="AY197" s="188">
        <f t="shared" si="29"/>
        <v>9.3512062199999999</v>
      </c>
      <c r="AZ197" s="280">
        <f t="shared" si="26"/>
        <v>24.6</v>
      </c>
      <c r="BA197" s="280">
        <f t="shared" si="27"/>
        <v>232.70400000000001</v>
      </c>
      <c r="BB197" s="280">
        <f t="shared" si="28"/>
        <v>0</v>
      </c>
    </row>
    <row r="198" spans="1:54">
      <c r="A198" s="174" t="s">
        <v>98</v>
      </c>
      <c r="B198" s="174" t="s">
        <v>25</v>
      </c>
      <c r="C198" s="174" t="s">
        <v>28</v>
      </c>
      <c r="D198" s="175">
        <v>1</v>
      </c>
      <c r="E198" s="174">
        <v>2036</v>
      </c>
      <c r="F198" s="174" t="s">
        <v>18</v>
      </c>
      <c r="G198" s="175">
        <v>673.32</v>
      </c>
      <c r="H198" s="175">
        <v>0</v>
      </c>
      <c r="I198" s="175">
        <v>0</v>
      </c>
      <c r="J198" s="175">
        <v>0</v>
      </c>
      <c r="K198" s="175">
        <v>122</v>
      </c>
      <c r="L198" s="175">
        <v>0</v>
      </c>
      <c r="M198" s="175">
        <v>0</v>
      </c>
      <c r="N198" s="175">
        <v>0</v>
      </c>
      <c r="O198" s="175">
        <v>0</v>
      </c>
      <c r="P198" s="175">
        <v>0</v>
      </c>
      <c r="Q198" s="175">
        <v>0</v>
      </c>
      <c r="R198" s="175">
        <v>5.1100000000000003</v>
      </c>
      <c r="S198" s="175">
        <v>0</v>
      </c>
      <c r="T198" s="175">
        <v>0</v>
      </c>
      <c r="U198" s="175">
        <v>155.136</v>
      </c>
      <c r="V198" s="175">
        <v>77.567999999999998</v>
      </c>
      <c r="W198" s="175">
        <v>4.2698</v>
      </c>
      <c r="X198" s="175">
        <v>3.2841</v>
      </c>
      <c r="Y198" s="175">
        <v>0</v>
      </c>
      <c r="Z198" s="175">
        <v>0</v>
      </c>
      <c r="AA198" s="175">
        <v>0</v>
      </c>
      <c r="AB198" s="175">
        <v>0</v>
      </c>
      <c r="AC198" s="175">
        <v>0</v>
      </c>
      <c r="AD198" s="175">
        <v>0</v>
      </c>
      <c r="AE198" s="175">
        <v>24.6</v>
      </c>
      <c r="AF198" s="175">
        <v>0</v>
      </c>
      <c r="AG198" s="175">
        <v>0</v>
      </c>
      <c r="AH198" s="175">
        <v>0</v>
      </c>
      <c r="AI198" s="175">
        <v>0</v>
      </c>
      <c r="AJ198" s="175">
        <v>0.2527894</v>
      </c>
      <c r="AK198" s="175">
        <v>0</v>
      </c>
      <c r="AL198" s="175">
        <v>1.6730018200000001</v>
      </c>
      <c r="AM198" s="175">
        <v>0</v>
      </c>
      <c r="AN198" s="175">
        <v>1.6802040000000001E-2</v>
      </c>
      <c r="AO198" s="175">
        <v>2.22965E-2</v>
      </c>
      <c r="AP198" s="175">
        <v>9.0077749999999998E-2</v>
      </c>
      <c r="AQ198" s="175">
        <v>0</v>
      </c>
      <c r="AR198" s="175">
        <v>0</v>
      </c>
      <c r="AS198" s="126"/>
      <c r="AT198" s="185">
        <f t="shared" si="30"/>
        <v>1067.3428675100001</v>
      </c>
      <c r="AV198" s="188">
        <f t="shared" si="22"/>
        <v>1.94259326</v>
      </c>
      <c r="AW198" s="188">
        <f t="shared" si="23"/>
        <v>0.11237424999999999</v>
      </c>
      <c r="AX198" s="188">
        <f t="shared" si="24"/>
        <v>7.5539000000000005</v>
      </c>
      <c r="AY198" s="188">
        <f t="shared" si="29"/>
        <v>9.6088675099999996</v>
      </c>
      <c r="AZ198" s="280">
        <f t="shared" si="26"/>
        <v>24.6</v>
      </c>
      <c r="BA198" s="280">
        <f t="shared" si="27"/>
        <v>232.70400000000001</v>
      </c>
      <c r="BB198" s="280">
        <f t="shared" si="28"/>
        <v>0</v>
      </c>
    </row>
    <row r="199" spans="1:54">
      <c r="A199" s="174" t="s">
        <v>98</v>
      </c>
      <c r="B199" s="174" t="s">
        <v>25</v>
      </c>
      <c r="C199" s="174" t="s">
        <v>28</v>
      </c>
      <c r="D199" s="175">
        <v>1</v>
      </c>
      <c r="E199" s="174">
        <v>2037</v>
      </c>
      <c r="F199" s="174" t="s">
        <v>18</v>
      </c>
      <c r="G199" s="175">
        <v>673.32</v>
      </c>
      <c r="H199" s="175">
        <v>0</v>
      </c>
      <c r="I199" s="175">
        <v>0</v>
      </c>
      <c r="J199" s="175">
        <v>0</v>
      </c>
      <c r="K199" s="175">
        <v>122</v>
      </c>
      <c r="L199" s="175">
        <v>0</v>
      </c>
      <c r="M199" s="175">
        <v>0</v>
      </c>
      <c r="N199" s="175">
        <v>0</v>
      </c>
      <c r="O199" s="175">
        <v>0</v>
      </c>
      <c r="P199" s="175">
        <v>0</v>
      </c>
      <c r="Q199" s="175">
        <v>0</v>
      </c>
      <c r="R199" s="175">
        <v>5.1100000000000003</v>
      </c>
      <c r="S199" s="175">
        <v>0</v>
      </c>
      <c r="T199" s="175">
        <v>0</v>
      </c>
      <c r="U199" s="175">
        <v>155.136</v>
      </c>
      <c r="V199" s="175">
        <v>77.567999999999998</v>
      </c>
      <c r="W199" s="175">
        <v>4.2698</v>
      </c>
      <c r="X199" s="175">
        <v>3.2841</v>
      </c>
      <c r="Y199" s="175">
        <v>0</v>
      </c>
      <c r="Z199" s="175">
        <v>0</v>
      </c>
      <c r="AA199" s="175">
        <v>0</v>
      </c>
      <c r="AB199" s="175">
        <v>0</v>
      </c>
      <c r="AC199" s="175">
        <v>0</v>
      </c>
      <c r="AD199" s="175">
        <v>0</v>
      </c>
      <c r="AE199" s="175">
        <v>24.6</v>
      </c>
      <c r="AF199" s="175">
        <v>0</v>
      </c>
      <c r="AG199" s="175">
        <v>0</v>
      </c>
      <c r="AH199" s="175">
        <v>0</v>
      </c>
      <c r="AI199" s="175">
        <v>0</v>
      </c>
      <c r="AJ199" s="175">
        <v>0.25391696000000002</v>
      </c>
      <c r="AK199" s="175">
        <v>0</v>
      </c>
      <c r="AL199" s="175">
        <v>1.43396535</v>
      </c>
      <c r="AM199" s="175">
        <v>0</v>
      </c>
      <c r="AN199" s="175">
        <v>6.1010600000000002E-3</v>
      </c>
      <c r="AO199" s="175">
        <v>0</v>
      </c>
      <c r="AP199" s="175">
        <v>4.9478149999999999E-2</v>
      </c>
      <c r="AQ199" s="175">
        <v>0</v>
      </c>
      <c r="AR199" s="175">
        <v>0</v>
      </c>
      <c r="AS199" s="126"/>
      <c r="AT199" s="185">
        <f t="shared" si="30"/>
        <v>1067.03136152</v>
      </c>
      <c r="AV199" s="188">
        <f t="shared" si="22"/>
        <v>1.69398337</v>
      </c>
      <c r="AW199" s="188">
        <f t="shared" si="23"/>
        <v>4.9478149999999999E-2</v>
      </c>
      <c r="AX199" s="188">
        <f t="shared" si="24"/>
        <v>7.5539000000000005</v>
      </c>
      <c r="AY199" s="188">
        <f t="shared" si="29"/>
        <v>9.2973615200000008</v>
      </c>
      <c r="AZ199" s="280">
        <f t="shared" si="26"/>
        <v>24.6</v>
      </c>
      <c r="BA199" s="280">
        <f t="shared" si="27"/>
        <v>232.70400000000001</v>
      </c>
      <c r="BB199" s="280">
        <f t="shared" si="28"/>
        <v>0</v>
      </c>
    </row>
    <row r="200" spans="1:54">
      <c r="A200" s="174" t="s">
        <v>98</v>
      </c>
      <c r="B200" s="174" t="s">
        <v>25</v>
      </c>
      <c r="C200" s="174" t="s">
        <v>28</v>
      </c>
      <c r="D200" s="175">
        <v>1</v>
      </c>
      <c r="E200" s="174">
        <v>2038</v>
      </c>
      <c r="F200" s="174" t="s">
        <v>18</v>
      </c>
      <c r="G200" s="175">
        <v>673.32</v>
      </c>
      <c r="H200" s="175">
        <v>0</v>
      </c>
      <c r="I200" s="175">
        <v>0</v>
      </c>
      <c r="J200" s="175">
        <v>0</v>
      </c>
      <c r="K200" s="175">
        <v>122</v>
      </c>
      <c r="L200" s="175">
        <v>0</v>
      </c>
      <c r="M200" s="175">
        <v>0</v>
      </c>
      <c r="N200" s="175">
        <v>0</v>
      </c>
      <c r="O200" s="175">
        <v>0</v>
      </c>
      <c r="P200" s="175">
        <v>0</v>
      </c>
      <c r="Q200" s="175">
        <v>0</v>
      </c>
      <c r="R200" s="175">
        <v>5.6210000000000004</v>
      </c>
      <c r="S200" s="175">
        <v>0</v>
      </c>
      <c r="T200" s="175">
        <v>0</v>
      </c>
      <c r="U200" s="175">
        <v>155.136</v>
      </c>
      <c r="V200" s="175">
        <v>77.567999999999998</v>
      </c>
      <c r="W200" s="175">
        <v>4.2698</v>
      </c>
      <c r="X200" s="175">
        <v>3.2841</v>
      </c>
      <c r="Y200" s="175">
        <v>0</v>
      </c>
      <c r="Z200" s="175">
        <v>0</v>
      </c>
      <c r="AA200" s="175">
        <v>0</v>
      </c>
      <c r="AB200" s="175">
        <v>0</v>
      </c>
      <c r="AC200" s="175">
        <v>0</v>
      </c>
      <c r="AD200" s="175">
        <v>0</v>
      </c>
      <c r="AE200" s="175">
        <v>36.9</v>
      </c>
      <c r="AF200" s="175">
        <v>0</v>
      </c>
      <c r="AG200" s="175">
        <v>0</v>
      </c>
      <c r="AH200" s="175">
        <v>0</v>
      </c>
      <c r="AI200" s="175">
        <v>0</v>
      </c>
      <c r="AJ200" s="175">
        <v>0.12156248</v>
      </c>
      <c r="AK200" s="175">
        <v>0</v>
      </c>
      <c r="AL200" s="175">
        <v>1.1411697000000001</v>
      </c>
      <c r="AM200" s="175">
        <v>0</v>
      </c>
      <c r="AN200" s="175">
        <v>1.27625E-3</v>
      </c>
      <c r="AO200" s="175">
        <v>0</v>
      </c>
      <c r="AP200" s="175">
        <v>2.0478449999999999E-2</v>
      </c>
      <c r="AQ200" s="175">
        <v>0</v>
      </c>
      <c r="AR200" s="175">
        <v>0</v>
      </c>
      <c r="AS200" s="126"/>
      <c r="AT200" s="185">
        <f t="shared" si="30"/>
        <v>1079.3833868800002</v>
      </c>
      <c r="AV200" s="188">
        <f t="shared" si="22"/>
        <v>1.2640084300000001</v>
      </c>
      <c r="AW200" s="188">
        <f t="shared" si="23"/>
        <v>2.0478449999999999E-2</v>
      </c>
      <c r="AX200" s="188">
        <f t="shared" si="24"/>
        <v>7.5539000000000005</v>
      </c>
      <c r="AY200" s="188">
        <f t="shared" si="29"/>
        <v>8.8383868799999998</v>
      </c>
      <c r="AZ200" s="280">
        <f t="shared" si="26"/>
        <v>36.9</v>
      </c>
      <c r="BA200" s="280">
        <f t="shared" si="27"/>
        <v>232.70400000000001</v>
      </c>
      <c r="BB200" s="280">
        <f t="shared" si="28"/>
        <v>0</v>
      </c>
    </row>
    <row r="201" spans="1:54">
      <c r="A201" s="174" t="s">
        <v>98</v>
      </c>
      <c r="B201" s="174" t="s">
        <v>25</v>
      </c>
      <c r="C201" s="174" t="s">
        <v>28</v>
      </c>
      <c r="D201" s="175">
        <v>1</v>
      </c>
      <c r="E201" s="174">
        <v>2039</v>
      </c>
      <c r="F201" s="174" t="s">
        <v>18</v>
      </c>
      <c r="G201" s="175">
        <v>673.32</v>
      </c>
      <c r="H201" s="175">
        <v>0</v>
      </c>
      <c r="I201" s="175">
        <v>0</v>
      </c>
      <c r="J201" s="175">
        <v>0</v>
      </c>
      <c r="K201" s="175">
        <v>122</v>
      </c>
      <c r="L201" s="175">
        <v>0</v>
      </c>
      <c r="M201" s="175">
        <v>0</v>
      </c>
      <c r="N201" s="175">
        <v>0</v>
      </c>
      <c r="O201" s="175">
        <v>0</v>
      </c>
      <c r="P201" s="175">
        <v>0</v>
      </c>
      <c r="Q201" s="175">
        <v>0</v>
      </c>
      <c r="R201" s="175">
        <v>5.6210000000000004</v>
      </c>
      <c r="S201" s="175">
        <v>0</v>
      </c>
      <c r="T201" s="175">
        <v>0</v>
      </c>
      <c r="U201" s="175">
        <v>155.136</v>
      </c>
      <c r="V201" s="175">
        <v>77.567999999999998</v>
      </c>
      <c r="W201" s="175">
        <v>0</v>
      </c>
      <c r="X201" s="175">
        <v>3.2841</v>
      </c>
      <c r="Y201" s="175">
        <v>0</v>
      </c>
      <c r="Z201" s="175">
        <v>0</v>
      </c>
      <c r="AA201" s="175">
        <v>0</v>
      </c>
      <c r="AB201" s="175">
        <v>0</v>
      </c>
      <c r="AC201" s="175">
        <v>0</v>
      </c>
      <c r="AD201" s="175">
        <v>0</v>
      </c>
      <c r="AE201" s="175">
        <v>36.9</v>
      </c>
      <c r="AF201" s="175">
        <v>0</v>
      </c>
      <c r="AG201" s="175">
        <v>0</v>
      </c>
      <c r="AH201" s="175">
        <v>0</v>
      </c>
      <c r="AI201" s="175">
        <v>0</v>
      </c>
      <c r="AJ201" s="175">
        <v>2.888872E-2</v>
      </c>
      <c r="AK201" s="175">
        <v>0</v>
      </c>
      <c r="AL201" s="175">
        <v>0.8479833</v>
      </c>
      <c r="AM201" s="175">
        <v>0</v>
      </c>
      <c r="AN201" s="175">
        <v>0</v>
      </c>
      <c r="AO201" s="175">
        <v>0</v>
      </c>
      <c r="AP201" s="175">
        <v>4.4529000000000001E-3</v>
      </c>
      <c r="AQ201" s="175">
        <v>0</v>
      </c>
      <c r="AR201" s="175">
        <v>0</v>
      </c>
      <c r="AS201" s="126"/>
      <c r="AT201" s="185">
        <f t="shared" si="30"/>
        <v>1074.7104249199999</v>
      </c>
      <c r="AV201" s="188">
        <f t="shared" si="22"/>
        <v>0.87687201999999997</v>
      </c>
      <c r="AW201" s="188">
        <f t="shared" si="23"/>
        <v>4.4529000000000001E-3</v>
      </c>
      <c r="AX201" s="188">
        <f t="shared" si="24"/>
        <v>3.2841</v>
      </c>
      <c r="AY201" s="188">
        <f t="shared" si="29"/>
        <v>4.1654249199999995</v>
      </c>
      <c r="AZ201" s="280">
        <f t="shared" si="26"/>
        <v>36.9</v>
      </c>
      <c r="BA201" s="280">
        <f t="shared" si="27"/>
        <v>232.70400000000001</v>
      </c>
      <c r="BB201" s="280">
        <f t="shared" si="28"/>
        <v>0</v>
      </c>
    </row>
    <row r="202" spans="1:54">
      <c r="A202" s="174" t="s">
        <v>98</v>
      </c>
      <c r="B202" s="174" t="s">
        <v>25</v>
      </c>
      <c r="C202" s="174" t="s">
        <v>28</v>
      </c>
      <c r="D202" s="175">
        <v>1</v>
      </c>
      <c r="E202" s="174">
        <v>2040</v>
      </c>
      <c r="F202" s="174" t="s">
        <v>18</v>
      </c>
      <c r="G202" s="175">
        <v>673.32</v>
      </c>
      <c r="H202" s="175">
        <v>0</v>
      </c>
      <c r="I202" s="175">
        <v>0</v>
      </c>
      <c r="J202" s="175">
        <v>0</v>
      </c>
      <c r="K202" s="175">
        <v>122</v>
      </c>
      <c r="L202" s="175">
        <v>0</v>
      </c>
      <c r="M202" s="175">
        <v>0</v>
      </c>
      <c r="N202" s="175">
        <v>0</v>
      </c>
      <c r="O202" s="175">
        <v>0</v>
      </c>
      <c r="P202" s="175">
        <v>0</v>
      </c>
      <c r="Q202" s="175">
        <v>0</v>
      </c>
      <c r="R202" s="175">
        <v>6.1319999999999997</v>
      </c>
      <c r="S202" s="175">
        <v>0</v>
      </c>
      <c r="T202" s="175">
        <v>0</v>
      </c>
      <c r="U202" s="175">
        <v>155.136</v>
      </c>
      <c r="V202" s="175">
        <v>77.567999999999998</v>
      </c>
      <c r="W202" s="175">
        <v>0</v>
      </c>
      <c r="X202" s="175">
        <v>3.2841</v>
      </c>
      <c r="Y202" s="175">
        <v>0</v>
      </c>
      <c r="Z202" s="175">
        <v>0</v>
      </c>
      <c r="AA202" s="175">
        <v>0</v>
      </c>
      <c r="AB202" s="175">
        <v>0</v>
      </c>
      <c r="AC202" s="175">
        <v>0</v>
      </c>
      <c r="AD202" s="175">
        <v>0</v>
      </c>
      <c r="AE202" s="175">
        <v>36.9</v>
      </c>
      <c r="AF202" s="175">
        <v>0</v>
      </c>
      <c r="AG202" s="175">
        <v>0</v>
      </c>
      <c r="AH202" s="175">
        <v>0</v>
      </c>
      <c r="AI202" s="175">
        <v>0</v>
      </c>
      <c r="AJ202" s="175">
        <v>0</v>
      </c>
      <c r="AK202" s="175">
        <v>0</v>
      </c>
      <c r="AL202" s="175">
        <v>0.58653029999999995</v>
      </c>
      <c r="AM202" s="175">
        <v>0</v>
      </c>
      <c r="AN202" s="175">
        <v>0</v>
      </c>
      <c r="AO202" s="175">
        <v>0</v>
      </c>
      <c r="AP202" s="175">
        <v>0</v>
      </c>
      <c r="AQ202" s="175">
        <v>0</v>
      </c>
      <c r="AR202" s="175">
        <v>0</v>
      </c>
      <c r="AS202" s="126"/>
      <c r="AT202" s="185">
        <f t="shared" si="30"/>
        <v>1074.9266303000002</v>
      </c>
      <c r="AV202" s="188">
        <f t="shared" si="22"/>
        <v>0.58653029999999995</v>
      </c>
      <c r="AW202" s="188">
        <f t="shared" si="23"/>
        <v>0</v>
      </c>
      <c r="AX202" s="188">
        <f t="shared" si="24"/>
        <v>3.2841</v>
      </c>
      <c r="AY202" s="188">
        <f t="shared" si="29"/>
        <v>3.8706303000000002</v>
      </c>
      <c r="AZ202" s="280">
        <f t="shared" si="26"/>
        <v>36.9</v>
      </c>
      <c r="BA202" s="280">
        <f t="shared" si="27"/>
        <v>232.70400000000001</v>
      </c>
      <c r="BB202" s="280">
        <f t="shared" si="28"/>
        <v>0</v>
      </c>
    </row>
    <row r="203" spans="1:54">
      <c r="A203" s="174" t="s">
        <v>98</v>
      </c>
      <c r="B203" s="174" t="s">
        <v>25</v>
      </c>
      <c r="C203" s="174" t="s">
        <v>28</v>
      </c>
      <c r="D203" s="175">
        <v>1</v>
      </c>
      <c r="E203" s="174">
        <v>2041</v>
      </c>
      <c r="F203" s="174" t="s">
        <v>18</v>
      </c>
      <c r="G203" s="175">
        <v>673.32</v>
      </c>
      <c r="H203" s="175">
        <v>0</v>
      </c>
      <c r="I203" s="175">
        <v>0</v>
      </c>
      <c r="J203" s="175">
        <v>0</v>
      </c>
      <c r="K203" s="175">
        <v>122</v>
      </c>
      <c r="L203" s="175">
        <v>0</v>
      </c>
      <c r="M203" s="175">
        <v>0</v>
      </c>
      <c r="N203" s="175">
        <v>0</v>
      </c>
      <c r="O203" s="175">
        <v>0</v>
      </c>
      <c r="P203" s="175">
        <v>0</v>
      </c>
      <c r="Q203" s="175">
        <v>0</v>
      </c>
      <c r="R203" s="175">
        <v>6.1319999999999997</v>
      </c>
      <c r="S203" s="175">
        <v>0</v>
      </c>
      <c r="T203" s="175">
        <v>0</v>
      </c>
      <c r="U203" s="175">
        <v>155.136</v>
      </c>
      <c r="V203" s="175">
        <v>77.567999999999998</v>
      </c>
      <c r="W203" s="175">
        <v>0</v>
      </c>
      <c r="X203" s="175">
        <v>3.2841</v>
      </c>
      <c r="Y203" s="175">
        <v>0</v>
      </c>
      <c r="Z203" s="175">
        <v>0</v>
      </c>
      <c r="AA203" s="175">
        <v>0</v>
      </c>
      <c r="AB203" s="175">
        <v>0</v>
      </c>
      <c r="AC203" s="175">
        <v>0</v>
      </c>
      <c r="AD203" s="175">
        <v>0</v>
      </c>
      <c r="AE203" s="175">
        <v>36.9</v>
      </c>
      <c r="AF203" s="175">
        <v>0</v>
      </c>
      <c r="AG203" s="175">
        <v>0</v>
      </c>
      <c r="AH203" s="175">
        <v>0</v>
      </c>
      <c r="AI203" s="175">
        <v>0</v>
      </c>
      <c r="AJ203" s="175">
        <v>0</v>
      </c>
      <c r="AK203" s="175">
        <v>0</v>
      </c>
      <c r="AL203" s="175">
        <v>0.37018020000000001</v>
      </c>
      <c r="AM203" s="175">
        <v>0</v>
      </c>
      <c r="AN203" s="175">
        <v>0</v>
      </c>
      <c r="AO203" s="175">
        <v>0</v>
      </c>
      <c r="AP203" s="175">
        <v>0</v>
      </c>
      <c r="AQ203" s="175">
        <v>0</v>
      </c>
      <c r="AR203" s="175">
        <v>0</v>
      </c>
      <c r="AS203" s="126"/>
      <c r="AT203" s="185">
        <f t="shared" si="30"/>
        <v>1074.7102802000002</v>
      </c>
      <c r="AV203" s="188">
        <f t="shared" si="22"/>
        <v>0.37018020000000001</v>
      </c>
      <c r="AW203" s="188">
        <f t="shared" si="23"/>
        <v>0</v>
      </c>
      <c r="AX203" s="188">
        <f t="shared" si="24"/>
        <v>3.2841</v>
      </c>
      <c r="AY203" s="188">
        <f t="shared" si="29"/>
        <v>3.6542802000000001</v>
      </c>
      <c r="AZ203" s="280">
        <f t="shared" si="26"/>
        <v>36.9</v>
      </c>
      <c r="BA203" s="280">
        <f t="shared" si="27"/>
        <v>232.70400000000001</v>
      </c>
      <c r="BB203" s="280">
        <f t="shared" si="28"/>
        <v>0</v>
      </c>
    </row>
    <row r="204" spans="1:54">
      <c r="A204" s="174" t="s">
        <v>98</v>
      </c>
      <c r="B204" s="174" t="s">
        <v>25</v>
      </c>
      <c r="C204" s="174" t="s">
        <v>28</v>
      </c>
      <c r="D204" s="175">
        <v>1</v>
      </c>
      <c r="E204" s="174">
        <v>2042</v>
      </c>
      <c r="F204" s="174" t="s">
        <v>18</v>
      </c>
      <c r="G204" s="175">
        <v>673.32</v>
      </c>
      <c r="H204" s="175">
        <v>0</v>
      </c>
      <c r="I204" s="175">
        <v>0</v>
      </c>
      <c r="J204" s="175">
        <v>0</v>
      </c>
      <c r="K204" s="175">
        <v>122</v>
      </c>
      <c r="L204" s="175">
        <v>0</v>
      </c>
      <c r="M204" s="175">
        <v>0</v>
      </c>
      <c r="N204" s="175">
        <v>0</v>
      </c>
      <c r="O204" s="175">
        <v>0</v>
      </c>
      <c r="P204" s="175">
        <v>0</v>
      </c>
      <c r="Q204" s="175">
        <v>0</v>
      </c>
      <c r="R204" s="175">
        <v>6.6429999999999998</v>
      </c>
      <c r="S204" s="175">
        <v>0</v>
      </c>
      <c r="T204" s="175">
        <v>0</v>
      </c>
      <c r="U204" s="175">
        <v>155.136</v>
      </c>
      <c r="V204" s="175">
        <v>77.567999999999998</v>
      </c>
      <c r="W204" s="175">
        <v>0</v>
      </c>
      <c r="X204" s="175">
        <v>3.2841</v>
      </c>
      <c r="Y204" s="175">
        <v>0</v>
      </c>
      <c r="Z204" s="175">
        <v>0</v>
      </c>
      <c r="AA204" s="175">
        <v>0</v>
      </c>
      <c r="AB204" s="175">
        <v>0</v>
      </c>
      <c r="AC204" s="175">
        <v>0</v>
      </c>
      <c r="AD204" s="175">
        <v>0</v>
      </c>
      <c r="AE204" s="175">
        <v>36.9</v>
      </c>
      <c r="AF204" s="175">
        <v>0</v>
      </c>
      <c r="AG204" s="175">
        <v>0</v>
      </c>
      <c r="AH204" s="175">
        <v>0</v>
      </c>
      <c r="AI204" s="175">
        <v>0</v>
      </c>
      <c r="AJ204" s="175">
        <v>0</v>
      </c>
      <c r="AK204" s="175">
        <v>0</v>
      </c>
      <c r="AL204" s="175">
        <v>0.20161784999999999</v>
      </c>
      <c r="AM204" s="175">
        <v>0</v>
      </c>
      <c r="AN204" s="175">
        <v>0</v>
      </c>
      <c r="AO204" s="175">
        <v>0</v>
      </c>
      <c r="AP204" s="175">
        <v>0</v>
      </c>
      <c r="AQ204" s="175">
        <v>0</v>
      </c>
      <c r="AR204" s="175">
        <v>0</v>
      </c>
      <c r="AS204" s="126"/>
      <c r="AT204" s="185">
        <f t="shared" si="30"/>
        <v>1075.0527178500004</v>
      </c>
      <c r="AV204" s="188">
        <f t="shared" si="22"/>
        <v>0.20161784999999999</v>
      </c>
      <c r="AW204" s="188">
        <f t="shared" si="23"/>
        <v>0</v>
      </c>
      <c r="AX204" s="188">
        <f t="shared" si="24"/>
        <v>3.2841</v>
      </c>
      <c r="AY204" s="188">
        <f t="shared" si="29"/>
        <v>3.4857178499999999</v>
      </c>
      <c r="AZ204" s="280">
        <f t="shared" si="26"/>
        <v>36.9</v>
      </c>
      <c r="BA204" s="280">
        <f t="shared" si="27"/>
        <v>232.70400000000001</v>
      </c>
      <c r="BB204" s="280">
        <f t="shared" si="28"/>
        <v>0</v>
      </c>
    </row>
    <row r="205" spans="1:54">
      <c r="A205" s="174" t="s">
        <v>98</v>
      </c>
      <c r="B205" s="174" t="s">
        <v>25</v>
      </c>
      <c r="C205" s="174" t="s">
        <v>28</v>
      </c>
      <c r="D205" s="175">
        <v>1</v>
      </c>
      <c r="E205" s="174">
        <v>2043</v>
      </c>
      <c r="F205" s="174" t="s">
        <v>18</v>
      </c>
      <c r="G205" s="175">
        <v>673.32</v>
      </c>
      <c r="H205" s="175">
        <v>0</v>
      </c>
      <c r="I205" s="175">
        <v>0</v>
      </c>
      <c r="J205" s="175">
        <v>0</v>
      </c>
      <c r="K205" s="175">
        <v>122</v>
      </c>
      <c r="L205" s="175">
        <v>0</v>
      </c>
      <c r="M205" s="175">
        <v>0</v>
      </c>
      <c r="N205" s="175">
        <v>0</v>
      </c>
      <c r="O205" s="175">
        <v>0</v>
      </c>
      <c r="P205" s="175">
        <v>0</v>
      </c>
      <c r="Q205" s="175">
        <v>0</v>
      </c>
      <c r="R205" s="175">
        <v>7.1539999999999999</v>
      </c>
      <c r="S205" s="175">
        <v>0</v>
      </c>
      <c r="T205" s="175">
        <v>0</v>
      </c>
      <c r="U205" s="175">
        <v>155.136</v>
      </c>
      <c r="V205" s="175">
        <v>77.567999999999998</v>
      </c>
      <c r="W205" s="175">
        <v>0</v>
      </c>
      <c r="X205" s="175">
        <v>3.2841</v>
      </c>
      <c r="Y205" s="175">
        <v>0</v>
      </c>
      <c r="Z205" s="175">
        <v>0</v>
      </c>
      <c r="AA205" s="175">
        <v>0</v>
      </c>
      <c r="AB205" s="175">
        <v>0</v>
      </c>
      <c r="AC205" s="175">
        <v>0</v>
      </c>
      <c r="AD205" s="175">
        <v>0</v>
      </c>
      <c r="AE205" s="175">
        <v>36.9</v>
      </c>
      <c r="AF205" s="175">
        <v>0</v>
      </c>
      <c r="AG205" s="175">
        <v>0</v>
      </c>
      <c r="AH205" s="175">
        <v>0</v>
      </c>
      <c r="AI205" s="175">
        <v>0</v>
      </c>
      <c r="AJ205" s="175">
        <v>0</v>
      </c>
      <c r="AK205" s="175">
        <v>0</v>
      </c>
      <c r="AL205" s="175">
        <v>8.4368399999999996E-2</v>
      </c>
      <c r="AM205" s="175">
        <v>0</v>
      </c>
      <c r="AN205" s="175">
        <v>0</v>
      </c>
      <c r="AO205" s="175">
        <v>0</v>
      </c>
      <c r="AP205" s="175">
        <v>0</v>
      </c>
      <c r="AQ205" s="175">
        <v>0</v>
      </c>
      <c r="AR205" s="175">
        <v>0</v>
      </c>
      <c r="AS205" s="126"/>
      <c r="AT205" s="185">
        <f t="shared" si="30"/>
        <v>1075.4464684000002</v>
      </c>
      <c r="AV205" s="188">
        <f t="shared" si="22"/>
        <v>8.4368399999999996E-2</v>
      </c>
      <c r="AW205" s="188">
        <f t="shared" si="23"/>
        <v>0</v>
      </c>
      <c r="AX205" s="188">
        <f t="shared" si="24"/>
        <v>3.2841</v>
      </c>
      <c r="AY205" s="188">
        <f t="shared" si="29"/>
        <v>3.3684683999999998</v>
      </c>
      <c r="AZ205" s="280">
        <f t="shared" si="26"/>
        <v>36.9</v>
      </c>
      <c r="BA205" s="280">
        <f t="shared" si="27"/>
        <v>232.70400000000001</v>
      </c>
      <c r="BB205" s="280">
        <f t="shared" si="28"/>
        <v>0</v>
      </c>
    </row>
    <row r="206" spans="1:54">
      <c r="A206" s="174" t="s">
        <v>98</v>
      </c>
      <c r="B206" s="174" t="s">
        <v>25</v>
      </c>
      <c r="C206" s="174" t="s">
        <v>28</v>
      </c>
      <c r="D206" s="175">
        <v>1</v>
      </c>
      <c r="E206" s="174">
        <v>2044</v>
      </c>
      <c r="F206" s="174" t="s">
        <v>18</v>
      </c>
      <c r="G206" s="175">
        <v>673.32</v>
      </c>
      <c r="H206" s="175">
        <v>0</v>
      </c>
      <c r="I206" s="175">
        <v>0</v>
      </c>
      <c r="J206" s="175">
        <v>0</v>
      </c>
      <c r="K206" s="175">
        <v>122</v>
      </c>
      <c r="L206" s="175">
        <v>0</v>
      </c>
      <c r="M206" s="175">
        <v>0</v>
      </c>
      <c r="N206" s="175">
        <v>0</v>
      </c>
      <c r="O206" s="175">
        <v>0</v>
      </c>
      <c r="P206" s="175">
        <v>0</v>
      </c>
      <c r="Q206" s="175">
        <v>0</v>
      </c>
      <c r="R206" s="175">
        <v>7.1539999999999999</v>
      </c>
      <c r="S206" s="175">
        <v>0</v>
      </c>
      <c r="T206" s="175">
        <v>0</v>
      </c>
      <c r="U206" s="175">
        <v>155.136</v>
      </c>
      <c r="V206" s="175">
        <v>77.567999999999998</v>
      </c>
      <c r="W206" s="175">
        <v>0</v>
      </c>
      <c r="X206" s="175">
        <v>3.2841</v>
      </c>
      <c r="Y206" s="175">
        <v>0</v>
      </c>
      <c r="Z206" s="175">
        <v>0</v>
      </c>
      <c r="AA206" s="175">
        <v>0</v>
      </c>
      <c r="AB206" s="175">
        <v>0</v>
      </c>
      <c r="AC206" s="175">
        <v>0</v>
      </c>
      <c r="AD206" s="175">
        <v>0</v>
      </c>
      <c r="AE206" s="175">
        <v>36.9</v>
      </c>
      <c r="AF206" s="175">
        <v>0</v>
      </c>
      <c r="AG206" s="175">
        <v>0</v>
      </c>
      <c r="AH206" s="175">
        <v>0</v>
      </c>
      <c r="AI206" s="175">
        <v>0</v>
      </c>
      <c r="AJ206" s="175">
        <v>0</v>
      </c>
      <c r="AK206" s="175">
        <v>0</v>
      </c>
      <c r="AL206" s="175">
        <v>1.8329249999999998E-2</v>
      </c>
      <c r="AM206" s="175">
        <v>0</v>
      </c>
      <c r="AN206" s="175">
        <v>0</v>
      </c>
      <c r="AO206" s="175">
        <v>0</v>
      </c>
      <c r="AP206" s="175">
        <v>0</v>
      </c>
      <c r="AQ206" s="175">
        <v>0</v>
      </c>
      <c r="AR206" s="175">
        <v>0</v>
      </c>
      <c r="AS206" s="126"/>
      <c r="AT206" s="185">
        <f t="shared" si="30"/>
        <v>1075.3804292500004</v>
      </c>
      <c r="AV206" s="188">
        <f t="shared" si="22"/>
        <v>1.8329249999999998E-2</v>
      </c>
      <c r="AW206" s="188">
        <f t="shared" si="23"/>
        <v>0</v>
      </c>
      <c r="AX206" s="188">
        <f t="shared" si="24"/>
        <v>3.2841</v>
      </c>
      <c r="AY206" s="188">
        <f t="shared" si="29"/>
        <v>3.3024292499999999</v>
      </c>
      <c r="AZ206" s="280">
        <f t="shared" si="26"/>
        <v>36.9</v>
      </c>
      <c r="BA206" s="280">
        <f t="shared" si="27"/>
        <v>232.70400000000001</v>
      </c>
      <c r="BB206" s="280">
        <f t="shared" si="28"/>
        <v>0</v>
      </c>
    </row>
    <row r="207" spans="1:54">
      <c r="A207" s="174" t="s">
        <v>98</v>
      </c>
      <c r="B207" s="174" t="s">
        <v>25</v>
      </c>
      <c r="C207" s="174" t="s">
        <v>28</v>
      </c>
      <c r="D207" s="175">
        <v>1</v>
      </c>
      <c r="E207" s="174">
        <v>2045</v>
      </c>
      <c r="F207" s="174" t="s">
        <v>18</v>
      </c>
      <c r="G207" s="175">
        <v>673.32</v>
      </c>
      <c r="H207" s="175">
        <v>0</v>
      </c>
      <c r="I207" s="175">
        <v>0</v>
      </c>
      <c r="J207" s="175">
        <v>0</v>
      </c>
      <c r="K207" s="175">
        <v>122</v>
      </c>
      <c r="L207" s="175">
        <v>0</v>
      </c>
      <c r="M207" s="175">
        <v>0</v>
      </c>
      <c r="N207" s="175">
        <v>0</v>
      </c>
      <c r="O207" s="175">
        <v>0</v>
      </c>
      <c r="P207" s="175">
        <v>0</v>
      </c>
      <c r="Q207" s="175">
        <v>0</v>
      </c>
      <c r="R207" s="175">
        <v>7.665</v>
      </c>
      <c r="S207" s="175">
        <v>0</v>
      </c>
      <c r="T207" s="175">
        <v>0</v>
      </c>
      <c r="U207" s="175">
        <v>155.136</v>
      </c>
      <c r="V207" s="175">
        <v>77.567999999999998</v>
      </c>
      <c r="W207" s="175">
        <v>0</v>
      </c>
      <c r="X207" s="175">
        <v>3.2841</v>
      </c>
      <c r="Y207" s="175">
        <v>0</v>
      </c>
      <c r="Z207" s="175">
        <v>0</v>
      </c>
      <c r="AA207" s="175">
        <v>0</v>
      </c>
      <c r="AB207" s="175">
        <v>0</v>
      </c>
      <c r="AC207" s="175">
        <v>0</v>
      </c>
      <c r="AD207" s="175">
        <v>0</v>
      </c>
      <c r="AE207" s="175">
        <v>36.9</v>
      </c>
      <c r="AF207" s="175">
        <v>0</v>
      </c>
      <c r="AG207" s="175">
        <v>0</v>
      </c>
      <c r="AH207" s="175">
        <v>0</v>
      </c>
      <c r="AI207" s="175">
        <v>0</v>
      </c>
      <c r="AJ207" s="175">
        <v>0</v>
      </c>
      <c r="AK207" s="175">
        <v>0</v>
      </c>
      <c r="AL207" s="175">
        <v>0</v>
      </c>
      <c r="AM207" s="175">
        <v>0</v>
      </c>
      <c r="AN207" s="175">
        <v>0</v>
      </c>
      <c r="AO207" s="175">
        <v>0</v>
      </c>
      <c r="AP207" s="175">
        <v>0</v>
      </c>
      <c r="AQ207" s="175">
        <v>0</v>
      </c>
      <c r="AR207" s="175">
        <v>0</v>
      </c>
      <c r="AS207" s="126"/>
      <c r="AT207" s="185">
        <f t="shared" si="30"/>
        <v>1075.8731000000002</v>
      </c>
      <c r="AV207" s="188">
        <f t="shared" si="22"/>
        <v>0</v>
      </c>
      <c r="AW207" s="188">
        <f t="shared" si="23"/>
        <v>0</v>
      </c>
      <c r="AX207" s="188">
        <f t="shared" si="24"/>
        <v>3.2841</v>
      </c>
      <c r="AY207" s="188">
        <f t="shared" si="29"/>
        <v>3.2841</v>
      </c>
      <c r="AZ207" s="280">
        <f t="shared" si="26"/>
        <v>36.9</v>
      </c>
      <c r="BA207" s="280">
        <f t="shared" si="27"/>
        <v>232.70400000000001</v>
      </c>
      <c r="BB207" s="280">
        <f t="shared" si="28"/>
        <v>0</v>
      </c>
    </row>
    <row r="208" spans="1:54">
      <c r="A208" s="174" t="s">
        <v>98</v>
      </c>
      <c r="B208" s="174" t="s">
        <v>25</v>
      </c>
      <c r="C208" s="174" t="s">
        <v>28</v>
      </c>
      <c r="D208" s="175">
        <v>1</v>
      </c>
      <c r="E208" s="174">
        <v>2046</v>
      </c>
      <c r="F208" s="174" t="s">
        <v>18</v>
      </c>
      <c r="G208" s="175">
        <v>673.32</v>
      </c>
      <c r="H208" s="175">
        <v>0</v>
      </c>
      <c r="I208" s="175">
        <v>0</v>
      </c>
      <c r="J208" s="175">
        <v>0</v>
      </c>
      <c r="K208" s="175">
        <v>122</v>
      </c>
      <c r="L208" s="175">
        <v>0</v>
      </c>
      <c r="M208" s="175">
        <v>0</v>
      </c>
      <c r="N208" s="175">
        <v>0</v>
      </c>
      <c r="O208" s="175">
        <v>0</v>
      </c>
      <c r="P208" s="175">
        <v>0</v>
      </c>
      <c r="Q208" s="175">
        <v>0</v>
      </c>
      <c r="R208" s="175">
        <v>8.1760000000000002</v>
      </c>
      <c r="S208" s="175">
        <v>0</v>
      </c>
      <c r="T208" s="175">
        <v>0</v>
      </c>
      <c r="U208" s="175">
        <v>155.136</v>
      </c>
      <c r="V208" s="175">
        <v>77.567999999999998</v>
      </c>
      <c r="W208" s="175">
        <v>0</v>
      </c>
      <c r="X208" s="175">
        <v>0</v>
      </c>
      <c r="Y208" s="175">
        <v>0</v>
      </c>
      <c r="Z208" s="175">
        <v>0</v>
      </c>
      <c r="AA208" s="175">
        <v>0</v>
      </c>
      <c r="AB208" s="175">
        <v>0</v>
      </c>
      <c r="AC208" s="175">
        <v>0</v>
      </c>
      <c r="AD208" s="175">
        <v>0</v>
      </c>
      <c r="AE208" s="175">
        <v>36.9</v>
      </c>
      <c r="AF208" s="175">
        <v>0</v>
      </c>
      <c r="AG208" s="175">
        <v>0</v>
      </c>
      <c r="AH208" s="175">
        <v>0</v>
      </c>
      <c r="AI208" s="175">
        <v>0</v>
      </c>
      <c r="AJ208" s="175">
        <v>0</v>
      </c>
      <c r="AK208" s="175">
        <v>0</v>
      </c>
      <c r="AL208" s="175">
        <v>0</v>
      </c>
      <c r="AM208" s="175">
        <v>0</v>
      </c>
      <c r="AN208" s="175">
        <v>0</v>
      </c>
      <c r="AO208" s="175">
        <v>0</v>
      </c>
      <c r="AP208" s="175">
        <v>0</v>
      </c>
      <c r="AQ208" s="175">
        <v>0</v>
      </c>
      <c r="AR208" s="175">
        <v>0</v>
      </c>
      <c r="AS208" s="126"/>
      <c r="AT208" s="185">
        <f t="shared" si="30"/>
        <v>1073.1000000000001</v>
      </c>
      <c r="AV208" s="188">
        <f t="shared" si="22"/>
        <v>0</v>
      </c>
      <c r="AW208" s="188">
        <f t="shared" si="23"/>
        <v>0</v>
      </c>
      <c r="AX208" s="188">
        <f t="shared" si="24"/>
        <v>0</v>
      </c>
      <c r="AY208" s="188">
        <f t="shared" si="29"/>
        <v>0</v>
      </c>
      <c r="AZ208" s="280">
        <f t="shared" si="26"/>
        <v>36.9</v>
      </c>
      <c r="BA208" s="280">
        <f t="shared" si="27"/>
        <v>232.70400000000001</v>
      </c>
      <c r="BB208" s="280">
        <f t="shared" si="28"/>
        <v>0</v>
      </c>
    </row>
    <row r="209" spans="1:54">
      <c r="A209" s="174" t="s">
        <v>98</v>
      </c>
      <c r="B209" s="174" t="s">
        <v>25</v>
      </c>
      <c r="C209" s="174" t="s">
        <v>28</v>
      </c>
      <c r="D209" s="175">
        <v>1</v>
      </c>
      <c r="E209" s="174">
        <v>2047</v>
      </c>
      <c r="F209" s="174" t="s">
        <v>18</v>
      </c>
      <c r="G209" s="175">
        <v>673.32</v>
      </c>
      <c r="H209" s="175">
        <v>0</v>
      </c>
      <c r="I209" s="175">
        <v>0</v>
      </c>
      <c r="J209" s="175">
        <v>0</v>
      </c>
      <c r="K209" s="175">
        <v>122</v>
      </c>
      <c r="L209" s="175">
        <v>0</v>
      </c>
      <c r="M209" s="175">
        <v>0</v>
      </c>
      <c r="N209" s="175">
        <v>0</v>
      </c>
      <c r="O209" s="175">
        <v>0</v>
      </c>
      <c r="P209" s="175">
        <v>0</v>
      </c>
      <c r="Q209" s="175">
        <v>0</v>
      </c>
      <c r="R209" s="175">
        <v>8.6869999999999994</v>
      </c>
      <c r="S209" s="175">
        <v>0</v>
      </c>
      <c r="T209" s="175">
        <v>0</v>
      </c>
      <c r="U209" s="175">
        <v>155.136</v>
      </c>
      <c r="V209" s="175">
        <v>77.567999999999998</v>
      </c>
      <c r="W209" s="175">
        <v>0</v>
      </c>
      <c r="X209" s="175">
        <v>0</v>
      </c>
      <c r="Y209" s="175">
        <v>0</v>
      </c>
      <c r="Z209" s="175">
        <v>0</v>
      </c>
      <c r="AA209" s="175">
        <v>0</v>
      </c>
      <c r="AB209" s="175">
        <v>0</v>
      </c>
      <c r="AC209" s="175">
        <v>0</v>
      </c>
      <c r="AD209" s="175">
        <v>0</v>
      </c>
      <c r="AE209" s="175">
        <v>36.9</v>
      </c>
      <c r="AF209" s="175">
        <v>0</v>
      </c>
      <c r="AG209" s="175">
        <v>0</v>
      </c>
      <c r="AH209" s="175">
        <v>0</v>
      </c>
      <c r="AI209" s="175">
        <v>0</v>
      </c>
      <c r="AJ209" s="175">
        <v>0</v>
      </c>
      <c r="AK209" s="175">
        <v>0</v>
      </c>
      <c r="AL209" s="175">
        <v>0</v>
      </c>
      <c r="AM209" s="175">
        <v>0</v>
      </c>
      <c r="AN209" s="175">
        <v>0</v>
      </c>
      <c r="AO209" s="175">
        <v>0</v>
      </c>
      <c r="AP209" s="175">
        <v>0</v>
      </c>
      <c r="AQ209" s="175">
        <v>0</v>
      </c>
      <c r="AR209" s="175">
        <v>0</v>
      </c>
      <c r="AS209" s="126"/>
      <c r="AT209" s="185">
        <f t="shared" si="30"/>
        <v>1073.6110000000001</v>
      </c>
      <c r="AV209" s="188">
        <f t="shared" si="22"/>
        <v>0</v>
      </c>
      <c r="AW209" s="188">
        <f t="shared" si="23"/>
        <v>0</v>
      </c>
      <c r="AX209" s="188">
        <f t="shared" si="24"/>
        <v>0</v>
      </c>
      <c r="AY209" s="188">
        <f t="shared" si="29"/>
        <v>0</v>
      </c>
      <c r="AZ209" s="280">
        <f t="shared" si="26"/>
        <v>36.9</v>
      </c>
      <c r="BA209" s="280">
        <f t="shared" si="27"/>
        <v>232.70400000000001</v>
      </c>
      <c r="BB209" s="280">
        <f t="shared" si="28"/>
        <v>0</v>
      </c>
    </row>
    <row r="210" spans="1:54">
      <c r="A210" s="174" t="s">
        <v>98</v>
      </c>
      <c r="B210" s="174" t="s">
        <v>25</v>
      </c>
      <c r="C210" s="174" t="s">
        <v>28</v>
      </c>
      <c r="D210" s="175">
        <v>1</v>
      </c>
      <c r="E210" s="174">
        <v>2048</v>
      </c>
      <c r="F210" s="174" t="s">
        <v>18</v>
      </c>
      <c r="G210" s="175">
        <v>673.32</v>
      </c>
      <c r="H210" s="175">
        <v>0</v>
      </c>
      <c r="I210" s="175">
        <v>0</v>
      </c>
      <c r="J210" s="175">
        <v>0</v>
      </c>
      <c r="K210" s="175">
        <v>122</v>
      </c>
      <c r="L210" s="175">
        <v>0</v>
      </c>
      <c r="M210" s="175">
        <v>0</v>
      </c>
      <c r="N210" s="175">
        <v>0</v>
      </c>
      <c r="O210" s="175">
        <v>0</v>
      </c>
      <c r="P210" s="175">
        <v>0</v>
      </c>
      <c r="Q210" s="175">
        <v>0</v>
      </c>
      <c r="R210" s="175">
        <v>9.1980000000000004</v>
      </c>
      <c r="S210" s="175">
        <v>0</v>
      </c>
      <c r="T210" s="175">
        <v>0</v>
      </c>
      <c r="U210" s="175">
        <v>155.136</v>
      </c>
      <c r="V210" s="175">
        <v>77.567999999999998</v>
      </c>
      <c r="W210" s="175">
        <v>0</v>
      </c>
      <c r="X210" s="175">
        <v>0</v>
      </c>
      <c r="Y210" s="175">
        <v>0</v>
      </c>
      <c r="Z210" s="175">
        <v>0</v>
      </c>
      <c r="AA210" s="175">
        <v>0</v>
      </c>
      <c r="AB210" s="175">
        <v>0</v>
      </c>
      <c r="AC210" s="175">
        <v>0</v>
      </c>
      <c r="AD210" s="175">
        <v>0</v>
      </c>
      <c r="AE210" s="175">
        <v>36.9</v>
      </c>
      <c r="AF210" s="175">
        <v>0</v>
      </c>
      <c r="AG210" s="175">
        <v>0</v>
      </c>
      <c r="AH210" s="175">
        <v>0</v>
      </c>
      <c r="AI210" s="175">
        <v>0</v>
      </c>
      <c r="AJ210" s="175">
        <v>0</v>
      </c>
      <c r="AK210" s="175">
        <v>0</v>
      </c>
      <c r="AL210" s="175">
        <v>0</v>
      </c>
      <c r="AM210" s="175">
        <v>0</v>
      </c>
      <c r="AN210" s="175">
        <v>0</v>
      </c>
      <c r="AO210" s="175">
        <v>0</v>
      </c>
      <c r="AP210" s="175">
        <v>0</v>
      </c>
      <c r="AQ210" s="175">
        <v>0</v>
      </c>
      <c r="AR210" s="175">
        <v>0</v>
      </c>
      <c r="AS210" s="126"/>
      <c r="AT210" s="185">
        <f t="shared" si="30"/>
        <v>1074.1220000000001</v>
      </c>
      <c r="AV210" s="188">
        <f t="shared" si="22"/>
        <v>0</v>
      </c>
      <c r="AW210" s="188">
        <f t="shared" si="23"/>
        <v>0</v>
      </c>
      <c r="AX210" s="188">
        <f t="shared" si="24"/>
        <v>0</v>
      </c>
      <c r="AY210" s="188">
        <f t="shared" si="29"/>
        <v>0</v>
      </c>
      <c r="AZ210" s="280">
        <f t="shared" si="26"/>
        <v>36.9</v>
      </c>
      <c r="BA210" s="280">
        <f t="shared" si="27"/>
        <v>232.70400000000001</v>
      </c>
      <c r="BB210" s="280">
        <f t="shared" si="28"/>
        <v>0</v>
      </c>
    </row>
    <row r="211" spans="1:54">
      <c r="A211" s="174" t="s">
        <v>98</v>
      </c>
      <c r="B211" s="174" t="s">
        <v>25</v>
      </c>
      <c r="C211" s="174" t="s">
        <v>28</v>
      </c>
      <c r="D211" s="175">
        <v>1</v>
      </c>
      <c r="E211" s="174">
        <v>2049</v>
      </c>
      <c r="F211" s="174" t="s">
        <v>18</v>
      </c>
      <c r="G211" s="175">
        <v>673.32</v>
      </c>
      <c r="H211" s="175">
        <v>0</v>
      </c>
      <c r="I211" s="175">
        <v>0</v>
      </c>
      <c r="J211" s="175">
        <v>0</v>
      </c>
      <c r="K211" s="175">
        <v>122</v>
      </c>
      <c r="L211" s="175">
        <v>0</v>
      </c>
      <c r="M211" s="175">
        <v>0</v>
      </c>
      <c r="N211" s="175">
        <v>0</v>
      </c>
      <c r="O211" s="175">
        <v>0</v>
      </c>
      <c r="P211" s="175">
        <v>0</v>
      </c>
      <c r="Q211" s="175">
        <v>0</v>
      </c>
      <c r="R211" s="175">
        <v>9.1980000000000004</v>
      </c>
      <c r="S211" s="175">
        <v>0</v>
      </c>
      <c r="T211" s="175">
        <v>0</v>
      </c>
      <c r="U211" s="175">
        <v>155.136</v>
      </c>
      <c r="V211" s="175">
        <v>77.567999999999998</v>
      </c>
      <c r="W211" s="175">
        <v>0</v>
      </c>
      <c r="X211" s="175">
        <v>0</v>
      </c>
      <c r="Y211" s="175">
        <v>0</v>
      </c>
      <c r="Z211" s="175">
        <v>0</v>
      </c>
      <c r="AA211" s="175">
        <v>0</v>
      </c>
      <c r="AB211" s="175">
        <v>0</v>
      </c>
      <c r="AC211" s="175">
        <v>0</v>
      </c>
      <c r="AD211" s="175">
        <v>0</v>
      </c>
      <c r="AE211" s="175">
        <v>36.9</v>
      </c>
      <c r="AF211" s="175">
        <v>0</v>
      </c>
      <c r="AG211" s="175">
        <v>0</v>
      </c>
      <c r="AH211" s="175">
        <v>0</v>
      </c>
      <c r="AI211" s="175">
        <v>0</v>
      </c>
      <c r="AJ211" s="175">
        <v>0</v>
      </c>
      <c r="AK211" s="175">
        <v>0</v>
      </c>
      <c r="AL211" s="175">
        <v>0</v>
      </c>
      <c r="AM211" s="175">
        <v>0</v>
      </c>
      <c r="AN211" s="175">
        <v>0</v>
      </c>
      <c r="AO211" s="175">
        <v>0</v>
      </c>
      <c r="AP211" s="175">
        <v>0</v>
      </c>
      <c r="AQ211" s="175">
        <v>0</v>
      </c>
      <c r="AR211" s="175">
        <v>0</v>
      </c>
      <c r="AS211" s="126"/>
      <c r="AT211" s="185">
        <f t="shared" si="30"/>
        <v>1074.1220000000001</v>
      </c>
      <c r="AV211" s="188">
        <f t="shared" si="22"/>
        <v>0</v>
      </c>
      <c r="AW211" s="188">
        <f t="shared" si="23"/>
        <v>0</v>
      </c>
      <c r="AX211" s="188">
        <f t="shared" si="24"/>
        <v>0</v>
      </c>
      <c r="AY211" s="188">
        <f t="shared" si="29"/>
        <v>0</v>
      </c>
      <c r="AZ211" s="280">
        <f t="shared" si="26"/>
        <v>36.9</v>
      </c>
      <c r="BA211" s="280">
        <f t="shared" si="27"/>
        <v>232.70400000000001</v>
      </c>
      <c r="BB211" s="280">
        <f t="shared" si="28"/>
        <v>0</v>
      </c>
    </row>
    <row r="212" spans="1:54">
      <c r="A212" s="174" t="s">
        <v>98</v>
      </c>
      <c r="B212" s="174" t="s">
        <v>25</v>
      </c>
      <c r="C212" s="174" t="s">
        <v>26</v>
      </c>
      <c r="D212" s="175">
        <v>1</v>
      </c>
      <c r="E212" s="174">
        <v>2020</v>
      </c>
      <c r="F212" s="176">
        <v>0</v>
      </c>
      <c r="G212" s="175">
        <v>0</v>
      </c>
      <c r="H212" s="175">
        <v>0</v>
      </c>
      <c r="I212" s="175">
        <v>0</v>
      </c>
      <c r="J212" s="175">
        <v>0</v>
      </c>
      <c r="K212" s="175">
        <v>0</v>
      </c>
      <c r="L212" s="175">
        <v>0</v>
      </c>
      <c r="M212" s="175">
        <v>0</v>
      </c>
      <c r="N212" s="175">
        <v>0</v>
      </c>
      <c r="O212" s="175">
        <v>0</v>
      </c>
      <c r="P212" s="175">
        <v>0</v>
      </c>
      <c r="Q212" s="175">
        <v>0</v>
      </c>
      <c r="R212" s="175">
        <v>0</v>
      </c>
      <c r="S212" s="175">
        <v>0</v>
      </c>
      <c r="T212" s="175">
        <v>0</v>
      </c>
      <c r="U212" s="175">
        <v>0</v>
      </c>
      <c r="V212" s="175">
        <v>0</v>
      </c>
      <c r="W212" s="175">
        <v>0</v>
      </c>
      <c r="X212" s="175">
        <v>0</v>
      </c>
      <c r="Y212" s="175">
        <v>0</v>
      </c>
      <c r="Z212" s="175">
        <v>0</v>
      </c>
      <c r="AA212" s="175">
        <v>0</v>
      </c>
      <c r="AB212" s="175">
        <v>0</v>
      </c>
      <c r="AC212" s="175">
        <v>0</v>
      </c>
      <c r="AD212" s="175">
        <v>0</v>
      </c>
      <c r="AE212" s="175">
        <v>0</v>
      </c>
      <c r="AF212" s="175">
        <v>0</v>
      </c>
      <c r="AG212" s="175">
        <v>0</v>
      </c>
      <c r="AH212" s="175">
        <v>0</v>
      </c>
      <c r="AI212" s="175">
        <v>0</v>
      </c>
      <c r="AJ212" s="175">
        <v>0</v>
      </c>
      <c r="AK212" s="175">
        <v>0</v>
      </c>
      <c r="AL212" s="175">
        <v>0</v>
      </c>
      <c r="AM212" s="175">
        <v>0</v>
      </c>
      <c r="AN212" s="175">
        <v>0</v>
      </c>
      <c r="AO212" s="175">
        <v>0</v>
      </c>
      <c r="AP212" s="175">
        <v>0</v>
      </c>
      <c r="AQ212" s="175">
        <v>0</v>
      </c>
      <c r="AR212" s="175">
        <v>0</v>
      </c>
      <c r="AS212" s="126"/>
      <c r="AT212" s="185">
        <f t="shared" si="30"/>
        <v>0</v>
      </c>
      <c r="AV212" s="188">
        <f>SUM(AG212:AN212)</f>
        <v>0</v>
      </c>
      <c r="AW212" s="188">
        <f>SUM(AO212:AR212)</f>
        <v>0</v>
      </c>
      <c r="AX212" s="188">
        <f>SUM(W212:AD212)</f>
        <v>0</v>
      </c>
      <c r="AY212" s="188">
        <f>AV212+AW212</f>
        <v>0</v>
      </c>
      <c r="AZ212" s="280">
        <f>SUM(AE212:AF212)</f>
        <v>0</v>
      </c>
      <c r="BA212" s="280">
        <f>SUM(U212:V212)</f>
        <v>0</v>
      </c>
      <c r="BB212" s="280">
        <f>Q212</f>
        <v>0</v>
      </c>
    </row>
    <row r="213" spans="1:54">
      <c r="A213" s="174" t="s">
        <v>98</v>
      </c>
      <c r="B213" s="174" t="s">
        <v>25</v>
      </c>
      <c r="C213" s="174" t="s">
        <v>26</v>
      </c>
      <c r="D213" s="175">
        <v>1</v>
      </c>
      <c r="E213" s="174">
        <v>2021</v>
      </c>
      <c r="F213" s="176">
        <v>0</v>
      </c>
      <c r="G213" s="175">
        <v>0</v>
      </c>
      <c r="H213" s="175">
        <v>0</v>
      </c>
      <c r="I213" s="175">
        <v>0</v>
      </c>
      <c r="J213" s="175">
        <v>0</v>
      </c>
      <c r="K213" s="175">
        <v>0</v>
      </c>
      <c r="L213" s="175">
        <v>0</v>
      </c>
      <c r="M213" s="175">
        <v>0</v>
      </c>
      <c r="N213" s="175">
        <v>0</v>
      </c>
      <c r="O213" s="175">
        <v>0</v>
      </c>
      <c r="P213" s="175">
        <v>0</v>
      </c>
      <c r="Q213" s="175">
        <v>0</v>
      </c>
      <c r="R213" s="175">
        <v>0</v>
      </c>
      <c r="S213" s="175">
        <v>0</v>
      </c>
      <c r="T213" s="175">
        <v>0</v>
      </c>
      <c r="U213" s="175">
        <v>0</v>
      </c>
      <c r="V213" s="175">
        <v>0</v>
      </c>
      <c r="W213" s="175">
        <v>0</v>
      </c>
      <c r="X213" s="175">
        <v>0</v>
      </c>
      <c r="Y213" s="175">
        <v>0</v>
      </c>
      <c r="Z213" s="175">
        <v>0</v>
      </c>
      <c r="AA213" s="175">
        <v>0</v>
      </c>
      <c r="AB213" s="175">
        <v>0</v>
      </c>
      <c r="AC213" s="175">
        <v>0</v>
      </c>
      <c r="AD213" s="175">
        <v>0</v>
      </c>
      <c r="AE213" s="175">
        <v>0</v>
      </c>
      <c r="AF213" s="175">
        <v>0</v>
      </c>
      <c r="AG213" s="175">
        <v>0</v>
      </c>
      <c r="AH213" s="175">
        <v>0</v>
      </c>
      <c r="AI213" s="175">
        <v>0</v>
      </c>
      <c r="AJ213" s="175">
        <v>0</v>
      </c>
      <c r="AK213" s="175">
        <v>0</v>
      </c>
      <c r="AL213" s="175">
        <v>0</v>
      </c>
      <c r="AM213" s="175">
        <v>0</v>
      </c>
      <c r="AN213" s="175">
        <v>0</v>
      </c>
      <c r="AO213" s="175">
        <v>0</v>
      </c>
      <c r="AP213" s="175">
        <v>0</v>
      </c>
      <c r="AQ213" s="175">
        <v>0</v>
      </c>
      <c r="AR213" s="175">
        <v>0</v>
      </c>
      <c r="AS213" s="126"/>
      <c r="AT213" s="185">
        <f t="shared" si="30"/>
        <v>0</v>
      </c>
      <c r="AV213" s="188">
        <f t="shared" ref="AV213:AV241" si="31">SUM(AG213:AN213)</f>
        <v>0</v>
      </c>
      <c r="AW213" s="188">
        <f t="shared" ref="AW213:AW241" si="32">SUM(AO213:AR213)</f>
        <v>0</v>
      </c>
      <c r="AX213" s="188">
        <f t="shared" ref="AX213:AX241" si="33">SUM(W213:AD213)</f>
        <v>0</v>
      </c>
      <c r="AY213" s="188">
        <f t="shared" ref="AY213:AY214" si="34">AV213+AW213</f>
        <v>0</v>
      </c>
      <c r="AZ213" s="280">
        <f t="shared" ref="AZ213:AZ241" si="35">SUM(AE213:AF213)</f>
        <v>0</v>
      </c>
      <c r="BA213" s="280">
        <f t="shared" ref="BA213:BA241" si="36">SUM(U213:V213)</f>
        <v>0</v>
      </c>
      <c r="BB213" s="280">
        <f t="shared" ref="BB213:BB241" si="37">Q213</f>
        <v>0</v>
      </c>
    </row>
    <row r="214" spans="1:54">
      <c r="A214" s="174" t="s">
        <v>98</v>
      </c>
      <c r="B214" s="174" t="s">
        <v>25</v>
      </c>
      <c r="C214" s="174" t="s">
        <v>26</v>
      </c>
      <c r="D214" s="175">
        <v>1</v>
      </c>
      <c r="E214" s="174">
        <v>2022</v>
      </c>
      <c r="F214" s="176">
        <v>0</v>
      </c>
      <c r="G214" s="175">
        <v>0</v>
      </c>
      <c r="H214" s="175">
        <v>0</v>
      </c>
      <c r="I214" s="175">
        <v>0</v>
      </c>
      <c r="J214" s="175">
        <v>0</v>
      </c>
      <c r="K214" s="175">
        <v>0</v>
      </c>
      <c r="L214" s="175">
        <v>0</v>
      </c>
      <c r="M214" s="175">
        <v>0</v>
      </c>
      <c r="N214" s="175">
        <v>0</v>
      </c>
      <c r="O214" s="175">
        <v>0</v>
      </c>
      <c r="P214" s="175">
        <v>0</v>
      </c>
      <c r="Q214" s="186">
        <v>1.2410000000000001E-7</v>
      </c>
      <c r="R214" s="175">
        <v>0</v>
      </c>
      <c r="S214" s="175">
        <v>0</v>
      </c>
      <c r="T214" s="175">
        <v>0</v>
      </c>
      <c r="U214" s="175">
        <v>0</v>
      </c>
      <c r="V214" s="175">
        <v>0</v>
      </c>
      <c r="W214" s="175">
        <v>0</v>
      </c>
      <c r="X214" s="175">
        <v>0</v>
      </c>
      <c r="Y214" s="175">
        <v>0</v>
      </c>
      <c r="Z214" s="175">
        <v>0</v>
      </c>
      <c r="AA214" s="175">
        <v>0</v>
      </c>
      <c r="AB214" s="175">
        <v>0</v>
      </c>
      <c r="AC214" s="175">
        <v>0</v>
      </c>
      <c r="AD214" s="175">
        <v>0</v>
      </c>
      <c r="AE214" s="175">
        <v>0</v>
      </c>
      <c r="AF214" s="175">
        <v>0</v>
      </c>
      <c r="AG214" s="175">
        <v>0</v>
      </c>
      <c r="AH214" s="175">
        <v>289.17123257489902</v>
      </c>
      <c r="AI214" s="175">
        <v>0</v>
      </c>
      <c r="AJ214" s="175">
        <v>0</v>
      </c>
      <c r="AK214" s="175">
        <v>0</v>
      </c>
      <c r="AL214" s="175">
        <v>0</v>
      </c>
      <c r="AM214" s="175">
        <v>0</v>
      </c>
      <c r="AN214" s="175">
        <v>0</v>
      </c>
      <c r="AO214" s="175">
        <v>872.65306103665</v>
      </c>
      <c r="AP214" s="175">
        <v>0</v>
      </c>
      <c r="AQ214" s="175">
        <v>12.71187529765</v>
      </c>
      <c r="AR214" s="175">
        <v>37.792061696900099</v>
      </c>
      <c r="AS214" s="126"/>
      <c r="AT214" s="185">
        <f t="shared" si="30"/>
        <v>1212.3282307301993</v>
      </c>
      <c r="AV214" s="188">
        <f t="shared" si="31"/>
        <v>289.17123257489902</v>
      </c>
      <c r="AW214" s="188">
        <f t="shared" si="32"/>
        <v>923.15699803120003</v>
      </c>
      <c r="AX214" s="188">
        <f t="shared" si="33"/>
        <v>0</v>
      </c>
      <c r="AY214" s="188">
        <f t="shared" si="34"/>
        <v>1212.3282306060992</v>
      </c>
      <c r="AZ214" s="280">
        <f t="shared" si="35"/>
        <v>0</v>
      </c>
      <c r="BA214" s="280">
        <f t="shared" si="36"/>
        <v>0</v>
      </c>
      <c r="BB214" s="280">
        <f t="shared" si="37"/>
        <v>1.2410000000000001E-7</v>
      </c>
    </row>
    <row r="215" spans="1:54">
      <c r="A215" s="174" t="s">
        <v>98</v>
      </c>
      <c r="B215" s="174" t="s">
        <v>25</v>
      </c>
      <c r="C215" s="174" t="s">
        <v>26</v>
      </c>
      <c r="D215" s="175">
        <v>1</v>
      </c>
      <c r="E215" s="174">
        <v>2023</v>
      </c>
      <c r="F215" s="176">
        <v>0</v>
      </c>
      <c r="G215" s="175">
        <v>0</v>
      </c>
      <c r="H215" s="175">
        <v>0</v>
      </c>
      <c r="I215" s="175">
        <v>0</v>
      </c>
      <c r="J215" s="175">
        <v>0</v>
      </c>
      <c r="K215" s="175">
        <v>0</v>
      </c>
      <c r="L215" s="175">
        <v>0</v>
      </c>
      <c r="M215" s="175">
        <v>0</v>
      </c>
      <c r="N215" s="175">
        <v>0</v>
      </c>
      <c r="O215" s="175">
        <v>0</v>
      </c>
      <c r="P215" s="175">
        <v>0</v>
      </c>
      <c r="Q215" s="186">
        <v>8.0299999999999601E-8</v>
      </c>
      <c r="R215" s="175">
        <v>0</v>
      </c>
      <c r="S215" s="175">
        <v>0</v>
      </c>
      <c r="T215" s="175">
        <v>0</v>
      </c>
      <c r="U215" s="175">
        <v>9109.0884843797994</v>
      </c>
      <c r="V215" s="175">
        <v>0</v>
      </c>
      <c r="W215" s="175">
        <v>0</v>
      </c>
      <c r="X215" s="175">
        <v>0</v>
      </c>
      <c r="Y215" s="175">
        <v>0</v>
      </c>
      <c r="Z215" s="175">
        <v>0</v>
      </c>
      <c r="AA215" s="175">
        <v>0</v>
      </c>
      <c r="AB215" s="175">
        <v>0</v>
      </c>
      <c r="AC215" s="175">
        <v>0</v>
      </c>
      <c r="AD215" s="175">
        <v>0</v>
      </c>
      <c r="AE215" s="175">
        <v>0</v>
      </c>
      <c r="AF215" s="175">
        <v>0</v>
      </c>
      <c r="AG215" s="175">
        <v>0</v>
      </c>
      <c r="AH215" s="175">
        <v>274.80247567864899</v>
      </c>
      <c r="AI215" s="175">
        <v>0</v>
      </c>
      <c r="AJ215" s="175">
        <v>0</v>
      </c>
      <c r="AK215" s="175">
        <v>0</v>
      </c>
      <c r="AL215" s="175">
        <v>0</v>
      </c>
      <c r="AM215" s="175">
        <v>0</v>
      </c>
      <c r="AN215" s="175">
        <v>0</v>
      </c>
      <c r="AO215" s="175">
        <v>827.30258699745104</v>
      </c>
      <c r="AP215" s="175">
        <v>0</v>
      </c>
      <c r="AQ215" s="175">
        <v>11.5094006096499</v>
      </c>
      <c r="AR215" s="175">
        <v>34.356419725450301</v>
      </c>
      <c r="AS215" s="126"/>
      <c r="AT215" s="185">
        <f t="shared" si="30"/>
        <v>10257.0593674713</v>
      </c>
      <c r="AV215" s="188">
        <f t="shared" si="31"/>
        <v>274.80247567864899</v>
      </c>
      <c r="AW215" s="188">
        <f t="shared" si="32"/>
        <v>873.16840733255128</v>
      </c>
      <c r="AX215" s="188">
        <f t="shared" si="33"/>
        <v>0</v>
      </c>
      <c r="AY215" s="188">
        <f>AV215+AW215+AX215</f>
        <v>1147.9708830112004</v>
      </c>
      <c r="AZ215" s="280">
        <f t="shared" si="35"/>
        <v>0</v>
      </c>
      <c r="BA215" s="280">
        <f t="shared" si="36"/>
        <v>9109.0884843797994</v>
      </c>
      <c r="BB215" s="280">
        <f t="shared" si="37"/>
        <v>8.0299999999999601E-8</v>
      </c>
    </row>
    <row r="216" spans="1:54">
      <c r="A216" s="174" t="s">
        <v>98</v>
      </c>
      <c r="B216" s="174" t="s">
        <v>25</v>
      </c>
      <c r="C216" s="174" t="s">
        <v>26</v>
      </c>
      <c r="D216" s="175">
        <v>1</v>
      </c>
      <c r="E216" s="174">
        <v>2024</v>
      </c>
      <c r="F216" s="176">
        <v>0</v>
      </c>
      <c r="G216" s="175">
        <v>0</v>
      </c>
      <c r="H216" s="175">
        <v>0</v>
      </c>
      <c r="I216" s="175">
        <v>0</v>
      </c>
      <c r="J216" s="175">
        <v>0</v>
      </c>
      <c r="K216" s="175">
        <v>0</v>
      </c>
      <c r="L216" s="175">
        <v>0</v>
      </c>
      <c r="M216" s="175">
        <v>0</v>
      </c>
      <c r="N216" s="175">
        <v>0</v>
      </c>
      <c r="O216" s="175">
        <v>0</v>
      </c>
      <c r="P216" s="175">
        <v>0</v>
      </c>
      <c r="Q216" s="186">
        <v>0</v>
      </c>
      <c r="R216" s="175">
        <v>0</v>
      </c>
      <c r="S216" s="175">
        <v>0</v>
      </c>
      <c r="T216" s="175">
        <v>0</v>
      </c>
      <c r="U216" s="175">
        <v>18021.469077900201</v>
      </c>
      <c r="V216" s="175">
        <v>4690.72662816922</v>
      </c>
      <c r="W216" s="175">
        <v>684.89940139974203</v>
      </c>
      <c r="X216" s="175">
        <v>0</v>
      </c>
      <c r="Y216" s="175">
        <v>0</v>
      </c>
      <c r="Z216" s="175">
        <v>0</v>
      </c>
      <c r="AA216" s="175">
        <v>0</v>
      </c>
      <c r="AB216" s="175">
        <v>0</v>
      </c>
      <c r="AC216" s="175">
        <v>0</v>
      </c>
      <c r="AD216" s="175">
        <v>0</v>
      </c>
      <c r="AE216" s="175">
        <v>0</v>
      </c>
      <c r="AF216" s="175">
        <v>0</v>
      </c>
      <c r="AG216" s="175">
        <v>0</v>
      </c>
      <c r="AH216" s="175">
        <v>308.20983546593999</v>
      </c>
      <c r="AI216" s="175">
        <v>0</v>
      </c>
      <c r="AJ216" s="175">
        <v>0</v>
      </c>
      <c r="AK216" s="175">
        <v>0</v>
      </c>
      <c r="AL216" s="175">
        <v>0</v>
      </c>
      <c r="AM216" s="175">
        <v>0</v>
      </c>
      <c r="AN216" s="175">
        <v>0</v>
      </c>
      <c r="AO216" s="175">
        <v>868.87385486795802</v>
      </c>
      <c r="AP216" s="175">
        <v>0</v>
      </c>
      <c r="AQ216" s="175">
        <v>10.13514381948</v>
      </c>
      <c r="AR216" s="175">
        <v>30.233649358439902</v>
      </c>
      <c r="AS216" s="126"/>
      <c r="AT216" s="185">
        <f t="shared" si="30"/>
        <v>24614.547590980983</v>
      </c>
      <c r="AV216" s="188">
        <f t="shared" si="31"/>
        <v>308.20983546593999</v>
      </c>
      <c r="AW216" s="188">
        <f t="shared" si="32"/>
        <v>909.24264804587801</v>
      </c>
      <c r="AX216" s="188">
        <f t="shared" si="33"/>
        <v>684.89940139974203</v>
      </c>
      <c r="AY216" s="188">
        <f t="shared" ref="AY216:AY241" si="38">AV216+AW216+AX216</f>
        <v>1902.3518849115599</v>
      </c>
      <c r="AZ216" s="280">
        <f t="shared" si="35"/>
        <v>0</v>
      </c>
      <c r="BA216" s="280">
        <f t="shared" si="36"/>
        <v>22712.195706069422</v>
      </c>
      <c r="BB216" s="280">
        <f t="shared" si="37"/>
        <v>0</v>
      </c>
    </row>
    <row r="217" spans="1:54">
      <c r="A217" s="174" t="s">
        <v>98</v>
      </c>
      <c r="B217" s="174" t="s">
        <v>25</v>
      </c>
      <c r="C217" s="174" t="s">
        <v>26</v>
      </c>
      <c r="D217" s="175">
        <v>1</v>
      </c>
      <c r="E217" s="174">
        <v>2025</v>
      </c>
      <c r="F217" s="176">
        <v>0</v>
      </c>
      <c r="G217" s="175">
        <v>0</v>
      </c>
      <c r="H217" s="175">
        <v>0</v>
      </c>
      <c r="I217" s="175">
        <v>0</v>
      </c>
      <c r="J217" s="175">
        <v>0</v>
      </c>
      <c r="K217" s="175">
        <v>0</v>
      </c>
      <c r="L217" s="175">
        <v>0</v>
      </c>
      <c r="M217" s="175">
        <v>0</v>
      </c>
      <c r="N217" s="175">
        <v>0</v>
      </c>
      <c r="O217" s="175">
        <v>0</v>
      </c>
      <c r="P217" s="175">
        <v>0</v>
      </c>
      <c r="Q217" s="186">
        <v>0</v>
      </c>
      <c r="R217" s="175">
        <v>0</v>
      </c>
      <c r="S217" s="175">
        <v>0</v>
      </c>
      <c r="T217" s="175">
        <v>0</v>
      </c>
      <c r="U217" s="175">
        <v>18021.469077900801</v>
      </c>
      <c r="V217" s="175">
        <v>4690.7266281689699</v>
      </c>
      <c r="W217" s="175">
        <v>684.89940140205397</v>
      </c>
      <c r="X217" s="175">
        <v>0</v>
      </c>
      <c r="Y217" s="175">
        <v>0</v>
      </c>
      <c r="Z217" s="175">
        <v>0</v>
      </c>
      <c r="AA217" s="175">
        <v>0</v>
      </c>
      <c r="AB217" s="175">
        <v>0</v>
      </c>
      <c r="AC217" s="175">
        <v>0</v>
      </c>
      <c r="AD217" s="175">
        <v>0</v>
      </c>
      <c r="AE217" s="175">
        <v>0</v>
      </c>
      <c r="AF217" s="175">
        <v>0</v>
      </c>
      <c r="AG217" s="175">
        <v>0</v>
      </c>
      <c r="AH217" s="175">
        <v>0</v>
      </c>
      <c r="AI217" s="175">
        <v>0</v>
      </c>
      <c r="AJ217" s="175">
        <v>0</v>
      </c>
      <c r="AK217" s="175">
        <v>0</v>
      </c>
      <c r="AL217" s="175">
        <v>0</v>
      </c>
      <c r="AM217" s="175">
        <v>0</v>
      </c>
      <c r="AN217" s="175">
        <v>74.265079918700295</v>
      </c>
      <c r="AO217" s="175">
        <v>0</v>
      </c>
      <c r="AP217" s="175">
        <v>115.8398455343</v>
      </c>
      <c r="AQ217" s="175">
        <v>0</v>
      </c>
      <c r="AR217" s="175">
        <v>0</v>
      </c>
      <c r="AS217" s="126"/>
      <c r="AT217" s="185">
        <f t="shared" si="30"/>
        <v>23587.200032924826</v>
      </c>
      <c r="AV217" s="188">
        <f t="shared" si="31"/>
        <v>74.265079918700295</v>
      </c>
      <c r="AW217" s="188">
        <f t="shared" si="32"/>
        <v>115.8398455343</v>
      </c>
      <c r="AX217" s="188">
        <f t="shared" si="33"/>
        <v>684.89940140205397</v>
      </c>
      <c r="AY217" s="188">
        <f t="shared" si="38"/>
        <v>875.00432685505427</v>
      </c>
      <c r="AZ217" s="280">
        <f t="shared" si="35"/>
        <v>0</v>
      </c>
      <c r="BA217" s="280">
        <f t="shared" si="36"/>
        <v>22712.195706069771</v>
      </c>
      <c r="BB217" s="280">
        <f t="shared" si="37"/>
        <v>0</v>
      </c>
    </row>
    <row r="218" spans="1:54">
      <c r="A218" s="174" t="s">
        <v>98</v>
      </c>
      <c r="B218" s="174" t="s">
        <v>25</v>
      </c>
      <c r="C218" s="174" t="s">
        <v>26</v>
      </c>
      <c r="D218" s="175">
        <v>1</v>
      </c>
      <c r="E218" s="174">
        <v>2026</v>
      </c>
      <c r="F218" s="176">
        <v>0</v>
      </c>
      <c r="G218" s="175">
        <v>0</v>
      </c>
      <c r="H218" s="175">
        <v>0</v>
      </c>
      <c r="I218" s="175">
        <v>0</v>
      </c>
      <c r="J218" s="175">
        <v>0</v>
      </c>
      <c r="K218" s="175">
        <v>0</v>
      </c>
      <c r="L218" s="175">
        <v>0</v>
      </c>
      <c r="M218" s="175">
        <v>0</v>
      </c>
      <c r="N218" s="175">
        <v>0</v>
      </c>
      <c r="O218" s="175">
        <v>0</v>
      </c>
      <c r="P218" s="175">
        <v>0</v>
      </c>
      <c r="Q218" s="186">
        <v>0</v>
      </c>
      <c r="R218" s="175">
        <v>0</v>
      </c>
      <c r="S218" s="175">
        <v>0</v>
      </c>
      <c r="T218" s="175">
        <v>0</v>
      </c>
      <c r="U218" s="175">
        <v>18021.469077900801</v>
      </c>
      <c r="V218" s="175">
        <v>4690.7266281689699</v>
      </c>
      <c r="W218" s="175">
        <v>684.89940140205397</v>
      </c>
      <c r="X218" s="175">
        <v>0</v>
      </c>
      <c r="Y218" s="175">
        <v>0</v>
      </c>
      <c r="Z218" s="175">
        <v>0</v>
      </c>
      <c r="AA218" s="175">
        <v>0</v>
      </c>
      <c r="AB218" s="175">
        <v>0</v>
      </c>
      <c r="AC218" s="175">
        <v>0</v>
      </c>
      <c r="AD218" s="175">
        <v>0</v>
      </c>
      <c r="AE218" s="175">
        <v>0</v>
      </c>
      <c r="AF218" s="175">
        <v>0</v>
      </c>
      <c r="AG218" s="175">
        <v>0</v>
      </c>
      <c r="AH218" s="175">
        <v>0</v>
      </c>
      <c r="AI218" s="175">
        <v>0</v>
      </c>
      <c r="AJ218" s="175">
        <v>0</v>
      </c>
      <c r="AK218" s="175">
        <v>0</v>
      </c>
      <c r="AL218" s="175">
        <v>0</v>
      </c>
      <c r="AM218" s="175">
        <v>0</v>
      </c>
      <c r="AN218" s="175">
        <v>70.318626396750403</v>
      </c>
      <c r="AO218" s="175">
        <v>0</v>
      </c>
      <c r="AP218" s="175">
        <v>109.689057276101</v>
      </c>
      <c r="AQ218" s="175">
        <v>0</v>
      </c>
      <c r="AR218" s="175">
        <v>0</v>
      </c>
      <c r="AS218" s="126"/>
      <c r="AT218" s="185">
        <f t="shared" si="30"/>
        <v>23577.102791144676</v>
      </c>
      <c r="AV218" s="188">
        <f t="shared" si="31"/>
        <v>70.318626396750403</v>
      </c>
      <c r="AW218" s="188">
        <f t="shared" si="32"/>
        <v>109.689057276101</v>
      </c>
      <c r="AX218" s="188">
        <f t="shared" si="33"/>
        <v>684.89940140205397</v>
      </c>
      <c r="AY218" s="188">
        <f t="shared" si="38"/>
        <v>864.90708507490535</v>
      </c>
      <c r="AZ218" s="280">
        <f t="shared" si="35"/>
        <v>0</v>
      </c>
      <c r="BA218" s="280">
        <f t="shared" si="36"/>
        <v>22712.195706069771</v>
      </c>
      <c r="BB218" s="280">
        <f t="shared" si="37"/>
        <v>0</v>
      </c>
    </row>
    <row r="219" spans="1:54">
      <c r="A219" s="174" t="s">
        <v>98</v>
      </c>
      <c r="B219" s="174" t="s">
        <v>25</v>
      </c>
      <c r="C219" s="174" t="s">
        <v>26</v>
      </c>
      <c r="D219" s="175">
        <v>1</v>
      </c>
      <c r="E219" s="174">
        <v>2027</v>
      </c>
      <c r="F219" s="176">
        <v>0</v>
      </c>
      <c r="G219" s="175">
        <v>0</v>
      </c>
      <c r="H219" s="175">
        <v>0</v>
      </c>
      <c r="I219" s="175">
        <v>0</v>
      </c>
      <c r="J219" s="175">
        <v>0</v>
      </c>
      <c r="K219" s="175">
        <v>0</v>
      </c>
      <c r="L219" s="175">
        <v>0</v>
      </c>
      <c r="M219" s="175">
        <v>0</v>
      </c>
      <c r="N219" s="175">
        <v>0</v>
      </c>
      <c r="O219" s="175">
        <v>0</v>
      </c>
      <c r="P219" s="175">
        <v>0</v>
      </c>
      <c r="Q219" s="186">
        <v>0</v>
      </c>
      <c r="R219" s="175">
        <v>0</v>
      </c>
      <c r="S219" s="175">
        <v>0</v>
      </c>
      <c r="T219" s="175">
        <v>0</v>
      </c>
      <c r="U219" s="175">
        <v>18021.469077900801</v>
      </c>
      <c r="V219" s="175">
        <v>4690.7266281689699</v>
      </c>
      <c r="W219" s="175">
        <v>684.89940140205397</v>
      </c>
      <c r="X219" s="175">
        <v>0</v>
      </c>
      <c r="Y219" s="175">
        <v>0</v>
      </c>
      <c r="Z219" s="175">
        <v>0</v>
      </c>
      <c r="AA219" s="175">
        <v>0</v>
      </c>
      <c r="AB219" s="175">
        <v>0</v>
      </c>
      <c r="AC219" s="175">
        <v>0</v>
      </c>
      <c r="AD219" s="175">
        <v>0</v>
      </c>
      <c r="AE219" s="175">
        <v>0</v>
      </c>
      <c r="AF219" s="175">
        <v>0</v>
      </c>
      <c r="AG219" s="175">
        <v>0</v>
      </c>
      <c r="AH219" s="175">
        <v>0</v>
      </c>
      <c r="AI219" s="175">
        <v>0</v>
      </c>
      <c r="AJ219" s="175">
        <v>0</v>
      </c>
      <c r="AK219" s="175">
        <v>0</v>
      </c>
      <c r="AL219" s="175">
        <v>0</v>
      </c>
      <c r="AM219" s="175">
        <v>0</v>
      </c>
      <c r="AN219" s="175">
        <v>65.654635869150098</v>
      </c>
      <c r="AO219" s="175">
        <v>0</v>
      </c>
      <c r="AP219" s="175">
        <v>102.513137642749</v>
      </c>
      <c r="AQ219" s="175">
        <v>0</v>
      </c>
      <c r="AR219" s="175">
        <v>0</v>
      </c>
      <c r="AS219" s="126"/>
      <c r="AT219" s="185">
        <f t="shared" si="30"/>
        <v>23565.262880983722</v>
      </c>
      <c r="AV219" s="188">
        <f t="shared" si="31"/>
        <v>65.654635869150098</v>
      </c>
      <c r="AW219" s="188">
        <f t="shared" si="32"/>
        <v>102.513137642749</v>
      </c>
      <c r="AX219" s="188">
        <f t="shared" si="33"/>
        <v>684.89940140205397</v>
      </c>
      <c r="AY219" s="188">
        <f t="shared" si="38"/>
        <v>853.06717491395307</v>
      </c>
      <c r="AZ219" s="280">
        <f t="shared" si="35"/>
        <v>0</v>
      </c>
      <c r="BA219" s="280">
        <f t="shared" si="36"/>
        <v>22712.195706069771</v>
      </c>
      <c r="BB219" s="280">
        <f t="shared" si="37"/>
        <v>0</v>
      </c>
    </row>
    <row r="220" spans="1:54">
      <c r="A220" s="174" t="s">
        <v>98</v>
      </c>
      <c r="B220" s="174" t="s">
        <v>25</v>
      </c>
      <c r="C220" s="174" t="s">
        <v>26</v>
      </c>
      <c r="D220" s="175">
        <v>1</v>
      </c>
      <c r="E220" s="174">
        <v>2028</v>
      </c>
      <c r="F220" s="176">
        <v>0</v>
      </c>
      <c r="G220" s="175">
        <v>0</v>
      </c>
      <c r="H220" s="175">
        <v>0</v>
      </c>
      <c r="I220" s="175">
        <v>0</v>
      </c>
      <c r="J220" s="175">
        <v>0</v>
      </c>
      <c r="K220" s="175">
        <v>0</v>
      </c>
      <c r="L220" s="175">
        <v>0</v>
      </c>
      <c r="M220" s="175">
        <v>0</v>
      </c>
      <c r="N220" s="175">
        <v>0</v>
      </c>
      <c r="O220" s="175">
        <v>0</v>
      </c>
      <c r="P220" s="175">
        <v>0</v>
      </c>
      <c r="Q220" s="186">
        <v>0</v>
      </c>
      <c r="R220" s="175">
        <v>0</v>
      </c>
      <c r="S220" s="175">
        <v>0</v>
      </c>
      <c r="T220" s="175">
        <v>0</v>
      </c>
      <c r="U220" s="175">
        <v>18021.469077900201</v>
      </c>
      <c r="V220" s="175">
        <v>4690.72662816922</v>
      </c>
      <c r="W220" s="175">
        <v>684.89940139974203</v>
      </c>
      <c r="X220" s="175">
        <v>0</v>
      </c>
      <c r="Y220" s="175">
        <v>0</v>
      </c>
      <c r="Z220" s="175">
        <v>0</v>
      </c>
      <c r="AA220" s="175">
        <v>0</v>
      </c>
      <c r="AB220" s="175">
        <v>0</v>
      </c>
      <c r="AC220" s="175">
        <v>0</v>
      </c>
      <c r="AD220" s="175">
        <v>0</v>
      </c>
      <c r="AE220" s="175">
        <v>11849.4225832702</v>
      </c>
      <c r="AF220" s="175">
        <v>0</v>
      </c>
      <c r="AG220" s="175">
        <v>0</v>
      </c>
      <c r="AH220" s="175">
        <v>0</v>
      </c>
      <c r="AI220" s="175">
        <v>0</v>
      </c>
      <c r="AJ220" s="175">
        <v>0</v>
      </c>
      <c r="AK220" s="175">
        <v>0</v>
      </c>
      <c r="AL220" s="175">
        <v>0</v>
      </c>
      <c r="AM220" s="175">
        <v>0</v>
      </c>
      <c r="AN220" s="175">
        <v>60.273108340080299</v>
      </c>
      <c r="AO220" s="175">
        <v>0</v>
      </c>
      <c r="AP220" s="175">
        <v>93.970376171219897</v>
      </c>
      <c r="AQ220" s="175">
        <v>0</v>
      </c>
      <c r="AR220" s="175">
        <v>0</v>
      </c>
      <c r="AS220" s="126"/>
      <c r="AT220" s="185">
        <f t="shared" si="30"/>
        <v>35400.761175250664</v>
      </c>
      <c r="AV220" s="188">
        <f t="shared" si="31"/>
        <v>60.273108340080299</v>
      </c>
      <c r="AW220" s="188">
        <f t="shared" si="32"/>
        <v>93.970376171219897</v>
      </c>
      <c r="AX220" s="188">
        <f t="shared" si="33"/>
        <v>684.89940139974203</v>
      </c>
      <c r="AY220" s="188">
        <f t="shared" si="38"/>
        <v>839.14288591104219</v>
      </c>
      <c r="AZ220" s="280">
        <f t="shared" si="35"/>
        <v>11849.4225832702</v>
      </c>
      <c r="BA220" s="280">
        <f t="shared" si="36"/>
        <v>22712.195706069422</v>
      </c>
      <c r="BB220" s="280">
        <f t="shared" si="37"/>
        <v>0</v>
      </c>
    </row>
    <row r="221" spans="1:54">
      <c r="A221" s="174" t="s">
        <v>98</v>
      </c>
      <c r="B221" s="174" t="s">
        <v>25</v>
      </c>
      <c r="C221" s="174" t="s">
        <v>26</v>
      </c>
      <c r="D221" s="175">
        <v>1</v>
      </c>
      <c r="E221" s="174">
        <v>2029</v>
      </c>
      <c r="F221" s="176">
        <v>0</v>
      </c>
      <c r="G221" s="175">
        <v>0</v>
      </c>
      <c r="H221" s="175">
        <v>0</v>
      </c>
      <c r="I221" s="175">
        <v>0</v>
      </c>
      <c r="J221" s="175">
        <v>0</v>
      </c>
      <c r="K221" s="175">
        <v>0</v>
      </c>
      <c r="L221" s="175">
        <v>0</v>
      </c>
      <c r="M221" s="175">
        <v>0</v>
      </c>
      <c r="N221" s="175">
        <v>0</v>
      </c>
      <c r="O221" s="175">
        <v>0</v>
      </c>
      <c r="P221" s="175">
        <v>0</v>
      </c>
      <c r="Q221" s="186">
        <v>0</v>
      </c>
      <c r="R221" s="175">
        <v>0</v>
      </c>
      <c r="S221" s="175">
        <v>0</v>
      </c>
      <c r="T221" s="175">
        <v>0</v>
      </c>
      <c r="U221" s="175">
        <v>18021.469077900801</v>
      </c>
      <c r="V221" s="175">
        <v>4690.7266281689699</v>
      </c>
      <c r="W221" s="175">
        <v>684.89940140205397</v>
      </c>
      <c r="X221" s="175">
        <v>0</v>
      </c>
      <c r="Y221" s="175">
        <v>0</v>
      </c>
      <c r="Z221" s="175">
        <v>0</v>
      </c>
      <c r="AA221" s="175">
        <v>0</v>
      </c>
      <c r="AB221" s="175">
        <v>0</v>
      </c>
      <c r="AC221" s="175">
        <v>0</v>
      </c>
      <c r="AD221" s="175">
        <v>0</v>
      </c>
      <c r="AE221" s="175">
        <v>11849.422583272401</v>
      </c>
      <c r="AF221" s="175">
        <v>0</v>
      </c>
      <c r="AG221" s="175">
        <v>0</v>
      </c>
      <c r="AH221" s="175">
        <v>0</v>
      </c>
      <c r="AI221" s="175">
        <v>0</v>
      </c>
      <c r="AJ221" s="175">
        <v>0</v>
      </c>
      <c r="AK221" s="175">
        <v>0</v>
      </c>
      <c r="AL221" s="175">
        <v>0</v>
      </c>
      <c r="AM221" s="175">
        <v>0</v>
      </c>
      <c r="AN221" s="175">
        <v>54.174043804299799</v>
      </c>
      <c r="AO221" s="175">
        <v>0</v>
      </c>
      <c r="AP221" s="175">
        <v>84.5733385539003</v>
      </c>
      <c r="AQ221" s="175">
        <v>0</v>
      </c>
      <c r="AR221" s="175">
        <v>0</v>
      </c>
      <c r="AS221" s="126"/>
      <c r="AT221" s="185">
        <f t="shared" si="30"/>
        <v>35385.265073102419</v>
      </c>
      <c r="AV221" s="188">
        <f t="shared" si="31"/>
        <v>54.174043804299799</v>
      </c>
      <c r="AW221" s="188">
        <f t="shared" si="32"/>
        <v>84.5733385539003</v>
      </c>
      <c r="AX221" s="188">
        <f t="shared" si="33"/>
        <v>684.89940140205397</v>
      </c>
      <c r="AY221" s="188">
        <f t="shared" si="38"/>
        <v>823.64678376025404</v>
      </c>
      <c r="AZ221" s="280">
        <f t="shared" si="35"/>
        <v>11849.422583272401</v>
      </c>
      <c r="BA221" s="280">
        <f t="shared" si="36"/>
        <v>22712.195706069771</v>
      </c>
      <c r="BB221" s="280">
        <f t="shared" si="37"/>
        <v>0</v>
      </c>
    </row>
    <row r="222" spans="1:54">
      <c r="A222" s="174" t="s">
        <v>98</v>
      </c>
      <c r="B222" s="174" t="s">
        <v>25</v>
      </c>
      <c r="C222" s="174" t="s">
        <v>26</v>
      </c>
      <c r="D222" s="175">
        <v>1</v>
      </c>
      <c r="E222" s="174">
        <v>2030</v>
      </c>
      <c r="F222" s="176">
        <v>0</v>
      </c>
      <c r="G222" s="175">
        <v>0</v>
      </c>
      <c r="H222" s="175">
        <v>0</v>
      </c>
      <c r="I222" s="175">
        <v>0</v>
      </c>
      <c r="J222" s="175">
        <v>0</v>
      </c>
      <c r="K222" s="175">
        <v>0</v>
      </c>
      <c r="L222" s="175">
        <v>0</v>
      </c>
      <c r="M222" s="175">
        <v>0</v>
      </c>
      <c r="N222" s="175">
        <v>0</v>
      </c>
      <c r="O222" s="175">
        <v>0</v>
      </c>
      <c r="P222" s="175">
        <v>0</v>
      </c>
      <c r="Q222" s="186">
        <v>0</v>
      </c>
      <c r="R222" s="175">
        <v>0</v>
      </c>
      <c r="S222" s="175">
        <v>0</v>
      </c>
      <c r="T222" s="175">
        <v>0</v>
      </c>
      <c r="U222" s="175">
        <v>18021.469077900801</v>
      </c>
      <c r="V222" s="175">
        <v>4690.7266281689699</v>
      </c>
      <c r="W222" s="175">
        <v>684.89940140205397</v>
      </c>
      <c r="X222" s="175">
        <v>0</v>
      </c>
      <c r="Y222" s="175">
        <v>0</v>
      </c>
      <c r="Z222" s="175">
        <v>0</v>
      </c>
      <c r="AA222" s="175">
        <v>0</v>
      </c>
      <c r="AB222" s="175">
        <v>0</v>
      </c>
      <c r="AC222" s="175">
        <v>0</v>
      </c>
      <c r="AD222" s="175">
        <v>0</v>
      </c>
      <c r="AE222" s="175">
        <v>23982.932269483699</v>
      </c>
      <c r="AF222" s="175">
        <v>0</v>
      </c>
      <c r="AG222" s="175">
        <v>0</v>
      </c>
      <c r="AH222" s="175">
        <v>0</v>
      </c>
      <c r="AI222" s="175">
        <v>0</v>
      </c>
      <c r="AJ222" s="175">
        <v>207.40588040834999</v>
      </c>
      <c r="AK222" s="175">
        <v>0</v>
      </c>
      <c r="AL222" s="175">
        <v>607.67224179769903</v>
      </c>
      <c r="AM222" s="175">
        <v>0</v>
      </c>
      <c r="AN222" s="175">
        <v>0</v>
      </c>
      <c r="AO222" s="175">
        <v>0</v>
      </c>
      <c r="AP222" s="175">
        <v>0</v>
      </c>
      <c r="AQ222" s="175">
        <v>0</v>
      </c>
      <c r="AR222" s="175">
        <v>0</v>
      </c>
      <c r="AS222" s="126"/>
      <c r="AT222" s="185">
        <f t="shared" si="30"/>
        <v>48195.105499161567</v>
      </c>
      <c r="AV222" s="188">
        <f t="shared" si="31"/>
        <v>815.07812220604899</v>
      </c>
      <c r="AW222" s="188">
        <f t="shared" si="32"/>
        <v>0</v>
      </c>
      <c r="AX222" s="188">
        <f t="shared" si="33"/>
        <v>684.89940140205397</v>
      </c>
      <c r="AY222" s="188">
        <f t="shared" si="38"/>
        <v>1499.977523608103</v>
      </c>
      <c r="AZ222" s="280">
        <f t="shared" si="35"/>
        <v>23982.932269483699</v>
      </c>
      <c r="BA222" s="280">
        <f t="shared" si="36"/>
        <v>22712.195706069771</v>
      </c>
      <c r="BB222" s="280">
        <f t="shared" si="37"/>
        <v>0</v>
      </c>
    </row>
    <row r="223" spans="1:54">
      <c r="A223" s="174" t="s">
        <v>98</v>
      </c>
      <c r="B223" s="174" t="s">
        <v>25</v>
      </c>
      <c r="C223" s="174" t="s">
        <v>26</v>
      </c>
      <c r="D223" s="175">
        <v>1</v>
      </c>
      <c r="E223" s="174">
        <v>2031</v>
      </c>
      <c r="F223" s="176">
        <v>0</v>
      </c>
      <c r="G223" s="175">
        <v>0</v>
      </c>
      <c r="H223" s="175">
        <v>0</v>
      </c>
      <c r="I223" s="175">
        <v>0</v>
      </c>
      <c r="J223" s="175">
        <v>0</v>
      </c>
      <c r="K223" s="175">
        <v>25118.383564088101</v>
      </c>
      <c r="L223" s="175">
        <v>0</v>
      </c>
      <c r="M223" s="175">
        <v>0</v>
      </c>
      <c r="N223" s="175">
        <v>0</v>
      </c>
      <c r="O223" s="175">
        <v>0</v>
      </c>
      <c r="P223" s="175">
        <v>0</v>
      </c>
      <c r="Q223" s="186">
        <v>0</v>
      </c>
      <c r="R223" s="175">
        <v>0</v>
      </c>
      <c r="S223" s="175">
        <v>0</v>
      </c>
      <c r="T223" s="175">
        <v>0</v>
      </c>
      <c r="U223" s="175">
        <v>27259.174260149699</v>
      </c>
      <c r="V223" s="175">
        <v>14412.6358494547</v>
      </c>
      <c r="W223" s="175">
        <v>684.89940140205397</v>
      </c>
      <c r="X223" s="175">
        <v>814.27431199364401</v>
      </c>
      <c r="Y223" s="175">
        <v>0</v>
      </c>
      <c r="Z223" s="175">
        <v>0</v>
      </c>
      <c r="AA223" s="175">
        <v>0</v>
      </c>
      <c r="AB223" s="175">
        <v>0</v>
      </c>
      <c r="AC223" s="175">
        <v>0</v>
      </c>
      <c r="AD223" s="175">
        <v>0</v>
      </c>
      <c r="AE223" s="175">
        <v>23982.932269483699</v>
      </c>
      <c r="AF223" s="175">
        <v>0</v>
      </c>
      <c r="AG223" s="175">
        <v>0</v>
      </c>
      <c r="AH223" s="175">
        <v>0</v>
      </c>
      <c r="AI223" s="175">
        <v>0</v>
      </c>
      <c r="AJ223" s="175">
        <v>0</v>
      </c>
      <c r="AK223" s="175">
        <v>0</v>
      </c>
      <c r="AL223" s="175">
        <v>575.54859906119998</v>
      </c>
      <c r="AM223" s="175">
        <v>0</v>
      </c>
      <c r="AN223" s="175">
        <v>0</v>
      </c>
      <c r="AO223" s="175">
        <v>0</v>
      </c>
      <c r="AP223" s="175">
        <v>0</v>
      </c>
      <c r="AQ223" s="175">
        <v>0</v>
      </c>
      <c r="AR223" s="175">
        <v>0</v>
      </c>
      <c r="AS223" s="126"/>
      <c r="AT223" s="185">
        <f t="shared" si="30"/>
        <v>92847.848255633115</v>
      </c>
      <c r="AV223" s="188">
        <f t="shared" si="31"/>
        <v>575.54859906119998</v>
      </c>
      <c r="AW223" s="188">
        <f t="shared" si="32"/>
        <v>0</v>
      </c>
      <c r="AX223" s="188">
        <f t="shared" si="33"/>
        <v>1499.1737133956981</v>
      </c>
      <c r="AY223" s="188">
        <f t="shared" si="38"/>
        <v>2074.7223124568982</v>
      </c>
      <c r="AZ223" s="280">
        <f t="shared" si="35"/>
        <v>23982.932269483699</v>
      </c>
      <c r="BA223" s="280">
        <f t="shared" si="36"/>
        <v>41671.810109604397</v>
      </c>
      <c r="BB223" s="280">
        <f t="shared" si="37"/>
        <v>0</v>
      </c>
    </row>
    <row r="224" spans="1:54">
      <c r="A224" s="174" t="s">
        <v>98</v>
      </c>
      <c r="B224" s="174" t="s">
        <v>25</v>
      </c>
      <c r="C224" s="174" t="s">
        <v>26</v>
      </c>
      <c r="D224" s="175">
        <v>1</v>
      </c>
      <c r="E224" s="174">
        <v>2032</v>
      </c>
      <c r="F224" s="176">
        <v>0</v>
      </c>
      <c r="G224" s="175">
        <v>0</v>
      </c>
      <c r="H224" s="175">
        <v>0</v>
      </c>
      <c r="I224" s="175">
        <v>0</v>
      </c>
      <c r="J224" s="175">
        <v>0</v>
      </c>
      <c r="K224" s="175">
        <v>25118.383564088901</v>
      </c>
      <c r="L224" s="175">
        <v>0</v>
      </c>
      <c r="M224" s="175">
        <v>0</v>
      </c>
      <c r="N224" s="175">
        <v>0</v>
      </c>
      <c r="O224" s="175">
        <v>0</v>
      </c>
      <c r="P224" s="175">
        <v>0</v>
      </c>
      <c r="Q224" s="186">
        <v>0</v>
      </c>
      <c r="R224" s="175">
        <v>0</v>
      </c>
      <c r="S224" s="175">
        <v>0</v>
      </c>
      <c r="T224" s="175">
        <v>0</v>
      </c>
      <c r="U224" s="175">
        <v>27259.174260149401</v>
      </c>
      <c r="V224" s="175">
        <v>14412.6358494548</v>
      </c>
      <c r="W224" s="175">
        <v>684.89940139974203</v>
      </c>
      <c r="X224" s="175">
        <v>814.27431199421699</v>
      </c>
      <c r="Y224" s="175">
        <v>0</v>
      </c>
      <c r="Z224" s="175">
        <v>0</v>
      </c>
      <c r="AA224" s="175">
        <v>0</v>
      </c>
      <c r="AB224" s="175">
        <v>0</v>
      </c>
      <c r="AC224" s="175">
        <v>0</v>
      </c>
      <c r="AD224" s="175">
        <v>0</v>
      </c>
      <c r="AE224" s="175">
        <v>23982.9322694849</v>
      </c>
      <c r="AF224" s="175">
        <v>0</v>
      </c>
      <c r="AG224" s="175">
        <v>0</v>
      </c>
      <c r="AH224" s="175">
        <v>0</v>
      </c>
      <c r="AI224" s="175">
        <v>0</v>
      </c>
      <c r="AJ224" s="175">
        <v>0</v>
      </c>
      <c r="AK224" s="175">
        <v>0</v>
      </c>
      <c r="AL224" s="175">
        <v>537.00022777493803</v>
      </c>
      <c r="AM224" s="175">
        <v>0</v>
      </c>
      <c r="AN224" s="175">
        <v>0</v>
      </c>
      <c r="AO224" s="175">
        <v>0</v>
      </c>
      <c r="AP224" s="175">
        <v>0</v>
      </c>
      <c r="AQ224" s="175">
        <v>0</v>
      </c>
      <c r="AR224" s="175">
        <v>0</v>
      </c>
      <c r="AS224" s="126"/>
      <c r="AT224" s="185">
        <f t="shared" si="30"/>
        <v>92809.29988434691</v>
      </c>
      <c r="AV224" s="188">
        <f t="shared" si="31"/>
        <v>537.00022777493803</v>
      </c>
      <c r="AW224" s="188">
        <f t="shared" si="32"/>
        <v>0</v>
      </c>
      <c r="AX224" s="188">
        <f t="shared" si="33"/>
        <v>1499.1737133939591</v>
      </c>
      <c r="AY224" s="188">
        <f t="shared" si="38"/>
        <v>2036.1739411688973</v>
      </c>
      <c r="AZ224" s="280">
        <f t="shared" si="35"/>
        <v>23982.9322694849</v>
      </c>
      <c r="BA224" s="280">
        <f t="shared" si="36"/>
        <v>41671.810109604201</v>
      </c>
      <c r="BB224" s="280">
        <f t="shared" si="37"/>
        <v>0</v>
      </c>
    </row>
    <row r="225" spans="1:54">
      <c r="A225" s="174" t="s">
        <v>98</v>
      </c>
      <c r="B225" s="174" t="s">
        <v>25</v>
      </c>
      <c r="C225" s="174" t="s">
        <v>26</v>
      </c>
      <c r="D225" s="175">
        <v>1</v>
      </c>
      <c r="E225" s="174">
        <v>2033</v>
      </c>
      <c r="F225" s="176">
        <v>0</v>
      </c>
      <c r="G225" s="175">
        <v>0</v>
      </c>
      <c r="H225" s="175">
        <v>0</v>
      </c>
      <c r="I225" s="175">
        <v>0</v>
      </c>
      <c r="J225" s="175">
        <v>0</v>
      </c>
      <c r="K225" s="175">
        <v>25118.383564088101</v>
      </c>
      <c r="L225" s="175">
        <v>0</v>
      </c>
      <c r="M225" s="175">
        <v>0</v>
      </c>
      <c r="N225" s="175">
        <v>0</v>
      </c>
      <c r="O225" s="175">
        <v>0</v>
      </c>
      <c r="P225" s="175">
        <v>0</v>
      </c>
      <c r="Q225" s="186">
        <v>0</v>
      </c>
      <c r="R225" s="175">
        <v>0</v>
      </c>
      <c r="S225" s="175">
        <v>0</v>
      </c>
      <c r="T225" s="175">
        <v>0</v>
      </c>
      <c r="U225" s="175">
        <v>27259.174260149699</v>
      </c>
      <c r="V225" s="175">
        <v>14412.6358494547</v>
      </c>
      <c r="W225" s="175">
        <v>684.89940140205397</v>
      </c>
      <c r="X225" s="175">
        <v>814.27431199364401</v>
      </c>
      <c r="Y225" s="175">
        <v>0</v>
      </c>
      <c r="Z225" s="175">
        <v>0</v>
      </c>
      <c r="AA225" s="175">
        <v>0</v>
      </c>
      <c r="AB225" s="175">
        <v>0</v>
      </c>
      <c r="AC225" s="175">
        <v>0</v>
      </c>
      <c r="AD225" s="175">
        <v>0</v>
      </c>
      <c r="AE225" s="175">
        <v>23982.932269483699</v>
      </c>
      <c r="AF225" s="175">
        <v>0</v>
      </c>
      <c r="AG225" s="175">
        <v>0</v>
      </c>
      <c r="AH225" s="175">
        <v>0</v>
      </c>
      <c r="AI225" s="175">
        <v>0</v>
      </c>
      <c r="AJ225" s="175">
        <v>0</v>
      </c>
      <c r="AK225" s="175">
        <v>0</v>
      </c>
      <c r="AL225" s="175">
        <v>0</v>
      </c>
      <c r="AM225" s="175">
        <v>0</v>
      </c>
      <c r="AN225" s="175">
        <v>0</v>
      </c>
      <c r="AO225" s="175">
        <v>0</v>
      </c>
      <c r="AP225" s="175">
        <v>0</v>
      </c>
      <c r="AQ225" s="175">
        <v>0</v>
      </c>
      <c r="AR225" s="175">
        <v>0</v>
      </c>
      <c r="AS225" s="126"/>
      <c r="AT225" s="185">
        <f t="shared" si="30"/>
        <v>92272.299656571908</v>
      </c>
      <c r="AV225" s="188">
        <f t="shared" si="31"/>
        <v>0</v>
      </c>
      <c r="AW225" s="188">
        <f t="shared" si="32"/>
        <v>0</v>
      </c>
      <c r="AX225" s="188">
        <f t="shared" si="33"/>
        <v>1499.1737133956981</v>
      </c>
      <c r="AY225" s="188">
        <f t="shared" si="38"/>
        <v>1499.1737133956981</v>
      </c>
      <c r="AZ225" s="280">
        <f t="shared" si="35"/>
        <v>23982.932269483699</v>
      </c>
      <c r="BA225" s="280">
        <f t="shared" si="36"/>
        <v>41671.810109604397</v>
      </c>
      <c r="BB225" s="280">
        <f t="shared" si="37"/>
        <v>0</v>
      </c>
    </row>
    <row r="226" spans="1:54">
      <c r="A226" s="174" t="s">
        <v>98</v>
      </c>
      <c r="B226" s="174" t="s">
        <v>25</v>
      </c>
      <c r="C226" s="174" t="s">
        <v>26</v>
      </c>
      <c r="D226" s="175">
        <v>1</v>
      </c>
      <c r="E226" s="174">
        <v>2034</v>
      </c>
      <c r="F226" s="176">
        <v>0</v>
      </c>
      <c r="G226" s="175">
        <v>0</v>
      </c>
      <c r="H226" s="175">
        <v>0</v>
      </c>
      <c r="I226" s="175">
        <v>0</v>
      </c>
      <c r="J226" s="175">
        <v>0</v>
      </c>
      <c r="K226" s="175">
        <v>25118.383564088101</v>
      </c>
      <c r="L226" s="175">
        <v>0</v>
      </c>
      <c r="M226" s="175">
        <v>0</v>
      </c>
      <c r="N226" s="175">
        <v>0</v>
      </c>
      <c r="O226" s="175">
        <v>0</v>
      </c>
      <c r="P226" s="175">
        <v>0</v>
      </c>
      <c r="Q226" s="186">
        <v>0</v>
      </c>
      <c r="R226" s="175">
        <v>0</v>
      </c>
      <c r="S226" s="175">
        <v>0</v>
      </c>
      <c r="T226" s="175">
        <v>0</v>
      </c>
      <c r="U226" s="175">
        <v>27259.174260149699</v>
      </c>
      <c r="V226" s="175">
        <v>14412.6358494547</v>
      </c>
      <c r="W226" s="175">
        <v>684.89940140205397</v>
      </c>
      <c r="X226" s="175">
        <v>814.27431199364401</v>
      </c>
      <c r="Y226" s="175">
        <v>0</v>
      </c>
      <c r="Z226" s="175">
        <v>0</v>
      </c>
      <c r="AA226" s="175">
        <v>0</v>
      </c>
      <c r="AB226" s="175">
        <v>0</v>
      </c>
      <c r="AC226" s="175">
        <v>0</v>
      </c>
      <c r="AD226" s="175">
        <v>0</v>
      </c>
      <c r="AE226" s="175">
        <v>23982.932269483699</v>
      </c>
      <c r="AF226" s="175">
        <v>0</v>
      </c>
      <c r="AG226" s="175">
        <v>0</v>
      </c>
      <c r="AH226" s="175">
        <v>0</v>
      </c>
      <c r="AI226" s="175">
        <v>0</v>
      </c>
      <c r="AJ226" s="175">
        <v>0</v>
      </c>
      <c r="AK226" s="175">
        <v>0</v>
      </c>
      <c r="AL226" s="175">
        <v>221.920831915299</v>
      </c>
      <c r="AM226" s="175">
        <v>0</v>
      </c>
      <c r="AN226" s="175">
        <v>0</v>
      </c>
      <c r="AO226" s="175">
        <v>0</v>
      </c>
      <c r="AP226" s="175">
        <v>0</v>
      </c>
      <c r="AQ226" s="175">
        <v>0</v>
      </c>
      <c r="AR226" s="175">
        <v>0</v>
      </c>
      <c r="AS226" s="126"/>
      <c r="AT226" s="185">
        <f t="shared" si="30"/>
        <v>92494.220488487204</v>
      </c>
      <c r="AV226" s="188">
        <f t="shared" si="31"/>
        <v>221.920831915299</v>
      </c>
      <c r="AW226" s="188">
        <f t="shared" si="32"/>
        <v>0</v>
      </c>
      <c r="AX226" s="188">
        <f t="shared" si="33"/>
        <v>1499.1737133956981</v>
      </c>
      <c r="AY226" s="188">
        <f t="shared" si="38"/>
        <v>1721.0945453109971</v>
      </c>
      <c r="AZ226" s="280">
        <f t="shared" si="35"/>
        <v>23982.932269483699</v>
      </c>
      <c r="BA226" s="280">
        <f t="shared" si="36"/>
        <v>41671.810109604397</v>
      </c>
      <c r="BB226" s="280">
        <f t="shared" si="37"/>
        <v>0</v>
      </c>
    </row>
    <row r="227" spans="1:54">
      <c r="A227" s="174" t="s">
        <v>98</v>
      </c>
      <c r="B227" s="174" t="s">
        <v>25</v>
      </c>
      <c r="C227" s="174" t="s">
        <v>26</v>
      </c>
      <c r="D227" s="175">
        <v>1</v>
      </c>
      <c r="E227" s="174">
        <v>2035</v>
      </c>
      <c r="F227" s="176">
        <v>0</v>
      </c>
      <c r="G227" s="175">
        <v>0</v>
      </c>
      <c r="H227" s="175">
        <v>0</v>
      </c>
      <c r="I227" s="175">
        <v>0</v>
      </c>
      <c r="J227" s="175">
        <v>0</v>
      </c>
      <c r="K227" s="175">
        <v>25118.383564088101</v>
      </c>
      <c r="L227" s="175">
        <v>0</v>
      </c>
      <c r="M227" s="175">
        <v>0</v>
      </c>
      <c r="N227" s="175">
        <v>0</v>
      </c>
      <c r="O227" s="175">
        <v>0</v>
      </c>
      <c r="P227" s="175">
        <v>0</v>
      </c>
      <c r="Q227" s="186">
        <v>0</v>
      </c>
      <c r="R227" s="175">
        <v>0</v>
      </c>
      <c r="S227" s="175">
        <v>0</v>
      </c>
      <c r="T227" s="175">
        <v>0</v>
      </c>
      <c r="U227" s="175">
        <v>27259.174260149699</v>
      </c>
      <c r="V227" s="175">
        <v>14412.6358494547</v>
      </c>
      <c r="W227" s="175">
        <v>684.89940140205397</v>
      </c>
      <c r="X227" s="175">
        <v>814.27431199364401</v>
      </c>
      <c r="Y227" s="175">
        <v>0</v>
      </c>
      <c r="Z227" s="175">
        <v>0</v>
      </c>
      <c r="AA227" s="175">
        <v>0</v>
      </c>
      <c r="AB227" s="175">
        <v>0</v>
      </c>
      <c r="AC227" s="175">
        <v>0</v>
      </c>
      <c r="AD227" s="175">
        <v>0</v>
      </c>
      <c r="AE227" s="175">
        <v>23982.932269483699</v>
      </c>
      <c r="AF227" s="175">
        <v>0</v>
      </c>
      <c r="AG227" s="175">
        <v>0</v>
      </c>
      <c r="AH227" s="175">
        <v>0</v>
      </c>
      <c r="AI227" s="175">
        <v>0</v>
      </c>
      <c r="AJ227" s="175">
        <v>0</v>
      </c>
      <c r="AK227" s="175">
        <v>0</v>
      </c>
      <c r="AL227" s="175">
        <v>585.45338890464598</v>
      </c>
      <c r="AM227" s="175">
        <v>0</v>
      </c>
      <c r="AN227" s="175">
        <v>0</v>
      </c>
      <c r="AO227" s="175">
        <v>0</v>
      </c>
      <c r="AP227" s="175">
        <v>0</v>
      </c>
      <c r="AQ227" s="175">
        <v>0</v>
      </c>
      <c r="AR227" s="175">
        <v>0</v>
      </c>
      <c r="AS227" s="126"/>
      <c r="AT227" s="185">
        <f t="shared" si="30"/>
        <v>92857.753045476551</v>
      </c>
      <c r="AV227" s="188">
        <f t="shared" si="31"/>
        <v>585.45338890464598</v>
      </c>
      <c r="AW227" s="188">
        <f t="shared" si="32"/>
        <v>0</v>
      </c>
      <c r="AX227" s="188">
        <f t="shared" si="33"/>
        <v>1499.1737133956981</v>
      </c>
      <c r="AY227" s="188">
        <f t="shared" si="38"/>
        <v>2084.6271023003442</v>
      </c>
      <c r="AZ227" s="280">
        <f t="shared" si="35"/>
        <v>23982.932269483699</v>
      </c>
      <c r="BA227" s="280">
        <f t="shared" si="36"/>
        <v>41671.810109604397</v>
      </c>
      <c r="BB227" s="280">
        <f t="shared" si="37"/>
        <v>0</v>
      </c>
    </row>
    <row r="228" spans="1:54">
      <c r="A228" s="174" t="s">
        <v>98</v>
      </c>
      <c r="B228" s="174" t="s">
        <v>25</v>
      </c>
      <c r="C228" s="174" t="s">
        <v>26</v>
      </c>
      <c r="D228" s="175">
        <v>1</v>
      </c>
      <c r="E228" s="174">
        <v>2036</v>
      </c>
      <c r="F228" s="176">
        <v>0</v>
      </c>
      <c r="G228" s="175">
        <v>0</v>
      </c>
      <c r="H228" s="175">
        <v>0</v>
      </c>
      <c r="I228" s="175">
        <v>0</v>
      </c>
      <c r="J228" s="175">
        <v>0</v>
      </c>
      <c r="K228" s="175">
        <v>25118.383564088901</v>
      </c>
      <c r="L228" s="175">
        <v>0</v>
      </c>
      <c r="M228" s="175">
        <v>0</v>
      </c>
      <c r="N228" s="175">
        <v>0</v>
      </c>
      <c r="O228" s="175">
        <v>0</v>
      </c>
      <c r="P228" s="175">
        <v>0</v>
      </c>
      <c r="Q228" s="186">
        <v>0</v>
      </c>
      <c r="R228" s="175">
        <v>0</v>
      </c>
      <c r="S228" s="175">
        <v>0</v>
      </c>
      <c r="T228" s="175">
        <v>0</v>
      </c>
      <c r="U228" s="175">
        <v>27259.174260149401</v>
      </c>
      <c r="V228" s="175">
        <v>14412.6358494548</v>
      </c>
      <c r="W228" s="175">
        <v>684.89940139974203</v>
      </c>
      <c r="X228" s="175">
        <v>814.27431199421699</v>
      </c>
      <c r="Y228" s="175">
        <v>0</v>
      </c>
      <c r="Z228" s="175">
        <v>0</v>
      </c>
      <c r="AA228" s="175">
        <v>0</v>
      </c>
      <c r="AB228" s="175">
        <v>0</v>
      </c>
      <c r="AC228" s="175">
        <v>0</v>
      </c>
      <c r="AD228" s="175">
        <v>0</v>
      </c>
      <c r="AE228" s="175">
        <v>23982.9322694849</v>
      </c>
      <c r="AF228" s="175">
        <v>0</v>
      </c>
      <c r="AG228" s="175">
        <v>0</v>
      </c>
      <c r="AH228" s="175">
        <v>0</v>
      </c>
      <c r="AI228" s="175">
        <v>0</v>
      </c>
      <c r="AJ228" s="175">
        <v>161.86067018316101</v>
      </c>
      <c r="AK228" s="175">
        <v>0</v>
      </c>
      <c r="AL228" s="175">
        <v>669.24255704657696</v>
      </c>
      <c r="AM228" s="175">
        <v>0</v>
      </c>
      <c r="AN228" s="175">
        <v>0</v>
      </c>
      <c r="AO228" s="175">
        <v>0</v>
      </c>
      <c r="AP228" s="175">
        <v>0</v>
      </c>
      <c r="AQ228" s="175">
        <v>0</v>
      </c>
      <c r="AR228" s="175">
        <v>0</v>
      </c>
      <c r="AS228" s="126"/>
      <c r="AT228" s="185">
        <f t="shared" si="30"/>
        <v>93103.402883801697</v>
      </c>
      <c r="AV228" s="188">
        <f t="shared" si="31"/>
        <v>831.10322722973797</v>
      </c>
      <c r="AW228" s="188">
        <f t="shared" si="32"/>
        <v>0</v>
      </c>
      <c r="AX228" s="188">
        <f t="shared" si="33"/>
        <v>1499.1737133939591</v>
      </c>
      <c r="AY228" s="188">
        <f t="shared" si="38"/>
        <v>2330.2769406236971</v>
      </c>
      <c r="AZ228" s="280">
        <f t="shared" si="35"/>
        <v>23982.9322694849</v>
      </c>
      <c r="BA228" s="280">
        <f t="shared" si="36"/>
        <v>41671.810109604201</v>
      </c>
      <c r="BB228" s="280">
        <f t="shared" si="37"/>
        <v>0</v>
      </c>
    </row>
    <row r="229" spans="1:54">
      <c r="A229" s="174" t="s">
        <v>98</v>
      </c>
      <c r="B229" s="174" t="s">
        <v>25</v>
      </c>
      <c r="C229" s="174" t="s">
        <v>26</v>
      </c>
      <c r="D229" s="175">
        <v>1</v>
      </c>
      <c r="E229" s="174">
        <v>2037</v>
      </c>
      <c r="F229" s="176">
        <v>0</v>
      </c>
      <c r="G229" s="175">
        <v>0</v>
      </c>
      <c r="H229" s="175">
        <v>0</v>
      </c>
      <c r="I229" s="175">
        <v>0</v>
      </c>
      <c r="J229" s="175">
        <v>0</v>
      </c>
      <c r="K229" s="175">
        <v>25118.383564088101</v>
      </c>
      <c r="L229" s="175">
        <v>0</v>
      </c>
      <c r="M229" s="175">
        <v>0</v>
      </c>
      <c r="N229" s="175">
        <v>0</v>
      </c>
      <c r="O229" s="175">
        <v>0</v>
      </c>
      <c r="P229" s="175">
        <v>0</v>
      </c>
      <c r="Q229" s="186">
        <v>0</v>
      </c>
      <c r="R229" s="175">
        <v>0</v>
      </c>
      <c r="S229" s="175">
        <v>0</v>
      </c>
      <c r="T229" s="175">
        <v>0</v>
      </c>
      <c r="U229" s="175">
        <v>27259.174260149699</v>
      </c>
      <c r="V229" s="175">
        <v>14412.6358494547</v>
      </c>
      <c r="W229" s="175">
        <v>684.89940140205397</v>
      </c>
      <c r="X229" s="175">
        <v>814.27431199364401</v>
      </c>
      <c r="Y229" s="175">
        <v>0</v>
      </c>
      <c r="Z229" s="175">
        <v>0</v>
      </c>
      <c r="AA229" s="175">
        <v>0</v>
      </c>
      <c r="AB229" s="175">
        <v>0</v>
      </c>
      <c r="AC229" s="175">
        <v>0</v>
      </c>
      <c r="AD229" s="175">
        <v>0</v>
      </c>
      <c r="AE229" s="175">
        <v>23982.932269483699</v>
      </c>
      <c r="AF229" s="175">
        <v>0</v>
      </c>
      <c r="AG229" s="175">
        <v>0</v>
      </c>
      <c r="AH229" s="175">
        <v>0</v>
      </c>
      <c r="AI229" s="175">
        <v>0</v>
      </c>
      <c r="AJ229" s="175">
        <v>123.322415377049</v>
      </c>
      <c r="AK229" s="175">
        <v>0</v>
      </c>
      <c r="AL229" s="175">
        <v>138.934754841749</v>
      </c>
      <c r="AM229" s="175">
        <v>0</v>
      </c>
      <c r="AN229" s="175">
        <v>0</v>
      </c>
      <c r="AO229" s="175">
        <v>0</v>
      </c>
      <c r="AP229" s="175">
        <v>0</v>
      </c>
      <c r="AQ229" s="175">
        <v>0</v>
      </c>
      <c r="AR229" s="175">
        <v>0</v>
      </c>
      <c r="AS229" s="126"/>
      <c r="AT229" s="185">
        <f t="shared" si="30"/>
        <v>92534.556826790693</v>
      </c>
      <c r="AV229" s="188">
        <f t="shared" si="31"/>
        <v>262.25717021879802</v>
      </c>
      <c r="AW229" s="188">
        <f t="shared" si="32"/>
        <v>0</v>
      </c>
      <c r="AX229" s="188">
        <f t="shared" si="33"/>
        <v>1499.1737133956981</v>
      </c>
      <c r="AY229" s="188">
        <f t="shared" si="38"/>
        <v>1761.430883614496</v>
      </c>
      <c r="AZ229" s="280">
        <f t="shared" si="35"/>
        <v>23982.932269483699</v>
      </c>
      <c r="BA229" s="280">
        <f t="shared" si="36"/>
        <v>41671.810109604397</v>
      </c>
      <c r="BB229" s="280">
        <f t="shared" si="37"/>
        <v>0</v>
      </c>
    </row>
    <row r="230" spans="1:54">
      <c r="A230" s="174" t="s">
        <v>98</v>
      </c>
      <c r="B230" s="174" t="s">
        <v>25</v>
      </c>
      <c r="C230" s="174" t="s">
        <v>26</v>
      </c>
      <c r="D230" s="175">
        <v>1</v>
      </c>
      <c r="E230" s="174">
        <v>2038</v>
      </c>
      <c r="F230" s="176">
        <v>0</v>
      </c>
      <c r="G230" s="175">
        <v>0</v>
      </c>
      <c r="H230" s="175">
        <v>0</v>
      </c>
      <c r="I230" s="175">
        <v>0</v>
      </c>
      <c r="J230" s="175">
        <v>0</v>
      </c>
      <c r="K230" s="175">
        <v>25118.383564088101</v>
      </c>
      <c r="L230" s="175">
        <v>0</v>
      </c>
      <c r="M230" s="175">
        <v>0</v>
      </c>
      <c r="N230" s="175">
        <v>0</v>
      </c>
      <c r="O230" s="175">
        <v>0</v>
      </c>
      <c r="P230" s="175">
        <v>0</v>
      </c>
      <c r="Q230" s="186">
        <v>0</v>
      </c>
      <c r="R230" s="175">
        <v>0</v>
      </c>
      <c r="S230" s="175">
        <v>0</v>
      </c>
      <c r="T230" s="175">
        <v>0</v>
      </c>
      <c r="U230" s="175">
        <v>27259.174260149699</v>
      </c>
      <c r="V230" s="175">
        <v>14412.6358494547</v>
      </c>
      <c r="W230" s="175">
        <v>684.89940140205397</v>
      </c>
      <c r="X230" s="175">
        <v>814.27431199364401</v>
      </c>
      <c r="Y230" s="175">
        <v>0</v>
      </c>
      <c r="Z230" s="175">
        <v>0</v>
      </c>
      <c r="AA230" s="175">
        <v>0</v>
      </c>
      <c r="AB230" s="175">
        <v>0</v>
      </c>
      <c r="AC230" s="175">
        <v>0</v>
      </c>
      <c r="AD230" s="175">
        <v>0</v>
      </c>
      <c r="AE230" s="175">
        <v>37133.174745176097</v>
      </c>
      <c r="AF230" s="175">
        <v>0</v>
      </c>
      <c r="AG230" s="175">
        <v>0</v>
      </c>
      <c r="AH230" s="175">
        <v>0</v>
      </c>
      <c r="AI230" s="175">
        <v>0</v>
      </c>
      <c r="AJ230" s="175">
        <v>0</v>
      </c>
      <c r="AK230" s="175">
        <v>0</v>
      </c>
      <c r="AL230" s="175">
        <v>0</v>
      </c>
      <c r="AM230" s="175">
        <v>0</v>
      </c>
      <c r="AN230" s="175">
        <v>0</v>
      </c>
      <c r="AO230" s="175">
        <v>0</v>
      </c>
      <c r="AP230" s="175">
        <v>0</v>
      </c>
      <c r="AQ230" s="175">
        <v>0</v>
      </c>
      <c r="AR230" s="175">
        <v>0</v>
      </c>
      <c r="AS230" s="126"/>
      <c r="AT230" s="185">
        <f t="shared" si="30"/>
        <v>105422.54213226429</v>
      </c>
      <c r="AV230" s="188">
        <f t="shared" si="31"/>
        <v>0</v>
      </c>
      <c r="AW230" s="188">
        <f t="shared" si="32"/>
        <v>0</v>
      </c>
      <c r="AX230" s="188">
        <f t="shared" si="33"/>
        <v>1499.1737133956981</v>
      </c>
      <c r="AY230" s="188">
        <f t="shared" si="38"/>
        <v>1499.1737133956981</v>
      </c>
      <c r="AZ230" s="280">
        <f t="shared" si="35"/>
        <v>37133.174745176097</v>
      </c>
      <c r="BA230" s="280">
        <f t="shared" si="36"/>
        <v>41671.810109604397</v>
      </c>
      <c r="BB230" s="280">
        <f t="shared" si="37"/>
        <v>0</v>
      </c>
    </row>
    <row r="231" spans="1:54">
      <c r="A231" s="174" t="s">
        <v>98</v>
      </c>
      <c r="B231" s="174" t="s">
        <v>25</v>
      </c>
      <c r="C231" s="174" t="s">
        <v>26</v>
      </c>
      <c r="D231" s="175">
        <v>1</v>
      </c>
      <c r="E231" s="174">
        <v>2039</v>
      </c>
      <c r="F231" s="176">
        <v>0</v>
      </c>
      <c r="G231" s="175">
        <v>0</v>
      </c>
      <c r="H231" s="175">
        <v>0</v>
      </c>
      <c r="I231" s="175">
        <v>0</v>
      </c>
      <c r="J231" s="175">
        <v>0</v>
      </c>
      <c r="K231" s="175">
        <v>25118.383564088101</v>
      </c>
      <c r="L231" s="175">
        <v>0</v>
      </c>
      <c r="M231" s="175">
        <v>0</v>
      </c>
      <c r="N231" s="175">
        <v>0</v>
      </c>
      <c r="O231" s="175">
        <v>0</v>
      </c>
      <c r="P231" s="175">
        <v>0</v>
      </c>
      <c r="Q231" s="186">
        <v>0</v>
      </c>
      <c r="R231" s="175">
        <v>0</v>
      </c>
      <c r="S231" s="175">
        <v>0</v>
      </c>
      <c r="T231" s="175">
        <v>0</v>
      </c>
      <c r="U231" s="175">
        <v>27259.174260149699</v>
      </c>
      <c r="V231" s="175">
        <v>14412.6358494547</v>
      </c>
      <c r="W231" s="175">
        <v>0</v>
      </c>
      <c r="X231" s="175">
        <v>814.27431199364401</v>
      </c>
      <c r="Y231" s="175">
        <v>0</v>
      </c>
      <c r="Z231" s="175">
        <v>0</v>
      </c>
      <c r="AA231" s="175">
        <v>0</v>
      </c>
      <c r="AB231" s="175">
        <v>0</v>
      </c>
      <c r="AC231" s="175">
        <v>0</v>
      </c>
      <c r="AD231" s="175">
        <v>0</v>
      </c>
      <c r="AE231" s="175">
        <v>37133.174745176097</v>
      </c>
      <c r="AF231" s="175">
        <v>0</v>
      </c>
      <c r="AG231" s="175">
        <v>0</v>
      </c>
      <c r="AH231" s="175">
        <v>0</v>
      </c>
      <c r="AI231" s="175">
        <v>0</v>
      </c>
      <c r="AJ231" s="175">
        <v>0</v>
      </c>
      <c r="AK231" s="175">
        <v>0</v>
      </c>
      <c r="AL231" s="175">
        <v>0</v>
      </c>
      <c r="AM231" s="175">
        <v>0</v>
      </c>
      <c r="AN231" s="175">
        <v>0</v>
      </c>
      <c r="AO231" s="175">
        <v>0</v>
      </c>
      <c r="AP231" s="175">
        <v>0</v>
      </c>
      <c r="AQ231" s="175">
        <v>0</v>
      </c>
      <c r="AR231" s="175">
        <v>0</v>
      </c>
      <c r="AS231" s="126"/>
      <c r="AT231" s="185">
        <f t="shared" si="30"/>
        <v>104737.64273086225</v>
      </c>
      <c r="AV231" s="188">
        <f t="shared" si="31"/>
        <v>0</v>
      </c>
      <c r="AW231" s="188">
        <f t="shared" si="32"/>
        <v>0</v>
      </c>
      <c r="AX231" s="188">
        <f t="shared" si="33"/>
        <v>814.27431199364401</v>
      </c>
      <c r="AY231" s="188">
        <f t="shared" si="38"/>
        <v>814.27431199364401</v>
      </c>
      <c r="AZ231" s="280">
        <f t="shared" si="35"/>
        <v>37133.174745176097</v>
      </c>
      <c r="BA231" s="280">
        <f t="shared" si="36"/>
        <v>41671.810109604397</v>
      </c>
      <c r="BB231" s="280">
        <f t="shared" si="37"/>
        <v>0</v>
      </c>
    </row>
    <row r="232" spans="1:54">
      <c r="A232" s="174" t="s">
        <v>98</v>
      </c>
      <c r="B232" s="174" t="s">
        <v>25</v>
      </c>
      <c r="C232" s="174" t="s">
        <v>26</v>
      </c>
      <c r="D232" s="175">
        <v>1</v>
      </c>
      <c r="E232" s="174">
        <v>2040</v>
      </c>
      <c r="F232" s="176">
        <v>0</v>
      </c>
      <c r="G232" s="175">
        <v>0</v>
      </c>
      <c r="H232" s="175">
        <v>0</v>
      </c>
      <c r="I232" s="175">
        <v>0</v>
      </c>
      <c r="J232" s="175">
        <v>0</v>
      </c>
      <c r="K232" s="175">
        <v>25118.383564088901</v>
      </c>
      <c r="L232" s="175">
        <v>0</v>
      </c>
      <c r="M232" s="175">
        <v>0</v>
      </c>
      <c r="N232" s="175">
        <v>0</v>
      </c>
      <c r="O232" s="175">
        <v>0</v>
      </c>
      <c r="P232" s="175">
        <v>0</v>
      </c>
      <c r="Q232" s="186">
        <v>0</v>
      </c>
      <c r="R232" s="175">
        <v>0</v>
      </c>
      <c r="S232" s="175">
        <v>0</v>
      </c>
      <c r="T232" s="175">
        <v>0</v>
      </c>
      <c r="U232" s="175">
        <v>27259.174260149401</v>
      </c>
      <c r="V232" s="175">
        <v>14412.6358494548</v>
      </c>
      <c r="W232" s="175">
        <v>0</v>
      </c>
      <c r="X232" s="175">
        <v>814.27431199421699</v>
      </c>
      <c r="Y232" s="175">
        <v>0</v>
      </c>
      <c r="Z232" s="175">
        <v>0</v>
      </c>
      <c r="AA232" s="175">
        <v>0</v>
      </c>
      <c r="AB232" s="175">
        <v>0</v>
      </c>
      <c r="AC232" s="175">
        <v>0</v>
      </c>
      <c r="AD232" s="175">
        <v>0</v>
      </c>
      <c r="AE232" s="175">
        <v>37133.174745178898</v>
      </c>
      <c r="AF232" s="175">
        <v>0</v>
      </c>
      <c r="AG232" s="175">
        <v>0</v>
      </c>
      <c r="AH232" s="175">
        <v>0</v>
      </c>
      <c r="AI232" s="175">
        <v>0</v>
      </c>
      <c r="AJ232" s="175">
        <v>0</v>
      </c>
      <c r="AK232" s="175">
        <v>0</v>
      </c>
      <c r="AL232" s="175">
        <v>0</v>
      </c>
      <c r="AM232" s="175">
        <v>0</v>
      </c>
      <c r="AN232" s="175">
        <v>0</v>
      </c>
      <c r="AO232" s="175">
        <v>0</v>
      </c>
      <c r="AP232" s="175">
        <v>0</v>
      </c>
      <c r="AQ232" s="175">
        <v>0</v>
      </c>
      <c r="AR232" s="175">
        <v>0</v>
      </c>
      <c r="AS232" s="126"/>
      <c r="AT232" s="185">
        <f t="shared" si="30"/>
        <v>104737.64273086622</v>
      </c>
      <c r="AV232" s="188">
        <f t="shared" si="31"/>
        <v>0</v>
      </c>
      <c r="AW232" s="188">
        <f t="shared" si="32"/>
        <v>0</v>
      </c>
      <c r="AX232" s="188">
        <f t="shared" si="33"/>
        <v>814.27431199421699</v>
      </c>
      <c r="AY232" s="188">
        <f t="shared" si="38"/>
        <v>814.27431199421699</v>
      </c>
      <c r="AZ232" s="280">
        <f t="shared" si="35"/>
        <v>37133.174745178898</v>
      </c>
      <c r="BA232" s="280">
        <f t="shared" si="36"/>
        <v>41671.810109604201</v>
      </c>
      <c r="BB232" s="280">
        <f t="shared" si="37"/>
        <v>0</v>
      </c>
    </row>
    <row r="233" spans="1:54">
      <c r="A233" s="174" t="s">
        <v>98</v>
      </c>
      <c r="B233" s="174" t="s">
        <v>25</v>
      </c>
      <c r="C233" s="174" t="s">
        <v>26</v>
      </c>
      <c r="D233" s="175">
        <v>1</v>
      </c>
      <c r="E233" s="174">
        <v>2041</v>
      </c>
      <c r="F233" s="176">
        <v>0</v>
      </c>
      <c r="G233" s="175">
        <v>0</v>
      </c>
      <c r="H233" s="175">
        <v>0</v>
      </c>
      <c r="I233" s="175">
        <v>0</v>
      </c>
      <c r="J233" s="175">
        <v>0</v>
      </c>
      <c r="K233" s="175">
        <v>25118.383564088101</v>
      </c>
      <c r="L233" s="175">
        <v>0</v>
      </c>
      <c r="M233" s="175">
        <v>0</v>
      </c>
      <c r="N233" s="175">
        <v>0</v>
      </c>
      <c r="O233" s="175">
        <v>0</v>
      </c>
      <c r="P233" s="175">
        <v>0</v>
      </c>
      <c r="Q233" s="186">
        <v>0</v>
      </c>
      <c r="R233" s="175">
        <v>0</v>
      </c>
      <c r="S233" s="175">
        <v>0</v>
      </c>
      <c r="T233" s="175">
        <v>0</v>
      </c>
      <c r="U233" s="175">
        <v>27259.174260149699</v>
      </c>
      <c r="V233" s="175">
        <v>14412.6358494547</v>
      </c>
      <c r="W233" s="175">
        <v>0</v>
      </c>
      <c r="X233" s="175">
        <v>814.27431199364401</v>
      </c>
      <c r="Y233" s="175">
        <v>0</v>
      </c>
      <c r="Z233" s="175">
        <v>0</v>
      </c>
      <c r="AA233" s="175">
        <v>0</v>
      </c>
      <c r="AB233" s="175">
        <v>0</v>
      </c>
      <c r="AC233" s="175">
        <v>0</v>
      </c>
      <c r="AD233" s="175">
        <v>0</v>
      </c>
      <c r="AE233" s="175">
        <v>37133.174745176097</v>
      </c>
      <c r="AF233" s="175">
        <v>0</v>
      </c>
      <c r="AG233" s="175">
        <v>0</v>
      </c>
      <c r="AH233" s="175">
        <v>0</v>
      </c>
      <c r="AI233" s="175">
        <v>0</v>
      </c>
      <c r="AJ233" s="175">
        <v>0</v>
      </c>
      <c r="AK233" s="175">
        <v>0</v>
      </c>
      <c r="AL233" s="175">
        <v>0</v>
      </c>
      <c r="AM233" s="175">
        <v>0</v>
      </c>
      <c r="AN233" s="175">
        <v>0</v>
      </c>
      <c r="AO233" s="175">
        <v>0</v>
      </c>
      <c r="AP233" s="175">
        <v>0</v>
      </c>
      <c r="AQ233" s="175">
        <v>0</v>
      </c>
      <c r="AR233" s="175">
        <v>0</v>
      </c>
      <c r="AS233" s="126"/>
      <c r="AT233" s="185">
        <f t="shared" si="30"/>
        <v>104737.64273086225</v>
      </c>
      <c r="AV233" s="188">
        <f t="shared" si="31"/>
        <v>0</v>
      </c>
      <c r="AW233" s="188">
        <f t="shared" si="32"/>
        <v>0</v>
      </c>
      <c r="AX233" s="188">
        <f t="shared" si="33"/>
        <v>814.27431199364401</v>
      </c>
      <c r="AY233" s="188">
        <f t="shared" si="38"/>
        <v>814.27431199364401</v>
      </c>
      <c r="AZ233" s="280">
        <f t="shared" si="35"/>
        <v>37133.174745176097</v>
      </c>
      <c r="BA233" s="280">
        <f t="shared" si="36"/>
        <v>41671.810109604397</v>
      </c>
      <c r="BB233" s="280">
        <f t="shared" si="37"/>
        <v>0</v>
      </c>
    </row>
    <row r="234" spans="1:54">
      <c r="A234" s="174" t="s">
        <v>98</v>
      </c>
      <c r="B234" s="174" t="s">
        <v>25</v>
      </c>
      <c r="C234" s="174" t="s">
        <v>26</v>
      </c>
      <c r="D234" s="175">
        <v>1</v>
      </c>
      <c r="E234" s="174">
        <v>2042</v>
      </c>
      <c r="F234" s="176">
        <v>0</v>
      </c>
      <c r="G234" s="175">
        <v>0</v>
      </c>
      <c r="H234" s="175">
        <v>0</v>
      </c>
      <c r="I234" s="175">
        <v>0</v>
      </c>
      <c r="J234" s="175">
        <v>0</v>
      </c>
      <c r="K234" s="175">
        <v>25118.383564088101</v>
      </c>
      <c r="L234" s="175">
        <v>0</v>
      </c>
      <c r="M234" s="175">
        <v>0</v>
      </c>
      <c r="N234" s="175">
        <v>0</v>
      </c>
      <c r="O234" s="175">
        <v>0</v>
      </c>
      <c r="P234" s="175">
        <v>0</v>
      </c>
      <c r="Q234" s="186">
        <v>0</v>
      </c>
      <c r="R234" s="175">
        <v>0</v>
      </c>
      <c r="S234" s="175">
        <v>0</v>
      </c>
      <c r="T234" s="175">
        <v>0</v>
      </c>
      <c r="U234" s="175">
        <v>27259.174260149699</v>
      </c>
      <c r="V234" s="175">
        <v>14412.6358494547</v>
      </c>
      <c r="W234" s="175">
        <v>0</v>
      </c>
      <c r="X234" s="175">
        <v>814.27431199364401</v>
      </c>
      <c r="Y234" s="175">
        <v>0</v>
      </c>
      <c r="Z234" s="175">
        <v>0</v>
      </c>
      <c r="AA234" s="175">
        <v>0</v>
      </c>
      <c r="AB234" s="175">
        <v>0</v>
      </c>
      <c r="AC234" s="175">
        <v>0</v>
      </c>
      <c r="AD234" s="175">
        <v>0</v>
      </c>
      <c r="AE234" s="175">
        <v>37133.174745176097</v>
      </c>
      <c r="AF234" s="175">
        <v>0</v>
      </c>
      <c r="AG234" s="175">
        <v>0</v>
      </c>
      <c r="AH234" s="175">
        <v>0</v>
      </c>
      <c r="AI234" s="175">
        <v>0</v>
      </c>
      <c r="AJ234" s="175">
        <v>0</v>
      </c>
      <c r="AK234" s="175">
        <v>0</v>
      </c>
      <c r="AL234" s="175">
        <v>0</v>
      </c>
      <c r="AM234" s="175">
        <v>0</v>
      </c>
      <c r="AN234" s="175">
        <v>0</v>
      </c>
      <c r="AO234" s="175">
        <v>0</v>
      </c>
      <c r="AP234" s="175">
        <v>0</v>
      </c>
      <c r="AQ234" s="175">
        <v>0</v>
      </c>
      <c r="AR234" s="175">
        <v>0</v>
      </c>
      <c r="AS234" s="126"/>
      <c r="AT234" s="185">
        <f t="shared" si="30"/>
        <v>104737.64273086225</v>
      </c>
      <c r="AV234" s="188">
        <f t="shared" si="31"/>
        <v>0</v>
      </c>
      <c r="AW234" s="188">
        <f t="shared" si="32"/>
        <v>0</v>
      </c>
      <c r="AX234" s="188">
        <f t="shared" si="33"/>
        <v>814.27431199364401</v>
      </c>
      <c r="AY234" s="188">
        <f t="shared" si="38"/>
        <v>814.27431199364401</v>
      </c>
      <c r="AZ234" s="280">
        <f t="shared" si="35"/>
        <v>37133.174745176097</v>
      </c>
      <c r="BA234" s="280">
        <f t="shared" si="36"/>
        <v>41671.810109604397</v>
      </c>
      <c r="BB234" s="280">
        <f t="shared" si="37"/>
        <v>0</v>
      </c>
    </row>
    <row r="235" spans="1:54">
      <c r="A235" s="174" t="s">
        <v>98</v>
      </c>
      <c r="B235" s="174" t="s">
        <v>25</v>
      </c>
      <c r="C235" s="174" t="s">
        <v>26</v>
      </c>
      <c r="D235" s="175">
        <v>1</v>
      </c>
      <c r="E235" s="174">
        <v>2043</v>
      </c>
      <c r="F235" s="176">
        <v>0</v>
      </c>
      <c r="G235" s="175">
        <v>0</v>
      </c>
      <c r="H235" s="175">
        <v>0</v>
      </c>
      <c r="I235" s="175">
        <v>0</v>
      </c>
      <c r="J235" s="175">
        <v>0</v>
      </c>
      <c r="K235" s="175">
        <v>25118.383564088101</v>
      </c>
      <c r="L235" s="175">
        <v>0</v>
      </c>
      <c r="M235" s="175">
        <v>0</v>
      </c>
      <c r="N235" s="175">
        <v>0</v>
      </c>
      <c r="O235" s="175">
        <v>0</v>
      </c>
      <c r="P235" s="175">
        <v>0</v>
      </c>
      <c r="Q235" s="186">
        <v>0</v>
      </c>
      <c r="R235" s="175">
        <v>0</v>
      </c>
      <c r="S235" s="175">
        <v>0</v>
      </c>
      <c r="T235" s="175">
        <v>0</v>
      </c>
      <c r="U235" s="175">
        <v>27259.174260149699</v>
      </c>
      <c r="V235" s="175">
        <v>14412.6358494547</v>
      </c>
      <c r="W235" s="175">
        <v>0</v>
      </c>
      <c r="X235" s="175">
        <v>814.27431199364401</v>
      </c>
      <c r="Y235" s="175">
        <v>0</v>
      </c>
      <c r="Z235" s="175">
        <v>0</v>
      </c>
      <c r="AA235" s="175">
        <v>0</v>
      </c>
      <c r="AB235" s="175">
        <v>0</v>
      </c>
      <c r="AC235" s="175">
        <v>0</v>
      </c>
      <c r="AD235" s="175">
        <v>0</v>
      </c>
      <c r="AE235" s="175">
        <v>37133.174745176097</v>
      </c>
      <c r="AF235" s="175">
        <v>0</v>
      </c>
      <c r="AG235" s="175">
        <v>0</v>
      </c>
      <c r="AH235" s="175">
        <v>0</v>
      </c>
      <c r="AI235" s="175">
        <v>0</v>
      </c>
      <c r="AJ235" s="175">
        <v>0</v>
      </c>
      <c r="AK235" s="175">
        <v>0</v>
      </c>
      <c r="AL235" s="175">
        <v>0</v>
      </c>
      <c r="AM235" s="175">
        <v>0</v>
      </c>
      <c r="AN235" s="175">
        <v>0</v>
      </c>
      <c r="AO235" s="175">
        <v>0</v>
      </c>
      <c r="AP235" s="175">
        <v>0</v>
      </c>
      <c r="AQ235" s="175">
        <v>0</v>
      </c>
      <c r="AR235" s="175">
        <v>0</v>
      </c>
      <c r="AS235" s="126"/>
      <c r="AT235" s="185">
        <f t="shared" si="30"/>
        <v>104737.64273086225</v>
      </c>
      <c r="AV235" s="188">
        <f t="shared" si="31"/>
        <v>0</v>
      </c>
      <c r="AW235" s="188">
        <f t="shared" si="32"/>
        <v>0</v>
      </c>
      <c r="AX235" s="188">
        <f t="shared" si="33"/>
        <v>814.27431199364401</v>
      </c>
      <c r="AY235" s="188">
        <f t="shared" si="38"/>
        <v>814.27431199364401</v>
      </c>
      <c r="AZ235" s="280">
        <f t="shared" si="35"/>
        <v>37133.174745176097</v>
      </c>
      <c r="BA235" s="280">
        <f t="shared" si="36"/>
        <v>41671.810109604397</v>
      </c>
      <c r="BB235" s="280">
        <f t="shared" si="37"/>
        <v>0</v>
      </c>
    </row>
    <row r="236" spans="1:54">
      <c r="A236" s="174" t="s">
        <v>98</v>
      </c>
      <c r="B236" s="174" t="s">
        <v>25</v>
      </c>
      <c r="C236" s="174" t="s">
        <v>26</v>
      </c>
      <c r="D236" s="175">
        <v>1</v>
      </c>
      <c r="E236" s="174">
        <v>2044</v>
      </c>
      <c r="F236" s="176">
        <v>0</v>
      </c>
      <c r="G236" s="175">
        <v>0</v>
      </c>
      <c r="H236" s="175">
        <v>0</v>
      </c>
      <c r="I236" s="175">
        <v>0</v>
      </c>
      <c r="J236" s="175">
        <v>0</v>
      </c>
      <c r="K236" s="175">
        <v>25118.383564088901</v>
      </c>
      <c r="L236" s="175">
        <v>0</v>
      </c>
      <c r="M236" s="175">
        <v>0</v>
      </c>
      <c r="N236" s="175">
        <v>0</v>
      </c>
      <c r="O236" s="175">
        <v>0</v>
      </c>
      <c r="P236" s="175">
        <v>0</v>
      </c>
      <c r="Q236" s="186">
        <v>0</v>
      </c>
      <c r="R236" s="175">
        <v>0</v>
      </c>
      <c r="S236" s="175">
        <v>0</v>
      </c>
      <c r="T236" s="175">
        <v>0</v>
      </c>
      <c r="U236" s="175">
        <v>27259.174260149401</v>
      </c>
      <c r="V236" s="175">
        <v>14412.6358494548</v>
      </c>
      <c r="W236" s="175">
        <v>0</v>
      </c>
      <c r="X236" s="175">
        <v>814.27431199421699</v>
      </c>
      <c r="Y236" s="175">
        <v>0</v>
      </c>
      <c r="Z236" s="175">
        <v>0</v>
      </c>
      <c r="AA236" s="175">
        <v>0</v>
      </c>
      <c r="AB236" s="175">
        <v>0</v>
      </c>
      <c r="AC236" s="175">
        <v>0</v>
      </c>
      <c r="AD236" s="175">
        <v>0</v>
      </c>
      <c r="AE236" s="175">
        <v>37133.174745178898</v>
      </c>
      <c r="AF236" s="175">
        <v>0</v>
      </c>
      <c r="AG236" s="175">
        <v>0</v>
      </c>
      <c r="AH236" s="175">
        <v>0</v>
      </c>
      <c r="AI236" s="175">
        <v>0</v>
      </c>
      <c r="AJ236" s="175">
        <v>0</v>
      </c>
      <c r="AK236" s="175">
        <v>0</v>
      </c>
      <c r="AL236" s="175">
        <v>0</v>
      </c>
      <c r="AM236" s="175">
        <v>0</v>
      </c>
      <c r="AN236" s="175">
        <v>0</v>
      </c>
      <c r="AO236" s="175">
        <v>0</v>
      </c>
      <c r="AP236" s="175">
        <v>0</v>
      </c>
      <c r="AQ236" s="175">
        <v>0</v>
      </c>
      <c r="AR236" s="175">
        <v>0</v>
      </c>
      <c r="AS236" s="126"/>
      <c r="AT236" s="185">
        <f t="shared" si="30"/>
        <v>104737.64273086622</v>
      </c>
      <c r="AV236" s="188">
        <f t="shared" si="31"/>
        <v>0</v>
      </c>
      <c r="AW236" s="188">
        <f t="shared" si="32"/>
        <v>0</v>
      </c>
      <c r="AX236" s="188">
        <f t="shared" si="33"/>
        <v>814.27431199421699</v>
      </c>
      <c r="AY236" s="188">
        <f t="shared" si="38"/>
        <v>814.27431199421699</v>
      </c>
      <c r="AZ236" s="280">
        <f t="shared" si="35"/>
        <v>37133.174745178898</v>
      </c>
      <c r="BA236" s="280">
        <f t="shared" si="36"/>
        <v>41671.810109604201</v>
      </c>
      <c r="BB236" s="280">
        <f t="shared" si="37"/>
        <v>0</v>
      </c>
    </row>
    <row r="237" spans="1:54">
      <c r="A237" s="174" t="s">
        <v>98</v>
      </c>
      <c r="B237" s="174" t="s">
        <v>25</v>
      </c>
      <c r="C237" s="174" t="s">
        <v>26</v>
      </c>
      <c r="D237" s="175">
        <v>1</v>
      </c>
      <c r="E237" s="174">
        <v>2045</v>
      </c>
      <c r="F237" s="176">
        <v>0</v>
      </c>
      <c r="G237" s="175">
        <v>0</v>
      </c>
      <c r="H237" s="175">
        <v>0</v>
      </c>
      <c r="I237" s="175">
        <v>0</v>
      </c>
      <c r="J237" s="175">
        <v>0</v>
      </c>
      <c r="K237" s="175">
        <v>25118.383564088101</v>
      </c>
      <c r="L237" s="175">
        <v>0</v>
      </c>
      <c r="M237" s="175">
        <v>0</v>
      </c>
      <c r="N237" s="175">
        <v>0</v>
      </c>
      <c r="O237" s="175">
        <v>0</v>
      </c>
      <c r="P237" s="175">
        <v>0</v>
      </c>
      <c r="Q237" s="186">
        <v>0</v>
      </c>
      <c r="R237" s="175">
        <v>0</v>
      </c>
      <c r="S237" s="175">
        <v>0</v>
      </c>
      <c r="T237" s="175">
        <v>0</v>
      </c>
      <c r="U237" s="175">
        <v>27259.174260149699</v>
      </c>
      <c r="V237" s="175">
        <v>14412.6358494547</v>
      </c>
      <c r="W237" s="175">
        <v>0</v>
      </c>
      <c r="X237" s="175">
        <v>814.27431199364401</v>
      </c>
      <c r="Y237" s="175">
        <v>0</v>
      </c>
      <c r="Z237" s="175">
        <v>0</v>
      </c>
      <c r="AA237" s="175">
        <v>0</v>
      </c>
      <c r="AB237" s="175">
        <v>0</v>
      </c>
      <c r="AC237" s="175">
        <v>0</v>
      </c>
      <c r="AD237" s="175">
        <v>0</v>
      </c>
      <c r="AE237" s="175">
        <v>37133.174745176097</v>
      </c>
      <c r="AF237" s="175">
        <v>0</v>
      </c>
      <c r="AG237" s="175">
        <v>0</v>
      </c>
      <c r="AH237" s="175">
        <v>0</v>
      </c>
      <c r="AI237" s="175">
        <v>0</v>
      </c>
      <c r="AJ237" s="175">
        <v>0</v>
      </c>
      <c r="AK237" s="175">
        <v>0</v>
      </c>
      <c r="AL237" s="175">
        <v>0</v>
      </c>
      <c r="AM237" s="175">
        <v>0</v>
      </c>
      <c r="AN237" s="175">
        <v>0</v>
      </c>
      <c r="AO237" s="175">
        <v>0</v>
      </c>
      <c r="AP237" s="175">
        <v>0</v>
      </c>
      <c r="AQ237" s="175">
        <v>0</v>
      </c>
      <c r="AR237" s="175">
        <v>0</v>
      </c>
      <c r="AS237" s="126"/>
      <c r="AT237" s="185">
        <f t="shared" si="30"/>
        <v>104737.64273086225</v>
      </c>
      <c r="AV237" s="188">
        <f t="shared" si="31"/>
        <v>0</v>
      </c>
      <c r="AW237" s="188">
        <f t="shared" si="32"/>
        <v>0</v>
      </c>
      <c r="AX237" s="188">
        <f t="shared" si="33"/>
        <v>814.27431199364401</v>
      </c>
      <c r="AY237" s="188">
        <f t="shared" si="38"/>
        <v>814.27431199364401</v>
      </c>
      <c r="AZ237" s="280">
        <f t="shared" si="35"/>
        <v>37133.174745176097</v>
      </c>
      <c r="BA237" s="280">
        <f t="shared" si="36"/>
        <v>41671.810109604397</v>
      </c>
      <c r="BB237" s="280">
        <f t="shared" si="37"/>
        <v>0</v>
      </c>
    </row>
    <row r="238" spans="1:54">
      <c r="A238" s="174" t="s">
        <v>98</v>
      </c>
      <c r="B238" s="174" t="s">
        <v>25</v>
      </c>
      <c r="C238" s="174" t="s">
        <v>26</v>
      </c>
      <c r="D238" s="175">
        <v>1</v>
      </c>
      <c r="E238" s="174">
        <v>2046</v>
      </c>
      <c r="F238" s="176">
        <v>0</v>
      </c>
      <c r="G238" s="175">
        <v>0</v>
      </c>
      <c r="H238" s="175">
        <v>0</v>
      </c>
      <c r="I238" s="175">
        <v>0</v>
      </c>
      <c r="J238" s="175">
        <v>0</v>
      </c>
      <c r="K238" s="175">
        <v>25118.383564088101</v>
      </c>
      <c r="L238" s="175">
        <v>0</v>
      </c>
      <c r="M238" s="175">
        <v>0</v>
      </c>
      <c r="N238" s="175">
        <v>0</v>
      </c>
      <c r="O238" s="175">
        <v>0</v>
      </c>
      <c r="P238" s="175">
        <v>0</v>
      </c>
      <c r="Q238" s="186">
        <v>0</v>
      </c>
      <c r="R238" s="175">
        <v>0</v>
      </c>
      <c r="S238" s="175">
        <v>0</v>
      </c>
      <c r="T238" s="175">
        <v>0</v>
      </c>
      <c r="U238" s="175">
        <v>27259.174260149699</v>
      </c>
      <c r="V238" s="175">
        <v>14412.6358494547</v>
      </c>
      <c r="W238" s="175">
        <v>0</v>
      </c>
      <c r="X238" s="175">
        <v>0</v>
      </c>
      <c r="Y238" s="175">
        <v>0</v>
      </c>
      <c r="Z238" s="175">
        <v>0</v>
      </c>
      <c r="AA238" s="175">
        <v>0</v>
      </c>
      <c r="AB238" s="175">
        <v>0</v>
      </c>
      <c r="AC238" s="175">
        <v>0</v>
      </c>
      <c r="AD238" s="175">
        <v>0</v>
      </c>
      <c r="AE238" s="175">
        <v>37133.174745176097</v>
      </c>
      <c r="AF238" s="175">
        <v>0</v>
      </c>
      <c r="AG238" s="175">
        <v>0</v>
      </c>
      <c r="AH238" s="175">
        <v>0</v>
      </c>
      <c r="AI238" s="175">
        <v>0</v>
      </c>
      <c r="AJ238" s="175">
        <v>0</v>
      </c>
      <c r="AK238" s="175">
        <v>0</v>
      </c>
      <c r="AL238" s="175">
        <v>0</v>
      </c>
      <c r="AM238" s="175">
        <v>0</v>
      </c>
      <c r="AN238" s="175">
        <v>0</v>
      </c>
      <c r="AO238" s="175">
        <v>0</v>
      </c>
      <c r="AP238" s="175">
        <v>0</v>
      </c>
      <c r="AQ238" s="175">
        <v>0</v>
      </c>
      <c r="AR238" s="175">
        <v>0</v>
      </c>
      <c r="AS238" s="126"/>
      <c r="AT238" s="185">
        <f t="shared" si="30"/>
        <v>103923.3684188686</v>
      </c>
      <c r="AV238" s="188">
        <f t="shared" si="31"/>
        <v>0</v>
      </c>
      <c r="AW238" s="188">
        <f t="shared" si="32"/>
        <v>0</v>
      </c>
      <c r="AX238" s="188">
        <f t="shared" si="33"/>
        <v>0</v>
      </c>
      <c r="AY238" s="188">
        <f t="shared" si="38"/>
        <v>0</v>
      </c>
      <c r="AZ238" s="280">
        <f t="shared" si="35"/>
        <v>37133.174745176097</v>
      </c>
      <c r="BA238" s="280">
        <f t="shared" si="36"/>
        <v>41671.810109604397</v>
      </c>
      <c r="BB238" s="280">
        <f t="shared" si="37"/>
        <v>0</v>
      </c>
    </row>
    <row r="239" spans="1:54">
      <c r="A239" s="174" t="s">
        <v>98</v>
      </c>
      <c r="B239" s="174" t="s">
        <v>25</v>
      </c>
      <c r="C239" s="174" t="s">
        <v>26</v>
      </c>
      <c r="D239" s="175">
        <v>1</v>
      </c>
      <c r="E239" s="174">
        <v>2047</v>
      </c>
      <c r="F239" s="176">
        <v>0</v>
      </c>
      <c r="G239" s="175">
        <v>0</v>
      </c>
      <c r="H239" s="175">
        <v>0</v>
      </c>
      <c r="I239" s="175">
        <v>0</v>
      </c>
      <c r="J239" s="175">
        <v>0</v>
      </c>
      <c r="K239" s="175">
        <v>25118.383564088101</v>
      </c>
      <c r="L239" s="175">
        <v>0</v>
      </c>
      <c r="M239" s="175">
        <v>0</v>
      </c>
      <c r="N239" s="175">
        <v>0</v>
      </c>
      <c r="O239" s="175">
        <v>0</v>
      </c>
      <c r="P239" s="175">
        <v>0</v>
      </c>
      <c r="Q239" s="186">
        <v>0</v>
      </c>
      <c r="R239" s="175">
        <v>0</v>
      </c>
      <c r="S239" s="175">
        <v>0</v>
      </c>
      <c r="T239" s="175">
        <v>0</v>
      </c>
      <c r="U239" s="175">
        <v>27259.174260149699</v>
      </c>
      <c r="V239" s="175">
        <v>14412.6358494547</v>
      </c>
      <c r="W239" s="175">
        <v>0</v>
      </c>
      <c r="X239" s="175">
        <v>0</v>
      </c>
      <c r="Y239" s="175">
        <v>0</v>
      </c>
      <c r="Z239" s="175">
        <v>0</v>
      </c>
      <c r="AA239" s="175">
        <v>0</v>
      </c>
      <c r="AB239" s="175">
        <v>0</v>
      </c>
      <c r="AC239" s="175">
        <v>0</v>
      </c>
      <c r="AD239" s="175">
        <v>0</v>
      </c>
      <c r="AE239" s="175">
        <v>37133.174745176097</v>
      </c>
      <c r="AF239" s="175">
        <v>0</v>
      </c>
      <c r="AG239" s="175">
        <v>0</v>
      </c>
      <c r="AH239" s="175">
        <v>0</v>
      </c>
      <c r="AI239" s="175">
        <v>0</v>
      </c>
      <c r="AJ239" s="175">
        <v>0</v>
      </c>
      <c r="AK239" s="175">
        <v>0</v>
      </c>
      <c r="AL239" s="175">
        <v>0</v>
      </c>
      <c r="AM239" s="175">
        <v>0</v>
      </c>
      <c r="AN239" s="175">
        <v>0</v>
      </c>
      <c r="AO239" s="175">
        <v>0</v>
      </c>
      <c r="AP239" s="175">
        <v>0</v>
      </c>
      <c r="AQ239" s="175">
        <v>0</v>
      </c>
      <c r="AR239" s="175">
        <v>0</v>
      </c>
      <c r="AS239" s="126"/>
      <c r="AT239" s="185">
        <f t="shared" si="30"/>
        <v>103923.3684188686</v>
      </c>
      <c r="AV239" s="188">
        <f t="shared" si="31"/>
        <v>0</v>
      </c>
      <c r="AW239" s="188">
        <f t="shared" si="32"/>
        <v>0</v>
      </c>
      <c r="AX239" s="188">
        <f t="shared" si="33"/>
        <v>0</v>
      </c>
      <c r="AY239" s="188">
        <f t="shared" si="38"/>
        <v>0</v>
      </c>
      <c r="AZ239" s="280">
        <f t="shared" si="35"/>
        <v>37133.174745176097</v>
      </c>
      <c r="BA239" s="280">
        <f t="shared" si="36"/>
        <v>41671.810109604397</v>
      </c>
      <c r="BB239" s="280">
        <f t="shared" si="37"/>
        <v>0</v>
      </c>
    </row>
    <row r="240" spans="1:54">
      <c r="A240" s="174" t="s">
        <v>98</v>
      </c>
      <c r="B240" s="174" t="s">
        <v>25</v>
      </c>
      <c r="C240" s="174" t="s">
        <v>26</v>
      </c>
      <c r="D240" s="175">
        <v>1</v>
      </c>
      <c r="E240" s="174">
        <v>2048</v>
      </c>
      <c r="F240" s="176">
        <v>0</v>
      </c>
      <c r="G240" s="175">
        <v>0</v>
      </c>
      <c r="H240" s="175">
        <v>0</v>
      </c>
      <c r="I240" s="175">
        <v>0</v>
      </c>
      <c r="J240" s="175">
        <v>0</v>
      </c>
      <c r="K240" s="175">
        <v>25118.383564088901</v>
      </c>
      <c r="L240" s="175">
        <v>0</v>
      </c>
      <c r="M240" s="175">
        <v>0</v>
      </c>
      <c r="N240" s="175">
        <v>0</v>
      </c>
      <c r="O240" s="175">
        <v>0</v>
      </c>
      <c r="P240" s="175">
        <v>0</v>
      </c>
      <c r="Q240" s="186">
        <v>0</v>
      </c>
      <c r="R240" s="175">
        <v>0</v>
      </c>
      <c r="S240" s="175">
        <v>0</v>
      </c>
      <c r="T240" s="175">
        <v>0</v>
      </c>
      <c r="U240" s="175">
        <v>27259.174260149401</v>
      </c>
      <c r="V240" s="175">
        <v>14412.6358494548</v>
      </c>
      <c r="W240" s="175">
        <v>0</v>
      </c>
      <c r="X240" s="175">
        <v>0</v>
      </c>
      <c r="Y240" s="175">
        <v>0</v>
      </c>
      <c r="Z240" s="175">
        <v>0</v>
      </c>
      <c r="AA240" s="175">
        <v>0</v>
      </c>
      <c r="AB240" s="175">
        <v>0</v>
      </c>
      <c r="AC240" s="175">
        <v>0</v>
      </c>
      <c r="AD240" s="175">
        <v>0</v>
      </c>
      <c r="AE240" s="175">
        <v>37133.174745178898</v>
      </c>
      <c r="AF240" s="175">
        <v>0</v>
      </c>
      <c r="AG240" s="175">
        <v>0</v>
      </c>
      <c r="AH240" s="175">
        <v>0</v>
      </c>
      <c r="AI240" s="175">
        <v>0</v>
      </c>
      <c r="AJ240" s="175">
        <v>0</v>
      </c>
      <c r="AK240" s="175">
        <v>0</v>
      </c>
      <c r="AL240" s="175">
        <v>0</v>
      </c>
      <c r="AM240" s="175">
        <v>0</v>
      </c>
      <c r="AN240" s="175">
        <v>0</v>
      </c>
      <c r="AO240" s="175">
        <v>0</v>
      </c>
      <c r="AP240" s="175">
        <v>0</v>
      </c>
      <c r="AQ240" s="175">
        <v>0</v>
      </c>
      <c r="AR240" s="175">
        <v>0</v>
      </c>
      <c r="AS240" s="126"/>
      <c r="AT240" s="185">
        <f t="shared" si="30"/>
        <v>103923.36841887201</v>
      </c>
      <c r="AV240" s="188">
        <f t="shared" si="31"/>
        <v>0</v>
      </c>
      <c r="AW240" s="188">
        <f t="shared" si="32"/>
        <v>0</v>
      </c>
      <c r="AX240" s="188">
        <f t="shared" si="33"/>
        <v>0</v>
      </c>
      <c r="AY240" s="188">
        <f t="shared" si="38"/>
        <v>0</v>
      </c>
      <c r="AZ240" s="280">
        <f t="shared" si="35"/>
        <v>37133.174745178898</v>
      </c>
      <c r="BA240" s="280">
        <f t="shared" si="36"/>
        <v>41671.810109604201</v>
      </c>
      <c r="BB240" s="280">
        <f t="shared" si="37"/>
        <v>0</v>
      </c>
    </row>
    <row r="241" spans="1:54">
      <c r="A241" s="174" t="s">
        <v>98</v>
      </c>
      <c r="B241" s="174" t="s">
        <v>25</v>
      </c>
      <c r="C241" s="174" t="s">
        <v>26</v>
      </c>
      <c r="D241" s="175">
        <v>1</v>
      </c>
      <c r="E241" s="174">
        <v>2049</v>
      </c>
      <c r="F241" s="176">
        <v>0</v>
      </c>
      <c r="G241" s="175">
        <v>0</v>
      </c>
      <c r="H241" s="175">
        <v>0</v>
      </c>
      <c r="I241" s="175">
        <v>0</v>
      </c>
      <c r="J241" s="175">
        <v>0</v>
      </c>
      <c r="K241" s="175">
        <v>25118.383564088101</v>
      </c>
      <c r="L241" s="175">
        <v>0</v>
      </c>
      <c r="M241" s="175">
        <v>0</v>
      </c>
      <c r="N241" s="175">
        <v>0</v>
      </c>
      <c r="O241" s="175">
        <v>0</v>
      </c>
      <c r="P241" s="175">
        <v>0</v>
      </c>
      <c r="Q241" s="186">
        <v>0</v>
      </c>
      <c r="R241" s="175">
        <v>0</v>
      </c>
      <c r="S241" s="175">
        <v>0</v>
      </c>
      <c r="T241" s="175">
        <v>0</v>
      </c>
      <c r="U241" s="175">
        <v>27259.174260149699</v>
      </c>
      <c r="V241" s="175">
        <v>14412.6358494547</v>
      </c>
      <c r="W241" s="175">
        <v>0</v>
      </c>
      <c r="X241" s="175">
        <v>0</v>
      </c>
      <c r="Y241" s="175">
        <v>0</v>
      </c>
      <c r="Z241" s="175">
        <v>0</v>
      </c>
      <c r="AA241" s="175">
        <v>0</v>
      </c>
      <c r="AB241" s="175">
        <v>0</v>
      </c>
      <c r="AC241" s="175">
        <v>0</v>
      </c>
      <c r="AD241" s="175">
        <v>0</v>
      </c>
      <c r="AE241" s="175">
        <v>37133.174745176097</v>
      </c>
      <c r="AF241" s="175">
        <v>0</v>
      </c>
      <c r="AG241" s="175">
        <v>0</v>
      </c>
      <c r="AH241" s="175">
        <v>0</v>
      </c>
      <c r="AI241" s="175">
        <v>0</v>
      </c>
      <c r="AJ241" s="175">
        <v>0</v>
      </c>
      <c r="AK241" s="175">
        <v>0</v>
      </c>
      <c r="AL241" s="175">
        <v>0</v>
      </c>
      <c r="AM241" s="175">
        <v>0</v>
      </c>
      <c r="AN241" s="175">
        <v>0</v>
      </c>
      <c r="AO241" s="175">
        <v>0</v>
      </c>
      <c r="AP241" s="175">
        <v>0</v>
      </c>
      <c r="AQ241" s="175">
        <v>0</v>
      </c>
      <c r="AR241" s="175">
        <v>0</v>
      </c>
      <c r="AS241" s="126"/>
      <c r="AT241" s="185">
        <f t="shared" si="30"/>
        <v>103923.3684188686</v>
      </c>
      <c r="AV241" s="188">
        <f t="shared" si="31"/>
        <v>0</v>
      </c>
      <c r="AW241" s="188">
        <f t="shared" si="32"/>
        <v>0</v>
      </c>
      <c r="AX241" s="188">
        <f t="shared" si="33"/>
        <v>0</v>
      </c>
      <c r="AY241" s="188">
        <f t="shared" si="38"/>
        <v>0</v>
      </c>
      <c r="AZ241" s="280">
        <f t="shared" si="35"/>
        <v>37133.174745176097</v>
      </c>
      <c r="BA241" s="280">
        <f t="shared" si="36"/>
        <v>41671.810109604397</v>
      </c>
      <c r="BB241" s="280">
        <f t="shared" si="37"/>
        <v>0</v>
      </c>
    </row>
    <row r="242" spans="1:54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126"/>
    </row>
    <row r="243" spans="1:54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126"/>
    </row>
    <row r="244" spans="1:54">
      <c r="A244" s="174"/>
      <c r="B244" s="174"/>
      <c r="C244" s="174"/>
      <c r="D244" s="174"/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26"/>
    </row>
    <row r="245" spans="1:54">
      <c r="A245" s="174"/>
      <c r="B245" s="174"/>
      <c r="C245" s="174"/>
      <c r="D245" s="175"/>
      <c r="E245" s="174"/>
      <c r="F245" s="174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  <c r="AS245" s="126"/>
    </row>
    <row r="246" spans="1:54">
      <c r="A246" s="174"/>
      <c r="B246" s="174"/>
      <c r="C246" s="174"/>
      <c r="D246" s="175"/>
      <c r="E246" s="174"/>
      <c r="F246" s="174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  <c r="AS246" s="126"/>
    </row>
    <row r="247" spans="1:54">
      <c r="A247" s="174"/>
      <c r="B247" s="174"/>
      <c r="C247" s="174"/>
      <c r="D247" s="175"/>
      <c r="E247" s="174"/>
      <c r="F247" s="174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  <c r="AS247" s="126"/>
    </row>
    <row r="248" spans="1:54">
      <c r="A248" s="174"/>
      <c r="B248" s="174"/>
      <c r="C248" s="174"/>
      <c r="D248" s="175"/>
      <c r="E248" s="174"/>
      <c r="F248" s="174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  <c r="AS248" s="126"/>
    </row>
    <row r="249" spans="1:54">
      <c r="A249" s="174"/>
      <c r="B249" s="174"/>
      <c r="C249" s="174"/>
      <c r="D249" s="175"/>
      <c r="E249" s="174"/>
      <c r="F249" s="174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  <c r="AS249" s="126"/>
    </row>
    <row r="250" spans="1:54">
      <c r="A250" s="174"/>
      <c r="B250" s="174"/>
      <c r="C250" s="174"/>
      <c r="D250" s="175"/>
      <c r="E250" s="174"/>
      <c r="F250" s="174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  <c r="AS250" s="126"/>
    </row>
    <row r="251" spans="1:54">
      <c r="A251" s="174"/>
      <c r="B251" s="174"/>
      <c r="C251" s="174"/>
      <c r="D251" s="175"/>
      <c r="E251" s="174"/>
      <c r="F251" s="174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  <c r="AS251" s="126"/>
    </row>
    <row r="252" spans="1:54">
      <c r="A252" s="174"/>
      <c r="B252" s="174"/>
      <c r="C252" s="174"/>
      <c r="D252" s="175"/>
      <c r="E252" s="174"/>
      <c r="F252" s="174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  <c r="AS252" s="126"/>
    </row>
    <row r="253" spans="1:54">
      <c r="A253" s="174"/>
      <c r="B253" s="174"/>
      <c r="C253" s="174"/>
      <c r="D253" s="175"/>
      <c r="E253" s="174"/>
      <c r="F253" s="174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  <c r="AS253" s="126"/>
    </row>
    <row r="254" spans="1:54">
      <c r="A254" s="174"/>
      <c r="B254" s="174"/>
      <c r="C254" s="174"/>
      <c r="D254" s="175"/>
      <c r="E254" s="174"/>
      <c r="F254" s="174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  <c r="AS254" s="126"/>
    </row>
    <row r="255" spans="1:54">
      <c r="A255" s="174"/>
      <c r="B255" s="174"/>
      <c r="C255" s="174"/>
      <c r="D255" s="175"/>
      <c r="E255" s="174"/>
      <c r="F255" s="174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  <c r="AS255" s="126"/>
    </row>
    <row r="256" spans="1:54">
      <c r="A256" s="174"/>
      <c r="B256" s="174"/>
      <c r="C256" s="174"/>
      <c r="D256" s="175"/>
      <c r="E256" s="174"/>
      <c r="F256" s="174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  <c r="AS256" s="126"/>
    </row>
    <row r="257" spans="1:45">
      <c r="A257" s="174"/>
      <c r="B257" s="174"/>
      <c r="C257" s="174"/>
      <c r="D257" s="175"/>
      <c r="E257" s="174"/>
      <c r="F257" s="174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  <c r="AS257" s="126"/>
    </row>
    <row r="258" spans="1:45">
      <c r="A258" s="174"/>
      <c r="B258" s="174"/>
      <c r="C258" s="174"/>
      <c r="D258" s="175"/>
      <c r="E258" s="174"/>
      <c r="F258" s="174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  <c r="AS258" s="126"/>
    </row>
    <row r="259" spans="1:45">
      <c r="A259" s="174"/>
      <c r="B259" s="174"/>
      <c r="C259" s="174"/>
      <c r="D259" s="175"/>
      <c r="E259" s="174"/>
      <c r="F259" s="174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  <c r="AS259" s="126"/>
    </row>
    <row r="260" spans="1:45">
      <c r="A260" s="174"/>
      <c r="B260" s="174"/>
      <c r="C260" s="174"/>
      <c r="D260" s="175"/>
      <c r="E260" s="174"/>
      <c r="F260" s="174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  <c r="AS260" s="126"/>
    </row>
    <row r="261" spans="1:45">
      <c r="A261" s="174"/>
      <c r="B261" s="174"/>
      <c r="C261" s="174"/>
      <c r="D261" s="175"/>
      <c r="E261" s="174"/>
      <c r="F261" s="174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  <c r="AS261" s="126"/>
    </row>
    <row r="262" spans="1:45">
      <c r="A262" s="174"/>
      <c r="B262" s="174"/>
      <c r="C262" s="174"/>
      <c r="D262" s="175"/>
      <c r="E262" s="174"/>
      <c r="F262" s="174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  <c r="AS262" s="126"/>
    </row>
    <row r="263" spans="1:45">
      <c r="A263" s="174"/>
      <c r="B263" s="174"/>
      <c r="C263" s="174"/>
      <c r="D263" s="175"/>
      <c r="E263" s="174"/>
      <c r="F263" s="174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  <c r="AS263" s="126"/>
    </row>
    <row r="264" spans="1:45">
      <c r="A264" s="174"/>
      <c r="B264" s="174"/>
      <c r="C264" s="174"/>
      <c r="D264" s="175"/>
      <c r="E264" s="174"/>
      <c r="F264" s="174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  <c r="AS264" s="126"/>
    </row>
    <row r="265" spans="1:45">
      <c r="A265" s="174"/>
      <c r="B265" s="174"/>
      <c r="C265" s="174"/>
      <c r="D265" s="175"/>
      <c r="E265" s="174"/>
      <c r="F265" s="174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  <c r="AS265" s="126"/>
    </row>
    <row r="266" spans="1:45">
      <c r="A266" s="174"/>
      <c r="B266" s="174"/>
      <c r="C266" s="174"/>
      <c r="D266" s="175"/>
      <c r="E266" s="174"/>
      <c r="F266" s="174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  <c r="AS266" s="126"/>
    </row>
    <row r="267" spans="1:45">
      <c r="A267" s="174"/>
      <c r="B267" s="174"/>
      <c r="C267" s="174"/>
      <c r="D267" s="175"/>
      <c r="E267" s="174"/>
      <c r="F267" s="174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  <c r="AS267" s="126"/>
    </row>
    <row r="268" spans="1:45">
      <c r="A268" s="174"/>
      <c r="B268" s="174"/>
      <c r="C268" s="174"/>
      <c r="D268" s="175"/>
      <c r="E268" s="174"/>
      <c r="F268" s="174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  <c r="AS268" s="126"/>
    </row>
    <row r="269" spans="1:45">
      <c r="A269" s="174"/>
      <c r="B269" s="174"/>
      <c r="C269" s="174"/>
      <c r="D269" s="175"/>
      <c r="E269" s="174"/>
      <c r="F269" s="174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  <c r="AS269" s="126"/>
    </row>
    <row r="270" spans="1:45">
      <c r="A270" s="174"/>
      <c r="B270" s="174"/>
      <c r="C270" s="174"/>
      <c r="D270" s="175"/>
      <c r="E270" s="174"/>
      <c r="F270" s="174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  <c r="AS270" s="126"/>
    </row>
    <row r="271" spans="1:45">
      <c r="A271" s="174"/>
      <c r="B271" s="174"/>
      <c r="C271" s="174"/>
      <c r="D271" s="175"/>
      <c r="E271" s="174"/>
      <c r="F271" s="174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  <c r="AS271" s="126"/>
    </row>
    <row r="272" spans="1:45">
      <c r="A272" s="174"/>
      <c r="B272" s="174"/>
      <c r="C272" s="174"/>
      <c r="D272" s="175"/>
      <c r="E272" s="174"/>
      <c r="F272" s="174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  <c r="AS272" s="126"/>
    </row>
    <row r="273" spans="1:45">
      <c r="A273" s="174"/>
      <c r="B273" s="174"/>
      <c r="C273" s="174"/>
      <c r="D273" s="175"/>
      <c r="E273" s="174"/>
      <c r="F273" s="174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  <c r="AS273" s="126"/>
    </row>
    <row r="274" spans="1:45">
      <c r="A274" s="174"/>
      <c r="B274" s="174"/>
      <c r="C274" s="174"/>
      <c r="D274" s="175"/>
      <c r="E274" s="174"/>
      <c r="F274" s="174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  <c r="AS274" s="126"/>
    </row>
    <row r="275" spans="1:45">
      <c r="A275" s="174"/>
      <c r="B275" s="174"/>
      <c r="C275" s="174"/>
      <c r="D275" s="175"/>
      <c r="E275" s="174"/>
      <c r="F275" s="176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  <c r="AS275" s="126"/>
    </row>
    <row r="276" spans="1:45">
      <c r="A276" s="174"/>
      <c r="B276" s="174"/>
      <c r="C276" s="174"/>
      <c r="D276" s="175"/>
      <c r="E276" s="174"/>
      <c r="F276" s="176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  <c r="AS276" s="126"/>
    </row>
    <row r="277" spans="1:45">
      <c r="A277" s="174"/>
      <c r="B277" s="174"/>
      <c r="C277" s="174"/>
      <c r="D277" s="175"/>
      <c r="E277" s="174"/>
      <c r="F277" s="176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  <c r="AS277" s="126"/>
    </row>
    <row r="278" spans="1:45">
      <c r="A278" s="174"/>
      <c r="B278" s="174"/>
      <c r="C278" s="174"/>
      <c r="D278" s="175"/>
      <c r="E278" s="174"/>
      <c r="F278" s="176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  <c r="AS278" s="126"/>
    </row>
    <row r="279" spans="1:45">
      <c r="A279" s="174"/>
      <c r="B279" s="174"/>
      <c r="C279" s="174"/>
      <c r="D279" s="175"/>
      <c r="E279" s="174"/>
      <c r="F279" s="176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  <c r="AS279" s="126"/>
    </row>
    <row r="280" spans="1:45">
      <c r="A280" s="174"/>
      <c r="B280" s="174"/>
      <c r="C280" s="174"/>
      <c r="D280" s="175"/>
      <c r="E280" s="174"/>
      <c r="F280" s="176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  <c r="AS280" s="126"/>
    </row>
    <row r="281" spans="1:45">
      <c r="A281" s="174"/>
      <c r="B281" s="174"/>
      <c r="C281" s="174"/>
      <c r="D281" s="175"/>
      <c r="E281" s="174"/>
      <c r="F281" s="176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  <c r="AS281" s="126"/>
    </row>
    <row r="282" spans="1:45">
      <c r="A282" s="174"/>
      <c r="B282" s="174"/>
      <c r="C282" s="174"/>
      <c r="D282" s="175"/>
      <c r="E282" s="174"/>
      <c r="F282" s="176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  <c r="AS282" s="126"/>
    </row>
    <row r="283" spans="1:45">
      <c r="A283" s="174"/>
      <c r="B283" s="174"/>
      <c r="C283" s="174"/>
      <c r="D283" s="175"/>
      <c r="E283" s="174"/>
      <c r="F283" s="176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  <c r="AS283" s="126"/>
    </row>
    <row r="284" spans="1:45">
      <c r="A284" s="174"/>
      <c r="B284" s="174"/>
      <c r="C284" s="174"/>
      <c r="D284" s="175"/>
      <c r="E284" s="174"/>
      <c r="F284" s="176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  <c r="AS284" s="126"/>
    </row>
    <row r="285" spans="1:45">
      <c r="A285" s="174"/>
      <c r="B285" s="174"/>
      <c r="C285" s="174"/>
      <c r="D285" s="175"/>
      <c r="E285" s="174"/>
      <c r="F285" s="176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  <c r="AS285" s="126"/>
    </row>
    <row r="286" spans="1:45">
      <c r="A286" s="174"/>
      <c r="B286" s="174"/>
      <c r="C286" s="174"/>
      <c r="D286" s="175"/>
      <c r="E286" s="174"/>
      <c r="F286" s="176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  <c r="AS286" s="126"/>
    </row>
    <row r="287" spans="1:45">
      <c r="A287" s="174"/>
      <c r="B287" s="174"/>
      <c r="C287" s="174"/>
      <c r="D287" s="175"/>
      <c r="E287" s="174"/>
      <c r="F287" s="176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  <c r="AS287" s="126"/>
    </row>
    <row r="288" spans="1:45">
      <c r="A288" s="174"/>
      <c r="B288" s="174"/>
      <c r="C288" s="174"/>
      <c r="D288" s="175"/>
      <c r="E288" s="174"/>
      <c r="F288" s="176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  <c r="AS288" s="126"/>
    </row>
    <row r="289" spans="1:45">
      <c r="A289" s="174"/>
      <c r="B289" s="174"/>
      <c r="C289" s="174"/>
      <c r="D289" s="175"/>
      <c r="E289" s="174"/>
      <c r="F289" s="176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  <c r="AS289" s="126"/>
    </row>
    <row r="290" spans="1:45">
      <c r="A290" s="174"/>
      <c r="B290" s="174"/>
      <c r="C290" s="174"/>
      <c r="D290" s="175"/>
      <c r="E290" s="174"/>
      <c r="F290" s="176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  <c r="AS290" s="126"/>
    </row>
    <row r="291" spans="1:45">
      <c r="A291" s="174"/>
      <c r="B291" s="174"/>
      <c r="C291" s="174"/>
      <c r="D291" s="175"/>
      <c r="E291" s="174"/>
      <c r="F291" s="176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  <c r="AS291" s="126"/>
    </row>
    <row r="292" spans="1:45">
      <c r="A292" s="174"/>
      <c r="B292" s="174"/>
      <c r="C292" s="174"/>
      <c r="D292" s="175"/>
      <c r="E292" s="174"/>
      <c r="F292" s="176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  <c r="AS292" s="126"/>
    </row>
    <row r="293" spans="1:45">
      <c r="A293" s="174"/>
      <c r="B293" s="174"/>
      <c r="C293" s="174"/>
      <c r="D293" s="175"/>
      <c r="E293" s="174"/>
      <c r="F293" s="176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  <c r="AS293" s="126"/>
    </row>
    <row r="294" spans="1:45">
      <c r="A294" s="174"/>
      <c r="B294" s="174"/>
      <c r="C294" s="174"/>
      <c r="D294" s="175"/>
      <c r="E294" s="174"/>
      <c r="F294" s="176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  <c r="AS294" s="126"/>
    </row>
    <row r="295" spans="1:45">
      <c r="A295" s="174"/>
      <c r="B295" s="174"/>
      <c r="C295" s="174"/>
      <c r="D295" s="175"/>
      <c r="E295" s="174"/>
      <c r="F295" s="176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  <c r="AS295" s="126"/>
    </row>
    <row r="296" spans="1:45">
      <c r="A296" s="174"/>
      <c r="B296" s="174"/>
      <c r="C296" s="174"/>
      <c r="D296" s="175"/>
      <c r="E296" s="174"/>
      <c r="F296" s="176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  <c r="AS296" s="126"/>
    </row>
    <row r="297" spans="1:45">
      <c r="A297" s="174"/>
      <c r="B297" s="174"/>
      <c r="C297" s="174"/>
      <c r="D297" s="175"/>
      <c r="E297" s="174"/>
      <c r="F297" s="176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  <c r="AS297" s="126"/>
    </row>
    <row r="298" spans="1:45">
      <c r="A298" s="174"/>
      <c r="B298" s="174"/>
      <c r="C298" s="174"/>
      <c r="D298" s="175"/>
      <c r="E298" s="174"/>
      <c r="F298" s="176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  <c r="AS298" s="126"/>
    </row>
    <row r="299" spans="1:45">
      <c r="A299" s="174"/>
      <c r="B299" s="174"/>
      <c r="C299" s="174"/>
      <c r="D299" s="175"/>
      <c r="E299" s="174"/>
      <c r="F299" s="176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  <c r="AS299" s="126"/>
    </row>
    <row r="300" spans="1:45">
      <c r="A300" s="174"/>
      <c r="B300" s="174"/>
      <c r="C300" s="174"/>
      <c r="D300" s="175"/>
      <c r="E300" s="174"/>
      <c r="F300" s="176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  <c r="AS300" s="126"/>
    </row>
    <row r="301" spans="1:45">
      <c r="A301" s="174"/>
      <c r="B301" s="174"/>
      <c r="C301" s="174"/>
      <c r="D301" s="175"/>
      <c r="E301" s="174"/>
      <c r="F301" s="176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  <c r="AS301" s="126"/>
    </row>
    <row r="302" spans="1:45">
      <c r="A302" s="174"/>
      <c r="B302" s="174"/>
      <c r="C302" s="174"/>
      <c r="D302" s="175"/>
      <c r="E302" s="174"/>
      <c r="F302" s="176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  <c r="AS302" s="126"/>
    </row>
    <row r="303" spans="1:45">
      <c r="A303" s="174"/>
      <c r="B303" s="174"/>
      <c r="C303" s="174"/>
      <c r="D303" s="175"/>
      <c r="E303" s="174"/>
      <c r="F303" s="176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  <c r="AS303" s="126"/>
    </row>
    <row r="304" spans="1:45">
      <c r="A304" s="174"/>
      <c r="B304" s="174"/>
      <c r="C304" s="174"/>
      <c r="D304" s="175"/>
      <c r="E304" s="174"/>
      <c r="F304" s="176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  <c r="AS304" s="126"/>
    </row>
    <row r="305" spans="1:45">
      <c r="A305" s="174"/>
      <c r="B305" s="174"/>
      <c r="C305" s="174"/>
      <c r="D305" s="175"/>
      <c r="E305" s="174"/>
      <c r="F305" s="176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  <c r="AS305" s="126"/>
    </row>
    <row r="306" spans="1:45">
      <c r="A306" s="174"/>
      <c r="B306" s="174"/>
      <c r="C306" s="174"/>
      <c r="D306" s="175"/>
      <c r="E306" s="174"/>
      <c r="F306" s="176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  <c r="AS306" s="126"/>
    </row>
    <row r="307" spans="1:45">
      <c r="A307" s="174"/>
      <c r="B307" s="174"/>
      <c r="C307" s="174"/>
      <c r="D307" s="175"/>
      <c r="E307" s="174"/>
      <c r="F307" s="176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  <c r="AS307" s="126"/>
    </row>
    <row r="308" spans="1:45">
      <c r="A308" s="174"/>
      <c r="B308" s="174"/>
      <c r="C308" s="174"/>
      <c r="D308" s="175"/>
      <c r="E308" s="174"/>
      <c r="F308" s="176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  <c r="AS308" s="126"/>
    </row>
    <row r="309" spans="1:45">
      <c r="A309" s="174"/>
      <c r="B309" s="174"/>
      <c r="C309" s="174"/>
      <c r="D309" s="175"/>
      <c r="E309" s="174"/>
      <c r="F309" s="176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  <c r="AS309" s="126"/>
    </row>
    <row r="310" spans="1:45">
      <c r="A310" s="174"/>
      <c r="B310" s="174"/>
      <c r="C310" s="174"/>
      <c r="D310" s="175"/>
      <c r="E310" s="174"/>
      <c r="F310" s="176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  <c r="AS310" s="126"/>
    </row>
    <row r="311" spans="1:45">
      <c r="A311" s="174"/>
      <c r="B311" s="174"/>
      <c r="C311" s="174"/>
      <c r="D311" s="175"/>
      <c r="E311" s="174"/>
      <c r="F311" s="176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  <c r="AS311" s="126"/>
    </row>
    <row r="312" spans="1:45">
      <c r="A312" s="174"/>
      <c r="B312" s="174"/>
      <c r="C312" s="174"/>
      <c r="D312" s="175"/>
      <c r="E312" s="174"/>
      <c r="F312" s="176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  <c r="AS312" s="126"/>
    </row>
    <row r="313" spans="1:45">
      <c r="A313" s="174"/>
      <c r="B313" s="174"/>
      <c r="C313" s="174"/>
      <c r="D313" s="175"/>
      <c r="E313" s="174"/>
      <c r="F313" s="176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  <c r="AS313" s="126"/>
    </row>
    <row r="314" spans="1:45">
      <c r="A314" s="174"/>
      <c r="B314" s="174"/>
      <c r="C314" s="174"/>
      <c r="D314" s="175"/>
      <c r="E314" s="174"/>
      <c r="F314" s="176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  <c r="AS314" s="126"/>
    </row>
    <row r="315" spans="1:45">
      <c r="A315" s="174"/>
      <c r="B315" s="174"/>
      <c r="C315" s="174"/>
      <c r="D315" s="175"/>
      <c r="E315" s="174"/>
      <c r="F315" s="176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  <c r="AS315" s="126"/>
    </row>
    <row r="316" spans="1:45">
      <c r="A316" s="174"/>
      <c r="B316" s="174"/>
      <c r="C316" s="174"/>
      <c r="D316" s="175"/>
      <c r="E316" s="174"/>
      <c r="F316" s="176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  <c r="AS316" s="126"/>
    </row>
    <row r="317" spans="1:45">
      <c r="A317" s="174"/>
      <c r="B317" s="174"/>
      <c r="C317" s="174"/>
      <c r="D317" s="175"/>
      <c r="E317" s="174"/>
      <c r="F317" s="176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  <c r="AS317" s="126"/>
    </row>
    <row r="318" spans="1:45">
      <c r="A318" s="174"/>
      <c r="B318" s="174"/>
      <c r="C318" s="174"/>
      <c r="D318" s="175"/>
      <c r="E318" s="174"/>
      <c r="F318" s="176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  <c r="AS318" s="126"/>
    </row>
    <row r="319" spans="1:45">
      <c r="A319" s="174"/>
      <c r="B319" s="174"/>
      <c r="C319" s="174"/>
      <c r="D319" s="175"/>
      <c r="E319" s="174"/>
      <c r="F319" s="176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  <c r="AS319" s="126"/>
    </row>
    <row r="320" spans="1:45">
      <c r="A320" s="174"/>
      <c r="B320" s="174"/>
      <c r="C320" s="174"/>
      <c r="D320" s="175"/>
      <c r="E320" s="174"/>
      <c r="F320" s="176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  <c r="AS320" s="126"/>
    </row>
    <row r="321" spans="1:45">
      <c r="A321" s="174"/>
      <c r="B321" s="174"/>
      <c r="C321" s="174"/>
      <c r="D321" s="175"/>
      <c r="E321" s="174"/>
      <c r="F321" s="176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  <c r="AS321" s="126"/>
    </row>
    <row r="322" spans="1:45">
      <c r="A322" s="174"/>
      <c r="B322" s="174"/>
      <c r="C322" s="174"/>
      <c r="D322" s="175"/>
      <c r="E322" s="174"/>
      <c r="F322" s="176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  <c r="AS322" s="126"/>
    </row>
    <row r="323" spans="1:45">
      <c r="A323" s="174"/>
      <c r="B323" s="174"/>
      <c r="C323" s="174"/>
      <c r="D323" s="175"/>
      <c r="E323" s="174"/>
      <c r="F323" s="176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  <c r="AS323" s="126"/>
    </row>
    <row r="324" spans="1:45">
      <c r="A324" s="174"/>
      <c r="B324" s="174"/>
      <c r="C324" s="174"/>
      <c r="D324" s="175"/>
      <c r="E324" s="174"/>
      <c r="F324" s="176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  <c r="AS324" s="126"/>
    </row>
    <row r="325" spans="1:45">
      <c r="A325" s="174"/>
      <c r="B325" s="174"/>
      <c r="C325" s="174"/>
      <c r="D325" s="175"/>
      <c r="E325" s="174"/>
      <c r="F325" s="176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  <c r="AS325" s="126"/>
    </row>
    <row r="326" spans="1:45">
      <c r="A326" s="174"/>
      <c r="B326" s="174"/>
      <c r="C326" s="174"/>
      <c r="D326" s="175"/>
      <c r="E326" s="174"/>
      <c r="F326" s="176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  <c r="AS326" s="126"/>
    </row>
    <row r="327" spans="1:45">
      <c r="A327" s="174"/>
      <c r="B327" s="174"/>
      <c r="C327" s="174"/>
      <c r="D327" s="175"/>
      <c r="E327" s="174"/>
      <c r="F327" s="176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  <c r="AS327" s="126"/>
    </row>
    <row r="328" spans="1:45">
      <c r="A328" s="174"/>
      <c r="B328" s="174"/>
      <c r="C328" s="174"/>
      <c r="D328" s="175"/>
      <c r="E328" s="174"/>
      <c r="F328" s="176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  <c r="AS328" s="126"/>
    </row>
    <row r="329" spans="1:45">
      <c r="A329" s="174"/>
      <c r="B329" s="174"/>
      <c r="C329" s="174"/>
      <c r="D329" s="175"/>
      <c r="E329" s="174"/>
      <c r="F329" s="176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  <c r="AS329" s="126"/>
    </row>
    <row r="330" spans="1:45">
      <c r="A330" s="174"/>
      <c r="B330" s="174"/>
      <c r="C330" s="174"/>
      <c r="D330" s="175"/>
      <c r="E330" s="174"/>
      <c r="F330" s="176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  <c r="AS330" s="126"/>
    </row>
    <row r="331" spans="1:45">
      <c r="A331" s="174"/>
      <c r="B331" s="174"/>
      <c r="C331" s="174"/>
      <c r="D331" s="175"/>
      <c r="E331" s="174"/>
      <c r="F331" s="176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  <c r="AS331" s="126"/>
    </row>
    <row r="332" spans="1:45">
      <c r="A332" s="174"/>
      <c r="B332" s="174"/>
      <c r="C332" s="174"/>
      <c r="D332" s="175"/>
      <c r="E332" s="174"/>
      <c r="F332" s="176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  <c r="AS332" s="126"/>
    </row>
    <row r="333" spans="1:45">
      <c r="A333" s="174"/>
      <c r="B333" s="174"/>
      <c r="C333" s="174"/>
      <c r="D333" s="175"/>
      <c r="E333" s="174"/>
      <c r="F333" s="176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  <c r="AS333" s="126"/>
    </row>
    <row r="334" spans="1:45">
      <c r="A334" s="174"/>
      <c r="B334" s="174"/>
      <c r="C334" s="174"/>
      <c r="D334" s="175"/>
      <c r="E334" s="174"/>
      <c r="F334" s="176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  <c r="AS334" s="126"/>
    </row>
    <row r="335" spans="1:45">
      <c r="A335" s="174"/>
      <c r="B335" s="174"/>
      <c r="C335" s="174"/>
      <c r="D335" s="175"/>
      <c r="E335" s="174"/>
      <c r="F335" s="176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  <c r="AS335" s="126"/>
    </row>
    <row r="336" spans="1:45">
      <c r="A336" s="174"/>
      <c r="B336" s="174"/>
      <c r="C336" s="174"/>
      <c r="D336" s="175"/>
      <c r="E336" s="174"/>
      <c r="F336" s="176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  <c r="AS336" s="126"/>
    </row>
    <row r="337" spans="1:45">
      <c r="A337" s="174"/>
      <c r="B337" s="174"/>
      <c r="C337" s="174"/>
      <c r="D337" s="175"/>
      <c r="E337" s="174"/>
      <c r="F337" s="176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  <c r="AS337" s="126"/>
    </row>
    <row r="338" spans="1:45">
      <c r="A338" s="174"/>
      <c r="B338" s="174"/>
      <c r="C338" s="174"/>
      <c r="D338" s="175"/>
      <c r="E338" s="174"/>
      <c r="F338" s="176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  <c r="AS338" s="126"/>
    </row>
    <row r="339" spans="1:45">
      <c r="A339" s="174"/>
      <c r="B339" s="174"/>
      <c r="C339" s="174"/>
      <c r="D339" s="175"/>
      <c r="E339" s="174"/>
      <c r="F339" s="176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  <c r="AS339" s="126"/>
    </row>
    <row r="340" spans="1:45">
      <c r="A340" s="174"/>
      <c r="B340" s="174"/>
      <c r="C340" s="174"/>
      <c r="D340" s="175"/>
      <c r="E340" s="174"/>
      <c r="F340" s="176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  <c r="AS340" s="126"/>
    </row>
    <row r="341" spans="1:45">
      <c r="A341" s="174"/>
      <c r="B341" s="174"/>
      <c r="C341" s="174"/>
      <c r="D341" s="175"/>
      <c r="E341" s="174"/>
      <c r="F341" s="176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  <c r="AS341" s="126"/>
    </row>
    <row r="342" spans="1:45">
      <c r="A342" s="174"/>
      <c r="B342" s="174"/>
      <c r="C342" s="174"/>
      <c r="D342" s="175"/>
      <c r="E342" s="174"/>
      <c r="F342" s="176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  <c r="AS342" s="126"/>
    </row>
    <row r="343" spans="1:45">
      <c r="A343" s="174"/>
      <c r="B343" s="174"/>
      <c r="C343" s="174"/>
      <c r="D343" s="175"/>
      <c r="E343" s="174"/>
      <c r="F343" s="176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  <c r="AS343" s="126"/>
    </row>
    <row r="344" spans="1:45">
      <c r="A344" s="174"/>
      <c r="B344" s="174"/>
      <c r="C344" s="174"/>
      <c r="D344" s="175"/>
      <c r="E344" s="174"/>
      <c r="F344" s="176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  <c r="AS344" s="126"/>
    </row>
    <row r="345" spans="1:45">
      <c r="A345" s="174"/>
      <c r="B345" s="174"/>
      <c r="C345" s="174"/>
      <c r="D345" s="175"/>
      <c r="E345" s="174"/>
      <c r="F345" s="176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  <c r="AS345" s="126"/>
    </row>
    <row r="346" spans="1:45">
      <c r="A346" s="174"/>
      <c r="B346" s="174"/>
      <c r="C346" s="174"/>
      <c r="D346" s="175"/>
      <c r="E346" s="174"/>
      <c r="F346" s="176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  <c r="AS346" s="126"/>
    </row>
    <row r="347" spans="1:45">
      <c r="A347" s="174"/>
      <c r="B347" s="174"/>
      <c r="C347" s="174"/>
      <c r="D347" s="175"/>
      <c r="E347" s="174"/>
      <c r="F347" s="176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  <c r="AS347" s="126"/>
    </row>
    <row r="348" spans="1:45">
      <c r="A348" s="174"/>
      <c r="B348" s="174"/>
      <c r="C348" s="174"/>
      <c r="D348" s="175"/>
      <c r="E348" s="174"/>
      <c r="F348" s="176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  <c r="AS348" s="126"/>
    </row>
    <row r="349" spans="1:45">
      <c r="A349" s="174"/>
      <c r="B349" s="174"/>
      <c r="C349" s="174"/>
      <c r="D349" s="175"/>
      <c r="E349" s="174"/>
      <c r="F349" s="176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  <c r="AS349" s="126"/>
    </row>
    <row r="350" spans="1:45">
      <c r="A350" s="174"/>
      <c r="B350" s="174"/>
      <c r="C350" s="174"/>
      <c r="D350" s="175"/>
      <c r="E350" s="174"/>
      <c r="F350" s="176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  <c r="AS350" s="126"/>
    </row>
    <row r="351" spans="1:45">
      <c r="A351" s="174"/>
      <c r="B351" s="174"/>
      <c r="C351" s="174"/>
      <c r="D351" s="175"/>
      <c r="E351" s="174"/>
      <c r="F351" s="176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  <c r="AS351" s="126"/>
    </row>
    <row r="352" spans="1:45">
      <c r="A352" s="174"/>
      <c r="B352" s="174"/>
      <c r="C352" s="174"/>
      <c r="D352" s="175"/>
      <c r="E352" s="174"/>
      <c r="F352" s="176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  <c r="AS352" s="126"/>
    </row>
    <row r="353" spans="1:45">
      <c r="A353" s="174"/>
      <c r="B353" s="174"/>
      <c r="C353" s="174"/>
      <c r="D353" s="175"/>
      <c r="E353" s="174"/>
      <c r="F353" s="176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  <c r="AS353" s="126"/>
    </row>
    <row r="354" spans="1:45">
      <c r="A354" s="174"/>
      <c r="B354" s="174"/>
      <c r="C354" s="174"/>
      <c r="D354" s="175"/>
      <c r="E354" s="174"/>
      <c r="F354" s="176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  <c r="AS354" s="126"/>
    </row>
    <row r="355" spans="1:45">
      <c r="A355" s="174"/>
      <c r="B355" s="174"/>
      <c r="C355" s="174"/>
      <c r="D355" s="175"/>
      <c r="E355" s="174"/>
      <c r="F355" s="176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  <c r="AS355" s="126"/>
    </row>
    <row r="356" spans="1:45">
      <c r="A356" s="174"/>
      <c r="B356" s="174"/>
      <c r="C356" s="174"/>
      <c r="D356" s="175"/>
      <c r="E356" s="174"/>
      <c r="F356" s="176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  <c r="AS356" s="126"/>
    </row>
    <row r="357" spans="1:45">
      <c r="A357" s="174"/>
      <c r="B357" s="174"/>
      <c r="C357" s="174"/>
      <c r="D357" s="175"/>
      <c r="E357" s="174"/>
      <c r="F357" s="176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  <c r="AS357" s="126"/>
    </row>
    <row r="358" spans="1:45">
      <c r="A358" s="174"/>
      <c r="B358" s="174"/>
      <c r="C358" s="174"/>
      <c r="D358" s="175"/>
      <c r="E358" s="174"/>
      <c r="F358" s="176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  <c r="AS358" s="126"/>
    </row>
    <row r="359" spans="1:45">
      <c r="A359" s="174"/>
      <c r="B359" s="174"/>
      <c r="C359" s="174"/>
      <c r="D359" s="175"/>
      <c r="E359" s="174"/>
      <c r="F359" s="176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  <c r="AS359" s="126"/>
    </row>
    <row r="360" spans="1:45">
      <c r="A360" s="174"/>
      <c r="B360" s="174"/>
      <c r="C360" s="174"/>
      <c r="D360" s="175"/>
      <c r="E360" s="174"/>
      <c r="F360" s="176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  <c r="AS360" s="126"/>
    </row>
    <row r="361" spans="1:45">
      <c r="A361" s="174"/>
      <c r="B361" s="174"/>
      <c r="C361" s="174"/>
      <c r="D361" s="175"/>
      <c r="E361" s="174"/>
      <c r="F361" s="176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  <c r="AS361" s="126"/>
    </row>
    <row r="362" spans="1:45">
      <c r="A362" s="174"/>
      <c r="B362" s="174"/>
      <c r="C362" s="174"/>
      <c r="D362" s="175"/>
      <c r="E362" s="174"/>
      <c r="F362" s="176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  <c r="AS362" s="126"/>
    </row>
    <row r="363" spans="1:45">
      <c r="A363" s="174"/>
      <c r="B363" s="174"/>
      <c r="C363" s="174"/>
      <c r="D363" s="175"/>
      <c r="E363" s="174"/>
      <c r="F363" s="176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  <c r="AS363" s="126"/>
    </row>
    <row r="364" spans="1:45">
      <c r="A364" s="174"/>
      <c r="B364" s="174"/>
      <c r="C364" s="174"/>
      <c r="D364" s="175"/>
      <c r="E364" s="174"/>
      <c r="F364" s="176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  <c r="AS364" s="126"/>
    </row>
    <row r="365" spans="1:45">
      <c r="A365" s="174"/>
      <c r="B365" s="174"/>
      <c r="C365" s="174"/>
      <c r="D365" s="175"/>
      <c r="E365" s="174"/>
      <c r="F365" s="176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  <c r="AS365" s="126"/>
    </row>
    <row r="366" spans="1:45">
      <c r="A366" s="174"/>
      <c r="B366" s="174"/>
      <c r="C366" s="174"/>
      <c r="D366" s="175"/>
      <c r="E366" s="174"/>
      <c r="F366" s="176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  <c r="AS366" s="126"/>
    </row>
    <row r="367" spans="1:45">
      <c r="A367" s="174"/>
      <c r="B367" s="174"/>
      <c r="C367" s="174"/>
      <c r="D367" s="175"/>
      <c r="E367" s="174"/>
      <c r="F367" s="176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  <c r="AS367" s="126"/>
    </row>
    <row r="368" spans="1:45">
      <c r="A368" s="174"/>
      <c r="B368" s="174"/>
      <c r="C368" s="174"/>
      <c r="D368" s="175"/>
      <c r="E368" s="174"/>
      <c r="F368" s="176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  <c r="AS368" s="126"/>
    </row>
    <row r="369" spans="1:45">
      <c r="A369" s="174"/>
      <c r="B369" s="174"/>
      <c r="C369" s="174"/>
      <c r="D369" s="175"/>
      <c r="E369" s="174"/>
      <c r="F369" s="176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  <c r="AS369" s="126"/>
    </row>
    <row r="370" spans="1:45">
      <c r="A370" s="174"/>
      <c r="B370" s="174"/>
      <c r="C370" s="174"/>
      <c r="D370" s="175"/>
      <c r="E370" s="174"/>
      <c r="F370" s="176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  <c r="AS370" s="126"/>
    </row>
    <row r="371" spans="1:45">
      <c r="A371" s="174"/>
      <c r="B371" s="174"/>
      <c r="C371" s="174"/>
      <c r="D371" s="175"/>
      <c r="E371" s="174"/>
      <c r="F371" s="176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  <c r="AS371" s="126"/>
    </row>
    <row r="372" spans="1:45">
      <c r="A372" s="174"/>
      <c r="B372" s="174"/>
      <c r="C372" s="174"/>
      <c r="D372" s="175"/>
      <c r="E372" s="174"/>
      <c r="F372" s="176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  <c r="AS372" s="126"/>
    </row>
    <row r="373" spans="1:45">
      <c r="A373" s="174"/>
      <c r="B373" s="174"/>
      <c r="C373" s="174"/>
      <c r="D373" s="175"/>
      <c r="E373" s="174"/>
      <c r="F373" s="176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  <c r="AS373" s="126"/>
    </row>
    <row r="374" spans="1:45">
      <c r="A374" s="174"/>
      <c r="B374" s="174"/>
      <c r="C374" s="174"/>
      <c r="D374" s="175"/>
      <c r="E374" s="174"/>
      <c r="F374" s="176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  <c r="AS374" s="126"/>
    </row>
    <row r="375" spans="1:45">
      <c r="A375" s="174"/>
      <c r="B375" s="174"/>
      <c r="C375" s="174"/>
      <c r="D375" s="175"/>
      <c r="E375" s="174"/>
      <c r="F375" s="176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  <c r="AS375" s="126"/>
    </row>
    <row r="376" spans="1:45">
      <c r="A376" s="174"/>
      <c r="B376" s="174"/>
      <c r="C376" s="174"/>
      <c r="D376" s="175"/>
      <c r="E376" s="174"/>
      <c r="F376" s="176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  <c r="AS376" s="126"/>
    </row>
    <row r="377" spans="1:45">
      <c r="A377" s="174"/>
      <c r="B377" s="174"/>
      <c r="C377" s="174"/>
      <c r="D377" s="175"/>
      <c r="E377" s="174"/>
      <c r="F377" s="176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  <c r="AS377" s="126"/>
    </row>
    <row r="378" spans="1:45">
      <c r="A378" s="174"/>
      <c r="B378" s="174"/>
      <c r="C378" s="174"/>
      <c r="D378" s="175"/>
      <c r="E378" s="174"/>
      <c r="F378" s="176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  <c r="AS378" s="126"/>
    </row>
    <row r="379" spans="1:45">
      <c r="A379" s="174"/>
      <c r="B379" s="174"/>
      <c r="C379" s="174"/>
      <c r="D379" s="175"/>
      <c r="E379" s="174"/>
      <c r="F379" s="176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  <c r="AS379" s="126"/>
    </row>
    <row r="380" spans="1:45">
      <c r="A380" s="174"/>
      <c r="B380" s="174"/>
      <c r="C380" s="174"/>
      <c r="D380" s="175"/>
      <c r="E380" s="174"/>
      <c r="F380" s="176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  <c r="AS380" s="126"/>
    </row>
    <row r="381" spans="1:45">
      <c r="A381" s="174"/>
      <c r="B381" s="174"/>
      <c r="C381" s="174"/>
      <c r="D381" s="175"/>
      <c r="E381" s="174"/>
      <c r="F381" s="176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  <c r="AS381" s="126"/>
    </row>
    <row r="382" spans="1:45">
      <c r="A382" s="174"/>
      <c r="B382" s="174"/>
      <c r="C382" s="174"/>
      <c r="D382" s="175"/>
      <c r="E382" s="174"/>
      <c r="F382" s="176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  <c r="AS382" s="126"/>
    </row>
    <row r="383" spans="1:45">
      <c r="A383" s="174"/>
      <c r="B383" s="174"/>
      <c r="C383" s="174"/>
      <c r="D383" s="175"/>
      <c r="E383" s="174"/>
      <c r="F383" s="176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  <c r="AS383" s="126"/>
    </row>
    <row r="384" spans="1:45">
      <c r="A384" s="174"/>
      <c r="B384" s="174"/>
      <c r="C384" s="174"/>
      <c r="D384" s="175"/>
      <c r="E384" s="174"/>
      <c r="F384" s="176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  <c r="AS384" s="126"/>
    </row>
    <row r="385" spans="1:45">
      <c r="A385" s="174"/>
      <c r="B385" s="174"/>
      <c r="C385" s="174"/>
      <c r="D385" s="175"/>
      <c r="E385" s="174"/>
      <c r="F385" s="176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  <c r="AS385" s="126"/>
    </row>
    <row r="386" spans="1:45">
      <c r="A386" s="174"/>
      <c r="B386" s="174"/>
      <c r="C386" s="174"/>
      <c r="D386" s="175"/>
      <c r="E386" s="174"/>
      <c r="F386" s="176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  <c r="AS386" s="126"/>
    </row>
    <row r="387" spans="1:45">
      <c r="A387" s="174"/>
      <c r="B387" s="174"/>
      <c r="C387" s="174"/>
      <c r="D387" s="175"/>
      <c r="E387" s="174"/>
      <c r="F387" s="176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  <c r="AS387" s="126"/>
    </row>
    <row r="388" spans="1:45">
      <c r="A388" s="174"/>
      <c r="B388" s="174"/>
      <c r="C388" s="174"/>
      <c r="D388" s="175"/>
      <c r="E388" s="174"/>
      <c r="F388" s="176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  <c r="AS388" s="126"/>
    </row>
    <row r="389" spans="1:45">
      <c r="A389" s="174"/>
      <c r="B389" s="174"/>
      <c r="C389" s="174"/>
      <c r="D389" s="175"/>
      <c r="E389" s="174"/>
      <c r="F389" s="176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  <c r="AS389" s="126"/>
    </row>
    <row r="390" spans="1:45">
      <c r="A390" s="174"/>
      <c r="B390" s="174"/>
      <c r="C390" s="174"/>
      <c r="D390" s="175"/>
      <c r="E390" s="174"/>
      <c r="F390" s="176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  <c r="AS390" s="126"/>
    </row>
    <row r="391" spans="1:45">
      <c r="A391" s="174"/>
      <c r="B391" s="174"/>
      <c r="C391" s="174"/>
      <c r="D391" s="175"/>
      <c r="E391" s="174"/>
      <c r="F391" s="176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26"/>
    </row>
    <row r="392" spans="1:45">
      <c r="A392" s="174"/>
      <c r="B392" s="174"/>
      <c r="C392" s="174"/>
      <c r="D392" s="175"/>
      <c r="E392" s="174"/>
      <c r="F392" s="176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  <c r="AS392" s="126"/>
    </row>
    <row r="393" spans="1:45">
      <c r="A393" s="174"/>
      <c r="B393" s="174"/>
      <c r="C393" s="174"/>
      <c r="D393" s="175"/>
      <c r="E393" s="174"/>
      <c r="F393" s="176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  <c r="AS393" s="126"/>
    </row>
    <row r="394" spans="1:45">
      <c r="A394" s="174"/>
      <c r="B394" s="174"/>
      <c r="C394" s="174"/>
      <c r="D394" s="175"/>
      <c r="E394" s="174"/>
      <c r="F394" s="176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  <c r="AS394" s="126"/>
    </row>
    <row r="395" spans="1:45">
      <c r="A395" s="174"/>
      <c r="B395" s="174"/>
      <c r="C395" s="174"/>
      <c r="D395" s="175"/>
      <c r="E395" s="174"/>
      <c r="F395" s="176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  <c r="AS395" s="126"/>
    </row>
    <row r="396" spans="1:45">
      <c r="A396" s="174"/>
      <c r="B396" s="174"/>
      <c r="C396" s="174"/>
      <c r="D396" s="175"/>
      <c r="E396" s="174"/>
      <c r="F396" s="176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  <c r="AS396" s="126"/>
    </row>
    <row r="397" spans="1:45">
      <c r="A397" s="174"/>
      <c r="B397" s="174"/>
      <c r="C397" s="174"/>
      <c r="D397" s="175"/>
      <c r="E397" s="174"/>
      <c r="F397" s="176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  <c r="AS397" s="126"/>
    </row>
    <row r="398" spans="1:45">
      <c r="A398" s="174"/>
      <c r="B398" s="174"/>
      <c r="C398" s="174"/>
      <c r="D398" s="175"/>
      <c r="E398" s="174"/>
      <c r="F398" s="176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  <c r="AS398" s="126"/>
    </row>
    <row r="399" spans="1:45">
      <c r="A399" s="174"/>
      <c r="B399" s="174"/>
      <c r="C399" s="174"/>
      <c r="D399" s="175"/>
      <c r="E399" s="174"/>
      <c r="F399" s="176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  <c r="AS399" s="126"/>
    </row>
    <row r="400" spans="1:45">
      <c r="A400" s="174"/>
      <c r="B400" s="174"/>
      <c r="C400" s="174"/>
      <c r="D400" s="175"/>
      <c r="E400" s="174"/>
      <c r="F400" s="176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  <c r="AS400" s="126"/>
    </row>
    <row r="401" spans="1:45">
      <c r="A401" s="174"/>
      <c r="B401" s="174"/>
      <c r="C401" s="174"/>
      <c r="D401" s="175"/>
      <c r="E401" s="174"/>
      <c r="F401" s="176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  <c r="AS401" s="126"/>
    </row>
    <row r="402" spans="1:45">
      <c r="A402" s="174"/>
      <c r="B402" s="174"/>
      <c r="C402" s="174"/>
      <c r="D402" s="175"/>
      <c r="E402" s="174"/>
      <c r="F402" s="176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  <c r="AS402" s="126"/>
    </row>
    <row r="403" spans="1:45">
      <c r="A403" s="174"/>
      <c r="B403" s="174"/>
      <c r="C403" s="174"/>
      <c r="D403" s="175"/>
      <c r="E403" s="174"/>
      <c r="F403" s="176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  <c r="AS403" s="126"/>
    </row>
    <row r="404" spans="1:45">
      <c r="A404" s="174"/>
      <c r="B404" s="174"/>
      <c r="C404" s="174"/>
      <c r="D404" s="175"/>
      <c r="E404" s="174"/>
      <c r="F404" s="176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  <c r="AS404" s="126"/>
    </row>
    <row r="405" spans="1:45">
      <c r="A405" s="174"/>
      <c r="B405" s="174"/>
      <c r="C405" s="174"/>
      <c r="D405" s="175"/>
      <c r="E405" s="174"/>
      <c r="F405" s="176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  <c r="AS405" s="126"/>
    </row>
    <row r="406" spans="1:45">
      <c r="A406" s="174"/>
      <c r="B406" s="174"/>
      <c r="C406" s="174"/>
      <c r="D406" s="175"/>
      <c r="E406" s="174"/>
      <c r="F406" s="176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  <c r="AS406" s="126"/>
    </row>
    <row r="407" spans="1:45">
      <c r="A407" s="174"/>
      <c r="B407" s="174"/>
      <c r="C407" s="174"/>
      <c r="D407" s="175"/>
      <c r="E407" s="174"/>
      <c r="F407" s="176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  <c r="AS407" s="126"/>
    </row>
    <row r="408" spans="1:45">
      <c r="A408" s="174"/>
      <c r="B408" s="174"/>
      <c r="C408" s="174"/>
      <c r="D408" s="175"/>
      <c r="E408" s="174"/>
      <c r="F408" s="176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  <c r="AS408" s="126"/>
    </row>
    <row r="409" spans="1:45">
      <c r="A409" s="174"/>
      <c r="B409" s="174"/>
      <c r="C409" s="174"/>
      <c r="D409" s="175"/>
      <c r="E409" s="174"/>
      <c r="F409" s="176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  <c r="AS409" s="126"/>
    </row>
    <row r="410" spans="1:45">
      <c r="A410" s="174"/>
      <c r="B410" s="174"/>
      <c r="C410" s="174"/>
      <c r="D410" s="175"/>
      <c r="E410" s="174"/>
      <c r="F410" s="176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  <c r="AS410" s="126"/>
    </row>
    <row r="411" spans="1:45">
      <c r="A411" s="174"/>
      <c r="B411" s="174"/>
      <c r="C411" s="174"/>
      <c r="D411" s="175"/>
      <c r="E411" s="174"/>
      <c r="F411" s="176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  <c r="AS411" s="126"/>
    </row>
    <row r="412" spans="1:45">
      <c r="A412" s="174"/>
      <c r="B412" s="174"/>
      <c r="C412" s="174"/>
      <c r="D412" s="175"/>
      <c r="E412" s="174"/>
      <c r="F412" s="176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  <c r="AS412" s="126"/>
    </row>
    <row r="413" spans="1:45">
      <c r="A413" s="174"/>
      <c r="B413" s="174"/>
      <c r="C413" s="174"/>
      <c r="D413" s="175"/>
      <c r="E413" s="174"/>
      <c r="F413" s="176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  <c r="AS413" s="126"/>
    </row>
    <row r="414" spans="1:45">
      <c r="A414" s="174"/>
      <c r="B414" s="174"/>
      <c r="C414" s="174"/>
      <c r="D414" s="175"/>
      <c r="E414" s="174"/>
      <c r="F414" s="176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  <c r="AS414" s="126"/>
    </row>
    <row r="415" spans="1:45">
      <c r="A415" s="174"/>
      <c r="B415" s="174"/>
      <c r="C415" s="174"/>
      <c r="D415" s="175"/>
      <c r="E415" s="174"/>
      <c r="F415" s="176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  <c r="AS415" s="126"/>
    </row>
    <row r="416" spans="1:45">
      <c r="A416" s="174"/>
      <c r="B416" s="174"/>
      <c r="C416" s="174"/>
      <c r="D416" s="175"/>
      <c r="E416" s="174"/>
      <c r="F416" s="176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  <c r="AS416" s="126"/>
    </row>
    <row r="417" spans="1:45">
      <c r="A417" s="174"/>
      <c r="B417" s="174"/>
      <c r="C417" s="174"/>
      <c r="D417" s="175"/>
      <c r="E417" s="174"/>
      <c r="F417" s="176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  <c r="AS417" s="126"/>
    </row>
    <row r="418" spans="1:45">
      <c r="A418" s="174"/>
      <c r="B418" s="174"/>
      <c r="C418" s="174"/>
      <c r="D418" s="175"/>
      <c r="E418" s="174"/>
      <c r="F418" s="176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  <c r="AS418" s="126"/>
    </row>
    <row r="419" spans="1:45">
      <c r="A419" s="174"/>
      <c r="B419" s="174"/>
      <c r="C419" s="174"/>
      <c r="D419" s="175"/>
      <c r="E419" s="174"/>
      <c r="F419" s="176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  <c r="AS419" s="126"/>
    </row>
    <row r="420" spans="1:45">
      <c r="A420" s="174"/>
      <c r="B420" s="174"/>
      <c r="C420" s="174"/>
      <c r="D420" s="175"/>
      <c r="E420" s="174"/>
      <c r="F420" s="176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  <c r="AS420" s="126"/>
    </row>
    <row r="421" spans="1:45">
      <c r="A421" s="174"/>
      <c r="B421" s="174"/>
      <c r="C421" s="174"/>
      <c r="D421" s="175"/>
      <c r="E421" s="174"/>
      <c r="F421" s="176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  <c r="AS421" s="126"/>
    </row>
    <row r="422" spans="1:45">
      <c r="A422" s="174"/>
      <c r="B422" s="174"/>
      <c r="C422" s="174"/>
      <c r="D422" s="175"/>
      <c r="E422" s="174"/>
      <c r="F422" s="176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  <c r="AS422" s="126"/>
    </row>
    <row r="423" spans="1:45">
      <c r="A423" s="174"/>
      <c r="B423" s="174"/>
      <c r="C423" s="174"/>
      <c r="D423" s="175"/>
      <c r="E423" s="174"/>
      <c r="F423" s="176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  <c r="AS423" s="126"/>
    </row>
    <row r="424" spans="1:45">
      <c r="A424" s="174"/>
      <c r="B424" s="174"/>
      <c r="C424" s="174"/>
      <c r="D424" s="175"/>
      <c r="E424" s="174"/>
      <c r="F424" s="176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  <c r="AS424" s="126"/>
    </row>
    <row r="425" spans="1:45">
      <c r="A425" s="174"/>
      <c r="B425" s="174"/>
      <c r="C425" s="174"/>
      <c r="D425" s="175"/>
      <c r="E425" s="174"/>
      <c r="F425" s="174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  <c r="AS425" s="126"/>
    </row>
    <row r="426" spans="1:45">
      <c r="A426" s="174"/>
      <c r="B426" s="174"/>
      <c r="C426" s="174"/>
      <c r="D426" s="175"/>
      <c r="E426" s="174"/>
      <c r="F426" s="174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  <c r="AS426" s="126"/>
    </row>
    <row r="427" spans="1:45">
      <c r="A427" s="174"/>
      <c r="B427" s="174"/>
      <c r="C427" s="174"/>
      <c r="D427" s="175"/>
      <c r="E427" s="174"/>
      <c r="F427" s="174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  <c r="AS427" s="126"/>
    </row>
    <row r="428" spans="1:45">
      <c r="A428" s="174"/>
      <c r="B428" s="174"/>
      <c r="C428" s="174"/>
      <c r="D428" s="175"/>
      <c r="E428" s="174"/>
      <c r="F428" s="174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  <c r="AS428" s="126"/>
    </row>
    <row r="429" spans="1:45">
      <c r="A429" s="174"/>
      <c r="B429" s="174"/>
      <c r="C429" s="174"/>
      <c r="D429" s="175"/>
      <c r="E429" s="174"/>
      <c r="F429" s="174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  <c r="AS429" s="126"/>
    </row>
    <row r="430" spans="1:45">
      <c r="A430" s="174"/>
      <c r="B430" s="174"/>
      <c r="C430" s="174"/>
      <c r="D430" s="175"/>
      <c r="E430" s="174"/>
      <c r="F430" s="174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  <c r="AS430" s="126"/>
    </row>
    <row r="431" spans="1:45">
      <c r="A431" s="174"/>
      <c r="B431" s="174"/>
      <c r="C431" s="174"/>
      <c r="D431" s="175"/>
      <c r="E431" s="174"/>
      <c r="F431" s="174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  <c r="AS431" s="126"/>
    </row>
    <row r="432" spans="1:45">
      <c r="A432" s="174"/>
      <c r="B432" s="174"/>
      <c r="C432" s="174"/>
      <c r="D432" s="175"/>
      <c r="E432" s="174"/>
      <c r="F432" s="174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  <c r="AS432" s="126"/>
    </row>
    <row r="433" spans="1:45">
      <c r="A433" s="174"/>
      <c r="B433" s="174"/>
      <c r="C433" s="174"/>
      <c r="D433" s="175"/>
      <c r="E433" s="174"/>
      <c r="F433" s="174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  <c r="AS433" s="126"/>
    </row>
    <row r="434" spans="1:45">
      <c r="A434" s="174"/>
      <c r="B434" s="174"/>
      <c r="C434" s="174"/>
      <c r="D434" s="175"/>
      <c r="E434" s="174"/>
      <c r="F434" s="174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  <c r="AS434" s="126"/>
    </row>
    <row r="435" spans="1:45">
      <c r="A435" s="174"/>
      <c r="B435" s="174"/>
      <c r="C435" s="174"/>
      <c r="D435" s="175"/>
      <c r="E435" s="174"/>
      <c r="F435" s="174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26"/>
    </row>
    <row r="436" spans="1:45">
      <c r="A436" s="174"/>
      <c r="B436" s="174"/>
      <c r="C436" s="174"/>
      <c r="D436" s="175"/>
      <c r="E436" s="174"/>
      <c r="F436" s="174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  <c r="AS436" s="126"/>
    </row>
    <row r="437" spans="1:45">
      <c r="A437" s="174"/>
      <c r="B437" s="174"/>
      <c r="C437" s="174"/>
      <c r="D437" s="175"/>
      <c r="E437" s="174"/>
      <c r="F437" s="174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  <c r="AS437" s="126"/>
    </row>
    <row r="438" spans="1:45">
      <c r="A438" s="174"/>
      <c r="B438" s="174"/>
      <c r="C438" s="174"/>
      <c r="D438" s="175"/>
      <c r="E438" s="174"/>
      <c r="F438" s="174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  <c r="AS438" s="126"/>
    </row>
    <row r="439" spans="1:45">
      <c r="A439" s="174"/>
      <c r="B439" s="174"/>
      <c r="C439" s="174"/>
      <c r="D439" s="175"/>
      <c r="E439" s="174"/>
      <c r="F439" s="174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  <c r="AS439" s="126"/>
    </row>
    <row r="440" spans="1:45">
      <c r="A440" s="174"/>
      <c r="B440" s="174"/>
      <c r="C440" s="174"/>
      <c r="D440" s="175"/>
      <c r="E440" s="174"/>
      <c r="F440" s="174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  <c r="AS440" s="126"/>
    </row>
    <row r="441" spans="1:45">
      <c r="A441" s="174"/>
      <c r="B441" s="174"/>
      <c r="C441" s="174"/>
      <c r="D441" s="175"/>
      <c r="E441" s="174"/>
      <c r="F441" s="174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  <c r="AS441" s="126"/>
    </row>
    <row r="442" spans="1:45">
      <c r="A442" s="174"/>
      <c r="B442" s="174"/>
      <c r="C442" s="174"/>
      <c r="D442" s="175"/>
      <c r="E442" s="174"/>
      <c r="F442" s="174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  <c r="AS442" s="126"/>
    </row>
    <row r="443" spans="1:45">
      <c r="A443" s="174"/>
      <c r="B443" s="174"/>
      <c r="C443" s="174"/>
      <c r="D443" s="175"/>
      <c r="E443" s="174"/>
      <c r="F443" s="174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26"/>
    </row>
    <row r="444" spans="1:45">
      <c r="A444" s="174"/>
      <c r="B444" s="174"/>
      <c r="C444" s="174"/>
      <c r="D444" s="175"/>
      <c r="E444" s="174"/>
      <c r="F444" s="174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26"/>
    </row>
    <row r="445" spans="1:45">
      <c r="A445" s="174"/>
      <c r="B445" s="174"/>
      <c r="C445" s="174"/>
      <c r="D445" s="175"/>
      <c r="E445" s="174"/>
      <c r="F445" s="174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  <c r="AS445" s="126"/>
    </row>
    <row r="446" spans="1:45">
      <c r="A446" s="174"/>
      <c r="B446" s="174"/>
      <c r="C446" s="174"/>
      <c r="D446" s="175"/>
      <c r="E446" s="174"/>
      <c r="F446" s="174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26"/>
    </row>
    <row r="447" spans="1:45">
      <c r="A447" s="174"/>
      <c r="B447" s="174"/>
      <c r="C447" s="174"/>
      <c r="D447" s="175"/>
      <c r="E447" s="174"/>
      <c r="F447" s="174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  <c r="AS447" s="126"/>
    </row>
    <row r="448" spans="1:45">
      <c r="A448" s="174"/>
      <c r="B448" s="174"/>
      <c r="C448" s="174"/>
      <c r="D448" s="175"/>
      <c r="E448" s="174"/>
      <c r="F448" s="174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  <c r="AS448" s="126"/>
    </row>
    <row r="449" spans="1:45">
      <c r="A449" s="174"/>
      <c r="B449" s="174"/>
      <c r="C449" s="174"/>
      <c r="D449" s="175"/>
      <c r="E449" s="174"/>
      <c r="F449" s="174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  <c r="AS449" s="126"/>
    </row>
    <row r="450" spans="1:45">
      <c r="A450" s="174"/>
      <c r="B450" s="174"/>
      <c r="C450" s="174"/>
      <c r="D450" s="175"/>
      <c r="E450" s="174"/>
      <c r="F450" s="174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  <c r="AS450" s="126"/>
    </row>
    <row r="451" spans="1:45">
      <c r="A451" s="174"/>
      <c r="B451" s="174"/>
      <c r="C451" s="174"/>
      <c r="D451" s="175"/>
      <c r="E451" s="174"/>
      <c r="F451" s="174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  <c r="AS451" s="126"/>
    </row>
    <row r="452" spans="1:45">
      <c r="A452" s="174"/>
      <c r="B452" s="174"/>
      <c r="C452" s="174"/>
      <c r="D452" s="175"/>
      <c r="E452" s="174"/>
      <c r="F452" s="174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  <c r="AS452" s="126"/>
    </row>
    <row r="453" spans="1:45">
      <c r="A453" s="174"/>
      <c r="B453" s="174"/>
      <c r="C453" s="174"/>
      <c r="D453" s="175"/>
      <c r="E453" s="174"/>
      <c r="F453" s="174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  <c r="AS453" s="126"/>
    </row>
    <row r="454" spans="1:45">
      <c r="A454" s="174"/>
      <c r="B454" s="174"/>
      <c r="C454" s="174"/>
      <c r="D454" s="175"/>
      <c r="E454" s="174"/>
      <c r="F454" s="174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</row>
    <row r="455" spans="1:45">
      <c r="A455" s="174"/>
      <c r="B455" s="174"/>
      <c r="C455" s="174"/>
      <c r="D455" s="175"/>
      <c r="E455" s="174"/>
      <c r="F455" s="176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</row>
    <row r="456" spans="1:45">
      <c r="A456" s="174"/>
      <c r="B456" s="174"/>
      <c r="C456" s="174"/>
      <c r="D456" s="175"/>
      <c r="E456" s="174"/>
      <c r="F456" s="176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</row>
    <row r="457" spans="1:45">
      <c r="A457" s="174"/>
      <c r="B457" s="174"/>
      <c r="C457" s="174"/>
      <c r="D457" s="175"/>
      <c r="E457" s="174"/>
      <c r="F457" s="176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86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</row>
    <row r="458" spans="1:45">
      <c r="A458" s="174"/>
      <c r="B458" s="174"/>
      <c r="C458" s="174"/>
      <c r="D458" s="175"/>
      <c r="E458" s="174"/>
      <c r="F458" s="176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86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</row>
    <row r="459" spans="1:45">
      <c r="A459" s="174"/>
      <c r="B459" s="174"/>
      <c r="C459" s="174"/>
      <c r="D459" s="175"/>
      <c r="E459" s="174"/>
      <c r="F459" s="176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86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</row>
    <row r="460" spans="1:45">
      <c r="A460" s="174"/>
      <c r="B460" s="174"/>
      <c r="C460" s="174"/>
      <c r="D460" s="175"/>
      <c r="E460" s="174"/>
      <c r="F460" s="176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86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</row>
    <row r="461" spans="1:45">
      <c r="A461" s="174"/>
      <c r="B461" s="174"/>
      <c r="C461" s="174"/>
      <c r="D461" s="175"/>
      <c r="E461" s="174"/>
      <c r="F461" s="176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86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</row>
    <row r="462" spans="1:45">
      <c r="A462" s="174"/>
      <c r="B462" s="174"/>
      <c r="C462" s="174"/>
      <c r="D462" s="175"/>
      <c r="E462" s="174"/>
      <c r="F462" s="176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86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</row>
    <row r="463" spans="1:45">
      <c r="A463" s="174"/>
      <c r="B463" s="174"/>
      <c r="C463" s="174"/>
      <c r="D463" s="175"/>
      <c r="E463" s="174"/>
      <c r="F463" s="176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86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</row>
    <row r="464" spans="1:45">
      <c r="A464" s="174"/>
      <c r="B464" s="174"/>
      <c r="C464" s="174"/>
      <c r="D464" s="175"/>
      <c r="E464" s="174"/>
      <c r="F464" s="176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86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</row>
    <row r="465" spans="1:44">
      <c r="A465" s="174"/>
      <c r="B465" s="174"/>
      <c r="C465" s="174"/>
      <c r="D465" s="175"/>
      <c r="E465" s="174"/>
      <c r="F465" s="176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86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</row>
    <row r="466" spans="1:44">
      <c r="A466" s="174"/>
      <c r="B466" s="174"/>
      <c r="C466" s="174"/>
      <c r="D466" s="175"/>
      <c r="E466" s="174"/>
      <c r="F466" s="176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86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</row>
    <row r="467" spans="1:44">
      <c r="A467" s="174"/>
      <c r="B467" s="174"/>
      <c r="C467" s="174"/>
      <c r="D467" s="175"/>
      <c r="E467" s="174"/>
      <c r="F467" s="176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86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</row>
    <row r="468" spans="1:44">
      <c r="A468" s="174"/>
      <c r="B468" s="174"/>
      <c r="C468" s="174"/>
      <c r="D468" s="175"/>
      <c r="E468" s="174"/>
      <c r="F468" s="176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86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</row>
    <row r="469" spans="1:44">
      <c r="A469" s="174"/>
      <c r="B469" s="174"/>
      <c r="C469" s="174"/>
      <c r="D469" s="175"/>
      <c r="E469" s="174"/>
      <c r="F469" s="176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86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</row>
    <row r="470" spans="1:44">
      <c r="A470" s="174"/>
      <c r="B470" s="174"/>
      <c r="C470" s="174"/>
      <c r="D470" s="175"/>
      <c r="E470" s="174"/>
      <c r="F470" s="176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86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</row>
    <row r="471" spans="1:44">
      <c r="A471" s="174"/>
      <c r="B471" s="174"/>
      <c r="C471" s="174"/>
      <c r="D471" s="175"/>
      <c r="E471" s="174"/>
      <c r="F471" s="176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86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</row>
    <row r="472" spans="1:44">
      <c r="A472" s="174"/>
      <c r="B472" s="174"/>
      <c r="C472" s="174"/>
      <c r="D472" s="175"/>
      <c r="E472" s="174"/>
      <c r="F472" s="176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86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</row>
    <row r="473" spans="1:44">
      <c r="A473" s="174"/>
      <c r="B473" s="174"/>
      <c r="C473" s="174"/>
      <c r="D473" s="175"/>
      <c r="E473" s="174"/>
      <c r="F473" s="176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86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</row>
    <row r="474" spans="1:44">
      <c r="A474" s="174"/>
      <c r="B474" s="174"/>
      <c r="C474" s="174"/>
      <c r="D474" s="175"/>
      <c r="E474" s="174"/>
      <c r="F474" s="176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86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</row>
    <row r="475" spans="1:44">
      <c r="A475" s="174"/>
      <c r="B475" s="174"/>
      <c r="C475" s="174"/>
      <c r="D475" s="175"/>
      <c r="E475" s="174"/>
      <c r="F475" s="176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86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</row>
    <row r="476" spans="1:44">
      <c r="A476" s="174"/>
      <c r="B476" s="174"/>
      <c r="C476" s="174"/>
      <c r="D476" s="175"/>
      <c r="E476" s="174"/>
      <c r="F476" s="176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86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</row>
    <row r="477" spans="1:44">
      <c r="A477" s="174"/>
      <c r="B477" s="174"/>
      <c r="C477" s="174"/>
      <c r="D477" s="175"/>
      <c r="E477" s="174"/>
      <c r="F477" s="176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86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</row>
    <row r="478" spans="1:44">
      <c r="A478" s="174"/>
      <c r="B478" s="174"/>
      <c r="C478" s="174"/>
      <c r="D478" s="175"/>
      <c r="E478" s="174"/>
      <c r="F478" s="176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86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</row>
    <row r="479" spans="1:44">
      <c r="A479" s="174"/>
      <c r="B479" s="174"/>
      <c r="C479" s="174"/>
      <c r="D479" s="175"/>
      <c r="E479" s="174"/>
      <c r="F479" s="176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86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</row>
    <row r="480" spans="1:44">
      <c r="A480" s="174"/>
      <c r="B480" s="174"/>
      <c r="C480" s="174"/>
      <c r="D480" s="175"/>
      <c r="E480" s="174"/>
      <c r="F480" s="176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86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</row>
    <row r="481" spans="1:44">
      <c r="A481" s="174"/>
      <c r="B481" s="174"/>
      <c r="C481" s="174"/>
      <c r="D481" s="175"/>
      <c r="E481" s="174"/>
      <c r="F481" s="176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86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</row>
    <row r="482" spans="1:44">
      <c r="A482" s="174"/>
      <c r="B482" s="174"/>
      <c r="C482" s="174"/>
      <c r="D482" s="175"/>
      <c r="E482" s="174"/>
      <c r="F482" s="176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86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</row>
    <row r="483" spans="1:44">
      <c r="A483" s="174"/>
      <c r="B483" s="174"/>
      <c r="C483" s="174"/>
      <c r="D483" s="175"/>
      <c r="E483" s="174"/>
      <c r="F483" s="176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86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</row>
    <row r="484" spans="1:44">
      <c r="A484" s="174"/>
      <c r="B484" s="174"/>
      <c r="C484" s="174"/>
      <c r="D484" s="175"/>
      <c r="E484" s="174"/>
      <c r="F484" s="176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86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zoomScale="70" zoomScaleNormal="70" workbookViewId="0">
      <selection activeCell="K34" sqref="K34:R63"/>
    </sheetView>
  </sheetViews>
  <sheetFormatPr defaultColWidth="9" defaultRowHeight="15.75"/>
  <cols>
    <col min="1" max="1" width="12.5" style="125" bestFit="1" customWidth="1"/>
    <col min="2" max="2" width="13.5" style="178" bestFit="1" customWidth="1"/>
    <col min="3" max="3" width="12.25" style="151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8" bestFit="1" customWidth="1"/>
    <col min="12" max="14" width="10.625" style="178" bestFit="1" customWidth="1"/>
    <col min="15" max="15" width="14.625" style="178" bestFit="1" customWidth="1"/>
    <col min="16" max="16" width="13.125" style="178" bestFit="1" customWidth="1"/>
    <col min="17" max="17" width="11.5" style="178" bestFit="1" customWidth="1"/>
    <col min="18" max="18" width="17.125" style="178" bestFit="1" customWidth="1"/>
    <col min="19" max="19" width="8.75" style="178" bestFit="1" customWidth="1"/>
    <col min="20" max="21" width="10.875" style="178" bestFit="1" customWidth="1"/>
    <col min="22" max="22" width="9.75" style="178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64" t="s">
        <v>102</v>
      </c>
      <c r="D1" s="56" t="s">
        <v>0</v>
      </c>
      <c r="E1" s="126" t="s">
        <v>1</v>
      </c>
      <c r="F1" s="126" t="s">
        <v>2</v>
      </c>
      <c r="G1" s="126" t="s">
        <v>3</v>
      </c>
      <c r="H1" s="125" t="s">
        <v>4</v>
      </c>
      <c r="I1" s="126" t="s">
        <v>5</v>
      </c>
      <c r="J1" s="35" t="s">
        <v>162</v>
      </c>
      <c r="K1" s="35" t="s">
        <v>163</v>
      </c>
      <c r="L1" s="35" t="s">
        <v>164</v>
      </c>
      <c r="M1" s="35" t="s">
        <v>165</v>
      </c>
      <c r="N1" s="35" t="s">
        <v>166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5769805.1132922089</v>
      </c>
      <c r="D2" s="162" t="s">
        <v>96</v>
      </c>
      <c r="E2" s="31" t="s">
        <v>97</v>
      </c>
      <c r="F2" s="31" t="s">
        <v>103</v>
      </c>
      <c r="G2" s="31">
        <v>1</v>
      </c>
      <c r="H2" s="31">
        <v>2020</v>
      </c>
      <c r="I2" s="31" t="s">
        <v>104</v>
      </c>
      <c r="J2" s="181">
        <v>3391398.5706378701</v>
      </c>
      <c r="K2" s="181">
        <v>3950167.8826699099</v>
      </c>
      <c r="L2" s="181">
        <v>6919238.1394628296</v>
      </c>
      <c r="M2" s="181">
        <v>5248521.1014885698</v>
      </c>
      <c r="N2" s="181">
        <v>273858.00049560901</v>
      </c>
      <c r="O2" s="181"/>
      <c r="P2" s="181"/>
      <c r="Q2" s="181"/>
      <c r="R2" s="181"/>
      <c r="S2" s="181"/>
      <c r="T2" s="181"/>
      <c r="U2" s="181"/>
      <c r="V2" s="181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5267945.2310610097</v>
      </c>
      <c r="D3" s="162" t="s">
        <v>96</v>
      </c>
      <c r="E3" s="31" t="s">
        <v>97</v>
      </c>
      <c r="F3" s="31" t="s">
        <v>103</v>
      </c>
      <c r="G3" s="32">
        <v>1</v>
      </c>
      <c r="H3" s="31">
        <v>2021</v>
      </c>
      <c r="I3" s="31" t="s">
        <v>104</v>
      </c>
      <c r="J3" s="181">
        <v>3457553.1834079102</v>
      </c>
      <c r="K3" s="181">
        <v>3535842.0332412701</v>
      </c>
      <c r="L3" s="181">
        <v>4573247.9207242597</v>
      </c>
      <c r="M3" s="181">
        <v>5685707.1085553803</v>
      </c>
      <c r="N3" s="181">
        <v>232404.368344474</v>
      </c>
      <c r="O3" s="181"/>
      <c r="P3" s="181"/>
      <c r="Q3" s="181"/>
      <c r="R3" s="181"/>
      <c r="S3" s="181"/>
      <c r="T3" s="181"/>
      <c r="U3" s="181"/>
      <c r="V3" s="181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6138111.1198785314</v>
      </c>
      <c r="D4" s="162" t="s">
        <v>96</v>
      </c>
      <c r="E4" s="31" t="s">
        <v>97</v>
      </c>
      <c r="F4" s="31" t="s">
        <v>103</v>
      </c>
      <c r="G4" s="32">
        <v>1</v>
      </c>
      <c r="H4" s="174">
        <v>2022</v>
      </c>
      <c r="I4" s="31" t="s">
        <v>104</v>
      </c>
      <c r="J4" s="181">
        <v>3691482.01255687</v>
      </c>
      <c r="K4" s="181">
        <v>4561762.0512380004</v>
      </c>
      <c r="L4" s="181">
        <v>6904094.0074600298</v>
      </c>
      <c r="M4" s="181">
        <v>5229248.2692772197</v>
      </c>
      <c r="N4" s="181">
        <v>191487.74647050901</v>
      </c>
      <c r="O4" s="181"/>
      <c r="P4" s="181"/>
      <c r="Q4" s="181"/>
      <c r="R4" s="181"/>
      <c r="S4" s="181"/>
      <c r="T4" s="181"/>
      <c r="U4" s="181"/>
      <c r="V4" s="181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4742434.368447734</v>
      </c>
      <c r="D5" s="162" t="s">
        <v>96</v>
      </c>
      <c r="E5" s="31" t="s">
        <v>97</v>
      </c>
      <c r="F5" s="31" t="s">
        <v>103</v>
      </c>
      <c r="G5" s="32">
        <v>1</v>
      </c>
      <c r="H5" s="174">
        <v>2023</v>
      </c>
      <c r="I5" s="31" t="s">
        <v>104</v>
      </c>
      <c r="J5" s="181">
        <v>4316400.0698081004</v>
      </c>
      <c r="K5" s="181">
        <v>4809434.41291425</v>
      </c>
      <c r="L5" s="181">
        <v>0</v>
      </c>
      <c r="M5" s="181">
        <v>0</v>
      </c>
      <c r="N5" s="181">
        <v>179517.12708655899</v>
      </c>
      <c r="O5" s="181"/>
      <c r="P5" s="181"/>
      <c r="Q5" s="181"/>
      <c r="R5" s="181"/>
      <c r="S5" s="181"/>
      <c r="T5" s="181"/>
      <c r="U5" s="181"/>
      <c r="V5" s="181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4400120.9001210174</v>
      </c>
      <c r="D6" s="162" t="s">
        <v>96</v>
      </c>
      <c r="E6" s="31" t="s">
        <v>97</v>
      </c>
      <c r="F6" s="31" t="s">
        <v>103</v>
      </c>
      <c r="G6" s="32">
        <v>1</v>
      </c>
      <c r="H6" s="174">
        <v>2024</v>
      </c>
      <c r="I6" s="31" t="s">
        <v>104</v>
      </c>
      <c r="J6" s="181">
        <v>4253939.87658503</v>
      </c>
      <c r="K6" s="181">
        <v>4187079.34672336</v>
      </c>
      <c r="L6" s="181">
        <v>0</v>
      </c>
      <c r="M6" s="181">
        <v>0</v>
      </c>
      <c r="N6" s="181">
        <v>179611.28846682201</v>
      </c>
      <c r="O6" s="181"/>
      <c r="P6" s="181"/>
      <c r="Q6" s="181"/>
      <c r="R6" s="181"/>
      <c r="S6" s="181"/>
      <c r="T6" s="181"/>
      <c r="U6" s="181"/>
      <c r="V6" s="181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4419865.6617003568</v>
      </c>
      <c r="D7" s="162" t="s">
        <v>96</v>
      </c>
      <c r="E7" s="31" t="s">
        <v>97</v>
      </c>
      <c r="F7" s="31" t="s">
        <v>103</v>
      </c>
      <c r="G7" s="32">
        <v>1</v>
      </c>
      <c r="H7" s="174">
        <v>2025</v>
      </c>
      <c r="I7" s="31" t="s">
        <v>104</v>
      </c>
      <c r="J7" s="181">
        <v>3795470.4254020802</v>
      </c>
      <c r="K7" s="181">
        <v>4723462.8650902901</v>
      </c>
      <c r="L7" s="181">
        <v>0</v>
      </c>
      <c r="M7" s="181">
        <v>0</v>
      </c>
      <c r="N7" s="181">
        <v>160399.01645417101</v>
      </c>
      <c r="O7" s="181"/>
      <c r="P7" s="181"/>
      <c r="Q7" s="181"/>
      <c r="R7" s="181"/>
      <c r="S7" s="181"/>
      <c r="T7" s="181"/>
      <c r="U7" s="181"/>
      <c r="V7" s="181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4568059.2739040339</v>
      </c>
      <c r="D8" s="162" t="s">
        <v>96</v>
      </c>
      <c r="E8" s="31" t="s">
        <v>97</v>
      </c>
      <c r="F8" s="31" t="s">
        <v>103</v>
      </c>
      <c r="G8" s="32">
        <v>1</v>
      </c>
      <c r="H8" s="174">
        <v>2026</v>
      </c>
      <c r="I8" s="31" t="s">
        <v>104</v>
      </c>
      <c r="J8" s="181">
        <v>4117957.8796178801</v>
      </c>
      <c r="K8" s="181">
        <v>4696018.6473455001</v>
      </c>
      <c r="L8" s="181">
        <v>0</v>
      </c>
      <c r="M8" s="181">
        <v>0</v>
      </c>
      <c r="N8" s="181">
        <v>161071.010422344</v>
      </c>
      <c r="O8" s="181"/>
      <c r="P8" s="181"/>
      <c r="Q8" s="181"/>
      <c r="R8" s="181"/>
      <c r="S8" s="181"/>
      <c r="T8" s="181"/>
      <c r="U8" s="181"/>
      <c r="V8" s="181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4297963.7104233121</v>
      </c>
      <c r="D9" s="162" t="s">
        <v>96</v>
      </c>
      <c r="E9" s="31" t="s">
        <v>97</v>
      </c>
      <c r="F9" s="31" t="s">
        <v>103</v>
      </c>
      <c r="G9" s="32">
        <v>1</v>
      </c>
      <c r="H9" s="174">
        <v>2027</v>
      </c>
      <c r="I9" s="31" t="s">
        <v>104</v>
      </c>
      <c r="J9" s="181">
        <v>4146048.4295199499</v>
      </c>
      <c r="K9" s="181">
        <v>4188063.7775224899</v>
      </c>
      <c r="L9" s="181">
        <v>0</v>
      </c>
      <c r="M9" s="181">
        <v>0</v>
      </c>
      <c r="N9" s="181">
        <v>130907.606902092</v>
      </c>
      <c r="O9" s="181"/>
      <c r="P9" s="181"/>
      <c r="Q9" s="181"/>
      <c r="R9" s="181"/>
      <c r="S9" s="181"/>
      <c r="T9" s="181"/>
      <c r="U9" s="181"/>
      <c r="V9" s="181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3059632.9913011491</v>
      </c>
      <c r="D10" s="162" t="s">
        <v>96</v>
      </c>
      <c r="E10" s="31" t="s">
        <v>97</v>
      </c>
      <c r="F10" s="31" t="s">
        <v>103</v>
      </c>
      <c r="G10" s="32">
        <v>1</v>
      </c>
      <c r="H10" s="174">
        <v>2028</v>
      </c>
      <c r="I10" s="31" t="s">
        <v>104</v>
      </c>
      <c r="J10" s="181">
        <v>2744504.1325143799</v>
      </c>
      <c r="K10" s="181">
        <v>3105121.8761094599</v>
      </c>
      <c r="L10" s="181">
        <v>0</v>
      </c>
      <c r="M10" s="181">
        <v>0</v>
      </c>
      <c r="N10" s="181">
        <v>134819.98698922899</v>
      </c>
      <c r="O10" s="181"/>
      <c r="P10" s="181"/>
      <c r="Q10" s="181"/>
      <c r="R10" s="181"/>
      <c r="S10" s="181"/>
      <c r="T10" s="181"/>
      <c r="U10" s="181"/>
      <c r="V10" s="181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3194417.9923881749</v>
      </c>
      <c r="D11" s="162" t="s">
        <v>96</v>
      </c>
      <c r="E11" s="31" t="s">
        <v>97</v>
      </c>
      <c r="F11" s="31" t="s">
        <v>103</v>
      </c>
      <c r="G11" s="32">
        <v>1</v>
      </c>
      <c r="H11" s="174">
        <v>2029</v>
      </c>
      <c r="I11" s="31" t="s">
        <v>104</v>
      </c>
      <c r="J11" s="181">
        <v>3159910.3131382898</v>
      </c>
      <c r="K11" s="181">
        <v>3015542.77263676</v>
      </c>
      <c r="L11" s="181">
        <v>0</v>
      </c>
      <c r="M11" s="181">
        <v>0</v>
      </c>
      <c r="N11" s="181">
        <v>106691.44950064999</v>
      </c>
      <c r="O11" s="181"/>
      <c r="P11" s="181"/>
      <c r="Q11" s="181"/>
      <c r="R11" s="181"/>
      <c r="S11" s="181"/>
      <c r="T11" s="181"/>
      <c r="U11" s="181"/>
      <c r="V11" s="181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3052402.9875832065</v>
      </c>
      <c r="D12" s="162" t="s">
        <v>96</v>
      </c>
      <c r="E12" s="31" t="s">
        <v>97</v>
      </c>
      <c r="F12" s="31" t="s">
        <v>103</v>
      </c>
      <c r="G12" s="32">
        <v>1</v>
      </c>
      <c r="H12" s="174">
        <v>2030</v>
      </c>
      <c r="I12" s="31" t="s">
        <v>104</v>
      </c>
      <c r="J12" s="181">
        <v>3288309.8928595302</v>
      </c>
      <c r="K12" s="181">
        <v>2620585.33159194</v>
      </c>
      <c r="L12" s="181">
        <v>0</v>
      </c>
      <c r="M12" s="181">
        <v>0</v>
      </c>
      <c r="N12" s="181">
        <v>97955.375357471406</v>
      </c>
      <c r="O12" s="181"/>
      <c r="P12" s="181"/>
      <c r="Q12" s="181"/>
      <c r="R12" s="181"/>
      <c r="S12" s="181"/>
      <c r="T12" s="181"/>
      <c r="U12" s="181"/>
      <c r="V12" s="181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3104414.731285715</v>
      </c>
      <c r="D13" s="162" t="s">
        <v>96</v>
      </c>
      <c r="E13" s="31" t="s">
        <v>97</v>
      </c>
      <c r="F13" s="31" t="s">
        <v>103</v>
      </c>
      <c r="G13" s="32">
        <v>1</v>
      </c>
      <c r="H13" s="174">
        <v>2031</v>
      </c>
      <c r="I13" s="31" t="s">
        <v>104</v>
      </c>
      <c r="J13" s="181">
        <v>2890398.93330603</v>
      </c>
      <c r="K13" s="181">
        <v>3318430.5292654</v>
      </c>
      <c r="L13" s="181">
        <v>0</v>
      </c>
      <c r="M13" s="181">
        <v>0</v>
      </c>
      <c r="N13" s="181">
        <v>0</v>
      </c>
      <c r="O13" s="181"/>
      <c r="P13" s="181"/>
      <c r="Q13" s="181"/>
      <c r="R13" s="181"/>
      <c r="S13" s="181"/>
      <c r="T13" s="181"/>
      <c r="U13" s="181"/>
      <c r="V13" s="181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3195809.996196785</v>
      </c>
      <c r="D14" s="162" t="s">
        <v>96</v>
      </c>
      <c r="E14" s="31" t="s">
        <v>97</v>
      </c>
      <c r="F14" s="31" t="s">
        <v>103</v>
      </c>
      <c r="G14" s="32">
        <v>1</v>
      </c>
      <c r="H14" s="174">
        <v>2032</v>
      </c>
      <c r="I14" s="31" t="s">
        <v>104</v>
      </c>
      <c r="J14" s="181">
        <v>3181951.8901355099</v>
      </c>
      <c r="K14" s="181">
        <v>3209668.1022580601</v>
      </c>
      <c r="L14" s="181">
        <v>0</v>
      </c>
      <c r="M14" s="181">
        <v>0</v>
      </c>
      <c r="N14" s="181">
        <v>0</v>
      </c>
      <c r="O14" s="181"/>
      <c r="P14" s="181"/>
      <c r="Q14" s="181"/>
      <c r="R14" s="181"/>
      <c r="S14" s="181"/>
      <c r="T14" s="181"/>
      <c r="U14" s="181"/>
      <c r="V14" s="181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3054303.79125336</v>
      </c>
      <c r="D15" s="162" t="s">
        <v>96</v>
      </c>
      <c r="E15" s="31" t="s">
        <v>97</v>
      </c>
      <c r="F15" s="31" t="s">
        <v>103</v>
      </c>
      <c r="G15" s="32">
        <v>1</v>
      </c>
      <c r="H15" s="174">
        <v>2033</v>
      </c>
      <c r="I15" s="31" t="s">
        <v>104</v>
      </c>
      <c r="J15" s="181">
        <v>3295290.40448809</v>
      </c>
      <c r="K15" s="181">
        <v>2813317.17801863</v>
      </c>
      <c r="L15" s="181">
        <v>0</v>
      </c>
      <c r="M15" s="181">
        <v>0</v>
      </c>
      <c r="N15" s="181">
        <v>0</v>
      </c>
      <c r="O15" s="181"/>
      <c r="P15" s="181"/>
      <c r="Q15" s="181"/>
      <c r="R15" s="181"/>
      <c r="S15" s="181"/>
      <c r="T15" s="181"/>
      <c r="U15" s="181"/>
      <c r="V15" s="181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3108634.4645801052</v>
      </c>
      <c r="D16" s="162" t="s">
        <v>96</v>
      </c>
      <c r="E16" s="31" t="s">
        <v>97</v>
      </c>
      <c r="F16" s="31" t="s">
        <v>103</v>
      </c>
      <c r="G16" s="32">
        <v>1</v>
      </c>
      <c r="H16" s="174">
        <v>2034</v>
      </c>
      <c r="I16" s="31" t="s">
        <v>104</v>
      </c>
      <c r="J16" s="181">
        <v>2993432.2843172601</v>
      </c>
      <c r="K16" s="181">
        <v>3223836.6448429502</v>
      </c>
      <c r="L16" s="181">
        <v>0</v>
      </c>
      <c r="M16" s="181">
        <v>0</v>
      </c>
      <c r="N16" s="181">
        <v>0</v>
      </c>
      <c r="O16" s="181"/>
      <c r="P16" s="181"/>
      <c r="Q16" s="181"/>
      <c r="R16" s="181"/>
      <c r="S16" s="181"/>
      <c r="T16" s="181"/>
      <c r="U16" s="181"/>
      <c r="V16" s="181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3463850.5102448701</v>
      </c>
      <c r="D17" s="162" t="s">
        <v>96</v>
      </c>
      <c r="E17" s="31" t="s">
        <v>97</v>
      </c>
      <c r="F17" s="31" t="s">
        <v>103</v>
      </c>
      <c r="G17" s="32">
        <v>1</v>
      </c>
      <c r="H17" s="174">
        <v>2035</v>
      </c>
      <c r="I17" s="31" t="s">
        <v>104</v>
      </c>
      <c r="J17" s="181">
        <v>3314371.0771189602</v>
      </c>
      <c r="K17" s="181">
        <v>3613329.94337078</v>
      </c>
      <c r="L17" s="181">
        <v>0</v>
      </c>
      <c r="M17" s="181">
        <v>0</v>
      </c>
      <c r="N17" s="181">
        <v>0</v>
      </c>
      <c r="O17" s="181"/>
      <c r="P17" s="181"/>
      <c r="Q17" s="181"/>
      <c r="R17" s="181"/>
      <c r="S17" s="181"/>
      <c r="T17" s="181"/>
      <c r="U17" s="181"/>
      <c r="V17" s="181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3028697.064317815</v>
      </c>
      <c r="D18" s="162" t="s">
        <v>96</v>
      </c>
      <c r="E18" s="31" t="s">
        <v>97</v>
      </c>
      <c r="F18" s="31" t="s">
        <v>103</v>
      </c>
      <c r="G18" s="32">
        <v>1</v>
      </c>
      <c r="H18" s="174">
        <v>2036</v>
      </c>
      <c r="I18" s="31" t="s">
        <v>104</v>
      </c>
      <c r="J18" s="181">
        <v>3303064.5375502999</v>
      </c>
      <c r="K18" s="181">
        <v>2754329.5910853301</v>
      </c>
      <c r="L18" s="181">
        <v>0</v>
      </c>
      <c r="M18" s="181">
        <v>0</v>
      </c>
      <c r="N18" s="181">
        <v>0</v>
      </c>
      <c r="O18" s="181"/>
      <c r="P18" s="181"/>
      <c r="Q18" s="181"/>
      <c r="R18" s="181"/>
      <c r="S18" s="181"/>
      <c r="T18" s="181"/>
      <c r="U18" s="181"/>
      <c r="V18" s="181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2710319.4431032147</v>
      </c>
      <c r="D19" s="162" t="s">
        <v>96</v>
      </c>
      <c r="E19" s="31" t="s">
        <v>97</v>
      </c>
      <c r="F19" s="31" t="s">
        <v>103</v>
      </c>
      <c r="G19" s="32">
        <v>1</v>
      </c>
      <c r="H19" s="174">
        <v>2037</v>
      </c>
      <c r="I19" s="31" t="s">
        <v>104</v>
      </c>
      <c r="J19" s="181">
        <v>2685247.6522122701</v>
      </c>
      <c r="K19" s="181">
        <v>2735391.2339941598</v>
      </c>
      <c r="L19" s="181">
        <v>0</v>
      </c>
      <c r="M19" s="181">
        <v>0</v>
      </c>
      <c r="N19" s="181">
        <v>0</v>
      </c>
      <c r="O19" s="181"/>
      <c r="P19" s="181"/>
      <c r="Q19" s="181"/>
      <c r="R19" s="181"/>
      <c r="S19" s="181"/>
      <c r="T19" s="181"/>
      <c r="U19" s="181"/>
      <c r="V19" s="181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3003242.071764105</v>
      </c>
      <c r="D20" s="162" t="s">
        <v>96</v>
      </c>
      <c r="E20" s="31" t="s">
        <v>97</v>
      </c>
      <c r="F20" s="31" t="s">
        <v>103</v>
      </c>
      <c r="G20" s="32">
        <v>1</v>
      </c>
      <c r="H20" s="174">
        <v>2038</v>
      </c>
      <c r="I20" s="31" t="s">
        <v>104</v>
      </c>
      <c r="J20" s="181">
        <v>3184153.5670508202</v>
      </c>
      <c r="K20" s="181">
        <v>2822330.5764773898</v>
      </c>
      <c r="L20" s="181">
        <v>0</v>
      </c>
      <c r="M20" s="181">
        <v>0</v>
      </c>
      <c r="N20" s="181">
        <v>0</v>
      </c>
      <c r="O20" s="181"/>
      <c r="P20" s="181"/>
      <c r="Q20" s="181"/>
      <c r="R20" s="181"/>
      <c r="S20" s="181"/>
      <c r="T20" s="181"/>
      <c r="U20" s="181"/>
      <c r="V20" s="181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3100647.5918608699</v>
      </c>
      <c r="D21" s="162" t="s">
        <v>96</v>
      </c>
      <c r="E21" s="31" t="s">
        <v>97</v>
      </c>
      <c r="F21" s="31" t="s">
        <v>103</v>
      </c>
      <c r="G21" s="32">
        <v>1</v>
      </c>
      <c r="H21" s="174">
        <v>2039</v>
      </c>
      <c r="I21" s="31" t="s">
        <v>104</v>
      </c>
      <c r="J21" s="181">
        <v>3291764.84129983</v>
      </c>
      <c r="K21" s="181">
        <v>2909530.3424219098</v>
      </c>
      <c r="L21" s="181">
        <v>0</v>
      </c>
      <c r="M21" s="181">
        <v>0</v>
      </c>
      <c r="N21" s="181">
        <v>0</v>
      </c>
      <c r="O21" s="181"/>
      <c r="P21" s="181"/>
      <c r="Q21" s="181"/>
      <c r="R21" s="181"/>
      <c r="S21" s="181"/>
      <c r="T21" s="181"/>
      <c r="U21" s="181"/>
      <c r="V21" s="181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2990482.255834735</v>
      </c>
      <c r="C22" s="37"/>
      <c r="D22" s="35" t="s">
        <v>96</v>
      </c>
      <c r="E22" s="31" t="s">
        <v>97</v>
      </c>
      <c r="F22" s="32" t="s">
        <v>103</v>
      </c>
      <c r="G22" s="125">
        <v>1</v>
      </c>
      <c r="H22" s="174">
        <v>2040</v>
      </c>
      <c r="I22" s="127" t="s">
        <v>104</v>
      </c>
      <c r="J22" s="16">
        <v>2833696.1070498801</v>
      </c>
      <c r="K22" s="30">
        <v>3147268.4046195899</v>
      </c>
      <c r="L22" s="30">
        <v>0</v>
      </c>
      <c r="M22" s="30">
        <v>0</v>
      </c>
      <c r="N22" s="30">
        <v>0</v>
      </c>
    </row>
    <row r="23" spans="1:41" s="184" customFormat="1">
      <c r="A23" s="174"/>
      <c r="B23" s="16">
        <f t="shared" si="0"/>
        <v>3116136.4477185751</v>
      </c>
      <c r="C23" s="37"/>
      <c r="D23" s="35" t="s">
        <v>96</v>
      </c>
      <c r="E23" s="174" t="s">
        <v>97</v>
      </c>
      <c r="F23" s="175" t="s">
        <v>103</v>
      </c>
      <c r="G23" s="184">
        <v>1</v>
      </c>
      <c r="H23" s="174">
        <v>2041</v>
      </c>
      <c r="I23" s="127" t="s">
        <v>104</v>
      </c>
      <c r="J23" s="16">
        <v>3269371.7470178301</v>
      </c>
      <c r="K23" s="30">
        <v>2962901.1484193201</v>
      </c>
      <c r="L23" s="30">
        <v>0</v>
      </c>
      <c r="M23" s="30">
        <v>0</v>
      </c>
      <c r="N23" s="30">
        <v>0</v>
      </c>
      <c r="O23" s="185"/>
      <c r="P23" s="185"/>
      <c r="Q23" s="185"/>
      <c r="R23" s="185"/>
      <c r="S23" s="185"/>
      <c r="T23" s="185"/>
      <c r="U23" s="185"/>
      <c r="V23" s="185"/>
    </row>
    <row r="24" spans="1:41" s="184" customFormat="1">
      <c r="A24" s="174"/>
      <c r="B24" s="16">
        <f t="shared" si="0"/>
        <v>2755716.7745967451</v>
      </c>
      <c r="C24" s="37"/>
      <c r="D24" s="35" t="s">
        <v>96</v>
      </c>
      <c r="E24" s="174" t="s">
        <v>97</v>
      </c>
      <c r="F24" s="175" t="s">
        <v>103</v>
      </c>
      <c r="G24" s="184">
        <v>1</v>
      </c>
      <c r="H24" s="174">
        <v>2042</v>
      </c>
      <c r="I24" s="127" t="s">
        <v>104</v>
      </c>
      <c r="J24" s="16">
        <v>2998020.6471234602</v>
      </c>
      <c r="K24" s="30">
        <v>2513412.9020700301</v>
      </c>
      <c r="L24" s="30">
        <v>0</v>
      </c>
      <c r="M24" s="30">
        <v>0</v>
      </c>
      <c r="N24" s="30">
        <v>0</v>
      </c>
      <c r="O24" s="185"/>
      <c r="P24" s="185"/>
      <c r="Q24" s="185"/>
      <c r="R24" s="185"/>
      <c r="S24" s="185"/>
      <c r="T24" s="185"/>
      <c r="U24" s="185"/>
      <c r="V24" s="185"/>
    </row>
    <row r="25" spans="1:41" s="184" customFormat="1">
      <c r="A25" s="174"/>
      <c r="B25" s="16">
        <f t="shared" si="0"/>
        <v>2926894.1772793503</v>
      </c>
      <c r="C25" s="37"/>
      <c r="D25" s="35" t="s">
        <v>96</v>
      </c>
      <c r="E25" s="174" t="s">
        <v>97</v>
      </c>
      <c r="F25" s="175" t="s">
        <v>103</v>
      </c>
      <c r="G25" s="184">
        <v>1</v>
      </c>
      <c r="H25" s="174">
        <v>2043</v>
      </c>
      <c r="I25" s="127" t="s">
        <v>104</v>
      </c>
      <c r="J25" s="16">
        <v>2842514.4054535702</v>
      </c>
      <c r="K25" s="30">
        <v>3011273.94910513</v>
      </c>
      <c r="L25" s="30">
        <v>0</v>
      </c>
      <c r="M25" s="30">
        <v>0</v>
      </c>
      <c r="N25" s="30">
        <v>0</v>
      </c>
      <c r="O25" s="185"/>
      <c r="P25" s="185"/>
      <c r="Q25" s="185"/>
      <c r="R25" s="185"/>
      <c r="S25" s="185"/>
      <c r="T25" s="185"/>
      <c r="U25" s="185"/>
      <c r="V25" s="185"/>
    </row>
    <row r="26" spans="1:41" s="184" customFormat="1">
      <c r="A26" s="174"/>
      <c r="B26" s="16">
        <f t="shared" si="0"/>
        <v>3068222.9552221149</v>
      </c>
      <c r="C26" s="37"/>
      <c r="D26" s="35" t="s">
        <v>96</v>
      </c>
      <c r="E26" s="174" t="s">
        <v>97</v>
      </c>
      <c r="F26" s="175" t="s">
        <v>103</v>
      </c>
      <c r="G26" s="184">
        <v>1</v>
      </c>
      <c r="H26" s="174">
        <v>2044</v>
      </c>
      <c r="I26" s="127" t="s">
        <v>104</v>
      </c>
      <c r="J26" s="16">
        <v>3299083.70832498</v>
      </c>
      <c r="K26" s="30">
        <v>2837362.2021192499</v>
      </c>
      <c r="L26" s="30">
        <v>0</v>
      </c>
      <c r="M26" s="30">
        <v>0</v>
      </c>
      <c r="N26" s="30">
        <v>0</v>
      </c>
      <c r="O26" s="185"/>
      <c r="P26" s="185"/>
      <c r="Q26" s="185"/>
      <c r="R26" s="185"/>
      <c r="S26" s="185"/>
      <c r="T26" s="185"/>
      <c r="U26" s="185"/>
      <c r="V26" s="185"/>
    </row>
    <row r="27" spans="1:41" s="184" customFormat="1">
      <c r="A27" s="174"/>
      <c r="B27" s="16">
        <f t="shared" si="0"/>
        <v>2817187.04898166</v>
      </c>
      <c r="C27" s="37"/>
      <c r="D27" s="35" t="s">
        <v>96</v>
      </c>
      <c r="E27" s="174" t="s">
        <v>97</v>
      </c>
      <c r="F27" s="175" t="s">
        <v>103</v>
      </c>
      <c r="G27" s="184">
        <v>1</v>
      </c>
      <c r="H27" s="174">
        <v>2045</v>
      </c>
      <c r="I27" s="127" t="s">
        <v>104</v>
      </c>
      <c r="J27" s="16">
        <v>3061472.8641724698</v>
      </c>
      <c r="K27" s="30">
        <v>2572901.2337908498</v>
      </c>
      <c r="L27" s="30">
        <v>0</v>
      </c>
      <c r="M27" s="30">
        <v>0</v>
      </c>
      <c r="N27" s="30">
        <v>0</v>
      </c>
      <c r="O27" s="185"/>
      <c r="P27" s="185"/>
      <c r="Q27" s="185"/>
      <c r="R27" s="185"/>
      <c r="S27" s="185"/>
      <c r="T27" s="185"/>
      <c r="U27" s="185"/>
      <c r="V27" s="185"/>
    </row>
    <row r="28" spans="1:41" s="184" customFormat="1">
      <c r="A28" s="174"/>
      <c r="B28" s="16">
        <f t="shared" si="0"/>
        <v>2924466.0384046352</v>
      </c>
      <c r="C28" s="37"/>
      <c r="D28" s="35" t="s">
        <v>96</v>
      </c>
      <c r="E28" s="174" t="s">
        <v>97</v>
      </c>
      <c r="F28" s="175" t="s">
        <v>103</v>
      </c>
      <c r="G28" s="184">
        <v>1</v>
      </c>
      <c r="H28" s="174">
        <v>2046</v>
      </c>
      <c r="I28" s="127" t="s">
        <v>104</v>
      </c>
      <c r="J28" s="16">
        <v>2882237.5195227498</v>
      </c>
      <c r="K28" s="30">
        <v>2966694.55728652</v>
      </c>
      <c r="L28" s="30">
        <v>0</v>
      </c>
      <c r="M28" s="30">
        <v>0</v>
      </c>
      <c r="N28" s="30">
        <v>0</v>
      </c>
      <c r="O28" s="185"/>
      <c r="P28" s="185"/>
      <c r="Q28" s="185"/>
      <c r="R28" s="185"/>
      <c r="S28" s="185"/>
      <c r="T28" s="185"/>
      <c r="U28" s="185"/>
      <c r="V28" s="185"/>
    </row>
    <row r="29" spans="1:41" s="184" customFormat="1">
      <c r="A29" s="174"/>
      <c r="B29" s="16">
        <f t="shared" si="0"/>
        <v>3130999.7717296248</v>
      </c>
      <c r="C29" s="37"/>
      <c r="D29" s="35" t="s">
        <v>96</v>
      </c>
      <c r="E29" s="174" t="s">
        <v>97</v>
      </c>
      <c r="F29" s="175" t="s">
        <v>103</v>
      </c>
      <c r="G29" s="184">
        <v>1</v>
      </c>
      <c r="H29" s="174">
        <v>2047</v>
      </c>
      <c r="I29" s="127" t="s">
        <v>104</v>
      </c>
      <c r="J29" s="16">
        <v>3215227.3271944998</v>
      </c>
      <c r="K29" s="30">
        <v>3046772.2162647499</v>
      </c>
      <c r="L29" s="30">
        <v>0</v>
      </c>
      <c r="M29" s="30">
        <v>0</v>
      </c>
      <c r="N29" s="30">
        <v>0</v>
      </c>
      <c r="O29" s="185"/>
      <c r="P29" s="185"/>
      <c r="Q29" s="185"/>
      <c r="R29" s="185"/>
      <c r="S29" s="185"/>
      <c r="T29" s="185"/>
      <c r="U29" s="185"/>
      <c r="V29" s="185"/>
    </row>
    <row r="30" spans="1:41" s="184" customFormat="1">
      <c r="A30" s="174"/>
      <c r="B30" s="16">
        <f t="shared" si="0"/>
        <v>2912980.1118569551</v>
      </c>
      <c r="C30" s="37"/>
      <c r="D30" s="35" t="s">
        <v>96</v>
      </c>
      <c r="E30" s="174" t="s">
        <v>97</v>
      </c>
      <c r="F30" s="175" t="s">
        <v>103</v>
      </c>
      <c r="G30" s="184">
        <v>1</v>
      </c>
      <c r="H30" s="174">
        <v>2048</v>
      </c>
      <c r="I30" s="127" t="s">
        <v>104</v>
      </c>
      <c r="J30" s="16">
        <v>3208364.39699199</v>
      </c>
      <c r="K30" s="30">
        <v>2617595.8267219202</v>
      </c>
      <c r="L30" s="30">
        <v>0</v>
      </c>
      <c r="M30" s="30">
        <v>0</v>
      </c>
      <c r="N30" s="30">
        <v>0</v>
      </c>
      <c r="O30" s="185"/>
      <c r="P30" s="185"/>
      <c r="Q30" s="185"/>
      <c r="R30" s="185"/>
      <c r="S30" s="185"/>
      <c r="T30" s="185"/>
      <c r="U30" s="185"/>
      <c r="V30" s="185"/>
    </row>
    <row r="31" spans="1:41" s="184" customFormat="1">
      <c r="A31" s="174"/>
      <c r="B31" s="16">
        <f t="shared" si="0"/>
        <v>2593660.545813085</v>
      </c>
      <c r="C31" s="37"/>
      <c r="D31" s="35" t="s">
        <v>96</v>
      </c>
      <c r="E31" s="174" t="s">
        <v>97</v>
      </c>
      <c r="F31" s="175" t="s">
        <v>103</v>
      </c>
      <c r="G31" s="184">
        <v>1</v>
      </c>
      <c r="H31" s="174">
        <v>2049</v>
      </c>
      <c r="I31" s="127" t="s">
        <v>104</v>
      </c>
      <c r="J31" s="16">
        <v>2550968.1539934599</v>
      </c>
      <c r="K31" s="30">
        <v>2636352.9376327102</v>
      </c>
      <c r="L31" s="30">
        <v>0</v>
      </c>
      <c r="M31" s="30">
        <v>0</v>
      </c>
      <c r="N31" s="30">
        <v>0</v>
      </c>
      <c r="O31" s="185"/>
      <c r="P31" s="185"/>
      <c r="Q31" s="185"/>
      <c r="R31" s="185"/>
      <c r="S31" s="185"/>
      <c r="T31" s="185"/>
      <c r="U31" s="185"/>
      <c r="V31" s="185"/>
    </row>
    <row r="32" spans="1:41" s="184" customFormat="1" ht="15" customHeight="1">
      <c r="B32" s="185"/>
      <c r="C32" s="151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31"/>
      <c r="V32" s="185"/>
    </row>
    <row r="33" spans="2:18">
      <c r="B33" s="164" t="s">
        <v>72</v>
      </c>
      <c r="D33" s="174" t="s">
        <v>0</v>
      </c>
      <c r="E33" s="174" t="s">
        <v>1</v>
      </c>
      <c r="F33" s="174" t="s">
        <v>2</v>
      </c>
      <c r="G33" s="174" t="s">
        <v>3</v>
      </c>
      <c r="H33" s="174" t="s">
        <v>4</v>
      </c>
      <c r="I33" s="174" t="s">
        <v>5</v>
      </c>
      <c r="J33" s="174" t="s">
        <v>108</v>
      </c>
      <c r="K33" s="174" t="s">
        <v>119</v>
      </c>
      <c r="L33" s="174" t="s">
        <v>120</v>
      </c>
      <c r="M33" s="174" t="s">
        <v>121</v>
      </c>
      <c r="N33" s="174" t="s">
        <v>129</v>
      </c>
      <c r="O33" s="174" t="s">
        <v>130</v>
      </c>
      <c r="P33" s="174" t="s">
        <v>131</v>
      </c>
      <c r="Q33" s="174" t="s">
        <v>132</v>
      </c>
      <c r="R33" s="174" t="s">
        <v>133</v>
      </c>
    </row>
    <row r="34" spans="2:18">
      <c r="B34" s="131">
        <f>SUM(J34:R34)</f>
        <v>0</v>
      </c>
      <c r="D34" s="174" t="s">
        <v>96</v>
      </c>
      <c r="E34" s="174" t="s">
        <v>97</v>
      </c>
      <c r="F34" s="174" t="s">
        <v>103</v>
      </c>
      <c r="G34" s="175">
        <v>1</v>
      </c>
      <c r="H34" s="174">
        <v>2020</v>
      </c>
      <c r="I34" s="174" t="s">
        <v>104</v>
      </c>
      <c r="J34" s="175">
        <v>0</v>
      </c>
      <c r="K34" s="175">
        <v>0</v>
      </c>
      <c r="L34" s="175">
        <v>0</v>
      </c>
      <c r="M34" s="175">
        <v>0</v>
      </c>
      <c r="N34" s="175">
        <v>0</v>
      </c>
      <c r="O34" s="175">
        <v>0</v>
      </c>
      <c r="P34" s="175">
        <v>0</v>
      </c>
      <c r="Q34" s="175">
        <v>0</v>
      </c>
      <c r="R34" s="175">
        <v>0</v>
      </c>
    </row>
    <row r="35" spans="2:18">
      <c r="B35" s="131">
        <f t="shared" ref="B35:B63" si="1">SUM(J35:R35)</f>
        <v>0</v>
      </c>
      <c r="D35" s="174" t="s">
        <v>96</v>
      </c>
      <c r="E35" s="174" t="s">
        <v>97</v>
      </c>
      <c r="F35" s="174" t="s">
        <v>103</v>
      </c>
      <c r="G35" s="175">
        <v>1</v>
      </c>
      <c r="H35" s="174">
        <v>2021</v>
      </c>
      <c r="I35" s="174" t="s">
        <v>104</v>
      </c>
      <c r="J35" s="175">
        <v>0</v>
      </c>
      <c r="K35" s="175">
        <v>0</v>
      </c>
      <c r="L35" s="175">
        <v>0</v>
      </c>
      <c r="M35" s="175">
        <v>0</v>
      </c>
      <c r="N35" s="175">
        <v>0</v>
      </c>
      <c r="O35" s="175">
        <v>0</v>
      </c>
      <c r="P35" s="175">
        <v>0</v>
      </c>
      <c r="Q35" s="175">
        <v>0</v>
      </c>
      <c r="R35" s="175">
        <v>0</v>
      </c>
    </row>
    <row r="36" spans="2:18">
      <c r="B36" s="131">
        <f t="shared" si="1"/>
        <v>0</v>
      </c>
      <c r="D36" s="174" t="s">
        <v>96</v>
      </c>
      <c r="E36" s="174" t="s">
        <v>97</v>
      </c>
      <c r="F36" s="174" t="s">
        <v>103</v>
      </c>
      <c r="G36" s="175">
        <v>1</v>
      </c>
      <c r="H36" s="174">
        <v>2022</v>
      </c>
      <c r="I36" s="174" t="s">
        <v>104</v>
      </c>
      <c r="J36" s="175">
        <v>0</v>
      </c>
      <c r="K36" s="175">
        <v>0</v>
      </c>
      <c r="L36" s="175">
        <v>0</v>
      </c>
      <c r="M36" s="175">
        <v>0</v>
      </c>
      <c r="N36" s="175">
        <v>0</v>
      </c>
      <c r="O36" s="175">
        <v>0</v>
      </c>
      <c r="P36" s="175">
        <v>0</v>
      </c>
      <c r="Q36" s="175">
        <v>0</v>
      </c>
      <c r="R36" s="175">
        <v>0</v>
      </c>
    </row>
    <row r="37" spans="2:18">
      <c r="B37" s="131">
        <f t="shared" si="1"/>
        <v>0</v>
      </c>
      <c r="D37" s="174" t="s">
        <v>96</v>
      </c>
      <c r="E37" s="174" t="s">
        <v>97</v>
      </c>
      <c r="F37" s="174" t="s">
        <v>103</v>
      </c>
      <c r="G37" s="175">
        <v>1</v>
      </c>
      <c r="H37" s="174">
        <v>2023</v>
      </c>
      <c r="I37" s="174" t="s">
        <v>104</v>
      </c>
      <c r="J37" s="175">
        <v>0</v>
      </c>
      <c r="K37" s="175">
        <v>0</v>
      </c>
      <c r="L37" s="175">
        <v>0</v>
      </c>
      <c r="M37" s="175">
        <v>0</v>
      </c>
      <c r="N37" s="175">
        <v>0</v>
      </c>
      <c r="O37" s="175">
        <v>0</v>
      </c>
      <c r="P37" s="175">
        <v>0</v>
      </c>
      <c r="Q37" s="175">
        <v>0</v>
      </c>
      <c r="R37" s="175">
        <v>0</v>
      </c>
    </row>
    <row r="38" spans="2:18">
      <c r="B38" s="131">
        <f t="shared" si="1"/>
        <v>0</v>
      </c>
      <c r="D38" s="174" t="s">
        <v>96</v>
      </c>
      <c r="E38" s="174" t="s">
        <v>97</v>
      </c>
      <c r="F38" s="174" t="s">
        <v>103</v>
      </c>
      <c r="G38" s="175">
        <v>1</v>
      </c>
      <c r="H38" s="174">
        <v>2024</v>
      </c>
      <c r="I38" s="174" t="s">
        <v>104</v>
      </c>
      <c r="J38" s="175">
        <v>0</v>
      </c>
      <c r="K38" s="175">
        <v>0</v>
      </c>
      <c r="L38" s="175">
        <v>0</v>
      </c>
      <c r="M38" s="175">
        <v>0</v>
      </c>
      <c r="N38" s="175">
        <v>0</v>
      </c>
      <c r="O38" s="175">
        <v>0</v>
      </c>
      <c r="P38" s="175">
        <v>0</v>
      </c>
      <c r="Q38" s="175">
        <v>0</v>
      </c>
      <c r="R38" s="175">
        <v>0</v>
      </c>
    </row>
    <row r="39" spans="2:18">
      <c r="B39" s="131">
        <f t="shared" si="1"/>
        <v>0</v>
      </c>
      <c r="D39" s="174" t="s">
        <v>96</v>
      </c>
      <c r="E39" s="174" t="s">
        <v>97</v>
      </c>
      <c r="F39" s="174" t="s">
        <v>103</v>
      </c>
      <c r="G39" s="175">
        <v>1</v>
      </c>
      <c r="H39" s="174">
        <v>2025</v>
      </c>
      <c r="I39" s="174" t="s">
        <v>104</v>
      </c>
      <c r="J39" s="175">
        <v>0</v>
      </c>
      <c r="K39" s="175">
        <v>0</v>
      </c>
      <c r="L39" s="175">
        <v>0</v>
      </c>
      <c r="M39" s="175">
        <v>0</v>
      </c>
      <c r="N39" s="175">
        <v>0</v>
      </c>
      <c r="O39" s="175">
        <v>0</v>
      </c>
      <c r="P39" s="175">
        <v>0</v>
      </c>
      <c r="Q39" s="175">
        <v>0</v>
      </c>
      <c r="R39" s="175">
        <v>0</v>
      </c>
    </row>
    <row r="40" spans="2:18">
      <c r="B40" s="131">
        <f t="shared" si="1"/>
        <v>0</v>
      </c>
      <c r="D40" s="174" t="s">
        <v>96</v>
      </c>
      <c r="E40" s="174" t="s">
        <v>97</v>
      </c>
      <c r="F40" s="174" t="s">
        <v>103</v>
      </c>
      <c r="G40" s="175">
        <v>1</v>
      </c>
      <c r="H40" s="174">
        <v>2026</v>
      </c>
      <c r="I40" s="174" t="s">
        <v>104</v>
      </c>
      <c r="J40" s="175">
        <v>0</v>
      </c>
      <c r="K40" s="175">
        <v>0</v>
      </c>
      <c r="L40" s="175">
        <v>0</v>
      </c>
      <c r="M40" s="175">
        <v>0</v>
      </c>
      <c r="N40" s="175">
        <v>0</v>
      </c>
      <c r="O40" s="175">
        <v>0</v>
      </c>
      <c r="P40" s="175">
        <v>0</v>
      </c>
      <c r="Q40" s="175">
        <v>0</v>
      </c>
      <c r="R40" s="175">
        <v>0</v>
      </c>
    </row>
    <row r="41" spans="2:18">
      <c r="B41" s="131">
        <f t="shared" si="1"/>
        <v>0</v>
      </c>
      <c r="D41" s="174" t="s">
        <v>96</v>
      </c>
      <c r="E41" s="174" t="s">
        <v>97</v>
      </c>
      <c r="F41" s="174" t="s">
        <v>103</v>
      </c>
      <c r="G41" s="175">
        <v>1</v>
      </c>
      <c r="H41" s="174">
        <v>2027</v>
      </c>
      <c r="I41" s="174" t="s">
        <v>104</v>
      </c>
      <c r="J41" s="175">
        <v>0</v>
      </c>
      <c r="K41" s="175">
        <v>0</v>
      </c>
      <c r="L41" s="175">
        <v>0</v>
      </c>
      <c r="M41" s="175">
        <v>0</v>
      </c>
      <c r="N41" s="175">
        <v>0</v>
      </c>
      <c r="O41" s="175">
        <v>0</v>
      </c>
      <c r="P41" s="175">
        <v>0</v>
      </c>
      <c r="Q41" s="175">
        <v>0</v>
      </c>
      <c r="R41" s="175">
        <v>0</v>
      </c>
    </row>
    <row r="42" spans="2:18">
      <c r="B42" s="131">
        <f t="shared" si="1"/>
        <v>0</v>
      </c>
      <c r="D42" s="174" t="s">
        <v>96</v>
      </c>
      <c r="E42" s="174" t="s">
        <v>97</v>
      </c>
      <c r="F42" s="174" t="s">
        <v>103</v>
      </c>
      <c r="G42" s="175">
        <v>1</v>
      </c>
      <c r="H42" s="174">
        <v>2028</v>
      </c>
      <c r="I42" s="174" t="s">
        <v>104</v>
      </c>
      <c r="J42" s="175">
        <v>0</v>
      </c>
      <c r="K42" s="175">
        <v>0</v>
      </c>
      <c r="L42" s="175">
        <v>0</v>
      </c>
      <c r="M42" s="175">
        <v>0</v>
      </c>
      <c r="N42" s="175">
        <v>0</v>
      </c>
      <c r="O42" s="175">
        <v>0</v>
      </c>
      <c r="P42" s="175">
        <v>0</v>
      </c>
      <c r="Q42" s="175">
        <v>0</v>
      </c>
      <c r="R42" s="175">
        <v>0</v>
      </c>
    </row>
    <row r="43" spans="2:18">
      <c r="B43" s="131">
        <f t="shared" si="1"/>
        <v>0</v>
      </c>
      <c r="D43" s="174" t="s">
        <v>96</v>
      </c>
      <c r="E43" s="174" t="s">
        <v>97</v>
      </c>
      <c r="F43" s="174" t="s">
        <v>103</v>
      </c>
      <c r="G43" s="175">
        <v>1</v>
      </c>
      <c r="H43" s="174">
        <v>2029</v>
      </c>
      <c r="I43" s="174" t="s">
        <v>104</v>
      </c>
      <c r="J43" s="175">
        <v>0</v>
      </c>
      <c r="K43" s="175">
        <v>0</v>
      </c>
      <c r="L43" s="175">
        <v>0</v>
      </c>
      <c r="M43" s="175">
        <v>0</v>
      </c>
      <c r="N43" s="175">
        <v>0</v>
      </c>
      <c r="O43" s="175">
        <v>0</v>
      </c>
      <c r="P43" s="175">
        <v>0</v>
      </c>
      <c r="Q43" s="175">
        <v>0</v>
      </c>
      <c r="R43" s="175">
        <v>0</v>
      </c>
    </row>
    <row r="44" spans="2:18">
      <c r="B44" s="131">
        <f t="shared" si="1"/>
        <v>0</v>
      </c>
      <c r="D44" s="174" t="s">
        <v>96</v>
      </c>
      <c r="E44" s="174" t="s">
        <v>97</v>
      </c>
      <c r="F44" s="174" t="s">
        <v>103</v>
      </c>
      <c r="G44" s="175">
        <v>1</v>
      </c>
      <c r="H44" s="174">
        <v>2030</v>
      </c>
      <c r="I44" s="174" t="s">
        <v>104</v>
      </c>
      <c r="J44" s="175">
        <v>0</v>
      </c>
      <c r="K44" s="175">
        <v>0</v>
      </c>
      <c r="L44" s="175">
        <v>0</v>
      </c>
      <c r="M44" s="175">
        <v>0</v>
      </c>
      <c r="N44" s="175">
        <v>0</v>
      </c>
      <c r="O44" s="175">
        <v>0</v>
      </c>
      <c r="P44" s="175">
        <v>0</v>
      </c>
      <c r="Q44" s="175">
        <v>0</v>
      </c>
      <c r="R44" s="175">
        <v>0</v>
      </c>
    </row>
    <row r="45" spans="2:18">
      <c r="B45" s="131">
        <f t="shared" si="1"/>
        <v>42425.2487362955</v>
      </c>
      <c r="D45" s="174" t="s">
        <v>96</v>
      </c>
      <c r="E45" s="174" t="s">
        <v>97</v>
      </c>
      <c r="F45" s="174" t="s">
        <v>103</v>
      </c>
      <c r="G45" s="175">
        <v>1</v>
      </c>
      <c r="H45" s="174">
        <v>2031</v>
      </c>
      <c r="I45" s="174" t="s">
        <v>104</v>
      </c>
      <c r="J45" s="175">
        <v>0</v>
      </c>
      <c r="K45" s="175">
        <v>0</v>
      </c>
      <c r="L45" s="175">
        <v>0</v>
      </c>
      <c r="M45" s="175">
        <v>42425.2487362955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</row>
    <row r="46" spans="2:18">
      <c r="B46" s="131">
        <f t="shared" si="1"/>
        <v>44581.570918930302</v>
      </c>
      <c r="D46" s="174" t="s">
        <v>96</v>
      </c>
      <c r="E46" s="174" t="s">
        <v>97</v>
      </c>
      <c r="F46" s="174" t="s">
        <v>103</v>
      </c>
      <c r="G46" s="175">
        <v>1</v>
      </c>
      <c r="H46" s="174">
        <v>2032</v>
      </c>
      <c r="I46" s="174" t="s">
        <v>104</v>
      </c>
      <c r="J46" s="175">
        <v>0</v>
      </c>
      <c r="K46" s="175">
        <v>0</v>
      </c>
      <c r="L46" s="175">
        <v>0</v>
      </c>
      <c r="M46" s="175">
        <v>44581.570918930302</v>
      </c>
      <c r="N46" s="175">
        <v>0</v>
      </c>
      <c r="O46" s="175">
        <v>0</v>
      </c>
      <c r="P46" s="175">
        <v>0</v>
      </c>
      <c r="Q46" s="175">
        <v>0</v>
      </c>
      <c r="R46" s="175">
        <v>0</v>
      </c>
    </row>
    <row r="47" spans="2:18">
      <c r="B47" s="131">
        <f t="shared" si="1"/>
        <v>43313.258835918801</v>
      </c>
      <c r="D47" s="174" t="s">
        <v>96</v>
      </c>
      <c r="E47" s="174" t="s">
        <v>97</v>
      </c>
      <c r="F47" s="174" t="s">
        <v>103</v>
      </c>
      <c r="G47" s="175">
        <v>1</v>
      </c>
      <c r="H47" s="174">
        <v>2033</v>
      </c>
      <c r="I47" s="174" t="s">
        <v>104</v>
      </c>
      <c r="J47" s="175">
        <v>0</v>
      </c>
      <c r="K47" s="175">
        <v>0</v>
      </c>
      <c r="L47" s="175">
        <v>0</v>
      </c>
      <c r="M47" s="175">
        <v>43313.258835918801</v>
      </c>
      <c r="N47" s="175">
        <v>0</v>
      </c>
      <c r="O47" s="175">
        <v>0</v>
      </c>
      <c r="P47" s="175">
        <v>0</v>
      </c>
      <c r="Q47" s="175">
        <v>0</v>
      </c>
      <c r="R47" s="175">
        <v>0</v>
      </c>
    </row>
    <row r="48" spans="2:18">
      <c r="B48" s="131">
        <f t="shared" si="1"/>
        <v>39861.675306609097</v>
      </c>
      <c r="D48" s="174" t="s">
        <v>96</v>
      </c>
      <c r="E48" s="174" t="s">
        <v>97</v>
      </c>
      <c r="F48" s="174" t="s">
        <v>103</v>
      </c>
      <c r="G48" s="175">
        <v>1</v>
      </c>
      <c r="H48" s="174">
        <v>2034</v>
      </c>
      <c r="I48" s="174" t="s">
        <v>104</v>
      </c>
      <c r="J48" s="175">
        <v>0</v>
      </c>
      <c r="K48" s="175">
        <v>0</v>
      </c>
      <c r="L48" s="175">
        <v>0</v>
      </c>
      <c r="M48" s="175">
        <v>39861.675306609097</v>
      </c>
      <c r="N48" s="175">
        <v>0</v>
      </c>
      <c r="O48" s="175">
        <v>0</v>
      </c>
      <c r="P48" s="175">
        <v>0</v>
      </c>
      <c r="Q48" s="175">
        <v>0</v>
      </c>
      <c r="R48" s="175">
        <v>0</v>
      </c>
    </row>
    <row r="49" spans="2:18">
      <c r="B49" s="131">
        <f t="shared" si="1"/>
        <v>42467.982862758203</v>
      </c>
      <c r="D49" s="174" t="s">
        <v>96</v>
      </c>
      <c r="E49" s="174" t="s">
        <v>97</v>
      </c>
      <c r="F49" s="174" t="s">
        <v>103</v>
      </c>
      <c r="G49" s="175">
        <v>1</v>
      </c>
      <c r="H49" s="174">
        <v>2035</v>
      </c>
      <c r="I49" s="174" t="s">
        <v>104</v>
      </c>
      <c r="J49" s="175">
        <v>0</v>
      </c>
      <c r="K49" s="175">
        <v>0</v>
      </c>
      <c r="L49" s="175">
        <v>0</v>
      </c>
      <c r="M49" s="175">
        <v>42467.982862758203</v>
      </c>
      <c r="N49" s="175">
        <v>0</v>
      </c>
      <c r="O49" s="175">
        <v>0</v>
      </c>
      <c r="P49" s="175">
        <v>0</v>
      </c>
      <c r="Q49" s="175">
        <v>0</v>
      </c>
      <c r="R49" s="175">
        <v>0</v>
      </c>
    </row>
    <row r="50" spans="2:18">
      <c r="B50" s="131">
        <f t="shared" si="1"/>
        <v>35482.221006452099</v>
      </c>
      <c r="D50" s="174" t="s">
        <v>96</v>
      </c>
      <c r="E50" s="174" t="s">
        <v>97</v>
      </c>
      <c r="F50" s="174" t="s">
        <v>103</v>
      </c>
      <c r="G50" s="175">
        <v>1</v>
      </c>
      <c r="H50" s="174">
        <v>2036</v>
      </c>
      <c r="I50" s="174" t="s">
        <v>104</v>
      </c>
      <c r="J50" s="175">
        <v>0</v>
      </c>
      <c r="K50" s="175">
        <v>0</v>
      </c>
      <c r="L50" s="175">
        <v>0</v>
      </c>
      <c r="M50" s="175">
        <v>35482.221006452099</v>
      </c>
      <c r="N50" s="175">
        <v>0</v>
      </c>
      <c r="O50" s="175">
        <v>0</v>
      </c>
      <c r="P50" s="175">
        <v>0</v>
      </c>
      <c r="Q50" s="175">
        <v>0</v>
      </c>
      <c r="R50" s="175">
        <v>0</v>
      </c>
    </row>
    <row r="51" spans="2:18">
      <c r="B51" s="131">
        <f t="shared" si="1"/>
        <v>35041.481045790199</v>
      </c>
      <c r="D51" s="174" t="s">
        <v>96</v>
      </c>
      <c r="E51" s="174" t="s">
        <v>97</v>
      </c>
      <c r="F51" s="174" t="s">
        <v>103</v>
      </c>
      <c r="G51" s="175">
        <v>1</v>
      </c>
      <c r="H51" s="174">
        <v>2037</v>
      </c>
      <c r="I51" s="174" t="s">
        <v>104</v>
      </c>
      <c r="J51" s="175">
        <v>0</v>
      </c>
      <c r="K51" s="175">
        <v>0</v>
      </c>
      <c r="L51" s="175">
        <v>0</v>
      </c>
      <c r="M51" s="175">
        <v>35041.481045790199</v>
      </c>
      <c r="N51" s="175">
        <v>0</v>
      </c>
      <c r="O51" s="175">
        <v>0</v>
      </c>
      <c r="P51" s="175">
        <v>0</v>
      </c>
      <c r="Q51" s="175">
        <v>0</v>
      </c>
      <c r="R51" s="175">
        <v>0</v>
      </c>
    </row>
    <row r="52" spans="2:18">
      <c r="B52" s="131">
        <f t="shared" si="1"/>
        <v>34631.4727885225</v>
      </c>
      <c r="D52" s="174" t="s">
        <v>96</v>
      </c>
      <c r="E52" s="174" t="s">
        <v>97</v>
      </c>
      <c r="F52" s="174" t="s">
        <v>103</v>
      </c>
      <c r="G52" s="175">
        <v>1</v>
      </c>
      <c r="H52" s="174">
        <v>2038</v>
      </c>
      <c r="I52" s="174" t="s">
        <v>104</v>
      </c>
      <c r="J52" s="175">
        <v>0</v>
      </c>
      <c r="K52" s="175">
        <v>0</v>
      </c>
      <c r="L52" s="175">
        <v>0</v>
      </c>
      <c r="M52" s="175">
        <v>34631.4727885225</v>
      </c>
      <c r="N52" s="175">
        <v>0</v>
      </c>
      <c r="O52" s="175">
        <v>0</v>
      </c>
      <c r="P52" s="175">
        <v>0</v>
      </c>
      <c r="Q52" s="175">
        <v>0</v>
      </c>
      <c r="R52" s="175">
        <v>0</v>
      </c>
    </row>
    <row r="53" spans="2:18">
      <c r="B53" s="131">
        <f t="shared" si="1"/>
        <v>36218.2995212444</v>
      </c>
      <c r="D53" s="174" t="s">
        <v>96</v>
      </c>
      <c r="E53" s="174" t="s">
        <v>97</v>
      </c>
      <c r="F53" s="174" t="s">
        <v>103</v>
      </c>
      <c r="G53" s="175">
        <v>1</v>
      </c>
      <c r="H53" s="174">
        <v>2039</v>
      </c>
      <c r="I53" s="174" t="s">
        <v>104</v>
      </c>
      <c r="J53" s="175">
        <v>0</v>
      </c>
      <c r="K53" s="175">
        <v>0</v>
      </c>
      <c r="L53" s="175">
        <v>0</v>
      </c>
      <c r="M53" s="175">
        <v>36218.2995212444</v>
      </c>
      <c r="N53" s="175">
        <v>0</v>
      </c>
      <c r="O53" s="175">
        <v>0</v>
      </c>
      <c r="P53" s="175">
        <v>0</v>
      </c>
      <c r="Q53" s="175">
        <v>0</v>
      </c>
      <c r="R53" s="175">
        <v>0</v>
      </c>
    </row>
    <row r="54" spans="2:18">
      <c r="B54" s="131">
        <f>SUM(J54:R54)</f>
        <v>32979.013451809296</v>
      </c>
      <c r="D54" s="174" t="s">
        <v>96</v>
      </c>
      <c r="E54" s="174" t="s">
        <v>97</v>
      </c>
      <c r="F54" s="174" t="s">
        <v>103</v>
      </c>
      <c r="G54" s="175">
        <v>1</v>
      </c>
      <c r="H54" s="174">
        <v>2040</v>
      </c>
      <c r="I54" s="174" t="s">
        <v>104</v>
      </c>
      <c r="J54" s="175">
        <v>0</v>
      </c>
      <c r="K54" s="175">
        <v>0</v>
      </c>
      <c r="L54" s="175">
        <v>0</v>
      </c>
      <c r="M54" s="175">
        <v>32979.013451809296</v>
      </c>
      <c r="N54" s="175">
        <v>0</v>
      </c>
      <c r="O54" s="175">
        <v>0</v>
      </c>
      <c r="P54" s="175">
        <v>0</v>
      </c>
      <c r="Q54" s="175">
        <v>0</v>
      </c>
      <c r="R54" s="175">
        <v>0</v>
      </c>
    </row>
    <row r="55" spans="2:18">
      <c r="B55" s="131">
        <f t="shared" si="1"/>
        <v>28876.4483390936</v>
      </c>
      <c r="D55" s="174" t="s">
        <v>96</v>
      </c>
      <c r="E55" s="174" t="s">
        <v>97</v>
      </c>
      <c r="F55" s="174" t="s">
        <v>103</v>
      </c>
      <c r="G55" s="175">
        <v>1</v>
      </c>
      <c r="H55" s="174">
        <v>2041</v>
      </c>
      <c r="I55" s="174" t="s">
        <v>104</v>
      </c>
      <c r="J55" s="175">
        <v>0</v>
      </c>
      <c r="K55" s="175">
        <v>0</v>
      </c>
      <c r="L55" s="175">
        <v>0</v>
      </c>
      <c r="M55" s="175">
        <v>28876.4483390936</v>
      </c>
      <c r="N55" s="175">
        <v>0</v>
      </c>
      <c r="O55" s="175">
        <v>0</v>
      </c>
      <c r="P55" s="175">
        <v>0</v>
      </c>
      <c r="Q55" s="175">
        <v>0</v>
      </c>
      <c r="R55" s="175">
        <v>0</v>
      </c>
    </row>
    <row r="56" spans="2:18">
      <c r="B56" s="131">
        <f t="shared" si="1"/>
        <v>26797.000314134199</v>
      </c>
      <c r="D56" s="174" t="s">
        <v>96</v>
      </c>
      <c r="E56" s="174" t="s">
        <v>97</v>
      </c>
      <c r="F56" s="174" t="s">
        <v>103</v>
      </c>
      <c r="G56" s="175">
        <v>1</v>
      </c>
      <c r="H56" s="174">
        <v>2042</v>
      </c>
      <c r="I56" s="174" t="s">
        <v>104</v>
      </c>
      <c r="J56" s="175">
        <v>0</v>
      </c>
      <c r="K56" s="175">
        <v>0</v>
      </c>
      <c r="L56" s="175">
        <v>0</v>
      </c>
      <c r="M56" s="175">
        <v>26797.000314134199</v>
      </c>
      <c r="N56" s="175">
        <v>0</v>
      </c>
      <c r="O56" s="175">
        <v>0</v>
      </c>
      <c r="P56" s="175">
        <v>0</v>
      </c>
      <c r="Q56" s="175">
        <v>0</v>
      </c>
      <c r="R56" s="175">
        <v>0</v>
      </c>
    </row>
    <row r="57" spans="2:18">
      <c r="B57" s="131">
        <f t="shared" si="1"/>
        <v>15447.480683076999</v>
      </c>
      <c r="D57" s="174" t="s">
        <v>96</v>
      </c>
      <c r="E57" s="174" t="s">
        <v>97</v>
      </c>
      <c r="F57" s="174" t="s">
        <v>103</v>
      </c>
      <c r="G57" s="175">
        <v>1</v>
      </c>
      <c r="H57" s="174">
        <v>2043</v>
      </c>
      <c r="I57" s="174" t="s">
        <v>104</v>
      </c>
      <c r="J57" s="175">
        <v>0</v>
      </c>
      <c r="K57" s="175">
        <v>0</v>
      </c>
      <c r="L57" s="175">
        <v>0</v>
      </c>
      <c r="M57" s="175">
        <v>15447.480683076999</v>
      </c>
      <c r="N57" s="175">
        <v>0</v>
      </c>
      <c r="O57" s="175">
        <v>0</v>
      </c>
      <c r="P57" s="175">
        <v>0</v>
      </c>
      <c r="Q57" s="175">
        <v>0</v>
      </c>
      <c r="R57" s="175">
        <v>0</v>
      </c>
    </row>
    <row r="58" spans="2:18">
      <c r="B58" s="131">
        <f t="shared" si="1"/>
        <v>15973.2535668612</v>
      </c>
      <c r="D58" s="174" t="s">
        <v>96</v>
      </c>
      <c r="E58" s="174" t="s">
        <v>97</v>
      </c>
      <c r="F58" s="174" t="s">
        <v>103</v>
      </c>
      <c r="G58" s="175">
        <v>1</v>
      </c>
      <c r="H58" s="174">
        <v>2044</v>
      </c>
      <c r="I58" s="174" t="s">
        <v>104</v>
      </c>
      <c r="J58" s="175">
        <v>0</v>
      </c>
      <c r="K58" s="175">
        <v>0</v>
      </c>
      <c r="L58" s="175">
        <v>0</v>
      </c>
      <c r="M58" s="175">
        <v>15973.2535668612</v>
      </c>
      <c r="N58" s="175">
        <v>0</v>
      </c>
      <c r="O58" s="175">
        <v>0</v>
      </c>
      <c r="P58" s="175">
        <v>0</v>
      </c>
      <c r="Q58" s="175">
        <v>0</v>
      </c>
      <c r="R58" s="175">
        <v>0</v>
      </c>
    </row>
    <row r="59" spans="2:18">
      <c r="B59" s="131">
        <f t="shared" si="1"/>
        <v>11141.6558316676</v>
      </c>
      <c r="D59" s="174" t="s">
        <v>96</v>
      </c>
      <c r="E59" s="174" t="s">
        <v>97</v>
      </c>
      <c r="F59" s="174" t="s">
        <v>103</v>
      </c>
      <c r="G59" s="175">
        <v>1</v>
      </c>
      <c r="H59" s="174">
        <v>2045</v>
      </c>
      <c r="I59" s="174" t="s">
        <v>104</v>
      </c>
      <c r="J59" s="175">
        <v>0</v>
      </c>
      <c r="K59" s="175">
        <v>0</v>
      </c>
      <c r="L59" s="175">
        <v>0</v>
      </c>
      <c r="M59" s="175">
        <v>11141.6558316676</v>
      </c>
      <c r="N59" s="175">
        <v>0</v>
      </c>
      <c r="O59" s="175">
        <v>0</v>
      </c>
      <c r="P59" s="175">
        <v>0</v>
      </c>
      <c r="Q59" s="175">
        <v>0</v>
      </c>
      <c r="R59" s="175">
        <v>0</v>
      </c>
    </row>
    <row r="60" spans="2:18">
      <c r="B60" s="131">
        <f t="shared" si="1"/>
        <v>8521.4572521579103</v>
      </c>
      <c r="D60" s="174" t="s">
        <v>96</v>
      </c>
      <c r="E60" s="174" t="s">
        <v>97</v>
      </c>
      <c r="F60" s="174" t="s">
        <v>103</v>
      </c>
      <c r="G60" s="175">
        <v>1</v>
      </c>
      <c r="H60" s="174">
        <v>2046</v>
      </c>
      <c r="I60" s="174" t="s">
        <v>104</v>
      </c>
      <c r="J60" s="175">
        <v>0</v>
      </c>
      <c r="K60" s="175">
        <v>0</v>
      </c>
      <c r="L60" s="175">
        <v>0</v>
      </c>
      <c r="M60" s="175">
        <v>8521.4572521579103</v>
      </c>
      <c r="N60" s="175">
        <v>0</v>
      </c>
      <c r="O60" s="175">
        <v>0</v>
      </c>
      <c r="P60" s="175">
        <v>0</v>
      </c>
      <c r="Q60" s="175">
        <v>0</v>
      </c>
      <c r="R60" s="175">
        <v>0</v>
      </c>
    </row>
    <row r="61" spans="2:18">
      <c r="B61" s="131">
        <f t="shared" si="1"/>
        <v>10548.293237018401</v>
      </c>
      <c r="D61" s="174" t="s">
        <v>96</v>
      </c>
      <c r="E61" s="174" t="s">
        <v>97</v>
      </c>
      <c r="F61" s="174" t="s">
        <v>103</v>
      </c>
      <c r="G61" s="175">
        <v>1</v>
      </c>
      <c r="H61" s="174">
        <v>2047</v>
      </c>
      <c r="I61" s="174" t="s">
        <v>104</v>
      </c>
      <c r="J61" s="175">
        <v>0</v>
      </c>
      <c r="K61" s="175">
        <v>0</v>
      </c>
      <c r="L61" s="175">
        <v>0</v>
      </c>
      <c r="M61" s="175">
        <v>10548.293237018401</v>
      </c>
      <c r="N61" s="175">
        <v>0</v>
      </c>
      <c r="O61" s="175">
        <v>0</v>
      </c>
      <c r="P61" s="175">
        <v>0</v>
      </c>
      <c r="Q61" s="175">
        <v>0</v>
      </c>
      <c r="R61" s="175">
        <v>0</v>
      </c>
    </row>
    <row r="62" spans="2:18">
      <c r="B62" s="131">
        <f t="shared" si="1"/>
        <v>8912.3167957424503</v>
      </c>
      <c r="D62" s="174" t="s">
        <v>96</v>
      </c>
      <c r="E62" s="174" t="s">
        <v>97</v>
      </c>
      <c r="F62" s="174" t="s">
        <v>103</v>
      </c>
      <c r="G62" s="175">
        <v>1</v>
      </c>
      <c r="H62" s="174">
        <v>2048</v>
      </c>
      <c r="I62" s="174" t="s">
        <v>104</v>
      </c>
      <c r="J62" s="175">
        <v>0</v>
      </c>
      <c r="K62" s="175">
        <v>0</v>
      </c>
      <c r="L62" s="175">
        <v>0</v>
      </c>
      <c r="M62" s="175">
        <v>8912.3167957424503</v>
      </c>
      <c r="N62" s="175">
        <v>0</v>
      </c>
      <c r="O62" s="175">
        <v>0</v>
      </c>
      <c r="P62" s="175">
        <v>0</v>
      </c>
      <c r="Q62" s="175">
        <v>0</v>
      </c>
      <c r="R62" s="175">
        <v>0</v>
      </c>
    </row>
    <row r="63" spans="2:18">
      <c r="B63" s="131">
        <f t="shared" si="1"/>
        <v>8566.3886970052208</v>
      </c>
      <c r="D63" s="174" t="s">
        <v>96</v>
      </c>
      <c r="E63" s="174" t="s">
        <v>97</v>
      </c>
      <c r="F63" s="174" t="s">
        <v>103</v>
      </c>
      <c r="G63" s="175">
        <v>1</v>
      </c>
      <c r="H63" s="174">
        <v>2049</v>
      </c>
      <c r="I63" s="174" t="s">
        <v>104</v>
      </c>
      <c r="J63" s="175">
        <v>0</v>
      </c>
      <c r="K63" s="175">
        <v>0</v>
      </c>
      <c r="L63" s="175">
        <v>0</v>
      </c>
      <c r="M63" s="175">
        <v>8566.3886970052208</v>
      </c>
      <c r="N63" s="175">
        <v>0</v>
      </c>
      <c r="O63" s="175">
        <v>0</v>
      </c>
      <c r="P63" s="175">
        <v>0</v>
      </c>
      <c r="Q63" s="175">
        <v>0</v>
      </c>
      <c r="R63" s="175">
        <v>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1" sqref="G1:K181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5" bestFit="1" customWidth="1"/>
    <col min="12" max="12" width="13.25" style="185" bestFit="1" customWidth="1"/>
  </cols>
  <sheetData>
    <row r="1" spans="1:17">
      <c r="A1" s="174" t="s">
        <v>0</v>
      </c>
      <c r="B1" s="174" t="s">
        <v>1</v>
      </c>
      <c r="C1" s="174" t="s">
        <v>2</v>
      </c>
      <c r="D1" s="174" t="s">
        <v>3</v>
      </c>
      <c r="E1" s="174" t="s">
        <v>4</v>
      </c>
      <c r="F1" s="174" t="s">
        <v>5</v>
      </c>
      <c r="G1" s="297"/>
      <c r="H1" s="297"/>
      <c r="I1" s="297"/>
      <c r="J1" s="297"/>
      <c r="K1" s="297"/>
      <c r="L1" s="164" t="s">
        <v>10</v>
      </c>
    </row>
    <row r="2" spans="1:17">
      <c r="A2" s="174" t="s">
        <v>98</v>
      </c>
      <c r="B2" s="174" t="s">
        <v>25</v>
      </c>
      <c r="C2" s="174" t="s">
        <v>6</v>
      </c>
      <c r="D2" s="175">
        <v>1</v>
      </c>
      <c r="E2" s="174">
        <v>2020</v>
      </c>
      <c r="F2" s="174" t="s">
        <v>7</v>
      </c>
      <c r="G2" s="286"/>
      <c r="H2" s="286"/>
      <c r="I2" s="286"/>
      <c r="J2" s="286"/>
      <c r="K2" s="286"/>
      <c r="L2" s="188">
        <v>5800.6557569253309</v>
      </c>
      <c r="N2" s="152"/>
      <c r="O2" s="152"/>
      <c r="P2" s="154"/>
      <c r="Q2" s="156"/>
    </row>
    <row r="3" spans="1:17">
      <c r="A3" s="174" t="s">
        <v>98</v>
      </c>
      <c r="B3" s="174" t="s">
        <v>25</v>
      </c>
      <c r="C3" s="174" t="s">
        <v>6</v>
      </c>
      <c r="D3" s="175">
        <v>1</v>
      </c>
      <c r="E3" s="174">
        <v>2021</v>
      </c>
      <c r="F3" s="174" t="s">
        <v>7</v>
      </c>
      <c r="G3" s="286"/>
      <c r="H3" s="286"/>
      <c r="I3" s="286"/>
      <c r="J3" s="286"/>
      <c r="K3" s="286"/>
      <c r="L3" s="188">
        <v>5272.8461677442156</v>
      </c>
      <c r="N3" s="152"/>
      <c r="O3" s="152"/>
      <c r="P3" s="154"/>
      <c r="Q3" s="156"/>
    </row>
    <row r="4" spans="1:17">
      <c r="A4" s="174" t="s">
        <v>98</v>
      </c>
      <c r="B4" s="174" t="s">
        <v>25</v>
      </c>
      <c r="C4" s="174" t="s">
        <v>6</v>
      </c>
      <c r="D4" s="175">
        <v>1</v>
      </c>
      <c r="E4" s="174">
        <v>2022</v>
      </c>
      <c r="F4" s="174" t="s">
        <v>7</v>
      </c>
      <c r="G4" s="286"/>
      <c r="H4" s="286"/>
      <c r="I4" s="286"/>
      <c r="J4" s="286"/>
      <c r="K4" s="286"/>
      <c r="L4" s="188">
        <v>6095.9562722300179</v>
      </c>
      <c r="N4" s="152"/>
      <c r="O4" s="152"/>
      <c r="P4" s="154"/>
      <c r="Q4" s="156"/>
    </row>
    <row r="5" spans="1:17">
      <c r="A5" s="174" t="s">
        <v>98</v>
      </c>
      <c r="B5" s="174" t="s">
        <v>25</v>
      </c>
      <c r="C5" s="174" t="s">
        <v>6</v>
      </c>
      <c r="D5" s="175">
        <v>1</v>
      </c>
      <c r="E5" s="174">
        <v>2023</v>
      </c>
      <c r="F5" s="174" t="s">
        <v>7</v>
      </c>
      <c r="G5" s="286"/>
      <c r="H5" s="286"/>
      <c r="I5" s="286"/>
      <c r="J5" s="286"/>
      <c r="K5" s="286"/>
      <c r="L5" s="188">
        <v>4755.9810713999996</v>
      </c>
      <c r="N5" s="152"/>
      <c r="O5" s="152"/>
      <c r="P5" s="154"/>
      <c r="Q5" s="156"/>
    </row>
    <row r="6" spans="1:17">
      <c r="A6" s="174" t="s">
        <v>98</v>
      </c>
      <c r="B6" s="174" t="s">
        <v>25</v>
      </c>
      <c r="C6" s="174" t="s">
        <v>6</v>
      </c>
      <c r="D6" s="175">
        <v>1</v>
      </c>
      <c r="E6" s="174">
        <v>2024</v>
      </c>
      <c r="F6" s="174" t="s">
        <v>7</v>
      </c>
      <c r="G6" s="286"/>
      <c r="H6" s="286"/>
      <c r="I6" s="286"/>
      <c r="J6" s="286"/>
      <c r="K6" s="286"/>
      <c r="L6" s="188">
        <v>4432.8192366777603</v>
      </c>
      <c r="N6" s="152"/>
      <c r="O6" s="152"/>
      <c r="P6" s="154"/>
      <c r="Q6" s="156"/>
    </row>
    <row r="7" spans="1:17">
      <c r="A7" s="174" t="s">
        <v>98</v>
      </c>
      <c r="B7" s="174" t="s">
        <v>25</v>
      </c>
      <c r="C7" s="174" t="s">
        <v>6</v>
      </c>
      <c r="D7" s="175">
        <v>1</v>
      </c>
      <c r="E7" s="174">
        <v>2025</v>
      </c>
      <c r="F7" s="174" t="s">
        <v>7</v>
      </c>
      <c r="G7" s="286"/>
      <c r="H7" s="286"/>
      <c r="I7" s="286"/>
      <c r="J7" s="286"/>
      <c r="K7" s="286"/>
      <c r="L7" s="188">
        <v>4422.7555000000002</v>
      </c>
      <c r="N7" s="152"/>
      <c r="O7" s="152"/>
      <c r="P7" s="154"/>
      <c r="Q7" s="156"/>
    </row>
    <row r="8" spans="1:17">
      <c r="A8" s="174" t="s">
        <v>98</v>
      </c>
      <c r="B8" s="174" t="s">
        <v>25</v>
      </c>
      <c r="C8" s="174" t="s">
        <v>6</v>
      </c>
      <c r="D8" s="175">
        <v>1</v>
      </c>
      <c r="E8" s="174">
        <v>2026</v>
      </c>
      <c r="F8" s="174" t="s">
        <v>7</v>
      </c>
      <c r="G8" s="286"/>
      <c r="H8" s="286"/>
      <c r="I8" s="286"/>
      <c r="J8" s="286"/>
      <c r="K8" s="286"/>
      <c r="L8" s="188">
        <v>4567.7765000000009</v>
      </c>
      <c r="N8" s="152"/>
      <c r="O8" s="152"/>
      <c r="P8" s="154"/>
      <c r="Q8" s="156"/>
    </row>
    <row r="9" spans="1:17">
      <c r="A9" s="174" t="s">
        <v>98</v>
      </c>
      <c r="B9" s="174" t="s">
        <v>25</v>
      </c>
      <c r="C9" s="174" t="s">
        <v>6</v>
      </c>
      <c r="D9" s="175">
        <v>1</v>
      </c>
      <c r="E9" s="174">
        <v>2027</v>
      </c>
      <c r="F9" s="174" t="s">
        <v>7</v>
      </c>
      <c r="G9" s="286"/>
      <c r="H9" s="286"/>
      <c r="I9" s="286"/>
      <c r="J9" s="286"/>
      <c r="K9" s="286"/>
      <c r="L9" s="188">
        <v>4291.8422813659208</v>
      </c>
      <c r="N9" s="152"/>
      <c r="O9" s="152"/>
      <c r="P9" s="157"/>
      <c r="Q9" s="157"/>
    </row>
    <row r="10" spans="1:17">
      <c r="A10" s="174" t="s">
        <v>98</v>
      </c>
      <c r="B10" s="174" t="s">
        <v>25</v>
      </c>
      <c r="C10" s="174" t="s">
        <v>6</v>
      </c>
      <c r="D10" s="175">
        <v>1</v>
      </c>
      <c r="E10" s="174">
        <v>2028</v>
      </c>
      <c r="F10" s="174" t="s">
        <v>7</v>
      </c>
      <c r="G10" s="286"/>
      <c r="H10" s="286"/>
      <c r="I10" s="286"/>
      <c r="J10" s="286"/>
      <c r="K10" s="286"/>
      <c r="L10" s="188">
        <v>3081.4437737448252</v>
      </c>
      <c r="N10" s="152"/>
      <c r="O10" s="152"/>
      <c r="P10" s="157"/>
      <c r="Q10" s="157"/>
    </row>
    <row r="11" spans="1:17">
      <c r="A11" s="174" t="s">
        <v>98</v>
      </c>
      <c r="B11" s="174" t="s">
        <v>25</v>
      </c>
      <c r="C11" s="174" t="s">
        <v>6</v>
      </c>
      <c r="D11" s="175">
        <v>1</v>
      </c>
      <c r="E11" s="174">
        <v>2029</v>
      </c>
      <c r="F11" s="174" t="s">
        <v>7</v>
      </c>
      <c r="G11" s="286"/>
      <c r="H11" s="286"/>
      <c r="I11" s="286"/>
      <c r="J11" s="286"/>
      <c r="K11" s="286"/>
      <c r="L11" s="188">
        <v>3194.3838094085099</v>
      </c>
      <c r="N11" s="152"/>
      <c r="O11" s="152"/>
      <c r="P11" s="157"/>
      <c r="Q11" s="157"/>
    </row>
    <row r="12" spans="1:17">
      <c r="A12" s="174" t="s">
        <v>98</v>
      </c>
      <c r="B12" s="174" t="s">
        <v>25</v>
      </c>
      <c r="C12" s="174" t="s">
        <v>6</v>
      </c>
      <c r="D12" s="175">
        <v>1</v>
      </c>
      <c r="E12" s="174">
        <v>2030</v>
      </c>
      <c r="F12" s="174" t="s">
        <v>7</v>
      </c>
      <c r="G12" s="286"/>
      <c r="H12" s="286"/>
      <c r="I12" s="286"/>
      <c r="J12" s="286"/>
      <c r="K12" s="286"/>
      <c r="L12" s="188">
        <v>3058.3462835105802</v>
      </c>
      <c r="N12" s="152"/>
      <c r="O12" s="152"/>
      <c r="P12" s="157"/>
      <c r="Q12" s="157"/>
    </row>
    <row r="13" spans="1:17">
      <c r="A13" s="174" t="s">
        <v>98</v>
      </c>
      <c r="B13" s="174" t="s">
        <v>25</v>
      </c>
      <c r="C13" s="174" t="s">
        <v>6</v>
      </c>
      <c r="D13" s="175">
        <v>1</v>
      </c>
      <c r="E13" s="174">
        <v>2031</v>
      </c>
      <c r="F13" s="174" t="s">
        <v>7</v>
      </c>
      <c r="G13" s="286"/>
      <c r="H13" s="286"/>
      <c r="I13" s="286"/>
      <c r="J13" s="286"/>
      <c r="K13" s="286"/>
      <c r="L13" s="188">
        <v>3032.2464721193701</v>
      </c>
      <c r="N13" s="152"/>
      <c r="O13" s="152"/>
      <c r="P13" s="157"/>
      <c r="Q13" s="157"/>
    </row>
    <row r="14" spans="1:17">
      <c r="A14" s="174" t="s">
        <v>98</v>
      </c>
      <c r="B14" s="174" t="s">
        <v>25</v>
      </c>
      <c r="C14" s="174" t="s">
        <v>6</v>
      </c>
      <c r="D14" s="175">
        <v>1</v>
      </c>
      <c r="E14" s="174">
        <v>2032</v>
      </c>
      <c r="F14" s="174" t="s">
        <v>7</v>
      </c>
      <c r="G14" s="286"/>
      <c r="H14" s="286"/>
      <c r="I14" s="286"/>
      <c r="J14" s="286"/>
      <c r="K14" s="286"/>
      <c r="L14" s="188">
        <v>3124.7972910666999</v>
      </c>
      <c r="N14" s="152"/>
      <c r="O14" s="152"/>
      <c r="P14" s="157"/>
      <c r="Q14" s="157"/>
    </row>
    <row r="15" spans="1:17">
      <c r="A15" s="174" t="s">
        <v>98</v>
      </c>
      <c r="B15" s="174" t="s">
        <v>25</v>
      </c>
      <c r="C15" s="174" t="s">
        <v>6</v>
      </c>
      <c r="D15" s="175">
        <v>1</v>
      </c>
      <c r="E15" s="174">
        <v>2033</v>
      </c>
      <c r="F15" s="174" t="s">
        <v>7</v>
      </c>
      <c r="G15" s="286"/>
      <c r="H15" s="286"/>
      <c r="I15" s="286"/>
      <c r="J15" s="286"/>
      <c r="K15" s="286"/>
      <c r="L15" s="188">
        <v>2987.5520453918552</v>
      </c>
      <c r="N15" s="152"/>
      <c r="O15" s="152"/>
      <c r="P15" s="157"/>
      <c r="Q15" s="157"/>
    </row>
    <row r="16" spans="1:17">
      <c r="A16" s="174" t="s">
        <v>98</v>
      </c>
      <c r="B16" s="174" t="s">
        <v>25</v>
      </c>
      <c r="C16" s="174" t="s">
        <v>6</v>
      </c>
      <c r="D16" s="175">
        <v>1</v>
      </c>
      <c r="E16" s="174">
        <v>2034</v>
      </c>
      <c r="F16" s="174" t="s">
        <v>7</v>
      </c>
      <c r="G16" s="286"/>
      <c r="H16" s="286"/>
      <c r="I16" s="286"/>
      <c r="J16" s="286"/>
      <c r="K16" s="286"/>
      <c r="L16" s="188">
        <v>3037.7033766236</v>
      </c>
      <c r="N16" s="152"/>
      <c r="O16" s="152"/>
      <c r="P16" s="157"/>
      <c r="Q16" s="157"/>
    </row>
    <row r="17" spans="1:17">
      <c r="A17" s="174" t="s">
        <v>98</v>
      </c>
      <c r="B17" s="174" t="s">
        <v>25</v>
      </c>
      <c r="C17" s="174" t="s">
        <v>6</v>
      </c>
      <c r="D17" s="175">
        <v>1</v>
      </c>
      <c r="E17" s="174">
        <v>2035</v>
      </c>
      <c r="F17" s="174" t="s">
        <v>7</v>
      </c>
      <c r="G17" s="286"/>
      <c r="H17" s="286"/>
      <c r="I17" s="286"/>
      <c r="J17" s="286"/>
      <c r="K17" s="286"/>
      <c r="L17" s="188">
        <v>3375.2285321315949</v>
      </c>
      <c r="N17" s="152"/>
      <c r="O17" s="152"/>
      <c r="P17" s="157"/>
      <c r="Q17" s="157"/>
    </row>
    <row r="18" spans="1:17">
      <c r="A18" s="174" t="s">
        <v>98</v>
      </c>
      <c r="B18" s="174" t="s">
        <v>25</v>
      </c>
      <c r="C18" s="174" t="s">
        <v>6</v>
      </c>
      <c r="D18" s="175">
        <v>1</v>
      </c>
      <c r="E18" s="174">
        <v>2036</v>
      </c>
      <c r="F18" s="174" t="s">
        <v>7</v>
      </c>
      <c r="G18" s="286"/>
      <c r="H18" s="286"/>
      <c r="I18" s="286"/>
      <c r="J18" s="286"/>
      <c r="K18" s="286"/>
      <c r="L18" s="188">
        <v>2962.8136347640148</v>
      </c>
      <c r="N18" s="152"/>
      <c r="O18" s="152"/>
      <c r="P18" s="157"/>
      <c r="Q18" s="157"/>
    </row>
    <row r="19" spans="1:17">
      <c r="A19" s="174" t="s">
        <v>98</v>
      </c>
      <c r="B19" s="174" t="s">
        <v>25</v>
      </c>
      <c r="C19" s="174" t="s">
        <v>6</v>
      </c>
      <c r="D19" s="175">
        <v>1</v>
      </c>
      <c r="E19" s="174">
        <v>2037</v>
      </c>
      <c r="F19" s="174" t="s">
        <v>7</v>
      </c>
      <c r="G19" s="286"/>
      <c r="H19" s="286"/>
      <c r="I19" s="286"/>
      <c r="J19" s="286"/>
      <c r="K19" s="286"/>
      <c r="L19" s="188">
        <v>2648.7513496194151</v>
      </c>
      <c r="N19" s="152"/>
      <c r="O19" s="152"/>
      <c r="P19" s="157"/>
      <c r="Q19" s="157"/>
    </row>
    <row r="20" spans="1:17">
      <c r="A20" s="174" t="s">
        <v>98</v>
      </c>
      <c r="B20" s="174" t="s">
        <v>25</v>
      </c>
      <c r="C20" s="174" t="s">
        <v>6</v>
      </c>
      <c r="D20" s="175">
        <v>1</v>
      </c>
      <c r="E20" s="174">
        <v>2038</v>
      </c>
      <c r="F20" s="174" t="s">
        <v>7</v>
      </c>
      <c r="G20" s="286"/>
      <c r="H20" s="286"/>
      <c r="I20" s="286"/>
      <c r="J20" s="286"/>
      <c r="K20" s="286"/>
      <c r="L20" s="188">
        <v>2934.9056644441152</v>
      </c>
      <c r="N20" s="152"/>
      <c r="O20" s="152"/>
      <c r="P20" s="157"/>
      <c r="Q20" s="157"/>
    </row>
    <row r="21" spans="1:17">
      <c r="A21" s="174" t="s">
        <v>98</v>
      </c>
      <c r="B21" s="174" t="s">
        <v>25</v>
      </c>
      <c r="C21" s="174" t="s">
        <v>6</v>
      </c>
      <c r="D21" s="175">
        <v>1</v>
      </c>
      <c r="E21" s="174">
        <v>2039</v>
      </c>
      <c r="F21" s="174" t="s">
        <v>7</v>
      </c>
      <c r="G21" s="286"/>
      <c r="H21" s="286"/>
      <c r="I21" s="286"/>
      <c r="J21" s="286"/>
      <c r="K21" s="286"/>
      <c r="L21" s="188">
        <v>3034.5219623068101</v>
      </c>
      <c r="N21" s="152"/>
      <c r="O21" s="152"/>
      <c r="P21" s="157"/>
      <c r="Q21" s="157"/>
    </row>
    <row r="22" spans="1:17">
      <c r="A22" s="174" t="s">
        <v>98</v>
      </c>
      <c r="B22" s="174" t="s">
        <v>25</v>
      </c>
      <c r="C22" s="174" t="s">
        <v>6</v>
      </c>
      <c r="D22" s="175">
        <v>1</v>
      </c>
      <c r="E22" s="174">
        <v>2040</v>
      </c>
      <c r="F22" s="176" t="s">
        <v>7</v>
      </c>
      <c r="G22" s="286"/>
      <c r="H22" s="286"/>
      <c r="I22" s="286"/>
      <c r="J22" s="286"/>
      <c r="K22" s="286"/>
      <c r="L22" s="188">
        <v>2921.9904979225248</v>
      </c>
      <c r="N22" s="30"/>
      <c r="O22" s="121"/>
      <c r="P22" s="153"/>
      <c r="Q22" s="155"/>
    </row>
    <row r="23" spans="1:17">
      <c r="A23" s="174" t="s">
        <v>98</v>
      </c>
      <c r="B23" s="174" t="s">
        <v>25</v>
      </c>
      <c r="C23" s="174" t="s">
        <v>6</v>
      </c>
      <c r="D23" s="175">
        <v>1</v>
      </c>
      <c r="E23" s="174">
        <v>2041</v>
      </c>
      <c r="F23" s="176" t="s">
        <v>7</v>
      </c>
      <c r="G23" s="286"/>
      <c r="H23" s="286"/>
      <c r="I23" s="286"/>
      <c r="J23" s="286"/>
      <c r="K23" s="286"/>
      <c r="L23" s="188">
        <v>3049.8184303488551</v>
      </c>
      <c r="N23" s="30"/>
      <c r="O23" s="121"/>
      <c r="P23" s="153"/>
      <c r="Q23" s="155"/>
    </row>
    <row r="24" spans="1:17">
      <c r="A24" s="174" t="s">
        <v>98</v>
      </c>
      <c r="B24" s="174" t="s">
        <v>25</v>
      </c>
      <c r="C24" s="174" t="s">
        <v>6</v>
      </c>
      <c r="D24" s="175">
        <v>1</v>
      </c>
      <c r="E24" s="174">
        <v>2042</v>
      </c>
      <c r="F24" s="176" t="s">
        <v>7</v>
      </c>
      <c r="G24" s="286"/>
      <c r="H24" s="286"/>
      <c r="I24" s="286"/>
      <c r="J24" s="286"/>
      <c r="K24" s="286"/>
      <c r="L24" s="188">
        <v>2696.4303602945402</v>
      </c>
      <c r="N24" s="30"/>
      <c r="O24" s="121"/>
      <c r="P24" s="153"/>
      <c r="Q24" s="155"/>
    </row>
    <row r="25" spans="1:17">
      <c r="A25" s="174" t="s">
        <v>98</v>
      </c>
      <c r="B25" s="174" t="s">
        <v>25</v>
      </c>
      <c r="C25" s="174" t="s">
        <v>6</v>
      </c>
      <c r="D25" s="175">
        <v>1</v>
      </c>
      <c r="E25" s="174">
        <v>2043</v>
      </c>
      <c r="F25" s="176" t="s">
        <v>7</v>
      </c>
      <c r="G25" s="286"/>
      <c r="H25" s="286"/>
      <c r="I25" s="286"/>
      <c r="J25" s="286"/>
      <c r="K25" s="286"/>
      <c r="L25" s="188">
        <v>2861.34051762026</v>
      </c>
      <c r="N25" s="30"/>
      <c r="O25" s="121"/>
      <c r="P25" s="153"/>
      <c r="Q25" s="155"/>
    </row>
    <row r="26" spans="1:17">
      <c r="A26" s="174" t="s">
        <v>98</v>
      </c>
      <c r="B26" s="174" t="s">
        <v>25</v>
      </c>
      <c r="C26" s="174" t="s">
        <v>6</v>
      </c>
      <c r="D26" s="175">
        <v>1</v>
      </c>
      <c r="E26" s="174">
        <v>2044</v>
      </c>
      <c r="F26" s="176" t="s">
        <v>7</v>
      </c>
      <c r="G26" s="286"/>
      <c r="H26" s="286"/>
      <c r="I26" s="286"/>
      <c r="J26" s="286"/>
      <c r="K26" s="286"/>
      <c r="L26" s="188">
        <v>3002.6575665471851</v>
      </c>
      <c r="N26" s="30"/>
      <c r="O26" s="121"/>
      <c r="P26" s="153"/>
      <c r="Q26" s="155"/>
    </row>
    <row r="27" spans="1:17">
      <c r="A27" s="174" t="s">
        <v>98</v>
      </c>
      <c r="B27" s="174" t="s">
        <v>25</v>
      </c>
      <c r="C27" s="174" t="s">
        <v>6</v>
      </c>
      <c r="D27" s="175">
        <v>1</v>
      </c>
      <c r="E27" s="174">
        <v>2045</v>
      </c>
      <c r="F27" s="176" t="s">
        <v>7</v>
      </c>
      <c r="G27" s="286"/>
      <c r="H27" s="286"/>
      <c r="I27" s="286"/>
      <c r="J27" s="286"/>
      <c r="K27" s="286"/>
      <c r="L27" s="188">
        <v>2758.42871419942</v>
      </c>
      <c r="N27" s="30"/>
      <c r="O27" s="121"/>
      <c r="P27" s="153"/>
      <c r="Q27" s="155"/>
    </row>
    <row r="28" spans="1:17">
      <c r="A28" s="174" t="s">
        <v>98</v>
      </c>
      <c r="B28" s="174" t="s">
        <v>25</v>
      </c>
      <c r="C28" s="174" t="s">
        <v>6</v>
      </c>
      <c r="D28" s="175">
        <v>1</v>
      </c>
      <c r="E28" s="174">
        <v>2046</v>
      </c>
      <c r="F28" s="176" t="s">
        <v>7</v>
      </c>
      <c r="G28" s="286"/>
      <c r="H28" s="286"/>
      <c r="I28" s="286"/>
      <c r="J28" s="286"/>
      <c r="K28" s="286"/>
      <c r="L28" s="188">
        <v>2858.6525048138501</v>
      </c>
      <c r="N28" s="30"/>
      <c r="O28" s="121"/>
      <c r="P28" s="153"/>
      <c r="Q28" s="155"/>
    </row>
    <row r="29" spans="1:17">
      <c r="A29" s="174" t="s">
        <v>98</v>
      </c>
      <c r="B29" s="174" t="s">
        <v>25</v>
      </c>
      <c r="C29" s="174" t="s">
        <v>6</v>
      </c>
      <c r="D29" s="175">
        <v>1</v>
      </c>
      <c r="E29" s="174">
        <v>2047</v>
      </c>
      <c r="F29" s="176" t="s">
        <v>7</v>
      </c>
      <c r="G29" s="286"/>
      <c r="H29" s="286"/>
      <c r="I29" s="286"/>
      <c r="J29" s="286"/>
      <c r="K29" s="286"/>
      <c r="L29" s="188">
        <v>3062.7920111519197</v>
      </c>
      <c r="N29" s="150"/>
      <c r="O29" s="150"/>
      <c r="P29" s="150"/>
      <c r="Q29" s="150"/>
    </row>
    <row r="30" spans="1:17">
      <c r="A30" s="174" t="s">
        <v>98</v>
      </c>
      <c r="B30" s="174" t="s">
        <v>25</v>
      </c>
      <c r="C30" s="174" t="s">
        <v>6</v>
      </c>
      <c r="D30" s="175">
        <v>1</v>
      </c>
      <c r="E30" s="174">
        <v>2048</v>
      </c>
      <c r="F30" s="176" t="s">
        <v>7</v>
      </c>
      <c r="G30" s="286"/>
      <c r="H30" s="286"/>
      <c r="I30" s="286"/>
      <c r="J30" s="286"/>
      <c r="K30" s="286"/>
      <c r="L30" s="188">
        <v>2853.6171150140353</v>
      </c>
    </row>
    <row r="31" spans="1:17">
      <c r="A31" s="174" t="s">
        <v>98</v>
      </c>
      <c r="B31" s="174" t="s">
        <v>25</v>
      </c>
      <c r="C31" s="174" t="s">
        <v>6</v>
      </c>
      <c r="D31" s="175">
        <v>1</v>
      </c>
      <c r="E31" s="174">
        <v>2049</v>
      </c>
      <c r="F31" s="176" t="s">
        <v>7</v>
      </c>
      <c r="G31" s="286"/>
      <c r="H31" s="286"/>
      <c r="I31" s="286"/>
      <c r="J31" s="286"/>
      <c r="K31" s="286"/>
      <c r="L31" s="188">
        <v>2533.0178776597249</v>
      </c>
    </row>
    <row r="32" spans="1:17">
      <c r="A32" s="174" t="s">
        <v>98</v>
      </c>
      <c r="B32" s="174" t="s">
        <v>25</v>
      </c>
      <c r="C32" s="174" t="s">
        <v>12</v>
      </c>
      <c r="D32" s="175">
        <v>1</v>
      </c>
      <c r="E32" s="174">
        <v>2020</v>
      </c>
      <c r="F32" s="187" t="s">
        <v>9</v>
      </c>
      <c r="G32" s="286"/>
      <c r="H32" s="286"/>
      <c r="I32" s="286"/>
      <c r="J32" s="286"/>
      <c r="K32" s="286"/>
      <c r="L32" s="180">
        <v>140590.8465877235</v>
      </c>
    </row>
    <row r="33" spans="1:12">
      <c r="A33" s="174" t="s">
        <v>98</v>
      </c>
      <c r="B33" s="174" t="s">
        <v>25</v>
      </c>
      <c r="C33" s="174" t="s">
        <v>12</v>
      </c>
      <c r="D33" s="175">
        <v>1</v>
      </c>
      <c r="E33" s="174">
        <v>2021</v>
      </c>
      <c r="F33" s="187" t="s">
        <v>9</v>
      </c>
      <c r="G33" s="286"/>
      <c r="H33" s="286"/>
      <c r="I33" s="286"/>
      <c r="J33" s="286"/>
      <c r="K33" s="286"/>
      <c r="L33" s="180">
        <v>130640.47088488625</v>
      </c>
    </row>
    <row r="34" spans="1:12">
      <c r="A34" s="174" t="s">
        <v>98</v>
      </c>
      <c r="B34" s="174" t="s">
        <v>25</v>
      </c>
      <c r="C34" s="174" t="s">
        <v>12</v>
      </c>
      <c r="D34" s="175">
        <v>1</v>
      </c>
      <c r="E34" s="174">
        <v>2022</v>
      </c>
      <c r="F34" s="187" t="s">
        <v>9</v>
      </c>
      <c r="G34" s="286"/>
      <c r="H34" s="286"/>
      <c r="I34" s="286"/>
      <c r="J34" s="286"/>
      <c r="K34" s="286"/>
      <c r="L34" s="180">
        <v>144944.55451368884</v>
      </c>
    </row>
    <row r="35" spans="1:12">
      <c r="A35" s="174" t="s">
        <v>98</v>
      </c>
      <c r="B35" s="174" t="s">
        <v>25</v>
      </c>
      <c r="C35" s="174" t="s">
        <v>12</v>
      </c>
      <c r="D35" s="175">
        <v>1</v>
      </c>
      <c r="E35" s="174">
        <v>2023</v>
      </c>
      <c r="F35" s="187" t="s">
        <v>9</v>
      </c>
      <c r="G35" s="286"/>
      <c r="H35" s="286"/>
      <c r="I35" s="286"/>
      <c r="J35" s="286"/>
      <c r="K35" s="286"/>
      <c r="L35" s="180">
        <v>109385.42139375824</v>
      </c>
    </row>
    <row r="36" spans="1:12">
      <c r="A36" s="174" t="s">
        <v>98</v>
      </c>
      <c r="B36" s="174" t="s">
        <v>25</v>
      </c>
      <c r="C36" s="174" t="s">
        <v>12</v>
      </c>
      <c r="D36" s="175">
        <v>1</v>
      </c>
      <c r="E36" s="174">
        <v>2024</v>
      </c>
      <c r="F36" s="187" t="s">
        <v>9</v>
      </c>
      <c r="G36" s="286"/>
      <c r="H36" s="286"/>
      <c r="I36" s="286"/>
      <c r="J36" s="286"/>
      <c r="K36" s="286"/>
      <c r="L36" s="180">
        <v>107443.39319704394</v>
      </c>
    </row>
    <row r="37" spans="1:12">
      <c r="A37" s="174" t="s">
        <v>98</v>
      </c>
      <c r="B37" s="174" t="s">
        <v>25</v>
      </c>
      <c r="C37" s="174" t="s">
        <v>12</v>
      </c>
      <c r="D37" s="175">
        <v>1</v>
      </c>
      <c r="E37" s="174">
        <v>2025</v>
      </c>
      <c r="F37" s="187" t="s">
        <v>9</v>
      </c>
      <c r="G37" s="286"/>
      <c r="H37" s="286"/>
      <c r="I37" s="286"/>
      <c r="J37" s="286"/>
      <c r="K37" s="286"/>
      <c r="L37" s="180">
        <v>110601.92309251073</v>
      </c>
    </row>
    <row r="38" spans="1:12">
      <c r="A38" s="174" t="s">
        <v>98</v>
      </c>
      <c r="B38" s="174" t="s">
        <v>25</v>
      </c>
      <c r="C38" s="174" t="s">
        <v>12</v>
      </c>
      <c r="D38" s="175">
        <v>1</v>
      </c>
      <c r="E38" s="174">
        <v>2026</v>
      </c>
      <c r="F38" s="187" t="s">
        <v>9</v>
      </c>
      <c r="G38" s="286"/>
      <c r="H38" s="286"/>
      <c r="I38" s="286"/>
      <c r="J38" s="286"/>
      <c r="K38" s="286"/>
      <c r="L38" s="180">
        <v>119158.0944721463</v>
      </c>
    </row>
    <row r="39" spans="1:12">
      <c r="A39" s="174" t="s">
        <v>98</v>
      </c>
      <c r="B39" s="174" t="s">
        <v>25</v>
      </c>
      <c r="C39" s="174" t="s">
        <v>12</v>
      </c>
      <c r="D39" s="175">
        <v>1</v>
      </c>
      <c r="E39" s="174">
        <v>2027</v>
      </c>
      <c r="F39" s="187" t="s">
        <v>9</v>
      </c>
      <c r="G39" s="286"/>
      <c r="H39" s="286"/>
      <c r="I39" s="286"/>
      <c r="J39" s="286"/>
      <c r="K39" s="286"/>
      <c r="L39" s="180">
        <v>117350.15955367261</v>
      </c>
    </row>
    <row r="40" spans="1:12">
      <c r="A40" s="174" t="s">
        <v>98</v>
      </c>
      <c r="B40" s="174" t="s">
        <v>25</v>
      </c>
      <c r="C40" s="174" t="s">
        <v>12</v>
      </c>
      <c r="D40" s="175">
        <v>1</v>
      </c>
      <c r="E40" s="174">
        <v>2028</v>
      </c>
      <c r="F40" s="187" t="s">
        <v>9</v>
      </c>
      <c r="G40" s="286"/>
      <c r="H40" s="286"/>
      <c r="I40" s="286"/>
      <c r="J40" s="286"/>
      <c r="K40" s="286"/>
      <c r="L40" s="180">
        <v>84115.742988471247</v>
      </c>
    </row>
    <row r="41" spans="1:12">
      <c r="A41" s="174" t="s">
        <v>98</v>
      </c>
      <c r="B41" s="174" t="s">
        <v>25</v>
      </c>
      <c r="C41" s="174" t="s">
        <v>12</v>
      </c>
      <c r="D41" s="175">
        <v>1</v>
      </c>
      <c r="E41" s="174">
        <v>2029</v>
      </c>
      <c r="F41" s="187" t="s">
        <v>9</v>
      </c>
      <c r="G41" s="286"/>
      <c r="H41" s="286"/>
      <c r="I41" s="286"/>
      <c r="J41" s="286"/>
      <c r="K41" s="286"/>
      <c r="L41" s="180">
        <v>86577.989189339656</v>
      </c>
    </row>
    <row r="42" spans="1:12">
      <c r="A42" s="174" t="s">
        <v>98</v>
      </c>
      <c r="B42" s="174" t="s">
        <v>25</v>
      </c>
      <c r="C42" s="174" t="s">
        <v>12</v>
      </c>
      <c r="D42" s="175">
        <v>1</v>
      </c>
      <c r="E42" s="174">
        <v>2030</v>
      </c>
      <c r="F42" s="187" t="s">
        <v>9</v>
      </c>
      <c r="G42" s="286"/>
      <c r="H42" s="286"/>
      <c r="I42" s="286"/>
      <c r="J42" s="286"/>
      <c r="K42" s="286"/>
      <c r="L42" s="180">
        <v>85210.0075346292</v>
      </c>
    </row>
    <row r="43" spans="1:12">
      <c r="A43" s="174" t="s">
        <v>98</v>
      </c>
      <c r="B43" s="174" t="s">
        <v>25</v>
      </c>
      <c r="C43" s="174" t="s">
        <v>12</v>
      </c>
      <c r="D43" s="175">
        <v>1</v>
      </c>
      <c r="E43" s="174">
        <v>2031</v>
      </c>
      <c r="F43" s="187" t="s">
        <v>9</v>
      </c>
      <c r="G43" s="286"/>
      <c r="H43" s="286"/>
      <c r="I43" s="286"/>
      <c r="J43" s="286"/>
      <c r="K43" s="286"/>
      <c r="L43" s="180">
        <v>79467.758662475942</v>
      </c>
    </row>
    <row r="44" spans="1:12">
      <c r="A44" s="174" t="s">
        <v>98</v>
      </c>
      <c r="B44" s="174" t="s">
        <v>25</v>
      </c>
      <c r="C44" s="174" t="s">
        <v>12</v>
      </c>
      <c r="D44" s="175">
        <v>1</v>
      </c>
      <c r="E44" s="174">
        <v>2032</v>
      </c>
      <c r="F44" s="187" t="s">
        <v>9</v>
      </c>
      <c r="G44" s="286"/>
      <c r="H44" s="286"/>
      <c r="I44" s="286"/>
      <c r="J44" s="286"/>
      <c r="K44" s="286"/>
      <c r="L44" s="180">
        <v>82415.336522473852</v>
      </c>
    </row>
    <row r="45" spans="1:12">
      <c r="A45" s="174" t="s">
        <v>98</v>
      </c>
      <c r="B45" s="174" t="s">
        <v>25</v>
      </c>
      <c r="C45" s="174" t="s">
        <v>12</v>
      </c>
      <c r="D45" s="175">
        <v>1</v>
      </c>
      <c r="E45" s="174">
        <v>2033</v>
      </c>
      <c r="F45" s="187" t="s">
        <v>9</v>
      </c>
      <c r="G45" s="286"/>
      <c r="H45" s="286"/>
      <c r="I45" s="286"/>
      <c r="J45" s="286"/>
      <c r="K45" s="286"/>
      <c r="L45" s="180">
        <v>78224.415797057751</v>
      </c>
    </row>
    <row r="46" spans="1:12">
      <c r="A46" s="174" t="s">
        <v>98</v>
      </c>
      <c r="B46" s="174" t="s">
        <v>25</v>
      </c>
      <c r="C46" s="174" t="s">
        <v>12</v>
      </c>
      <c r="D46" s="175">
        <v>1</v>
      </c>
      <c r="E46" s="174">
        <v>2034</v>
      </c>
      <c r="F46" s="187" t="s">
        <v>9</v>
      </c>
      <c r="G46" s="286"/>
      <c r="H46" s="286"/>
      <c r="I46" s="286"/>
      <c r="J46" s="286"/>
      <c r="K46" s="286"/>
      <c r="L46" s="180">
        <v>80781.544684334891</v>
      </c>
    </row>
    <row r="47" spans="1:12">
      <c r="A47" s="174" t="s">
        <v>98</v>
      </c>
      <c r="B47" s="174" t="s">
        <v>25</v>
      </c>
      <c r="C47" s="174" t="s">
        <v>12</v>
      </c>
      <c r="D47" s="175">
        <v>1</v>
      </c>
      <c r="E47" s="174">
        <v>2035</v>
      </c>
      <c r="F47" s="187" t="s">
        <v>9</v>
      </c>
      <c r="G47" s="286"/>
      <c r="H47" s="286"/>
      <c r="I47" s="286"/>
      <c r="J47" s="286"/>
      <c r="K47" s="286"/>
      <c r="L47" s="180">
        <v>90253.407902858511</v>
      </c>
    </row>
    <row r="48" spans="1:12">
      <c r="A48" s="174" t="s">
        <v>98</v>
      </c>
      <c r="B48" s="174" t="s">
        <v>25</v>
      </c>
      <c r="C48" s="174" t="s">
        <v>12</v>
      </c>
      <c r="D48" s="175">
        <v>1</v>
      </c>
      <c r="E48" s="174">
        <v>2036</v>
      </c>
      <c r="F48" s="187" t="s">
        <v>9</v>
      </c>
      <c r="G48" s="286"/>
      <c r="H48" s="286"/>
      <c r="I48" s="286"/>
      <c r="J48" s="286"/>
      <c r="K48" s="286"/>
      <c r="L48" s="180">
        <v>81444.947131707944</v>
      </c>
    </row>
    <row r="49" spans="1:12">
      <c r="A49" s="174" t="s">
        <v>98</v>
      </c>
      <c r="B49" s="174" t="s">
        <v>25</v>
      </c>
      <c r="C49" s="174" t="s">
        <v>12</v>
      </c>
      <c r="D49" s="175">
        <v>1</v>
      </c>
      <c r="E49" s="174">
        <v>2037</v>
      </c>
      <c r="F49" s="187" t="s">
        <v>9</v>
      </c>
      <c r="G49" s="286"/>
      <c r="H49" s="286"/>
      <c r="I49" s="286"/>
      <c r="J49" s="286"/>
      <c r="K49" s="286"/>
      <c r="L49" s="180">
        <v>77610.428641460545</v>
      </c>
    </row>
    <row r="50" spans="1:12">
      <c r="A50" s="174" t="s">
        <v>98</v>
      </c>
      <c r="B50" s="174" t="s">
        <v>25</v>
      </c>
      <c r="C50" s="174" t="s">
        <v>12</v>
      </c>
      <c r="D50" s="175">
        <v>1</v>
      </c>
      <c r="E50" s="174">
        <v>2038</v>
      </c>
      <c r="F50" s="187" t="s">
        <v>9</v>
      </c>
      <c r="G50" s="286"/>
      <c r="H50" s="286"/>
      <c r="I50" s="286"/>
      <c r="J50" s="286"/>
      <c r="K50" s="286"/>
      <c r="L50" s="180">
        <v>85385.726598727852</v>
      </c>
    </row>
    <row r="51" spans="1:12">
      <c r="A51" s="174" t="s">
        <v>98</v>
      </c>
      <c r="B51" s="174" t="s">
        <v>25</v>
      </c>
      <c r="C51" s="174" t="s">
        <v>12</v>
      </c>
      <c r="D51" s="175">
        <v>1</v>
      </c>
      <c r="E51" s="174">
        <v>2039</v>
      </c>
      <c r="F51" s="187" t="s">
        <v>9</v>
      </c>
      <c r="G51" s="286"/>
      <c r="H51" s="286"/>
      <c r="I51" s="286"/>
      <c r="J51" s="286"/>
      <c r="K51" s="286"/>
      <c r="L51" s="180">
        <v>88589.903224188049</v>
      </c>
    </row>
    <row r="52" spans="1:12">
      <c r="A52" s="174" t="s">
        <v>98</v>
      </c>
      <c r="B52" s="174" t="s">
        <v>25</v>
      </c>
      <c r="C52" s="174" t="s">
        <v>12</v>
      </c>
      <c r="D52" s="175">
        <v>1</v>
      </c>
      <c r="E52" s="174">
        <v>2040</v>
      </c>
      <c r="F52" s="187" t="s">
        <v>9</v>
      </c>
      <c r="G52" s="286"/>
      <c r="H52" s="286"/>
      <c r="I52" s="286"/>
      <c r="J52" s="286"/>
      <c r="K52" s="286"/>
      <c r="L52" s="180">
        <v>87133.388318171841</v>
      </c>
    </row>
    <row r="53" spans="1:12">
      <c r="A53" s="174" t="s">
        <v>98</v>
      </c>
      <c r="B53" s="174" t="s">
        <v>25</v>
      </c>
      <c r="C53" s="174" t="s">
        <v>12</v>
      </c>
      <c r="D53" s="175">
        <v>1</v>
      </c>
      <c r="E53" s="174">
        <v>2041</v>
      </c>
      <c r="F53" s="187" t="s">
        <v>9</v>
      </c>
      <c r="G53" s="286"/>
      <c r="H53" s="286"/>
      <c r="I53" s="286"/>
      <c r="J53" s="286"/>
      <c r="K53" s="286"/>
      <c r="L53" s="180">
        <v>92556.451584278839</v>
      </c>
    </row>
    <row r="54" spans="1:12">
      <c r="A54" s="174" t="s">
        <v>98</v>
      </c>
      <c r="B54" s="174" t="s">
        <v>25</v>
      </c>
      <c r="C54" s="174" t="s">
        <v>12</v>
      </c>
      <c r="D54" s="175">
        <v>1</v>
      </c>
      <c r="E54" s="174">
        <v>2042</v>
      </c>
      <c r="F54" s="187" t="s">
        <v>9</v>
      </c>
      <c r="G54" s="286"/>
      <c r="H54" s="286"/>
      <c r="I54" s="286"/>
      <c r="J54" s="286"/>
      <c r="K54" s="286"/>
      <c r="L54" s="180">
        <v>83382.649746594456</v>
      </c>
    </row>
    <row r="55" spans="1:12">
      <c r="A55" s="174" t="s">
        <v>98</v>
      </c>
      <c r="B55" s="174" t="s">
        <v>25</v>
      </c>
      <c r="C55" s="174" t="s">
        <v>12</v>
      </c>
      <c r="D55" s="175">
        <v>1</v>
      </c>
      <c r="E55" s="174">
        <v>2043</v>
      </c>
      <c r="F55" s="187" t="s">
        <v>9</v>
      </c>
      <c r="G55" s="286"/>
      <c r="H55" s="286"/>
      <c r="I55" s="286"/>
      <c r="J55" s="286"/>
      <c r="K55" s="286"/>
      <c r="L55" s="180">
        <v>90404.898211310239</v>
      </c>
    </row>
    <row r="56" spans="1:12">
      <c r="A56" s="174" t="s">
        <v>98</v>
      </c>
      <c r="B56" s="174" t="s">
        <v>25</v>
      </c>
      <c r="C56" s="174" t="s">
        <v>12</v>
      </c>
      <c r="D56" s="175">
        <v>1</v>
      </c>
      <c r="E56" s="174">
        <v>2044</v>
      </c>
      <c r="F56" s="187" t="s">
        <v>9</v>
      </c>
      <c r="G56" s="286"/>
      <c r="H56" s="286"/>
      <c r="I56" s="286"/>
      <c r="J56" s="286"/>
      <c r="K56" s="286"/>
      <c r="L56" s="180">
        <v>96598.632836365752</v>
      </c>
    </row>
    <row r="57" spans="1:12">
      <c r="A57" s="174" t="s">
        <v>98</v>
      </c>
      <c r="B57" s="174" t="s">
        <v>25</v>
      </c>
      <c r="C57" s="174" t="s">
        <v>12</v>
      </c>
      <c r="D57" s="175">
        <v>1</v>
      </c>
      <c r="E57" s="174">
        <v>2045</v>
      </c>
      <c r="F57" s="187" t="s">
        <v>9</v>
      </c>
      <c r="G57" s="286"/>
      <c r="H57" s="286"/>
      <c r="I57" s="286"/>
      <c r="J57" s="286"/>
      <c r="K57" s="286"/>
      <c r="L57" s="180">
        <v>90418.730460398539</v>
      </c>
    </row>
    <row r="58" spans="1:12">
      <c r="A58" s="174" t="s">
        <v>98</v>
      </c>
      <c r="B58" s="174" t="s">
        <v>25</v>
      </c>
      <c r="C58" s="174" t="s">
        <v>12</v>
      </c>
      <c r="D58" s="175">
        <v>1</v>
      </c>
      <c r="E58" s="174">
        <v>2046</v>
      </c>
      <c r="F58" s="187" t="s">
        <v>9</v>
      </c>
      <c r="G58" s="286"/>
      <c r="H58" s="286"/>
      <c r="I58" s="286"/>
      <c r="J58" s="286"/>
      <c r="K58" s="286"/>
      <c r="L58" s="180">
        <v>95714.778812693461</v>
      </c>
    </row>
    <row r="59" spans="1:12">
      <c r="A59" s="174" t="s">
        <v>98</v>
      </c>
      <c r="B59" s="174" t="s">
        <v>25</v>
      </c>
      <c r="C59" s="174" t="s">
        <v>12</v>
      </c>
      <c r="D59" s="175">
        <v>1</v>
      </c>
      <c r="E59" s="174">
        <v>2047</v>
      </c>
      <c r="F59" s="187" t="s">
        <v>9</v>
      </c>
      <c r="G59" s="286"/>
      <c r="H59" s="286"/>
      <c r="I59" s="286"/>
      <c r="J59" s="286"/>
      <c r="K59" s="286"/>
      <c r="L59" s="180">
        <v>104483.9466959725</v>
      </c>
    </row>
    <row r="60" spans="1:12">
      <c r="A60" s="174" t="s">
        <v>98</v>
      </c>
      <c r="B60" s="174" t="s">
        <v>25</v>
      </c>
      <c r="C60" s="174" t="s">
        <v>12</v>
      </c>
      <c r="D60" s="175">
        <v>1</v>
      </c>
      <c r="E60" s="174">
        <v>2048</v>
      </c>
      <c r="F60" s="187" t="s">
        <v>9</v>
      </c>
      <c r="G60" s="286"/>
      <c r="H60" s="286"/>
      <c r="I60" s="286"/>
      <c r="J60" s="286"/>
      <c r="K60" s="286"/>
      <c r="L60" s="180">
        <v>99123.78602030201</v>
      </c>
    </row>
    <row r="61" spans="1:12">
      <c r="A61" s="174" t="s">
        <v>98</v>
      </c>
      <c r="B61" s="174" t="s">
        <v>25</v>
      </c>
      <c r="C61" s="174" t="s">
        <v>12</v>
      </c>
      <c r="D61" s="175">
        <v>1</v>
      </c>
      <c r="E61" s="174">
        <v>2049</v>
      </c>
      <c r="F61" s="187" t="s">
        <v>9</v>
      </c>
      <c r="G61" s="286"/>
      <c r="H61" s="286"/>
      <c r="I61" s="286"/>
      <c r="J61" s="286"/>
      <c r="K61" s="286"/>
      <c r="L61" s="180">
        <v>89911.236511193303</v>
      </c>
    </row>
    <row r="62" spans="1:12">
      <c r="A62" s="174" t="s">
        <v>98</v>
      </c>
      <c r="B62" s="174" t="s">
        <v>25</v>
      </c>
      <c r="C62" s="174" t="s">
        <v>13</v>
      </c>
      <c r="D62" s="175">
        <v>1</v>
      </c>
      <c r="E62" s="174">
        <v>2020</v>
      </c>
      <c r="F62" s="187" t="s">
        <v>9</v>
      </c>
      <c r="G62" s="286"/>
      <c r="H62" s="286"/>
      <c r="I62" s="286"/>
      <c r="J62" s="286"/>
      <c r="K62" s="286"/>
      <c r="L62" s="180">
        <v>9649.2314550646934</v>
      </c>
    </row>
    <row r="63" spans="1:12">
      <c r="A63" s="174" t="s">
        <v>98</v>
      </c>
      <c r="B63" s="174" t="s">
        <v>25</v>
      </c>
      <c r="C63" s="174" t="s">
        <v>13</v>
      </c>
      <c r="D63" s="175">
        <v>1</v>
      </c>
      <c r="E63" s="174">
        <v>2021</v>
      </c>
      <c r="F63" s="187" t="s">
        <v>9</v>
      </c>
      <c r="G63" s="286"/>
      <c r="H63" s="286"/>
      <c r="I63" s="286"/>
      <c r="J63" s="286"/>
      <c r="K63" s="286"/>
      <c r="L63" s="180">
        <v>9063.6565670477539</v>
      </c>
    </row>
    <row r="64" spans="1:12">
      <c r="A64" s="174" t="s">
        <v>98</v>
      </c>
      <c r="B64" s="174" t="s">
        <v>25</v>
      </c>
      <c r="C64" s="174" t="s">
        <v>13</v>
      </c>
      <c r="D64" s="175">
        <v>1</v>
      </c>
      <c r="E64" s="174">
        <v>2022</v>
      </c>
      <c r="F64" s="187" t="s">
        <v>9</v>
      </c>
      <c r="G64" s="286"/>
      <c r="H64" s="286"/>
      <c r="I64" s="286"/>
      <c r="J64" s="286"/>
      <c r="K64" s="286"/>
      <c r="L64" s="180">
        <v>10746.252883291378</v>
      </c>
    </row>
    <row r="65" spans="1:12">
      <c r="A65" s="174" t="s">
        <v>98</v>
      </c>
      <c r="B65" s="174" t="s">
        <v>25</v>
      </c>
      <c r="C65" s="174" t="s">
        <v>13</v>
      </c>
      <c r="D65" s="175">
        <v>1</v>
      </c>
      <c r="E65" s="174">
        <v>2023</v>
      </c>
      <c r="F65" s="187" t="s">
        <v>9</v>
      </c>
      <c r="G65" s="286"/>
      <c r="H65" s="286"/>
      <c r="I65" s="286"/>
      <c r="J65" s="286"/>
      <c r="K65" s="286"/>
      <c r="L65" s="180">
        <v>9850.7272891658904</v>
      </c>
    </row>
    <row r="66" spans="1:12">
      <c r="A66" s="174" t="s">
        <v>98</v>
      </c>
      <c r="B66" s="174" t="s">
        <v>25</v>
      </c>
      <c r="C66" s="174" t="s">
        <v>13</v>
      </c>
      <c r="D66" s="175">
        <v>1</v>
      </c>
      <c r="E66" s="174">
        <v>2024</v>
      </c>
      <c r="F66" s="187" t="s">
        <v>9</v>
      </c>
      <c r="G66" s="286"/>
      <c r="H66" s="286"/>
      <c r="I66" s="286"/>
      <c r="J66" s="286"/>
      <c r="K66" s="286"/>
      <c r="L66" s="180">
        <v>9359.6142952554746</v>
      </c>
    </row>
    <row r="67" spans="1:12">
      <c r="A67" s="174" t="s">
        <v>98</v>
      </c>
      <c r="B67" s="174" t="s">
        <v>25</v>
      </c>
      <c r="C67" s="174" t="s">
        <v>13</v>
      </c>
      <c r="D67" s="175">
        <v>1</v>
      </c>
      <c r="E67" s="174">
        <v>2025</v>
      </c>
      <c r="F67" s="187" t="s">
        <v>9</v>
      </c>
      <c r="G67" s="286"/>
      <c r="H67" s="286"/>
      <c r="I67" s="286"/>
      <c r="J67" s="286"/>
      <c r="K67" s="286"/>
      <c r="L67" s="180">
        <v>9583.2771026293049</v>
      </c>
    </row>
    <row r="68" spans="1:12">
      <c r="A68" s="174" t="s">
        <v>98</v>
      </c>
      <c r="B68" s="174" t="s">
        <v>25</v>
      </c>
      <c r="C68" s="174" t="s">
        <v>13</v>
      </c>
      <c r="D68" s="175">
        <v>1</v>
      </c>
      <c r="E68" s="174">
        <v>2026</v>
      </c>
      <c r="F68" s="187" t="s">
        <v>9</v>
      </c>
      <c r="G68" s="286"/>
      <c r="H68" s="286"/>
      <c r="I68" s="286"/>
      <c r="J68" s="286"/>
      <c r="K68" s="286"/>
      <c r="L68" s="180">
        <v>10107.282854575664</v>
      </c>
    </row>
    <row r="69" spans="1:12">
      <c r="A69" s="174" t="s">
        <v>98</v>
      </c>
      <c r="B69" s="174" t="s">
        <v>25</v>
      </c>
      <c r="C69" s="174" t="s">
        <v>13</v>
      </c>
      <c r="D69" s="175">
        <v>1</v>
      </c>
      <c r="E69" s="174">
        <v>2027</v>
      </c>
      <c r="F69" s="187" t="s">
        <v>9</v>
      </c>
      <c r="G69" s="286"/>
      <c r="H69" s="286"/>
      <c r="I69" s="286"/>
      <c r="J69" s="286"/>
      <c r="K69" s="286"/>
      <c r="L69" s="180">
        <v>9709.3753449207888</v>
      </c>
    </row>
    <row r="70" spans="1:12">
      <c r="A70" s="174" t="s">
        <v>98</v>
      </c>
      <c r="B70" s="174" t="s">
        <v>25</v>
      </c>
      <c r="C70" s="174" t="s">
        <v>13</v>
      </c>
      <c r="D70" s="175">
        <v>1</v>
      </c>
      <c r="E70" s="174">
        <v>2028</v>
      </c>
      <c r="F70" s="187" t="s">
        <v>9</v>
      </c>
      <c r="G70" s="286"/>
      <c r="H70" s="286"/>
      <c r="I70" s="286"/>
      <c r="J70" s="286"/>
      <c r="K70" s="286"/>
      <c r="L70" s="180">
        <v>7088.330285424875</v>
      </c>
    </row>
    <row r="71" spans="1:12">
      <c r="A71" s="174" t="s">
        <v>98</v>
      </c>
      <c r="B71" s="174" t="s">
        <v>25</v>
      </c>
      <c r="C71" s="174" t="s">
        <v>13</v>
      </c>
      <c r="D71" s="175">
        <v>1</v>
      </c>
      <c r="E71" s="174">
        <v>2029</v>
      </c>
      <c r="F71" s="187" t="s">
        <v>9</v>
      </c>
      <c r="G71" s="286"/>
      <c r="H71" s="286"/>
      <c r="I71" s="286"/>
      <c r="J71" s="286"/>
      <c r="K71" s="286"/>
      <c r="L71" s="180">
        <v>7527.4593311982144</v>
      </c>
    </row>
    <row r="72" spans="1:12">
      <c r="A72" s="174" t="s">
        <v>98</v>
      </c>
      <c r="B72" s="174" t="s">
        <v>25</v>
      </c>
      <c r="C72" s="174" t="s">
        <v>13</v>
      </c>
      <c r="D72" s="175">
        <v>1</v>
      </c>
      <c r="E72" s="174">
        <v>2030</v>
      </c>
      <c r="F72" s="187" t="s">
        <v>9</v>
      </c>
      <c r="G72" s="286"/>
      <c r="H72" s="286"/>
      <c r="I72" s="286"/>
      <c r="J72" s="286"/>
      <c r="K72" s="286"/>
      <c r="L72" s="180">
        <v>7348.245305039135</v>
      </c>
    </row>
    <row r="73" spans="1:12">
      <c r="A73" s="174" t="s">
        <v>98</v>
      </c>
      <c r="B73" s="174" t="s">
        <v>25</v>
      </c>
      <c r="C73" s="174" t="s">
        <v>13</v>
      </c>
      <c r="D73" s="175">
        <v>1</v>
      </c>
      <c r="E73" s="174">
        <v>2031</v>
      </c>
      <c r="F73" s="187" t="s">
        <v>9</v>
      </c>
      <c r="G73" s="286"/>
      <c r="H73" s="286"/>
      <c r="I73" s="286"/>
      <c r="J73" s="286"/>
      <c r="K73" s="286"/>
      <c r="L73" s="180">
        <v>7579.3778797364803</v>
      </c>
    </row>
    <row r="74" spans="1:12">
      <c r="A74" s="174" t="s">
        <v>98</v>
      </c>
      <c r="B74" s="174" t="s">
        <v>25</v>
      </c>
      <c r="C74" s="174" t="s">
        <v>13</v>
      </c>
      <c r="D74" s="175">
        <v>1</v>
      </c>
      <c r="E74" s="174">
        <v>2032</v>
      </c>
      <c r="F74" s="187" t="s">
        <v>9</v>
      </c>
      <c r="G74" s="286"/>
      <c r="H74" s="286"/>
      <c r="I74" s="286"/>
      <c r="J74" s="286"/>
      <c r="K74" s="286"/>
      <c r="L74" s="180">
        <v>7968.7428996136296</v>
      </c>
    </row>
    <row r="75" spans="1:12">
      <c r="A75" s="174" t="s">
        <v>98</v>
      </c>
      <c r="B75" s="174" t="s">
        <v>25</v>
      </c>
      <c r="C75" s="174" t="s">
        <v>13</v>
      </c>
      <c r="D75" s="175">
        <v>1</v>
      </c>
      <c r="E75" s="174">
        <v>2033</v>
      </c>
      <c r="F75" s="187" t="s">
        <v>9</v>
      </c>
      <c r="G75" s="286"/>
      <c r="H75" s="286"/>
      <c r="I75" s="286"/>
      <c r="J75" s="286"/>
      <c r="K75" s="286"/>
      <c r="L75" s="180">
        <v>7762.60314906638</v>
      </c>
    </row>
    <row r="76" spans="1:12">
      <c r="A76" s="174" t="s">
        <v>98</v>
      </c>
      <c r="B76" s="174" t="s">
        <v>25</v>
      </c>
      <c r="C76" s="174" t="s">
        <v>13</v>
      </c>
      <c r="D76" s="175">
        <v>1</v>
      </c>
      <c r="E76" s="174">
        <v>2034</v>
      </c>
      <c r="F76" s="187" t="s">
        <v>9</v>
      </c>
      <c r="G76" s="286"/>
      <c r="H76" s="286"/>
      <c r="I76" s="286"/>
      <c r="J76" s="286"/>
      <c r="K76" s="286"/>
      <c r="L76" s="180">
        <v>8091.6756915823144</v>
      </c>
    </row>
    <row r="77" spans="1:12">
      <c r="A77" s="174" t="s">
        <v>98</v>
      </c>
      <c r="B77" s="174" t="s">
        <v>25</v>
      </c>
      <c r="C77" s="174" t="s">
        <v>13</v>
      </c>
      <c r="D77" s="175">
        <v>1</v>
      </c>
      <c r="E77" s="174">
        <v>2035</v>
      </c>
      <c r="F77" s="187" t="s">
        <v>9</v>
      </c>
      <c r="G77" s="286"/>
      <c r="H77" s="286"/>
      <c r="I77" s="286"/>
      <c r="J77" s="286"/>
      <c r="K77" s="286"/>
      <c r="L77" s="180">
        <v>9184.5428456436202</v>
      </c>
    </row>
    <row r="78" spans="1:12">
      <c r="A78" s="174" t="s">
        <v>98</v>
      </c>
      <c r="B78" s="174" t="s">
        <v>25</v>
      </c>
      <c r="C78" s="174" t="s">
        <v>13</v>
      </c>
      <c r="D78" s="175">
        <v>1</v>
      </c>
      <c r="E78" s="174">
        <v>2036</v>
      </c>
      <c r="F78" s="187" t="s">
        <v>9</v>
      </c>
      <c r="G78" s="286"/>
      <c r="H78" s="286"/>
      <c r="I78" s="286"/>
      <c r="J78" s="286"/>
      <c r="K78" s="286"/>
      <c r="L78" s="180">
        <v>8202.645439221109</v>
      </c>
    </row>
    <row r="79" spans="1:12">
      <c r="A79" s="174" t="s">
        <v>98</v>
      </c>
      <c r="B79" s="174" t="s">
        <v>25</v>
      </c>
      <c r="C79" s="174" t="s">
        <v>13</v>
      </c>
      <c r="D79" s="175">
        <v>1</v>
      </c>
      <c r="E79" s="174">
        <v>2037</v>
      </c>
      <c r="F79" s="187" t="s">
        <v>9</v>
      </c>
      <c r="G79" s="286"/>
      <c r="H79" s="286"/>
      <c r="I79" s="286"/>
      <c r="J79" s="286"/>
      <c r="K79" s="286"/>
      <c r="L79" s="180">
        <v>7504.7774845267395</v>
      </c>
    </row>
    <row r="80" spans="1:12">
      <c r="A80" s="174" t="s">
        <v>98</v>
      </c>
      <c r="B80" s="174" t="s">
        <v>25</v>
      </c>
      <c r="C80" s="174" t="s">
        <v>13</v>
      </c>
      <c r="D80" s="175">
        <v>1</v>
      </c>
      <c r="E80" s="174">
        <v>2038</v>
      </c>
      <c r="F80" s="187" t="s">
        <v>9</v>
      </c>
      <c r="G80" s="286"/>
      <c r="H80" s="286"/>
      <c r="I80" s="286"/>
      <c r="J80" s="286"/>
      <c r="K80" s="286"/>
      <c r="L80" s="180">
        <v>8487.6767995288446</v>
      </c>
    </row>
    <row r="81" spans="1:12">
      <c r="A81" s="174" t="s">
        <v>98</v>
      </c>
      <c r="B81" s="174" t="s">
        <v>25</v>
      </c>
      <c r="C81" s="174" t="s">
        <v>13</v>
      </c>
      <c r="D81" s="175">
        <v>1</v>
      </c>
      <c r="E81" s="174">
        <v>2039</v>
      </c>
      <c r="F81" s="187" t="s">
        <v>9</v>
      </c>
      <c r="G81" s="286"/>
      <c r="H81" s="286"/>
      <c r="I81" s="286"/>
      <c r="J81" s="286"/>
      <c r="K81" s="286"/>
      <c r="L81" s="180">
        <v>8965.9640533451857</v>
      </c>
    </row>
    <row r="82" spans="1:12">
      <c r="A82" s="174" t="s">
        <v>98</v>
      </c>
      <c r="B82" s="174" t="s">
        <v>25</v>
      </c>
      <c r="C82" s="174" t="s">
        <v>13</v>
      </c>
      <c r="D82" s="175">
        <v>1</v>
      </c>
      <c r="E82" s="174">
        <v>2040</v>
      </c>
      <c r="F82" s="187" t="s">
        <v>9</v>
      </c>
      <c r="G82" s="286"/>
      <c r="H82" s="286"/>
      <c r="I82" s="286"/>
      <c r="J82" s="286"/>
      <c r="K82" s="286"/>
      <c r="L82" s="180">
        <v>8842.3372866733098</v>
      </c>
    </row>
    <row r="83" spans="1:12">
      <c r="A83" s="174" t="s">
        <v>98</v>
      </c>
      <c r="B83" s="174" t="s">
        <v>25</v>
      </c>
      <c r="C83" s="174" t="s">
        <v>13</v>
      </c>
      <c r="D83" s="175">
        <v>1</v>
      </c>
      <c r="E83" s="174">
        <v>2041</v>
      </c>
      <c r="F83" s="187" t="s">
        <v>9</v>
      </c>
      <c r="G83" s="286"/>
      <c r="H83" s="286"/>
      <c r="I83" s="286"/>
      <c r="J83" s="286"/>
      <c r="K83" s="286"/>
      <c r="L83" s="180">
        <v>9397.0144594976846</v>
      </c>
    </row>
    <row r="84" spans="1:12">
      <c r="A84" s="174" t="s">
        <v>98</v>
      </c>
      <c r="B84" s="174" t="s">
        <v>25</v>
      </c>
      <c r="C84" s="174" t="s">
        <v>13</v>
      </c>
      <c r="D84" s="175">
        <v>1</v>
      </c>
      <c r="E84" s="174">
        <v>2042</v>
      </c>
      <c r="F84" s="187" t="s">
        <v>9</v>
      </c>
      <c r="G84" s="286"/>
      <c r="H84" s="286"/>
      <c r="I84" s="286"/>
      <c r="J84" s="286"/>
      <c r="K84" s="286"/>
      <c r="L84" s="180">
        <v>8482.8389400509695</v>
      </c>
    </row>
    <row r="85" spans="1:12">
      <c r="A85" s="174" t="s">
        <v>98</v>
      </c>
      <c r="B85" s="174" t="s">
        <v>25</v>
      </c>
      <c r="C85" s="174" t="s">
        <v>13</v>
      </c>
      <c r="D85" s="175">
        <v>1</v>
      </c>
      <c r="E85" s="174">
        <v>2043</v>
      </c>
      <c r="F85" s="187" t="s">
        <v>9</v>
      </c>
      <c r="G85" s="286"/>
      <c r="H85" s="286"/>
      <c r="I85" s="286"/>
      <c r="J85" s="286"/>
      <c r="K85" s="286"/>
      <c r="L85" s="180">
        <v>9224.9185916287897</v>
      </c>
    </row>
    <row r="86" spans="1:12">
      <c r="A86" s="174" t="s">
        <v>98</v>
      </c>
      <c r="B86" s="174" t="s">
        <v>25</v>
      </c>
      <c r="C86" s="174" t="s">
        <v>13</v>
      </c>
      <c r="D86" s="175">
        <v>1</v>
      </c>
      <c r="E86" s="174">
        <v>2044</v>
      </c>
      <c r="F86" s="187" t="s">
        <v>9</v>
      </c>
      <c r="G86" s="286"/>
      <c r="H86" s="286"/>
      <c r="I86" s="286"/>
      <c r="J86" s="286"/>
      <c r="K86" s="286"/>
      <c r="L86" s="180">
        <v>9866.5201615555397</v>
      </c>
    </row>
    <row r="87" spans="1:12">
      <c r="A87" s="174" t="s">
        <v>98</v>
      </c>
      <c r="B87" s="174" t="s">
        <v>25</v>
      </c>
      <c r="C87" s="174" t="s">
        <v>13</v>
      </c>
      <c r="D87" s="175">
        <v>1</v>
      </c>
      <c r="E87" s="174">
        <v>2045</v>
      </c>
      <c r="F87" s="187" t="s">
        <v>9</v>
      </c>
      <c r="G87" s="286"/>
      <c r="H87" s="286"/>
      <c r="I87" s="286"/>
      <c r="J87" s="286"/>
      <c r="K87" s="286"/>
      <c r="L87" s="180">
        <v>9256.0550697734507</v>
      </c>
    </row>
    <row r="88" spans="1:12">
      <c r="A88" s="174" t="s">
        <v>98</v>
      </c>
      <c r="B88" s="174" t="s">
        <v>25</v>
      </c>
      <c r="C88" s="174" t="s">
        <v>13</v>
      </c>
      <c r="D88" s="175">
        <v>1</v>
      </c>
      <c r="E88" s="174">
        <v>2046</v>
      </c>
      <c r="F88" s="187" t="s">
        <v>9</v>
      </c>
      <c r="G88" s="286"/>
      <c r="H88" s="286"/>
      <c r="I88" s="286"/>
      <c r="J88" s="286"/>
      <c r="K88" s="286"/>
      <c r="L88" s="180">
        <v>9829.9762922497193</v>
      </c>
    </row>
    <row r="89" spans="1:12">
      <c r="A89" s="174" t="s">
        <v>98</v>
      </c>
      <c r="B89" s="174" t="s">
        <v>25</v>
      </c>
      <c r="C89" s="174" t="s">
        <v>13</v>
      </c>
      <c r="D89" s="175">
        <v>1</v>
      </c>
      <c r="E89" s="174">
        <v>2047</v>
      </c>
      <c r="F89" s="187" t="s">
        <v>9</v>
      </c>
      <c r="G89" s="286"/>
      <c r="H89" s="286"/>
      <c r="I89" s="286"/>
      <c r="J89" s="286"/>
      <c r="K89" s="286"/>
      <c r="L89" s="180">
        <v>10748.6508608602</v>
      </c>
    </row>
    <row r="90" spans="1:12">
      <c r="A90" s="174" t="s">
        <v>98</v>
      </c>
      <c r="B90" s="174" t="s">
        <v>25</v>
      </c>
      <c r="C90" s="174" t="s">
        <v>13</v>
      </c>
      <c r="D90" s="175">
        <v>1</v>
      </c>
      <c r="E90" s="174">
        <v>2048</v>
      </c>
      <c r="F90" s="187" t="s">
        <v>9</v>
      </c>
      <c r="G90" s="286"/>
      <c r="H90" s="286"/>
      <c r="I90" s="286"/>
      <c r="J90" s="286"/>
      <c r="K90" s="286"/>
      <c r="L90" s="180">
        <v>10211.66217274562</v>
      </c>
    </row>
    <row r="91" spans="1:12">
      <c r="A91" s="174" t="s">
        <v>98</v>
      </c>
      <c r="B91" s="174" t="s">
        <v>25</v>
      </c>
      <c r="C91" s="174" t="s">
        <v>13</v>
      </c>
      <c r="D91" s="175">
        <v>1</v>
      </c>
      <c r="E91" s="174">
        <v>2049</v>
      </c>
      <c r="F91" s="187" t="s">
        <v>9</v>
      </c>
      <c r="G91" s="286"/>
      <c r="H91" s="286"/>
      <c r="I91" s="286"/>
      <c r="J91" s="286"/>
      <c r="K91" s="286"/>
      <c r="L91" s="180">
        <v>9295.8469696113643</v>
      </c>
    </row>
    <row r="92" spans="1:12">
      <c r="A92" s="174" t="s">
        <v>98</v>
      </c>
      <c r="B92" s="174" t="s">
        <v>25</v>
      </c>
      <c r="C92" s="174" t="s">
        <v>106</v>
      </c>
      <c r="D92" s="175">
        <v>1</v>
      </c>
      <c r="E92" s="174">
        <v>2020</v>
      </c>
      <c r="F92" s="187" t="s">
        <v>9</v>
      </c>
      <c r="G92" s="286"/>
      <c r="H92" s="286"/>
      <c r="I92" s="286"/>
      <c r="J92" s="286"/>
      <c r="K92" s="286"/>
      <c r="L92" s="180">
        <v>2248.8632321590003</v>
      </c>
    </row>
    <row r="93" spans="1:12">
      <c r="A93" s="174" t="s">
        <v>98</v>
      </c>
      <c r="B93" s="174" t="s">
        <v>25</v>
      </c>
      <c r="C93" s="174" t="s">
        <v>106</v>
      </c>
      <c r="D93" s="175">
        <v>1</v>
      </c>
      <c r="E93" s="174">
        <v>2021</v>
      </c>
      <c r="F93" s="187" t="s">
        <v>9</v>
      </c>
      <c r="G93" s="286"/>
      <c r="H93" s="286"/>
      <c r="I93" s="286"/>
      <c r="J93" s="286"/>
      <c r="K93" s="286"/>
      <c r="L93" s="180">
        <v>2831.1990757815001</v>
      </c>
    </row>
    <row r="94" spans="1:12">
      <c r="A94" s="174" t="s">
        <v>98</v>
      </c>
      <c r="B94" s="174" t="s">
        <v>25</v>
      </c>
      <c r="C94" s="174" t="s">
        <v>106</v>
      </c>
      <c r="D94" s="175">
        <v>1</v>
      </c>
      <c r="E94" s="174">
        <v>2022</v>
      </c>
      <c r="F94" s="187" t="s">
        <v>9</v>
      </c>
      <c r="G94" s="286"/>
      <c r="H94" s="286"/>
      <c r="I94" s="286"/>
      <c r="J94" s="286"/>
      <c r="K94" s="286"/>
      <c r="L94" s="180">
        <v>2123.3771621140004</v>
      </c>
    </row>
    <row r="95" spans="1:12">
      <c r="A95" s="174" t="s">
        <v>98</v>
      </c>
      <c r="B95" s="174" t="s">
        <v>25</v>
      </c>
      <c r="C95" s="174" t="s">
        <v>106</v>
      </c>
      <c r="D95" s="175">
        <v>1</v>
      </c>
      <c r="E95" s="174">
        <v>2023</v>
      </c>
      <c r="F95" s="187" t="s">
        <v>9</v>
      </c>
      <c r="G95" s="286"/>
      <c r="H95" s="286"/>
      <c r="I95" s="286"/>
      <c r="J95" s="286"/>
      <c r="K95" s="286"/>
      <c r="L95" s="180">
        <v>1322.0493221400002</v>
      </c>
    </row>
    <row r="96" spans="1:12">
      <c r="A96" s="174" t="s">
        <v>98</v>
      </c>
      <c r="B96" s="174" t="s">
        <v>25</v>
      </c>
      <c r="C96" s="174" t="s">
        <v>106</v>
      </c>
      <c r="D96" s="175">
        <v>1</v>
      </c>
      <c r="E96" s="174">
        <v>2024</v>
      </c>
      <c r="F96" s="187" t="s">
        <v>9</v>
      </c>
      <c r="G96" s="286"/>
      <c r="H96" s="286"/>
      <c r="I96" s="286"/>
      <c r="J96" s="286"/>
      <c r="K96" s="286"/>
      <c r="L96" s="180">
        <v>1470.0310590699999</v>
      </c>
    </row>
    <row r="97" spans="1:12">
      <c r="A97" s="174" t="s">
        <v>98</v>
      </c>
      <c r="B97" s="174" t="s">
        <v>25</v>
      </c>
      <c r="C97" s="174" t="s">
        <v>106</v>
      </c>
      <c r="D97" s="175">
        <v>1</v>
      </c>
      <c r="E97" s="174">
        <v>2025</v>
      </c>
      <c r="F97" s="187" t="s">
        <v>9</v>
      </c>
      <c r="G97" s="286"/>
      <c r="H97" s="286"/>
      <c r="I97" s="286"/>
      <c r="J97" s="286"/>
      <c r="K97" s="286"/>
      <c r="L97" s="180">
        <v>1318.4450688349998</v>
      </c>
    </row>
    <row r="98" spans="1:12">
      <c r="A98" s="174" t="s">
        <v>98</v>
      </c>
      <c r="B98" s="174" t="s">
        <v>25</v>
      </c>
      <c r="C98" s="174" t="s">
        <v>106</v>
      </c>
      <c r="D98" s="175">
        <v>1</v>
      </c>
      <c r="E98" s="174">
        <v>2026</v>
      </c>
      <c r="F98" s="187" t="s">
        <v>9</v>
      </c>
      <c r="G98" s="286"/>
      <c r="H98" s="286"/>
      <c r="I98" s="286"/>
      <c r="J98" s="286"/>
      <c r="K98" s="286"/>
      <c r="L98" s="180">
        <v>1573.5034019</v>
      </c>
    </row>
    <row r="99" spans="1:12">
      <c r="A99" s="174" t="s">
        <v>98</v>
      </c>
      <c r="B99" s="174" t="s">
        <v>25</v>
      </c>
      <c r="C99" s="174" t="s">
        <v>106</v>
      </c>
      <c r="D99" s="175">
        <v>1</v>
      </c>
      <c r="E99" s="174">
        <v>2027</v>
      </c>
      <c r="F99" s="187" t="s">
        <v>9</v>
      </c>
      <c r="G99" s="286"/>
      <c r="H99" s="286"/>
      <c r="I99" s="286"/>
      <c r="J99" s="286"/>
      <c r="K99" s="286"/>
      <c r="L99" s="180">
        <v>1391.968804095</v>
      </c>
    </row>
    <row r="100" spans="1:12">
      <c r="A100" s="174" t="s">
        <v>98</v>
      </c>
      <c r="B100" s="174" t="s">
        <v>25</v>
      </c>
      <c r="C100" s="174" t="s">
        <v>106</v>
      </c>
      <c r="D100" s="175">
        <v>1</v>
      </c>
      <c r="E100" s="174">
        <v>2028</v>
      </c>
      <c r="F100" s="187" t="s">
        <v>9</v>
      </c>
      <c r="G100" s="286"/>
      <c r="H100" s="286"/>
      <c r="I100" s="286"/>
      <c r="J100" s="286"/>
      <c r="K100" s="286"/>
      <c r="L100" s="180">
        <v>1949.9057263650002</v>
      </c>
    </row>
    <row r="101" spans="1:12">
      <c r="A101" s="174" t="s">
        <v>98</v>
      </c>
      <c r="B101" s="174" t="s">
        <v>25</v>
      </c>
      <c r="C101" s="174" t="s">
        <v>106</v>
      </c>
      <c r="D101" s="175">
        <v>1</v>
      </c>
      <c r="E101" s="174">
        <v>2029</v>
      </c>
      <c r="F101" s="187" t="s">
        <v>9</v>
      </c>
      <c r="G101" s="286"/>
      <c r="H101" s="286"/>
      <c r="I101" s="286"/>
      <c r="J101" s="286"/>
      <c r="K101" s="286"/>
      <c r="L101" s="180">
        <v>2224.7205175899999</v>
      </c>
    </row>
    <row r="102" spans="1:12">
      <c r="A102" s="174" t="s">
        <v>98</v>
      </c>
      <c r="B102" s="174" t="s">
        <v>25</v>
      </c>
      <c r="C102" s="174" t="s">
        <v>106</v>
      </c>
      <c r="D102" s="175">
        <v>1</v>
      </c>
      <c r="E102" s="174">
        <v>2030</v>
      </c>
      <c r="F102" s="187" t="s">
        <v>9</v>
      </c>
      <c r="G102" s="286"/>
      <c r="H102" s="286"/>
      <c r="I102" s="286"/>
      <c r="J102" s="286"/>
      <c r="K102" s="286"/>
      <c r="L102" s="180">
        <v>1816.9815089149999</v>
      </c>
    </row>
    <row r="103" spans="1:12">
      <c r="A103" s="174" t="s">
        <v>98</v>
      </c>
      <c r="B103" s="174" t="s">
        <v>25</v>
      </c>
      <c r="C103" s="174" t="s">
        <v>106</v>
      </c>
      <c r="D103" s="175">
        <v>1</v>
      </c>
      <c r="E103" s="174">
        <v>2031</v>
      </c>
      <c r="F103" s="187" t="s">
        <v>9</v>
      </c>
      <c r="G103" s="286"/>
      <c r="H103" s="286"/>
      <c r="I103" s="286"/>
      <c r="J103" s="286"/>
      <c r="K103" s="286"/>
      <c r="L103" s="180">
        <v>1797.13995561</v>
      </c>
    </row>
    <row r="104" spans="1:12">
      <c r="A104" s="174" t="s">
        <v>98</v>
      </c>
      <c r="B104" s="174" t="s">
        <v>25</v>
      </c>
      <c r="C104" s="174" t="s">
        <v>106</v>
      </c>
      <c r="D104" s="175">
        <v>1</v>
      </c>
      <c r="E104" s="174">
        <v>2032</v>
      </c>
      <c r="F104" s="187" t="s">
        <v>9</v>
      </c>
      <c r="G104" s="286"/>
      <c r="H104" s="286"/>
      <c r="I104" s="286"/>
      <c r="J104" s="286"/>
      <c r="K104" s="286"/>
      <c r="L104" s="180">
        <v>1920.233125495</v>
      </c>
    </row>
    <row r="105" spans="1:12">
      <c r="A105" s="174" t="s">
        <v>98</v>
      </c>
      <c r="B105" s="174" t="s">
        <v>25</v>
      </c>
      <c r="C105" s="174" t="s">
        <v>106</v>
      </c>
      <c r="D105" s="175">
        <v>1</v>
      </c>
      <c r="E105" s="174">
        <v>2033</v>
      </c>
      <c r="F105" s="187" t="s">
        <v>9</v>
      </c>
      <c r="G105" s="286"/>
      <c r="H105" s="286"/>
      <c r="I105" s="286"/>
      <c r="J105" s="286"/>
      <c r="K105" s="286"/>
      <c r="L105" s="180">
        <v>1960.245005925</v>
      </c>
    </row>
    <row r="106" spans="1:12">
      <c r="A106" s="174" t="s">
        <v>98</v>
      </c>
      <c r="B106" s="174" t="s">
        <v>25</v>
      </c>
      <c r="C106" s="174" t="s">
        <v>106</v>
      </c>
      <c r="D106" s="175">
        <v>1</v>
      </c>
      <c r="E106" s="174">
        <v>2034</v>
      </c>
      <c r="F106" s="187" t="s">
        <v>9</v>
      </c>
      <c r="G106" s="286"/>
      <c r="H106" s="286"/>
      <c r="I106" s="286"/>
      <c r="J106" s="286"/>
      <c r="K106" s="286"/>
      <c r="L106" s="180">
        <v>1940.27530712</v>
      </c>
    </row>
    <row r="107" spans="1:12">
      <c r="A107" s="174" t="s">
        <v>98</v>
      </c>
      <c r="B107" s="174" t="s">
        <v>25</v>
      </c>
      <c r="C107" s="174" t="s">
        <v>106</v>
      </c>
      <c r="D107" s="175">
        <v>1</v>
      </c>
      <c r="E107" s="174">
        <v>2035</v>
      </c>
      <c r="F107" s="187" t="s">
        <v>9</v>
      </c>
      <c r="G107" s="286"/>
      <c r="H107" s="286"/>
      <c r="I107" s="286"/>
      <c r="J107" s="286"/>
      <c r="K107" s="286"/>
      <c r="L107" s="180">
        <v>1897.4198524899998</v>
      </c>
    </row>
    <row r="108" spans="1:12">
      <c r="A108" s="174" t="s">
        <v>98</v>
      </c>
      <c r="B108" s="174" t="s">
        <v>25</v>
      </c>
      <c r="C108" s="174" t="s">
        <v>106</v>
      </c>
      <c r="D108" s="175">
        <v>1</v>
      </c>
      <c r="E108" s="174">
        <v>2036</v>
      </c>
      <c r="F108" s="187" t="s">
        <v>9</v>
      </c>
      <c r="G108" s="286"/>
      <c r="H108" s="286"/>
      <c r="I108" s="286"/>
      <c r="J108" s="286"/>
      <c r="K108" s="286"/>
      <c r="L108" s="180">
        <v>1910.6300538800001</v>
      </c>
    </row>
    <row r="109" spans="1:12">
      <c r="A109" s="174" t="s">
        <v>98</v>
      </c>
      <c r="B109" s="174" t="s">
        <v>25</v>
      </c>
      <c r="C109" s="174" t="s">
        <v>106</v>
      </c>
      <c r="D109" s="175">
        <v>1</v>
      </c>
      <c r="E109" s="174">
        <v>2037</v>
      </c>
      <c r="F109" s="187" t="s">
        <v>9</v>
      </c>
      <c r="G109" s="286"/>
      <c r="H109" s="286"/>
      <c r="I109" s="286"/>
      <c r="J109" s="286"/>
      <c r="K109" s="286"/>
      <c r="L109" s="180">
        <v>1927.3159152800001</v>
      </c>
    </row>
    <row r="110" spans="1:12">
      <c r="A110" s="174" t="s">
        <v>98</v>
      </c>
      <c r="B110" s="174" t="s">
        <v>25</v>
      </c>
      <c r="C110" s="174" t="s">
        <v>106</v>
      </c>
      <c r="D110" s="175">
        <v>1</v>
      </c>
      <c r="E110" s="174">
        <v>2038</v>
      </c>
      <c r="F110" s="187" t="s">
        <v>9</v>
      </c>
      <c r="G110" s="286"/>
      <c r="H110" s="286"/>
      <c r="I110" s="286"/>
      <c r="J110" s="286"/>
      <c r="K110" s="286"/>
      <c r="L110" s="180">
        <v>2594.6660820249999</v>
      </c>
    </row>
    <row r="111" spans="1:12">
      <c r="A111" s="174" t="s">
        <v>98</v>
      </c>
      <c r="B111" s="174" t="s">
        <v>25</v>
      </c>
      <c r="C111" s="174" t="s">
        <v>106</v>
      </c>
      <c r="D111" s="175">
        <v>1</v>
      </c>
      <c r="E111" s="174">
        <v>2039</v>
      </c>
      <c r="F111" s="187" t="s">
        <v>9</v>
      </c>
      <c r="G111" s="286"/>
      <c r="H111" s="286"/>
      <c r="I111" s="286"/>
      <c r="J111" s="286"/>
      <c r="K111" s="286"/>
      <c r="L111" s="180">
        <v>2122.81139506</v>
      </c>
    </row>
    <row r="112" spans="1:12">
      <c r="A112" s="174" t="s">
        <v>98</v>
      </c>
      <c r="B112" s="174" t="s">
        <v>25</v>
      </c>
      <c r="C112" s="174" t="s">
        <v>106</v>
      </c>
      <c r="D112" s="175">
        <v>1</v>
      </c>
      <c r="E112" s="174">
        <v>2040</v>
      </c>
      <c r="F112" s="187" t="s">
        <v>9</v>
      </c>
      <c r="G112" s="286"/>
      <c r="H112" s="286"/>
      <c r="I112" s="286"/>
      <c r="J112" s="286"/>
      <c r="K112" s="286"/>
      <c r="L112" s="180">
        <v>2046.69023846</v>
      </c>
    </row>
    <row r="113" spans="1:12">
      <c r="A113" s="174" t="s">
        <v>98</v>
      </c>
      <c r="B113" s="174" t="s">
        <v>25</v>
      </c>
      <c r="C113" s="174" t="s">
        <v>106</v>
      </c>
      <c r="D113" s="175">
        <v>1</v>
      </c>
      <c r="E113" s="174">
        <v>2041</v>
      </c>
      <c r="F113" s="187" t="s">
        <v>9</v>
      </c>
      <c r="G113" s="286"/>
      <c r="H113" s="286"/>
      <c r="I113" s="286"/>
      <c r="J113" s="286"/>
      <c r="K113" s="286"/>
      <c r="L113" s="180">
        <v>2213.9189425700001</v>
      </c>
    </row>
    <row r="114" spans="1:12">
      <c r="A114" s="174" t="s">
        <v>98</v>
      </c>
      <c r="B114" s="174" t="s">
        <v>25</v>
      </c>
      <c r="C114" s="174" t="s">
        <v>106</v>
      </c>
      <c r="D114" s="175">
        <v>1</v>
      </c>
      <c r="E114" s="174">
        <v>2042</v>
      </c>
      <c r="F114" s="187" t="s">
        <v>9</v>
      </c>
      <c r="G114" s="286"/>
      <c r="H114" s="286"/>
      <c r="I114" s="286"/>
      <c r="J114" s="286"/>
      <c r="K114" s="286"/>
      <c r="L114" s="180">
        <v>2278.6515704049998</v>
      </c>
    </row>
    <row r="115" spans="1:12">
      <c r="A115" s="174" t="s">
        <v>98</v>
      </c>
      <c r="B115" s="174" t="s">
        <v>25</v>
      </c>
      <c r="C115" s="174" t="s">
        <v>106</v>
      </c>
      <c r="D115" s="175">
        <v>1</v>
      </c>
      <c r="E115" s="174">
        <v>2043</v>
      </c>
      <c r="F115" s="187" t="s">
        <v>9</v>
      </c>
      <c r="G115" s="286"/>
      <c r="H115" s="286"/>
      <c r="I115" s="286"/>
      <c r="J115" s="286"/>
      <c r="K115" s="286"/>
      <c r="L115" s="180">
        <v>2073.0661955400001</v>
      </c>
    </row>
    <row r="116" spans="1:12">
      <c r="A116" s="174" t="s">
        <v>98</v>
      </c>
      <c r="B116" s="174" t="s">
        <v>25</v>
      </c>
      <c r="C116" s="174" t="s">
        <v>106</v>
      </c>
      <c r="D116" s="175">
        <v>1</v>
      </c>
      <c r="E116" s="174">
        <v>2044</v>
      </c>
      <c r="F116" s="187" t="s">
        <v>9</v>
      </c>
      <c r="G116" s="286"/>
      <c r="H116" s="286"/>
      <c r="I116" s="286"/>
      <c r="J116" s="286"/>
      <c r="K116" s="286"/>
      <c r="L116" s="180">
        <v>2344.1136084300001</v>
      </c>
    </row>
    <row r="117" spans="1:12">
      <c r="A117" s="174" t="s">
        <v>98</v>
      </c>
      <c r="B117" s="174" t="s">
        <v>25</v>
      </c>
      <c r="C117" s="174" t="s">
        <v>106</v>
      </c>
      <c r="D117" s="175">
        <v>1</v>
      </c>
      <c r="E117" s="174">
        <v>2045</v>
      </c>
      <c r="F117" s="187" t="s">
        <v>9</v>
      </c>
      <c r="G117" s="286"/>
      <c r="H117" s="286"/>
      <c r="I117" s="286"/>
      <c r="J117" s="286"/>
      <c r="K117" s="286"/>
      <c r="L117" s="180">
        <v>2232.9948426649999</v>
      </c>
    </row>
    <row r="118" spans="1:12">
      <c r="A118" s="174" t="s">
        <v>98</v>
      </c>
      <c r="B118" s="174" t="s">
        <v>25</v>
      </c>
      <c r="C118" s="174" t="s">
        <v>106</v>
      </c>
      <c r="D118" s="175">
        <v>1</v>
      </c>
      <c r="E118" s="174">
        <v>2046</v>
      </c>
      <c r="F118" s="187" t="s">
        <v>9</v>
      </c>
      <c r="G118" s="286"/>
      <c r="H118" s="286"/>
      <c r="I118" s="286"/>
      <c r="J118" s="286"/>
      <c r="K118" s="286"/>
      <c r="L118" s="180">
        <v>2356.3101213800001</v>
      </c>
    </row>
    <row r="119" spans="1:12">
      <c r="A119" s="174" t="s">
        <v>98</v>
      </c>
      <c r="B119" s="174" t="s">
        <v>25</v>
      </c>
      <c r="C119" s="174" t="s">
        <v>106</v>
      </c>
      <c r="D119" s="175">
        <v>1</v>
      </c>
      <c r="E119" s="174">
        <v>2047</v>
      </c>
      <c r="F119" s="187" t="s">
        <v>9</v>
      </c>
      <c r="G119" s="286"/>
      <c r="H119" s="286"/>
      <c r="I119" s="286"/>
      <c r="J119" s="286"/>
      <c r="K119" s="286"/>
      <c r="L119" s="180">
        <v>2562.8734965149997</v>
      </c>
    </row>
    <row r="120" spans="1:12">
      <c r="A120" s="174" t="s">
        <v>98</v>
      </c>
      <c r="B120" s="174" t="s">
        <v>25</v>
      </c>
      <c r="C120" s="174" t="s">
        <v>106</v>
      </c>
      <c r="D120" s="175">
        <v>1</v>
      </c>
      <c r="E120" s="174">
        <v>2048</v>
      </c>
      <c r="F120" s="187" t="s">
        <v>9</v>
      </c>
      <c r="G120" s="286"/>
      <c r="H120" s="286"/>
      <c r="I120" s="286"/>
      <c r="J120" s="286"/>
      <c r="K120" s="286"/>
      <c r="L120" s="180">
        <v>2401.6529957550001</v>
      </c>
    </row>
    <row r="121" spans="1:12">
      <c r="A121" s="174" t="s">
        <v>98</v>
      </c>
      <c r="B121" s="174" t="s">
        <v>25</v>
      </c>
      <c r="C121" s="174" t="s">
        <v>106</v>
      </c>
      <c r="D121" s="175">
        <v>1</v>
      </c>
      <c r="E121" s="174">
        <v>2049</v>
      </c>
      <c r="F121" s="187" t="s">
        <v>9</v>
      </c>
      <c r="G121" s="286"/>
      <c r="H121" s="286"/>
      <c r="I121" s="286"/>
      <c r="J121" s="286"/>
      <c r="K121" s="286"/>
      <c r="L121" s="180">
        <v>2517.025796855</v>
      </c>
    </row>
    <row r="122" spans="1:12">
      <c r="A122" t="s">
        <v>98</v>
      </c>
      <c r="B122" t="s">
        <v>25</v>
      </c>
      <c r="C122" s="147" t="s">
        <v>11</v>
      </c>
      <c r="D122" s="148">
        <v>1</v>
      </c>
      <c r="E122" s="147">
        <v>2020</v>
      </c>
      <c r="F122" s="187" t="s">
        <v>9</v>
      </c>
      <c r="G122" s="286"/>
      <c r="H122" s="286"/>
      <c r="I122" s="286"/>
      <c r="J122" s="286"/>
      <c r="K122" s="286"/>
      <c r="L122" s="180">
        <v>10825.903189663921</v>
      </c>
    </row>
    <row r="123" spans="1:12">
      <c r="A123" s="174" t="s">
        <v>98</v>
      </c>
      <c r="B123" s="174" t="s">
        <v>25</v>
      </c>
      <c r="C123" s="174" t="s">
        <v>11</v>
      </c>
      <c r="D123" s="174">
        <v>1</v>
      </c>
      <c r="E123" s="174">
        <v>2021</v>
      </c>
      <c r="F123" s="187" t="s">
        <v>9</v>
      </c>
      <c r="G123" s="286"/>
      <c r="H123" s="286"/>
      <c r="I123" s="286"/>
      <c r="J123" s="286"/>
      <c r="K123" s="286"/>
      <c r="L123" s="180">
        <v>11812.606059460199</v>
      </c>
    </row>
    <row r="124" spans="1:12">
      <c r="A124" s="174" t="s">
        <v>98</v>
      </c>
      <c r="B124" s="174" t="s">
        <v>25</v>
      </c>
      <c r="C124" s="174" t="s">
        <v>11</v>
      </c>
      <c r="D124" s="175">
        <v>1</v>
      </c>
      <c r="E124" s="174">
        <v>2022</v>
      </c>
      <c r="F124" s="187" t="s">
        <v>9</v>
      </c>
      <c r="G124" s="286"/>
      <c r="H124" s="286"/>
      <c r="I124" s="286"/>
      <c r="J124" s="286"/>
      <c r="K124" s="286"/>
      <c r="L124" s="180">
        <v>14413.07407429291</v>
      </c>
    </row>
    <row r="125" spans="1:12">
      <c r="A125" s="174" t="s">
        <v>98</v>
      </c>
      <c r="B125" s="174" t="s">
        <v>25</v>
      </c>
      <c r="C125" s="174" t="s">
        <v>11</v>
      </c>
      <c r="D125" s="175">
        <v>1</v>
      </c>
      <c r="E125" s="174">
        <v>2023</v>
      </c>
      <c r="F125" s="187" t="s">
        <v>9</v>
      </c>
      <c r="G125" s="286"/>
      <c r="H125" s="286"/>
      <c r="I125" s="286"/>
      <c r="J125" s="286"/>
      <c r="K125" s="286"/>
      <c r="L125" s="180">
        <v>7801.1914559731849</v>
      </c>
    </row>
    <row r="126" spans="1:12">
      <c r="A126" s="174" t="s">
        <v>98</v>
      </c>
      <c r="B126" s="174" t="s">
        <v>25</v>
      </c>
      <c r="C126" s="174" t="s">
        <v>11</v>
      </c>
      <c r="D126" s="175">
        <v>1</v>
      </c>
      <c r="E126" s="174">
        <v>2024</v>
      </c>
      <c r="F126" s="187" t="s">
        <v>9</v>
      </c>
      <c r="G126" s="286"/>
      <c r="H126" s="286"/>
      <c r="I126" s="286"/>
      <c r="J126" s="286"/>
      <c r="K126" s="286"/>
      <c r="L126" s="180">
        <v>7519.6011275244655</v>
      </c>
    </row>
    <row r="127" spans="1:12">
      <c r="A127" s="174" t="s">
        <v>98</v>
      </c>
      <c r="B127" s="174" t="s">
        <v>25</v>
      </c>
      <c r="C127" s="174" t="s">
        <v>11</v>
      </c>
      <c r="D127" s="175">
        <v>1</v>
      </c>
      <c r="E127" s="174">
        <v>2025</v>
      </c>
      <c r="F127" s="187" t="s">
        <v>9</v>
      </c>
      <c r="G127" s="286"/>
      <c r="H127" s="286"/>
      <c r="I127" s="286"/>
      <c r="J127" s="286"/>
      <c r="K127" s="286"/>
      <c r="L127" s="180">
        <v>7951.1268588837156</v>
      </c>
    </row>
    <row r="128" spans="1:12">
      <c r="A128" s="174" t="s">
        <v>98</v>
      </c>
      <c r="B128" s="174" t="s">
        <v>25</v>
      </c>
      <c r="C128" s="174" t="s">
        <v>11</v>
      </c>
      <c r="D128" s="175">
        <v>1</v>
      </c>
      <c r="E128" s="174">
        <v>2026</v>
      </c>
      <c r="F128" s="187" t="s">
        <v>9</v>
      </c>
      <c r="G128" s="286"/>
      <c r="H128" s="286"/>
      <c r="I128" s="286"/>
      <c r="J128" s="286"/>
      <c r="K128" s="286"/>
      <c r="L128" s="180">
        <v>8526.0862327229552</v>
      </c>
    </row>
    <row r="129" spans="1:12">
      <c r="A129" s="174" t="s">
        <v>98</v>
      </c>
      <c r="B129" s="174" t="s">
        <v>25</v>
      </c>
      <c r="C129" s="174" t="s">
        <v>11</v>
      </c>
      <c r="D129" s="175">
        <v>1</v>
      </c>
      <c r="E129" s="174">
        <v>2027</v>
      </c>
      <c r="F129" s="187" t="s">
        <v>9</v>
      </c>
      <c r="G129" s="286"/>
      <c r="H129" s="286"/>
      <c r="I129" s="286"/>
      <c r="J129" s="286"/>
      <c r="K129" s="286"/>
      <c r="L129" s="180">
        <v>8349.6821655852309</v>
      </c>
    </row>
    <row r="130" spans="1:12">
      <c r="A130" s="174" t="s">
        <v>98</v>
      </c>
      <c r="B130" s="174" t="s">
        <v>25</v>
      </c>
      <c r="C130" s="174" t="s">
        <v>11</v>
      </c>
      <c r="D130" s="175">
        <v>1</v>
      </c>
      <c r="E130" s="174">
        <v>2028</v>
      </c>
      <c r="F130" s="187" t="s">
        <v>9</v>
      </c>
      <c r="G130" s="286"/>
      <c r="H130" s="286"/>
      <c r="I130" s="286"/>
      <c r="J130" s="286"/>
      <c r="K130" s="286"/>
      <c r="L130" s="180">
        <v>47721.228639476314</v>
      </c>
    </row>
    <row r="131" spans="1:12">
      <c r="A131" s="174" t="s">
        <v>98</v>
      </c>
      <c r="B131" s="174" t="s">
        <v>25</v>
      </c>
      <c r="C131" s="174" t="s">
        <v>11</v>
      </c>
      <c r="D131" s="175">
        <v>1</v>
      </c>
      <c r="E131" s="174">
        <v>2029</v>
      </c>
      <c r="F131" s="187" t="s">
        <v>9</v>
      </c>
      <c r="G131" s="286"/>
      <c r="H131" s="286"/>
      <c r="I131" s="286"/>
      <c r="J131" s="286"/>
      <c r="K131" s="286"/>
      <c r="L131" s="180">
        <v>51548.277270261402</v>
      </c>
    </row>
    <row r="132" spans="1:12">
      <c r="A132" s="174" t="s">
        <v>98</v>
      </c>
      <c r="B132" s="174" t="s">
        <v>25</v>
      </c>
      <c r="C132" s="174" t="s">
        <v>11</v>
      </c>
      <c r="D132" s="175">
        <v>1</v>
      </c>
      <c r="E132" s="174">
        <v>2030</v>
      </c>
      <c r="F132" s="187" t="s">
        <v>9</v>
      </c>
      <c r="G132" s="286"/>
      <c r="H132" s="286"/>
      <c r="I132" s="286"/>
      <c r="J132" s="286"/>
      <c r="K132" s="286"/>
      <c r="L132" s="180">
        <v>50895.238988989506</v>
      </c>
    </row>
    <row r="133" spans="1:12">
      <c r="A133" s="174" t="s">
        <v>98</v>
      </c>
      <c r="B133" s="174" t="s">
        <v>25</v>
      </c>
      <c r="C133" s="174" t="s">
        <v>11</v>
      </c>
      <c r="D133" s="175">
        <v>1</v>
      </c>
      <c r="E133" s="174">
        <v>2031</v>
      </c>
      <c r="F133" s="187" t="s">
        <v>9</v>
      </c>
      <c r="G133" s="286"/>
      <c r="H133" s="286"/>
      <c r="I133" s="286"/>
      <c r="J133" s="286"/>
      <c r="K133" s="286"/>
      <c r="L133" s="180">
        <v>53722.553747678205</v>
      </c>
    </row>
    <row r="134" spans="1:12">
      <c r="A134" s="174" t="s">
        <v>98</v>
      </c>
      <c r="B134" s="174" t="s">
        <v>25</v>
      </c>
      <c r="C134" s="174" t="s">
        <v>11</v>
      </c>
      <c r="D134" s="175">
        <v>1</v>
      </c>
      <c r="E134" s="174">
        <v>2032</v>
      </c>
      <c r="F134" s="187" t="s">
        <v>9</v>
      </c>
      <c r="G134" s="286"/>
      <c r="H134" s="286"/>
      <c r="I134" s="286"/>
      <c r="J134" s="286"/>
      <c r="K134" s="286"/>
      <c r="L134" s="180">
        <v>57135.7901501175</v>
      </c>
    </row>
    <row r="135" spans="1:12">
      <c r="A135" s="174" t="s">
        <v>98</v>
      </c>
      <c r="B135" s="174" t="s">
        <v>25</v>
      </c>
      <c r="C135" s="174" t="s">
        <v>11</v>
      </c>
      <c r="D135" s="175">
        <v>1</v>
      </c>
      <c r="E135" s="174">
        <v>2033</v>
      </c>
      <c r="F135" s="187" t="s">
        <v>9</v>
      </c>
      <c r="G135" s="286"/>
      <c r="H135" s="286"/>
      <c r="I135" s="286"/>
      <c r="J135" s="286"/>
      <c r="K135" s="286"/>
      <c r="L135" s="180">
        <v>56408.388746859404</v>
      </c>
    </row>
    <row r="136" spans="1:12">
      <c r="A136" s="174" t="s">
        <v>98</v>
      </c>
      <c r="B136" s="174" t="s">
        <v>25</v>
      </c>
      <c r="C136" s="174" t="s">
        <v>11</v>
      </c>
      <c r="D136" s="175">
        <v>1</v>
      </c>
      <c r="E136" s="174">
        <v>2034</v>
      </c>
      <c r="F136" s="187" t="s">
        <v>9</v>
      </c>
      <c r="G136" s="286"/>
      <c r="H136" s="286"/>
      <c r="I136" s="286"/>
      <c r="J136" s="286"/>
      <c r="K136" s="286"/>
      <c r="L136" s="180">
        <v>59338.748854741898</v>
      </c>
    </row>
    <row r="137" spans="1:12">
      <c r="A137" s="174" t="s">
        <v>98</v>
      </c>
      <c r="B137" s="174" t="s">
        <v>25</v>
      </c>
      <c r="C137" s="174" t="s">
        <v>11</v>
      </c>
      <c r="D137" s="175">
        <v>1</v>
      </c>
      <c r="E137" s="174">
        <v>2035</v>
      </c>
      <c r="F137" s="187" t="s">
        <v>9</v>
      </c>
      <c r="G137" s="286"/>
      <c r="H137" s="286"/>
      <c r="I137" s="286"/>
      <c r="J137" s="286"/>
      <c r="K137" s="286"/>
      <c r="L137" s="180">
        <v>68324.634204981005</v>
      </c>
    </row>
    <row r="138" spans="1:12">
      <c r="A138" s="174" t="s">
        <v>98</v>
      </c>
      <c r="B138" s="174" t="s">
        <v>25</v>
      </c>
      <c r="C138" s="174" t="s">
        <v>11</v>
      </c>
      <c r="D138" s="175">
        <v>1</v>
      </c>
      <c r="E138" s="174">
        <v>2036</v>
      </c>
      <c r="F138" s="187" t="s">
        <v>9</v>
      </c>
      <c r="G138" s="286"/>
      <c r="H138" s="286"/>
      <c r="I138" s="286"/>
      <c r="J138" s="286"/>
      <c r="K138" s="286"/>
      <c r="L138" s="180">
        <v>61712.715382440249</v>
      </c>
    </row>
    <row r="139" spans="1:12">
      <c r="A139" s="174" t="s">
        <v>98</v>
      </c>
      <c r="B139" s="174" t="s">
        <v>25</v>
      </c>
      <c r="C139" s="174" t="s">
        <v>11</v>
      </c>
      <c r="D139" s="175">
        <v>1</v>
      </c>
      <c r="E139" s="174">
        <v>2037</v>
      </c>
      <c r="F139" s="187" t="s">
        <v>9</v>
      </c>
      <c r="G139" s="286"/>
      <c r="H139" s="286"/>
      <c r="I139" s="286"/>
      <c r="J139" s="286"/>
      <c r="K139" s="286"/>
      <c r="L139" s="180">
        <v>57079.984120248402</v>
      </c>
    </row>
    <row r="140" spans="1:12">
      <c r="A140" s="174" t="s">
        <v>98</v>
      </c>
      <c r="B140" s="174" t="s">
        <v>25</v>
      </c>
      <c r="C140" s="174" t="s">
        <v>11</v>
      </c>
      <c r="D140" s="175">
        <v>1</v>
      </c>
      <c r="E140" s="174">
        <v>2038</v>
      </c>
      <c r="F140" s="187" t="s">
        <v>9</v>
      </c>
      <c r="G140" s="286"/>
      <c r="H140" s="286"/>
      <c r="I140" s="286"/>
      <c r="J140" s="286"/>
      <c r="K140" s="286"/>
      <c r="L140" s="180">
        <v>65351.376332102198</v>
      </c>
    </row>
    <row r="141" spans="1:12">
      <c r="A141" s="174" t="s">
        <v>98</v>
      </c>
      <c r="B141" s="174" t="s">
        <v>25</v>
      </c>
      <c r="C141" s="174" t="s">
        <v>11</v>
      </c>
      <c r="D141" s="175">
        <v>1</v>
      </c>
      <c r="E141" s="174">
        <v>2039</v>
      </c>
      <c r="F141" s="187" t="s">
        <v>9</v>
      </c>
      <c r="G141" s="286"/>
      <c r="H141" s="286"/>
      <c r="I141" s="286"/>
      <c r="J141" s="286"/>
      <c r="K141" s="286"/>
      <c r="L141" s="180">
        <v>69718.158234691946</v>
      </c>
    </row>
    <row r="142" spans="1:12">
      <c r="A142" s="174" t="s">
        <v>98</v>
      </c>
      <c r="B142" s="174" t="s">
        <v>25</v>
      </c>
      <c r="C142" s="174" t="s">
        <v>11</v>
      </c>
      <c r="D142" s="175">
        <v>1</v>
      </c>
      <c r="E142" s="174">
        <v>2040</v>
      </c>
      <c r="F142" s="187" t="s">
        <v>9</v>
      </c>
      <c r="G142" s="286"/>
      <c r="H142" s="286"/>
      <c r="I142" s="286"/>
      <c r="J142" s="286"/>
      <c r="K142" s="286"/>
      <c r="L142" s="180">
        <v>69503.208816672501</v>
      </c>
    </row>
    <row r="143" spans="1:12">
      <c r="A143" s="174" t="s">
        <v>98</v>
      </c>
      <c r="B143" s="174" t="s">
        <v>25</v>
      </c>
      <c r="C143" s="174" t="s">
        <v>11</v>
      </c>
      <c r="D143" s="175">
        <v>1</v>
      </c>
      <c r="E143" s="174">
        <v>2041</v>
      </c>
      <c r="F143" s="187" t="s">
        <v>9</v>
      </c>
      <c r="G143" s="286"/>
      <c r="H143" s="286"/>
      <c r="I143" s="286"/>
      <c r="J143" s="286"/>
      <c r="K143" s="286"/>
      <c r="L143" s="180">
        <v>74840.624944275798</v>
      </c>
    </row>
    <row r="144" spans="1:12">
      <c r="A144" s="174" t="s">
        <v>98</v>
      </c>
      <c r="B144" s="174" t="s">
        <v>25</v>
      </c>
      <c r="C144" s="174" t="s">
        <v>11</v>
      </c>
      <c r="D144" s="175">
        <v>1</v>
      </c>
      <c r="E144" s="174">
        <v>2042</v>
      </c>
      <c r="F144" s="187" t="s">
        <v>9</v>
      </c>
      <c r="G144" s="286"/>
      <c r="H144" s="286"/>
      <c r="I144" s="286"/>
      <c r="J144" s="286"/>
      <c r="K144" s="286"/>
      <c r="L144" s="180">
        <v>68386.976274354951</v>
      </c>
    </row>
    <row r="145" spans="1:12">
      <c r="A145" s="174" t="s">
        <v>98</v>
      </c>
      <c r="B145" s="174" t="s">
        <v>25</v>
      </c>
      <c r="C145" s="174" t="s">
        <v>11</v>
      </c>
      <c r="D145" s="175">
        <v>1</v>
      </c>
      <c r="E145" s="174">
        <v>2043</v>
      </c>
      <c r="F145" s="187" t="s">
        <v>9</v>
      </c>
      <c r="G145" s="286"/>
      <c r="H145" s="286"/>
      <c r="I145" s="286"/>
      <c r="J145" s="286"/>
      <c r="K145" s="286"/>
      <c r="L145" s="180">
        <v>75089.628397962195</v>
      </c>
    </row>
    <row r="146" spans="1:12">
      <c r="A146" s="174" t="s">
        <v>98</v>
      </c>
      <c r="B146" s="174" t="s">
        <v>25</v>
      </c>
      <c r="C146" s="174" t="s">
        <v>11</v>
      </c>
      <c r="D146" s="175">
        <v>1</v>
      </c>
      <c r="E146" s="174">
        <v>2044</v>
      </c>
      <c r="F146" s="187" t="s">
        <v>9</v>
      </c>
      <c r="G146" s="286"/>
      <c r="H146" s="286"/>
      <c r="I146" s="286"/>
      <c r="J146" s="286"/>
      <c r="K146" s="286"/>
      <c r="L146" s="180">
        <v>81334.200847817046</v>
      </c>
    </row>
    <row r="147" spans="1:12">
      <c r="A147" s="174" t="s">
        <v>98</v>
      </c>
      <c r="B147" s="174" t="s">
        <v>25</v>
      </c>
      <c r="C147" s="174" t="s">
        <v>11</v>
      </c>
      <c r="D147" s="175">
        <v>1</v>
      </c>
      <c r="E147" s="174">
        <v>2045</v>
      </c>
      <c r="F147" s="187" t="s">
        <v>9</v>
      </c>
      <c r="G147" s="286"/>
      <c r="H147" s="286"/>
      <c r="I147" s="286"/>
      <c r="J147" s="286"/>
      <c r="K147" s="286"/>
      <c r="L147" s="180">
        <v>77176.95145606334</v>
      </c>
    </row>
    <row r="148" spans="1:12">
      <c r="A148" s="174" t="s">
        <v>98</v>
      </c>
      <c r="B148" s="174" t="s">
        <v>25</v>
      </c>
      <c r="C148" s="174" t="s">
        <v>11</v>
      </c>
      <c r="D148" s="175">
        <v>1</v>
      </c>
      <c r="E148" s="174">
        <v>2046</v>
      </c>
      <c r="F148" s="187" t="s">
        <v>9</v>
      </c>
      <c r="G148" s="286"/>
      <c r="H148" s="286"/>
      <c r="I148" s="286"/>
      <c r="J148" s="286"/>
      <c r="K148" s="286"/>
      <c r="L148" s="180">
        <v>82823.140921386512</v>
      </c>
    </row>
    <row r="149" spans="1:12">
      <c r="A149" s="174" t="s">
        <v>98</v>
      </c>
      <c r="B149" s="174" t="s">
        <v>25</v>
      </c>
      <c r="C149" s="174" t="s">
        <v>11</v>
      </c>
      <c r="D149" s="175">
        <v>1</v>
      </c>
      <c r="E149" s="174">
        <v>2047</v>
      </c>
      <c r="F149" s="187" t="s">
        <v>9</v>
      </c>
      <c r="G149" s="286"/>
      <c r="H149" s="286"/>
      <c r="I149" s="286"/>
      <c r="J149" s="286"/>
      <c r="K149" s="286"/>
      <c r="L149" s="180">
        <v>91649.491965257155</v>
      </c>
    </row>
    <row r="150" spans="1:12">
      <c r="A150" s="174" t="s">
        <v>98</v>
      </c>
      <c r="B150" s="174" t="s">
        <v>25</v>
      </c>
      <c r="C150" s="174" t="s">
        <v>11</v>
      </c>
      <c r="D150" s="175">
        <v>1</v>
      </c>
      <c r="E150" s="174">
        <v>2048</v>
      </c>
      <c r="F150" s="187" t="s">
        <v>9</v>
      </c>
      <c r="G150" s="286"/>
      <c r="H150" s="286"/>
      <c r="I150" s="286"/>
      <c r="J150" s="286"/>
      <c r="K150" s="286"/>
      <c r="L150" s="180">
        <v>88108.448356776251</v>
      </c>
    </row>
    <row r="151" spans="1:12">
      <c r="A151" s="174" t="s">
        <v>98</v>
      </c>
      <c r="B151" s="174" t="s">
        <v>25</v>
      </c>
      <c r="C151" s="174" t="s">
        <v>11</v>
      </c>
      <c r="D151" s="175">
        <v>1</v>
      </c>
      <c r="E151" s="174">
        <v>2049</v>
      </c>
      <c r="F151" s="187" t="s">
        <v>9</v>
      </c>
      <c r="G151" s="286"/>
      <c r="H151" s="286"/>
      <c r="I151" s="286"/>
      <c r="J151" s="286"/>
      <c r="K151" s="286"/>
      <c r="L151" s="180">
        <v>81110.935577357246</v>
      </c>
    </row>
    <row r="152" spans="1:12">
      <c r="A152" s="174" t="s">
        <v>98</v>
      </c>
      <c r="B152" s="174" t="s">
        <v>25</v>
      </c>
      <c r="C152" s="174" t="s">
        <v>71</v>
      </c>
      <c r="D152" s="175">
        <v>1</v>
      </c>
      <c r="E152" s="174">
        <v>2020</v>
      </c>
      <c r="F152" s="187" t="s">
        <v>9</v>
      </c>
      <c r="G152" s="286"/>
      <c r="H152" s="286"/>
      <c r="I152" s="286"/>
      <c r="J152" s="286"/>
      <c r="K152" s="286"/>
      <c r="L152" s="180">
        <v>173953.54391650565</v>
      </c>
    </row>
    <row r="153" spans="1:12">
      <c r="A153" s="174" t="s">
        <v>98</v>
      </c>
      <c r="B153" s="174" t="s">
        <v>25</v>
      </c>
      <c r="C153" s="174" t="s">
        <v>71</v>
      </c>
      <c r="D153" s="175">
        <v>1</v>
      </c>
      <c r="E153" s="174">
        <v>2021</v>
      </c>
      <c r="F153" s="187" t="s">
        <v>9</v>
      </c>
      <c r="G153" s="286"/>
      <c r="H153" s="286"/>
      <c r="I153" s="286"/>
      <c r="J153" s="286"/>
      <c r="K153" s="286"/>
      <c r="L153" s="180">
        <v>161162.00576045155</v>
      </c>
    </row>
    <row r="154" spans="1:12">
      <c r="A154" s="174" t="s">
        <v>98</v>
      </c>
      <c r="B154" s="174" t="s">
        <v>25</v>
      </c>
      <c r="C154" s="174" t="s">
        <v>71</v>
      </c>
      <c r="D154" s="175">
        <v>1</v>
      </c>
      <c r="E154" s="174">
        <v>2022</v>
      </c>
      <c r="F154" s="187" t="s">
        <v>9</v>
      </c>
      <c r="G154" s="286"/>
      <c r="H154" s="286"/>
      <c r="I154" s="286"/>
      <c r="J154" s="286"/>
      <c r="K154" s="286"/>
      <c r="L154" s="180">
        <v>190668.22753464233</v>
      </c>
    </row>
    <row r="155" spans="1:12">
      <c r="A155" s="174" t="s">
        <v>98</v>
      </c>
      <c r="B155" s="174" t="s">
        <v>25</v>
      </c>
      <c r="C155" s="174" t="s">
        <v>71</v>
      </c>
      <c r="D155" s="175">
        <v>1</v>
      </c>
      <c r="E155" s="174">
        <v>2023</v>
      </c>
      <c r="F155" s="187" t="s">
        <v>9</v>
      </c>
      <c r="G155" s="286"/>
      <c r="H155" s="286"/>
      <c r="I155" s="286"/>
      <c r="J155" s="286"/>
      <c r="K155" s="286"/>
      <c r="L155" s="180">
        <v>151738.8595746037</v>
      </c>
    </row>
    <row r="156" spans="1:12">
      <c r="A156" s="174" t="s">
        <v>98</v>
      </c>
      <c r="B156" s="174" t="s">
        <v>25</v>
      </c>
      <c r="C156" s="174" t="s">
        <v>71</v>
      </c>
      <c r="D156" s="175">
        <v>1</v>
      </c>
      <c r="E156" s="174">
        <v>2024</v>
      </c>
      <c r="F156" s="187" t="s">
        <v>9</v>
      </c>
      <c r="G156" s="286"/>
      <c r="H156" s="286"/>
      <c r="I156" s="286"/>
      <c r="J156" s="286"/>
      <c r="K156" s="286"/>
      <c r="L156" s="180">
        <v>147946.60431475742</v>
      </c>
    </row>
    <row r="157" spans="1:12">
      <c r="A157" s="174" t="s">
        <v>98</v>
      </c>
      <c r="B157" s="174" t="s">
        <v>25</v>
      </c>
      <c r="C157" s="174" t="s">
        <v>71</v>
      </c>
      <c r="D157" s="175">
        <v>1</v>
      </c>
      <c r="E157" s="174">
        <v>2025</v>
      </c>
      <c r="F157" s="187" t="s">
        <v>9</v>
      </c>
      <c r="G157" s="286"/>
      <c r="H157" s="286"/>
      <c r="I157" s="286"/>
      <c r="J157" s="286"/>
      <c r="K157" s="286"/>
      <c r="L157" s="180">
        <v>152855.2953201528</v>
      </c>
    </row>
    <row r="158" spans="1:12">
      <c r="A158" s="174" t="s">
        <v>98</v>
      </c>
      <c r="B158" s="174" t="s">
        <v>25</v>
      </c>
      <c r="C158" s="174" t="s">
        <v>71</v>
      </c>
      <c r="D158" s="175">
        <v>1</v>
      </c>
      <c r="E158" s="174">
        <v>2026</v>
      </c>
      <c r="F158" s="187" t="s">
        <v>9</v>
      </c>
      <c r="G158" s="286"/>
      <c r="H158" s="286"/>
      <c r="I158" s="286"/>
      <c r="J158" s="286"/>
      <c r="K158" s="286"/>
      <c r="L158" s="180">
        <v>162934.21665843792</v>
      </c>
    </row>
    <row r="159" spans="1:12">
      <c r="A159" s="174" t="s">
        <v>98</v>
      </c>
      <c r="B159" s="174" t="s">
        <v>25</v>
      </c>
      <c r="C159" s="174" t="s">
        <v>71</v>
      </c>
      <c r="D159" s="175">
        <v>1</v>
      </c>
      <c r="E159" s="174">
        <v>2027</v>
      </c>
      <c r="F159" s="187" t="s">
        <v>9</v>
      </c>
      <c r="G159" s="286"/>
      <c r="H159" s="286"/>
      <c r="I159" s="286"/>
      <c r="J159" s="286"/>
      <c r="K159" s="286"/>
      <c r="L159" s="180">
        <v>158809.83928170765</v>
      </c>
    </row>
    <row r="160" spans="1:12">
      <c r="A160" s="174" t="s">
        <v>98</v>
      </c>
      <c r="B160" s="174" t="s">
        <v>25</v>
      </c>
      <c r="C160" s="174" t="s">
        <v>71</v>
      </c>
      <c r="D160" s="175">
        <v>1</v>
      </c>
      <c r="E160" s="174">
        <v>2028</v>
      </c>
      <c r="F160" s="187" t="s">
        <v>9</v>
      </c>
      <c r="G160" s="286"/>
      <c r="H160" s="286"/>
      <c r="I160" s="286"/>
      <c r="J160" s="286"/>
      <c r="K160" s="286"/>
      <c r="L160" s="180">
        <v>147356.5126470023</v>
      </c>
    </row>
    <row r="161" spans="1:12">
      <c r="A161" s="174" t="s">
        <v>98</v>
      </c>
      <c r="B161" s="174" t="s">
        <v>25</v>
      </c>
      <c r="C161" s="174" t="s">
        <v>71</v>
      </c>
      <c r="D161" s="175">
        <v>1</v>
      </c>
      <c r="E161" s="174">
        <v>2029</v>
      </c>
      <c r="F161" s="187" t="s">
        <v>9</v>
      </c>
      <c r="G161" s="286"/>
      <c r="H161" s="286"/>
      <c r="I161" s="286"/>
      <c r="J161" s="286"/>
      <c r="K161" s="286"/>
      <c r="L161" s="180">
        <v>152792.74043537083</v>
      </c>
    </row>
    <row r="162" spans="1:12">
      <c r="A162" s="174" t="s">
        <v>98</v>
      </c>
      <c r="B162" s="174" t="s">
        <v>25</v>
      </c>
      <c r="C162" s="174" t="s">
        <v>71</v>
      </c>
      <c r="D162" s="175">
        <v>1</v>
      </c>
      <c r="E162" s="174">
        <v>2030</v>
      </c>
      <c r="F162" s="187" t="s">
        <v>9</v>
      </c>
      <c r="G162" s="286"/>
      <c r="H162" s="286"/>
      <c r="I162" s="286"/>
      <c r="J162" s="286"/>
      <c r="K162" s="286"/>
      <c r="L162" s="180">
        <v>150712.45612918315</v>
      </c>
    </row>
    <row r="163" spans="1:12">
      <c r="A163" s="174" t="s">
        <v>98</v>
      </c>
      <c r="B163" s="174" t="s">
        <v>25</v>
      </c>
      <c r="C163" s="174" t="s">
        <v>71</v>
      </c>
      <c r="D163" s="175">
        <v>1</v>
      </c>
      <c r="E163" s="174">
        <v>2031</v>
      </c>
      <c r="F163" s="187" t="s">
        <v>9</v>
      </c>
      <c r="G163" s="286"/>
      <c r="H163" s="286"/>
      <c r="I163" s="286"/>
      <c r="J163" s="286"/>
      <c r="K163" s="286"/>
      <c r="L163" s="180">
        <v>148786.33922693651</v>
      </c>
    </row>
    <row r="164" spans="1:12">
      <c r="A164" s="174" t="s">
        <v>98</v>
      </c>
      <c r="B164" s="174" t="s">
        <v>25</v>
      </c>
      <c r="C164" s="174" t="s">
        <v>71</v>
      </c>
      <c r="D164" s="175">
        <v>1</v>
      </c>
      <c r="E164" s="174">
        <v>2032</v>
      </c>
      <c r="F164" s="187" t="s">
        <v>9</v>
      </c>
      <c r="G164" s="286"/>
      <c r="H164" s="286"/>
      <c r="I164" s="286"/>
      <c r="J164" s="286"/>
      <c r="K164" s="286"/>
      <c r="L164" s="180">
        <v>157898.82621864101</v>
      </c>
    </row>
    <row r="165" spans="1:12">
      <c r="A165" s="174" t="s">
        <v>98</v>
      </c>
      <c r="B165" s="174" t="s">
        <v>25</v>
      </c>
      <c r="C165" s="174" t="s">
        <v>71</v>
      </c>
      <c r="D165" s="175">
        <v>1</v>
      </c>
      <c r="E165" s="174">
        <v>2033</v>
      </c>
      <c r="F165" s="187" t="s">
        <v>9</v>
      </c>
      <c r="G165" s="286"/>
      <c r="H165" s="286"/>
      <c r="I165" s="286"/>
      <c r="J165" s="286"/>
      <c r="K165" s="286"/>
      <c r="L165" s="180">
        <v>154080.14036365849</v>
      </c>
    </row>
    <row r="166" spans="1:12">
      <c r="A166" s="174" t="s">
        <v>98</v>
      </c>
      <c r="B166" s="174" t="s">
        <v>25</v>
      </c>
      <c r="C166" s="174" t="s">
        <v>71</v>
      </c>
      <c r="D166" s="175">
        <v>1</v>
      </c>
      <c r="E166" s="174">
        <v>2034</v>
      </c>
      <c r="F166" s="187" t="s">
        <v>9</v>
      </c>
      <c r="G166" s="286"/>
      <c r="H166" s="286"/>
      <c r="I166" s="286"/>
      <c r="J166" s="286"/>
      <c r="K166" s="286"/>
      <c r="L166" s="180">
        <v>160089.38291769102</v>
      </c>
    </row>
    <row r="167" spans="1:12">
      <c r="A167" s="174" t="s">
        <v>98</v>
      </c>
      <c r="B167" s="174" t="s">
        <v>25</v>
      </c>
      <c r="C167" s="174" t="s">
        <v>71</v>
      </c>
      <c r="D167" s="175">
        <v>1</v>
      </c>
      <c r="E167" s="174">
        <v>2035</v>
      </c>
      <c r="F167" s="187" t="s">
        <v>9</v>
      </c>
      <c r="G167" s="286"/>
      <c r="H167" s="286"/>
      <c r="I167" s="286"/>
      <c r="J167" s="286"/>
      <c r="K167" s="286"/>
      <c r="L167" s="180">
        <v>184465.34030741901</v>
      </c>
    </row>
    <row r="168" spans="1:12">
      <c r="A168" s="174" t="s">
        <v>98</v>
      </c>
      <c r="B168" s="174" t="s">
        <v>25</v>
      </c>
      <c r="C168" s="174" t="s">
        <v>71</v>
      </c>
      <c r="D168" s="175">
        <v>1</v>
      </c>
      <c r="E168" s="174">
        <v>2036</v>
      </c>
      <c r="F168" s="187" t="s">
        <v>9</v>
      </c>
      <c r="G168" s="286"/>
      <c r="H168" s="286"/>
      <c r="I168" s="286"/>
      <c r="J168" s="286"/>
      <c r="K168" s="286"/>
      <c r="L168" s="180">
        <v>163578.8562951925</v>
      </c>
    </row>
    <row r="169" spans="1:12">
      <c r="A169" s="174" t="s">
        <v>98</v>
      </c>
      <c r="B169" s="174" t="s">
        <v>25</v>
      </c>
      <c r="C169" s="174" t="s">
        <v>71</v>
      </c>
      <c r="D169" s="175">
        <v>1</v>
      </c>
      <c r="E169" s="174">
        <v>2037</v>
      </c>
      <c r="F169" s="187" t="s">
        <v>9</v>
      </c>
      <c r="G169" s="286"/>
      <c r="H169" s="286"/>
      <c r="I169" s="286"/>
      <c r="J169" s="286"/>
      <c r="K169" s="286"/>
      <c r="L169" s="180">
        <v>152359.38268104949</v>
      </c>
    </row>
    <row r="170" spans="1:12">
      <c r="A170" s="174" t="s">
        <v>98</v>
      </c>
      <c r="B170" s="174" t="s">
        <v>25</v>
      </c>
      <c r="C170" s="174" t="s">
        <v>71</v>
      </c>
      <c r="D170" s="175">
        <v>1</v>
      </c>
      <c r="E170" s="174">
        <v>2038</v>
      </c>
      <c r="F170" s="187" t="s">
        <v>9</v>
      </c>
      <c r="G170" s="286"/>
      <c r="H170" s="286"/>
      <c r="I170" s="286"/>
      <c r="J170" s="286"/>
      <c r="K170" s="286"/>
      <c r="L170" s="180">
        <v>172116.36884342501</v>
      </c>
    </row>
    <row r="171" spans="1:12">
      <c r="A171" s="174" t="s">
        <v>98</v>
      </c>
      <c r="B171" s="174" t="s">
        <v>25</v>
      </c>
      <c r="C171" s="174" t="s">
        <v>71</v>
      </c>
      <c r="D171" s="175">
        <v>1</v>
      </c>
      <c r="E171" s="174">
        <v>2039</v>
      </c>
      <c r="F171" s="187" t="s">
        <v>9</v>
      </c>
      <c r="G171" s="286"/>
      <c r="H171" s="286"/>
      <c r="I171" s="286"/>
      <c r="J171" s="286"/>
      <c r="K171" s="286"/>
      <c r="L171" s="180">
        <v>181693.37165399801</v>
      </c>
    </row>
    <row r="172" spans="1:12">
      <c r="A172" s="174" t="s">
        <v>98</v>
      </c>
      <c r="B172" s="174" t="s">
        <v>25</v>
      </c>
      <c r="C172" s="174" t="s">
        <v>71</v>
      </c>
      <c r="D172" s="175">
        <v>1</v>
      </c>
      <c r="E172" s="174">
        <v>2040</v>
      </c>
      <c r="F172" s="187" t="s">
        <v>9</v>
      </c>
      <c r="G172" s="286"/>
      <c r="H172" s="286"/>
      <c r="I172" s="286"/>
      <c r="J172" s="286"/>
      <c r="K172" s="286"/>
      <c r="L172" s="180">
        <v>178648.943842696</v>
      </c>
    </row>
    <row r="173" spans="1:12">
      <c r="A173" s="174" t="s">
        <v>98</v>
      </c>
      <c r="B173" s="174" t="s">
        <v>25</v>
      </c>
      <c r="C173" s="174" t="s">
        <v>71</v>
      </c>
      <c r="D173" s="175">
        <v>1</v>
      </c>
      <c r="E173" s="174">
        <v>2041</v>
      </c>
      <c r="F173" s="187" t="s">
        <v>9</v>
      </c>
      <c r="G173" s="286"/>
      <c r="H173" s="286"/>
      <c r="I173" s="286"/>
      <c r="J173" s="286"/>
      <c r="K173" s="286"/>
      <c r="L173" s="180">
        <v>188111.07731843699</v>
      </c>
    </row>
    <row r="174" spans="1:12">
      <c r="A174" s="174" t="s">
        <v>98</v>
      </c>
      <c r="B174" s="174" t="s">
        <v>25</v>
      </c>
      <c r="C174" s="174" t="s">
        <v>71</v>
      </c>
      <c r="D174" s="175">
        <v>1</v>
      </c>
      <c r="E174" s="174">
        <v>2042</v>
      </c>
      <c r="F174" s="187" t="s">
        <v>9</v>
      </c>
      <c r="G174" s="286"/>
      <c r="H174" s="286"/>
      <c r="I174" s="286"/>
      <c r="J174" s="286"/>
      <c r="K174" s="286"/>
      <c r="L174" s="180">
        <v>172718.86634139851</v>
      </c>
    </row>
    <row r="175" spans="1:12">
      <c r="A175" s="174" t="s">
        <v>98</v>
      </c>
      <c r="B175" s="174" t="s">
        <v>25</v>
      </c>
      <c r="C175" s="174" t="s">
        <v>71</v>
      </c>
      <c r="D175" s="175">
        <v>1</v>
      </c>
      <c r="E175" s="174">
        <v>2043</v>
      </c>
      <c r="F175" s="187" t="s">
        <v>9</v>
      </c>
      <c r="G175" s="286"/>
      <c r="H175" s="286"/>
      <c r="I175" s="286"/>
      <c r="J175" s="286"/>
      <c r="K175" s="286"/>
      <c r="L175" s="180">
        <v>184938.92978606198</v>
      </c>
    </row>
    <row r="176" spans="1:12">
      <c r="A176" s="174" t="s">
        <v>98</v>
      </c>
      <c r="B176" s="174" t="s">
        <v>25</v>
      </c>
      <c r="C176" s="174" t="s">
        <v>71</v>
      </c>
      <c r="D176" s="175">
        <v>1</v>
      </c>
      <c r="E176" s="174">
        <v>2044</v>
      </c>
      <c r="F176" s="187" t="s">
        <v>9</v>
      </c>
      <c r="G176" s="286"/>
      <c r="H176" s="286"/>
      <c r="I176" s="286"/>
      <c r="J176" s="286"/>
      <c r="K176" s="286"/>
      <c r="L176" s="180">
        <v>199275.47616123251</v>
      </c>
    </row>
    <row r="177" spans="1:12">
      <c r="A177" s="174" t="s">
        <v>98</v>
      </c>
      <c r="B177" s="174" t="s">
        <v>25</v>
      </c>
      <c r="C177" s="174" t="s">
        <v>71</v>
      </c>
      <c r="D177" s="175">
        <v>1</v>
      </c>
      <c r="E177" s="174">
        <v>2045</v>
      </c>
      <c r="F177" s="187" t="s">
        <v>9</v>
      </c>
      <c r="G177" s="286"/>
      <c r="H177" s="286"/>
      <c r="I177" s="286"/>
      <c r="J177" s="286"/>
      <c r="K177" s="286"/>
      <c r="L177" s="180">
        <v>188669.91160320299</v>
      </c>
    </row>
    <row r="178" spans="1:12">
      <c r="A178" s="174" t="s">
        <v>98</v>
      </c>
      <c r="B178" s="174" t="s">
        <v>25</v>
      </c>
      <c r="C178" s="174" t="s">
        <v>71</v>
      </c>
      <c r="D178" s="175">
        <v>1</v>
      </c>
      <c r="E178" s="174">
        <v>2046</v>
      </c>
      <c r="F178" s="187" t="s">
        <v>9</v>
      </c>
      <c r="G178" s="286"/>
      <c r="H178" s="286"/>
      <c r="I178" s="286"/>
      <c r="J178" s="286"/>
      <c r="K178" s="286"/>
      <c r="L178" s="180">
        <v>199136.226218923</v>
      </c>
    </row>
    <row r="179" spans="1:12">
      <c r="A179" s="174" t="s">
        <v>98</v>
      </c>
      <c r="B179" s="174" t="s">
        <v>25</v>
      </c>
      <c r="C179" s="174" t="s">
        <v>71</v>
      </c>
      <c r="D179" s="175">
        <v>1</v>
      </c>
      <c r="E179" s="174">
        <v>2047</v>
      </c>
      <c r="F179" s="187" t="s">
        <v>9</v>
      </c>
      <c r="G179" s="286"/>
      <c r="H179" s="286"/>
      <c r="I179" s="286"/>
      <c r="J179" s="286"/>
      <c r="K179" s="286"/>
      <c r="L179" s="180">
        <v>219516.81126095948</v>
      </c>
    </row>
    <row r="180" spans="1:12">
      <c r="A180" s="174" t="s">
        <v>98</v>
      </c>
      <c r="B180" s="174" t="s">
        <v>25</v>
      </c>
      <c r="C180" s="174" t="s">
        <v>71</v>
      </c>
      <c r="D180" s="175">
        <v>1</v>
      </c>
      <c r="E180" s="174">
        <v>2048</v>
      </c>
      <c r="F180" s="187" t="s">
        <v>9</v>
      </c>
      <c r="G180" s="286"/>
      <c r="H180" s="286"/>
      <c r="I180" s="286"/>
      <c r="J180" s="286"/>
      <c r="K180" s="286"/>
      <c r="L180" s="180">
        <v>208342.632447796</v>
      </c>
    </row>
    <row r="181" spans="1:12">
      <c r="A181" s="174" t="s">
        <v>98</v>
      </c>
      <c r="B181" s="174" t="s">
        <v>25</v>
      </c>
      <c r="C181" s="174" t="s">
        <v>71</v>
      </c>
      <c r="D181" s="175">
        <v>1</v>
      </c>
      <c r="E181" s="174">
        <v>2049</v>
      </c>
      <c r="F181" s="187" t="s">
        <v>9</v>
      </c>
      <c r="G181" s="286"/>
      <c r="H181" s="286"/>
      <c r="I181" s="286"/>
      <c r="J181" s="286"/>
      <c r="K181" s="286"/>
      <c r="L181" s="180">
        <v>189068.66769304351</v>
      </c>
    </row>
    <row r="182" spans="1:12">
      <c r="A182" s="174"/>
      <c r="B182" s="174"/>
      <c r="C182" s="174"/>
      <c r="D182" s="175"/>
      <c r="E182" s="174"/>
      <c r="F182" s="176"/>
      <c r="G182" s="35"/>
      <c r="H182" s="35"/>
      <c r="I182" s="35"/>
      <c r="J182" s="35"/>
      <c r="K182" s="35"/>
      <c r="L182" s="189"/>
    </row>
    <row r="183" spans="1:12">
      <c r="A183" s="174"/>
      <c r="B183" s="174"/>
      <c r="C183" s="174"/>
      <c r="D183" s="175"/>
      <c r="E183" s="174"/>
      <c r="F183" s="176"/>
      <c r="G183" s="35"/>
      <c r="H183" s="35"/>
      <c r="I183" s="35"/>
      <c r="J183" s="35"/>
      <c r="K183" s="35"/>
      <c r="L183" s="189"/>
    </row>
    <row r="184" spans="1:12">
      <c r="A184" s="174"/>
      <c r="B184" s="174"/>
      <c r="C184" s="174"/>
      <c r="D184" s="175"/>
      <c r="E184" s="174"/>
      <c r="F184" s="176"/>
      <c r="G184" s="35"/>
      <c r="H184" s="35"/>
      <c r="I184" s="35"/>
      <c r="J184" s="35"/>
      <c r="K184" s="35"/>
      <c r="L184" s="189"/>
    </row>
    <row r="185" spans="1:12">
      <c r="A185" s="174"/>
      <c r="B185" s="174"/>
      <c r="C185" s="174"/>
      <c r="D185" s="175"/>
      <c r="E185" s="174"/>
      <c r="F185" s="176"/>
      <c r="G185" s="35"/>
      <c r="H185" s="35"/>
      <c r="I185" s="35"/>
      <c r="J185" s="35"/>
      <c r="K185" s="35"/>
      <c r="L185" s="189"/>
    </row>
    <row r="186" spans="1:12">
      <c r="A186" s="174"/>
      <c r="B186" s="174"/>
      <c r="C186" s="174"/>
      <c r="D186" s="175"/>
      <c r="E186" s="174"/>
      <c r="F186" s="176"/>
      <c r="G186" s="35"/>
      <c r="H186" s="35"/>
      <c r="I186" s="35"/>
      <c r="J186" s="35"/>
      <c r="K186" s="35"/>
      <c r="L186" s="189"/>
    </row>
    <row r="187" spans="1:12">
      <c r="A187" s="174"/>
      <c r="B187" s="174"/>
      <c r="C187" s="174"/>
      <c r="D187" s="175"/>
      <c r="E187" s="174"/>
      <c r="F187" s="176"/>
      <c r="G187" s="35"/>
      <c r="H187" s="35"/>
      <c r="I187" s="35"/>
      <c r="J187" s="35"/>
      <c r="K187" s="35"/>
      <c r="L187" s="189"/>
    </row>
    <row r="188" spans="1:12">
      <c r="A188" s="174"/>
      <c r="B188" s="174"/>
      <c r="C188" s="174"/>
      <c r="D188" s="175"/>
      <c r="E188" s="174"/>
      <c r="F188" s="176"/>
      <c r="G188" s="35"/>
      <c r="H188" s="35"/>
      <c r="I188" s="35"/>
      <c r="J188" s="35"/>
      <c r="K188" s="35"/>
      <c r="L188" s="189"/>
    </row>
    <row r="189" spans="1:12">
      <c r="A189" s="174"/>
      <c r="B189" s="174"/>
      <c r="C189" s="174"/>
      <c r="D189" s="175"/>
      <c r="E189" s="174"/>
      <c r="F189" s="176"/>
      <c r="G189" s="35"/>
      <c r="H189" s="35"/>
      <c r="I189" s="35"/>
      <c r="J189" s="35"/>
      <c r="K189" s="35"/>
      <c r="L189" s="189"/>
    </row>
    <row r="190" spans="1:12">
      <c r="A190" s="174"/>
      <c r="B190" s="174"/>
      <c r="C190" s="174"/>
      <c r="D190" s="175"/>
      <c r="E190" s="174"/>
      <c r="F190" s="176"/>
      <c r="G190" s="35"/>
      <c r="H190" s="35"/>
      <c r="I190" s="35"/>
      <c r="J190" s="35"/>
      <c r="K190" s="35"/>
      <c r="L190" s="189"/>
    </row>
    <row r="191" spans="1:12">
      <c r="A191" s="174"/>
      <c r="B191" s="174"/>
      <c r="C191" s="174"/>
      <c r="D191" s="175"/>
      <c r="E191" s="174"/>
      <c r="F191" s="176"/>
      <c r="G191" s="35"/>
      <c r="H191" s="35"/>
      <c r="I191" s="35"/>
      <c r="J191" s="35"/>
      <c r="K191" s="35"/>
      <c r="L191" s="189"/>
    </row>
    <row r="192" spans="1:12">
      <c r="A192" s="174"/>
      <c r="B192" s="174"/>
      <c r="C192" s="174"/>
      <c r="D192" s="175"/>
      <c r="E192" s="174"/>
      <c r="F192" s="176"/>
      <c r="G192" s="35"/>
      <c r="H192" s="35"/>
      <c r="I192" s="35"/>
      <c r="J192" s="35"/>
      <c r="K192" s="35"/>
      <c r="L192" s="189"/>
    </row>
    <row r="193" spans="1:12">
      <c r="A193" s="174"/>
      <c r="B193" s="174"/>
      <c r="C193" s="174"/>
      <c r="D193" s="175"/>
      <c r="E193" s="174"/>
      <c r="F193" s="176"/>
      <c r="G193" s="35"/>
      <c r="H193" s="35"/>
      <c r="I193" s="35"/>
      <c r="J193" s="35"/>
      <c r="K193" s="35"/>
      <c r="L193" s="189"/>
    </row>
    <row r="194" spans="1:12">
      <c r="A194" s="174"/>
      <c r="B194" s="174"/>
      <c r="C194" s="174"/>
      <c r="D194" s="175"/>
      <c r="E194" s="174"/>
      <c r="F194" s="176"/>
      <c r="G194" s="35"/>
      <c r="H194" s="35"/>
      <c r="I194" s="35"/>
      <c r="J194" s="35"/>
      <c r="K194" s="35"/>
      <c r="L194" s="189"/>
    </row>
    <row r="195" spans="1:12">
      <c r="A195" s="174"/>
      <c r="B195" s="174"/>
      <c r="C195" s="174"/>
      <c r="D195" s="175"/>
      <c r="E195" s="174"/>
      <c r="F195" s="176"/>
      <c r="G195" s="35"/>
      <c r="H195" s="35"/>
      <c r="I195" s="35"/>
      <c r="J195" s="35"/>
      <c r="K195" s="35"/>
      <c r="L195" s="189"/>
    </row>
    <row r="196" spans="1:12">
      <c r="A196" s="174"/>
      <c r="B196" s="174"/>
      <c r="C196" s="174"/>
      <c r="D196" s="175"/>
      <c r="E196" s="174"/>
      <c r="F196" s="176"/>
      <c r="G196" s="35"/>
      <c r="H196" s="35"/>
      <c r="I196" s="35"/>
      <c r="J196" s="35"/>
      <c r="K196" s="35"/>
      <c r="L196" s="189"/>
    </row>
    <row r="197" spans="1:12">
      <c r="A197" s="174"/>
      <c r="B197" s="174"/>
      <c r="C197" s="174"/>
      <c r="D197" s="175"/>
      <c r="E197" s="174"/>
      <c r="F197" s="176"/>
      <c r="G197" s="35"/>
      <c r="H197" s="35"/>
      <c r="I197" s="35"/>
      <c r="J197" s="35"/>
      <c r="K197" s="35"/>
      <c r="L197" s="189"/>
    </row>
    <row r="198" spans="1:12">
      <c r="A198" s="174"/>
      <c r="B198" s="174"/>
      <c r="C198" s="174"/>
      <c r="D198" s="175"/>
      <c r="E198" s="174"/>
      <c r="F198" s="176"/>
      <c r="G198" s="35"/>
      <c r="H198" s="35"/>
      <c r="I198" s="35"/>
      <c r="J198" s="35"/>
      <c r="K198" s="35"/>
      <c r="L198" s="189"/>
    </row>
    <row r="199" spans="1:12">
      <c r="A199" s="174"/>
      <c r="B199" s="174"/>
      <c r="C199" s="174"/>
      <c r="D199" s="175"/>
      <c r="E199" s="174"/>
      <c r="F199" s="176"/>
      <c r="G199" s="35"/>
      <c r="H199" s="35"/>
      <c r="I199" s="35"/>
      <c r="J199" s="35"/>
      <c r="K199" s="35"/>
      <c r="L199" s="189"/>
    </row>
    <row r="200" spans="1:12">
      <c r="A200" s="174"/>
      <c r="B200" s="174"/>
      <c r="C200" s="174"/>
      <c r="D200" s="175"/>
      <c r="E200" s="174"/>
      <c r="F200" s="176"/>
      <c r="G200" s="35"/>
      <c r="H200" s="35"/>
      <c r="I200" s="35"/>
      <c r="J200" s="35"/>
      <c r="K200" s="35"/>
      <c r="L200" s="189"/>
    </row>
    <row r="201" spans="1:12">
      <c r="A201" s="174"/>
      <c r="B201" s="174"/>
      <c r="C201" s="174"/>
      <c r="D201" s="175"/>
      <c r="E201" s="174"/>
      <c r="F201" s="176"/>
      <c r="G201" s="35"/>
      <c r="H201" s="35"/>
      <c r="I201" s="35"/>
      <c r="J201" s="35"/>
      <c r="K201" s="35"/>
      <c r="L201" s="189"/>
    </row>
    <row r="202" spans="1:12">
      <c r="A202" s="174"/>
      <c r="B202" s="174"/>
      <c r="C202" s="174"/>
      <c r="D202" s="175"/>
      <c r="E202" s="174"/>
      <c r="F202" s="176"/>
      <c r="G202" s="35"/>
      <c r="H202" s="35"/>
      <c r="I202" s="35"/>
      <c r="J202" s="35"/>
      <c r="K202" s="35"/>
      <c r="L202" s="189"/>
    </row>
    <row r="203" spans="1:12">
      <c r="A203" s="174"/>
      <c r="B203" s="174"/>
      <c r="C203" s="174"/>
      <c r="D203" s="175"/>
      <c r="E203" s="174"/>
      <c r="F203" s="176"/>
      <c r="G203" s="35"/>
      <c r="H203" s="35"/>
      <c r="I203" s="35"/>
      <c r="J203" s="35"/>
      <c r="K203" s="35"/>
      <c r="L203" s="189"/>
    </row>
    <row r="204" spans="1:12">
      <c r="A204" s="174"/>
      <c r="B204" s="174"/>
      <c r="C204" s="174"/>
      <c r="D204" s="175"/>
      <c r="E204" s="174"/>
      <c r="F204" s="176"/>
      <c r="G204" s="35"/>
      <c r="H204" s="35"/>
      <c r="I204" s="35"/>
      <c r="J204" s="35"/>
      <c r="K204" s="35"/>
      <c r="L204" s="189"/>
    </row>
    <row r="205" spans="1:12">
      <c r="A205" s="174"/>
      <c r="B205" s="174"/>
      <c r="C205" s="174"/>
      <c r="D205" s="175"/>
      <c r="E205" s="174"/>
      <c r="F205" s="176"/>
      <c r="G205" s="35"/>
      <c r="H205" s="35"/>
      <c r="I205" s="35"/>
      <c r="J205" s="35"/>
      <c r="K205" s="35"/>
      <c r="L205" s="189"/>
    </row>
    <row r="206" spans="1:12">
      <c r="A206" s="174"/>
      <c r="B206" s="174"/>
      <c r="C206" s="174"/>
      <c r="D206" s="175"/>
      <c r="E206" s="174"/>
      <c r="F206" s="176"/>
      <c r="G206" s="35"/>
      <c r="H206" s="35"/>
      <c r="I206" s="35"/>
      <c r="J206" s="35"/>
      <c r="K206" s="35"/>
      <c r="L206" s="189"/>
    </row>
    <row r="207" spans="1:12">
      <c r="A207" s="174"/>
      <c r="B207" s="174"/>
      <c r="C207" s="174"/>
      <c r="D207" s="175"/>
      <c r="E207" s="174"/>
      <c r="F207" s="176"/>
      <c r="G207" s="35"/>
      <c r="H207" s="35"/>
      <c r="I207" s="35"/>
      <c r="J207" s="35"/>
      <c r="K207" s="35"/>
      <c r="L207" s="189"/>
    </row>
    <row r="208" spans="1:12">
      <c r="A208" s="174"/>
      <c r="B208" s="174"/>
      <c r="C208" s="174"/>
      <c r="D208" s="175"/>
      <c r="E208" s="174"/>
      <c r="F208" s="176"/>
      <c r="G208" s="35"/>
      <c r="H208" s="35"/>
      <c r="I208" s="35"/>
      <c r="J208" s="35"/>
      <c r="K208" s="35"/>
      <c r="L208" s="189"/>
    </row>
    <row r="209" spans="1:12">
      <c r="A209" s="174"/>
      <c r="B209" s="174"/>
      <c r="C209" s="174"/>
      <c r="D209" s="175"/>
      <c r="E209" s="174"/>
      <c r="F209" s="176"/>
      <c r="G209" s="35"/>
      <c r="H209" s="35"/>
      <c r="I209" s="35"/>
      <c r="J209" s="35"/>
      <c r="K209" s="35"/>
      <c r="L209" s="189"/>
    </row>
    <row r="210" spans="1:12">
      <c r="A210" s="174"/>
      <c r="B210" s="174"/>
      <c r="C210" s="174"/>
      <c r="D210" s="175"/>
      <c r="E210" s="174"/>
      <c r="F210" s="176"/>
      <c r="G210" s="35"/>
      <c r="H210" s="35"/>
      <c r="I210" s="35"/>
      <c r="J210" s="35"/>
      <c r="K210" s="35"/>
      <c r="L210" s="189"/>
    </row>
    <row r="211" spans="1:12">
      <c r="A211" s="174"/>
      <c r="B211" s="174"/>
      <c r="C211" s="174"/>
      <c r="D211" s="175"/>
      <c r="E211" s="174"/>
      <c r="F211" s="176"/>
      <c r="G211" s="35"/>
      <c r="H211" s="35"/>
      <c r="I211" s="35"/>
      <c r="J211" s="35"/>
      <c r="K211" s="35"/>
      <c r="L211" s="189"/>
    </row>
    <row r="212" spans="1:12">
      <c r="A212" s="174"/>
      <c r="B212" s="174"/>
      <c r="C212" s="174"/>
      <c r="D212" s="175"/>
      <c r="E212" s="174"/>
      <c r="F212" s="176"/>
      <c r="G212" s="35"/>
      <c r="H212" s="35"/>
      <c r="I212" s="35"/>
      <c r="J212" s="35"/>
      <c r="K212" s="35"/>
      <c r="L212" s="189"/>
    </row>
    <row r="213" spans="1:12">
      <c r="A213" s="174"/>
      <c r="B213" s="174"/>
      <c r="C213" s="174"/>
      <c r="D213" s="175"/>
      <c r="E213" s="174"/>
      <c r="F213" s="176"/>
      <c r="G213" s="35"/>
      <c r="H213" s="35"/>
      <c r="I213" s="35"/>
      <c r="J213" s="35"/>
      <c r="K213" s="35"/>
      <c r="L213" s="189"/>
    </row>
    <row r="214" spans="1:12">
      <c r="A214" s="174"/>
      <c r="B214" s="174"/>
      <c r="C214" s="174"/>
      <c r="D214" s="175"/>
      <c r="E214" s="174"/>
      <c r="F214" s="176"/>
      <c r="G214" s="35"/>
      <c r="H214" s="35"/>
      <c r="I214" s="35"/>
      <c r="J214" s="35"/>
      <c r="K214" s="35"/>
      <c r="L214" s="189"/>
    </row>
    <row r="215" spans="1:12">
      <c r="A215" s="174"/>
      <c r="B215" s="174"/>
      <c r="C215" s="174"/>
      <c r="D215" s="175"/>
      <c r="E215" s="174"/>
      <c r="F215" s="176"/>
      <c r="G215" s="35"/>
      <c r="H215" s="35"/>
      <c r="I215" s="35"/>
      <c r="J215" s="35"/>
      <c r="K215" s="35"/>
      <c r="L215" s="189"/>
    </row>
    <row r="216" spans="1:12">
      <c r="A216" s="174"/>
      <c r="B216" s="174"/>
      <c r="C216" s="174"/>
      <c r="D216" s="175"/>
      <c r="E216" s="174"/>
      <c r="F216" s="176"/>
      <c r="G216" s="35"/>
      <c r="H216" s="35"/>
      <c r="I216" s="35"/>
      <c r="J216" s="35"/>
      <c r="K216" s="35"/>
      <c r="L216" s="189"/>
    </row>
    <row r="217" spans="1:12">
      <c r="A217" s="174"/>
      <c r="B217" s="174"/>
      <c r="C217" s="174"/>
      <c r="D217" s="175"/>
      <c r="E217" s="174"/>
      <c r="F217" s="176"/>
      <c r="G217" s="35"/>
      <c r="H217" s="35"/>
      <c r="I217" s="35"/>
      <c r="J217" s="35"/>
      <c r="K217" s="35"/>
      <c r="L217" s="189"/>
    </row>
    <row r="218" spans="1:12">
      <c r="A218" s="174"/>
      <c r="B218" s="174"/>
      <c r="C218" s="174"/>
      <c r="D218" s="175"/>
      <c r="E218" s="174"/>
      <c r="F218" s="176"/>
      <c r="G218" s="35"/>
      <c r="H218" s="35"/>
      <c r="I218" s="35"/>
      <c r="J218" s="35"/>
      <c r="K218" s="35"/>
      <c r="L218" s="189"/>
    </row>
    <row r="219" spans="1:12">
      <c r="A219" s="174"/>
      <c r="B219" s="174"/>
      <c r="C219" s="174"/>
      <c r="D219" s="175"/>
      <c r="E219" s="174"/>
      <c r="F219" s="176"/>
      <c r="G219" s="35"/>
      <c r="H219" s="35"/>
      <c r="I219" s="35"/>
      <c r="J219" s="35"/>
      <c r="K219" s="35"/>
      <c r="L219" s="189"/>
    </row>
    <row r="220" spans="1:12">
      <c r="A220" s="174"/>
      <c r="B220" s="174"/>
      <c r="C220" s="174"/>
      <c r="D220" s="175"/>
      <c r="E220" s="174"/>
      <c r="F220" s="176"/>
      <c r="G220" s="35"/>
      <c r="H220" s="35"/>
      <c r="I220" s="35"/>
      <c r="J220" s="35"/>
      <c r="K220" s="35"/>
      <c r="L220" s="189"/>
    </row>
    <row r="221" spans="1:12">
      <c r="A221" s="174"/>
      <c r="B221" s="174"/>
      <c r="C221" s="174"/>
      <c r="D221" s="175"/>
      <c r="E221" s="174"/>
      <c r="F221" s="176"/>
      <c r="G221" s="35"/>
      <c r="H221" s="35"/>
      <c r="I221" s="35"/>
      <c r="J221" s="35"/>
      <c r="K221" s="35"/>
      <c r="L221" s="189"/>
    </row>
    <row r="222" spans="1:12">
      <c r="A222" s="174"/>
      <c r="B222" s="174"/>
      <c r="C222" s="174"/>
      <c r="D222" s="175"/>
      <c r="E222" s="174"/>
      <c r="F222" s="176"/>
      <c r="G222" s="35"/>
      <c r="H222" s="35"/>
      <c r="I222" s="35"/>
      <c r="J222" s="35"/>
      <c r="K222" s="35"/>
      <c r="L222" s="189"/>
    </row>
    <row r="223" spans="1:12">
      <c r="A223" s="174"/>
      <c r="B223" s="174"/>
      <c r="C223" s="174"/>
      <c r="D223" s="175"/>
      <c r="E223" s="174"/>
      <c r="F223" s="176"/>
      <c r="G223" s="35"/>
      <c r="H223" s="35"/>
      <c r="I223" s="35"/>
      <c r="J223" s="35"/>
      <c r="K223" s="35"/>
      <c r="L223" s="189"/>
    </row>
    <row r="224" spans="1:12">
      <c r="A224" s="174"/>
      <c r="B224" s="174"/>
      <c r="C224" s="174"/>
      <c r="D224" s="175"/>
      <c r="E224" s="174"/>
      <c r="F224" s="176"/>
      <c r="G224" s="35"/>
      <c r="H224" s="35"/>
      <c r="I224" s="35"/>
      <c r="J224" s="35"/>
      <c r="K224" s="35"/>
      <c r="L224" s="189"/>
    </row>
    <row r="225" spans="1:12">
      <c r="A225" s="174"/>
      <c r="B225" s="174"/>
      <c r="C225" s="174"/>
      <c r="D225" s="175"/>
      <c r="E225" s="174"/>
      <c r="F225" s="176"/>
      <c r="G225" s="35"/>
      <c r="H225" s="35"/>
      <c r="I225" s="35"/>
      <c r="J225" s="35"/>
      <c r="K225" s="35"/>
      <c r="L225" s="189"/>
    </row>
    <row r="226" spans="1:12">
      <c r="A226" s="174"/>
      <c r="B226" s="174"/>
      <c r="C226" s="174"/>
      <c r="D226" s="175"/>
      <c r="E226" s="174"/>
      <c r="F226" s="176"/>
      <c r="G226" s="35"/>
      <c r="H226" s="35"/>
      <c r="I226" s="35"/>
      <c r="J226" s="35"/>
      <c r="K226" s="35"/>
      <c r="L226" s="189"/>
    </row>
    <row r="227" spans="1:12">
      <c r="A227" s="174"/>
      <c r="B227" s="174"/>
      <c r="C227" s="174"/>
      <c r="D227" s="175"/>
      <c r="E227" s="174"/>
      <c r="F227" s="176"/>
      <c r="G227" s="35"/>
      <c r="H227" s="35"/>
      <c r="I227" s="35"/>
      <c r="J227" s="35"/>
      <c r="K227" s="35"/>
      <c r="L227" s="189"/>
    </row>
    <row r="228" spans="1:12">
      <c r="A228" s="174"/>
      <c r="B228" s="174"/>
      <c r="C228" s="174"/>
      <c r="D228" s="175"/>
      <c r="E228" s="174"/>
      <c r="F228" s="176"/>
      <c r="G228" s="35"/>
      <c r="H228" s="35"/>
      <c r="I228" s="35"/>
      <c r="J228" s="35"/>
      <c r="K228" s="35"/>
      <c r="L228" s="189"/>
    </row>
    <row r="229" spans="1:12">
      <c r="A229" s="174"/>
      <c r="B229" s="174"/>
      <c r="C229" s="174"/>
      <c r="D229" s="175"/>
      <c r="E229" s="174"/>
      <c r="F229" s="176"/>
      <c r="G229" s="35"/>
      <c r="H229" s="35"/>
      <c r="I229" s="35"/>
      <c r="J229" s="35"/>
      <c r="K229" s="35"/>
      <c r="L229" s="189"/>
    </row>
    <row r="230" spans="1:12">
      <c r="A230" s="174"/>
      <c r="B230" s="174"/>
      <c r="C230" s="174"/>
      <c r="D230" s="175"/>
      <c r="E230" s="174"/>
      <c r="F230" s="176"/>
      <c r="G230" s="35"/>
      <c r="H230" s="35"/>
      <c r="I230" s="35"/>
      <c r="J230" s="35"/>
      <c r="K230" s="35"/>
      <c r="L230" s="189"/>
    </row>
    <row r="231" spans="1:12">
      <c r="A231" s="174"/>
      <c r="B231" s="174"/>
      <c r="C231" s="174"/>
      <c r="D231" s="175"/>
      <c r="E231" s="174"/>
      <c r="F231" s="176"/>
      <c r="G231" s="35"/>
      <c r="H231" s="35"/>
      <c r="I231" s="35"/>
      <c r="J231" s="35"/>
      <c r="K231" s="35"/>
      <c r="L231" s="189"/>
    </row>
    <row r="232" spans="1:12">
      <c r="A232" s="174"/>
      <c r="B232" s="174"/>
      <c r="C232" s="174"/>
      <c r="D232" s="175"/>
      <c r="E232" s="174"/>
      <c r="F232" s="176"/>
      <c r="G232" s="35"/>
      <c r="H232" s="35"/>
      <c r="I232" s="35"/>
      <c r="J232" s="35"/>
      <c r="K232" s="35"/>
      <c r="L232" s="189"/>
    </row>
    <row r="233" spans="1:12">
      <c r="A233" s="174"/>
      <c r="B233" s="174"/>
      <c r="C233" s="174"/>
      <c r="D233" s="175"/>
      <c r="E233" s="174"/>
      <c r="F233" s="176"/>
      <c r="G233" s="35"/>
      <c r="H233" s="35"/>
      <c r="I233" s="35"/>
      <c r="J233" s="35"/>
      <c r="K233" s="35"/>
      <c r="L233" s="189"/>
    </row>
    <row r="234" spans="1:12">
      <c r="A234" s="174"/>
      <c r="B234" s="174"/>
      <c r="C234" s="174"/>
      <c r="D234" s="175"/>
      <c r="E234" s="174"/>
      <c r="F234" s="176"/>
      <c r="G234" s="35"/>
      <c r="H234" s="35"/>
      <c r="I234" s="35"/>
      <c r="J234" s="35"/>
      <c r="K234" s="35"/>
      <c r="L234" s="189"/>
    </row>
    <row r="235" spans="1:12">
      <c r="A235" s="174"/>
      <c r="B235" s="174"/>
      <c r="C235" s="174"/>
      <c r="D235" s="175"/>
      <c r="E235" s="174"/>
      <c r="F235" s="176"/>
      <c r="G235" s="35"/>
      <c r="H235" s="35"/>
      <c r="I235" s="35"/>
      <c r="J235" s="35"/>
      <c r="K235" s="35"/>
      <c r="L235" s="189"/>
    </row>
    <row r="236" spans="1:12">
      <c r="A236" s="174"/>
      <c r="B236" s="174"/>
      <c r="C236" s="174"/>
      <c r="D236" s="175"/>
      <c r="E236" s="174"/>
      <c r="F236" s="176"/>
      <c r="G236" s="35"/>
      <c r="H236" s="35"/>
      <c r="I236" s="35"/>
      <c r="J236" s="35"/>
      <c r="K236" s="35"/>
      <c r="L236" s="189"/>
    </row>
    <row r="237" spans="1:12">
      <c r="A237" s="174"/>
      <c r="B237" s="174"/>
      <c r="C237" s="174"/>
      <c r="D237" s="175"/>
      <c r="E237" s="174"/>
      <c r="F237" s="176"/>
      <c r="G237" s="35"/>
      <c r="H237" s="35"/>
      <c r="I237" s="35"/>
      <c r="J237" s="35"/>
      <c r="K237" s="35"/>
      <c r="L237" s="189"/>
    </row>
    <row r="238" spans="1:12">
      <c r="A238" s="174"/>
      <c r="B238" s="174"/>
      <c r="C238" s="174"/>
      <c r="D238" s="175"/>
      <c r="E238" s="174"/>
      <c r="F238" s="176"/>
      <c r="G238" s="35"/>
      <c r="H238" s="35"/>
      <c r="I238" s="35"/>
      <c r="J238" s="35"/>
      <c r="K238" s="35"/>
      <c r="L238" s="189"/>
    </row>
    <row r="239" spans="1:12">
      <c r="A239" s="174"/>
      <c r="B239" s="174"/>
      <c r="C239" s="174"/>
      <c r="D239" s="175"/>
      <c r="E239" s="174"/>
      <c r="F239" s="176"/>
      <c r="G239" s="35"/>
      <c r="H239" s="35"/>
      <c r="I239" s="35"/>
      <c r="J239" s="35"/>
      <c r="K239" s="35"/>
      <c r="L239" s="189"/>
    </row>
    <row r="240" spans="1:12">
      <c r="A240" s="174"/>
      <c r="B240" s="174"/>
      <c r="C240" s="174"/>
      <c r="D240" s="175"/>
      <c r="E240" s="174"/>
      <c r="F240" s="176"/>
      <c r="G240" s="35"/>
      <c r="H240" s="35"/>
      <c r="I240" s="35"/>
      <c r="J240" s="35"/>
      <c r="K240" s="35"/>
      <c r="L240" s="189"/>
    </row>
    <row r="241" spans="1:12">
      <c r="A241" s="174"/>
      <c r="B241" s="174"/>
      <c r="C241" s="174"/>
      <c r="D241" s="175"/>
      <c r="E241" s="174"/>
      <c r="F241" s="176"/>
      <c r="G241" s="35"/>
      <c r="H241" s="35"/>
      <c r="I241" s="35"/>
      <c r="J241" s="35"/>
      <c r="K241" s="35"/>
      <c r="L241" s="189"/>
    </row>
    <row r="242" spans="1:12">
      <c r="A242" s="174"/>
      <c r="B242" s="174"/>
      <c r="C242" s="174"/>
      <c r="D242" s="175"/>
      <c r="E242" s="174"/>
      <c r="F242" s="176"/>
      <c r="G242" s="35"/>
      <c r="H242" s="35"/>
      <c r="I242" s="35"/>
      <c r="J242" s="35"/>
      <c r="K242" s="35"/>
      <c r="L242" s="189"/>
    </row>
    <row r="243" spans="1:12">
      <c r="A243" s="174"/>
      <c r="B243" s="174"/>
      <c r="C243" s="174"/>
      <c r="D243" s="175"/>
      <c r="E243" s="174"/>
      <c r="F243" s="176"/>
      <c r="G243" s="35"/>
      <c r="H243" s="35"/>
      <c r="I243" s="35"/>
      <c r="J243" s="35"/>
      <c r="K243" s="35"/>
      <c r="L243" s="189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H5" sqref="H5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72" t="s">
        <v>0</v>
      </c>
      <c r="B1" s="172" t="s">
        <v>1</v>
      </c>
      <c r="C1" s="302"/>
      <c r="D1" s="302"/>
      <c r="E1" s="302"/>
      <c r="F1" s="302"/>
      <c r="G1" s="302"/>
      <c r="H1" s="302"/>
      <c r="J1" s="96" t="s">
        <v>51</v>
      </c>
      <c r="K1" s="96" t="s">
        <v>8</v>
      </c>
      <c r="L1" s="97" t="s">
        <v>75</v>
      </c>
      <c r="M1" s="174"/>
      <c r="N1" s="174"/>
      <c r="O1" s="174"/>
      <c r="P1" s="174"/>
      <c r="Q1" s="174"/>
      <c r="R1" s="174"/>
      <c r="S1" s="174"/>
      <c r="T1" s="174"/>
    </row>
    <row r="2" spans="1:20">
      <c r="A2" s="172" t="s">
        <v>98</v>
      </c>
      <c r="B2" s="172" t="s">
        <v>23</v>
      </c>
      <c r="C2" s="302"/>
      <c r="D2" s="302"/>
      <c r="E2" s="302"/>
      <c r="F2" s="287"/>
      <c r="G2" s="287"/>
      <c r="H2" s="287"/>
      <c r="I2" s="18">
        <v>2020</v>
      </c>
      <c r="J2" s="30">
        <v>111.84699999999999</v>
      </c>
      <c r="K2" s="30">
        <v>0</v>
      </c>
      <c r="L2" s="30">
        <v>3268.7626831071402</v>
      </c>
      <c r="M2" s="174"/>
      <c r="N2" s="174"/>
      <c r="O2" s="174"/>
      <c r="P2" s="174"/>
      <c r="Q2" s="174"/>
      <c r="R2" s="175"/>
      <c r="S2" s="175"/>
      <c r="T2" s="175"/>
    </row>
    <row r="3" spans="1:20">
      <c r="A3" s="172" t="s">
        <v>98</v>
      </c>
      <c r="B3" s="172" t="s">
        <v>23</v>
      </c>
      <c r="C3" s="302"/>
      <c r="D3" s="302"/>
      <c r="E3" s="302"/>
      <c r="F3" s="287"/>
      <c r="G3" s="287"/>
      <c r="H3" s="287"/>
      <c r="I3" s="18">
        <f>I2+1</f>
        <v>2021</v>
      </c>
      <c r="J3" s="30">
        <v>111.38</v>
      </c>
      <c r="K3" s="30">
        <v>0</v>
      </c>
      <c r="L3" s="30">
        <v>3279.6236629355299</v>
      </c>
      <c r="M3" s="174"/>
      <c r="N3" s="174"/>
      <c r="O3" s="174"/>
      <c r="P3" s="174"/>
      <c r="Q3" s="174"/>
      <c r="R3" s="175"/>
      <c r="S3" s="175"/>
      <c r="T3" s="175"/>
    </row>
    <row r="4" spans="1:20">
      <c r="A4" s="172" t="s">
        <v>98</v>
      </c>
      <c r="B4" s="172" t="s">
        <v>23</v>
      </c>
      <c r="C4" s="302"/>
      <c r="D4" s="302"/>
      <c r="E4" s="302"/>
      <c r="F4" s="287"/>
      <c r="G4" s="287"/>
      <c r="H4" s="287"/>
      <c r="I4" s="18">
        <f t="shared" ref="I4:I30" si="0">I3+1</f>
        <v>2022</v>
      </c>
      <c r="J4" s="30">
        <v>156.19426403671</v>
      </c>
      <c r="K4" s="30">
        <v>0</v>
      </c>
      <c r="L4" s="30">
        <v>4818.9774724833605</v>
      </c>
      <c r="M4" s="174"/>
      <c r="N4" s="174"/>
      <c r="O4" s="174"/>
      <c r="P4" s="174"/>
      <c r="Q4" s="174"/>
      <c r="R4" s="175"/>
      <c r="S4" s="175"/>
      <c r="T4" s="175"/>
    </row>
    <row r="5" spans="1:20">
      <c r="A5" s="172" t="s">
        <v>98</v>
      </c>
      <c r="B5" s="172" t="s">
        <v>23</v>
      </c>
      <c r="C5" s="302"/>
      <c r="D5" s="302"/>
      <c r="E5" s="302"/>
      <c r="F5" s="287"/>
      <c r="G5" s="287"/>
      <c r="H5" s="287"/>
      <c r="I5" s="18">
        <f t="shared" si="0"/>
        <v>2023</v>
      </c>
      <c r="J5" s="30">
        <v>155.69033771775</v>
      </c>
      <c r="K5" s="30">
        <v>0</v>
      </c>
      <c r="L5" s="30">
        <v>5009.61439086065</v>
      </c>
      <c r="M5" s="174"/>
      <c r="N5" s="174"/>
      <c r="O5" s="174"/>
      <c r="P5" s="174"/>
      <c r="Q5" s="174"/>
      <c r="R5" s="175"/>
      <c r="S5" s="175"/>
      <c r="T5" s="175"/>
    </row>
    <row r="6" spans="1:20">
      <c r="A6" s="172" t="s">
        <v>98</v>
      </c>
      <c r="B6" s="172" t="s">
        <v>23</v>
      </c>
      <c r="C6" s="302"/>
      <c r="D6" s="302"/>
      <c r="E6" s="302"/>
      <c r="F6" s="287"/>
      <c r="G6" s="287"/>
      <c r="H6" s="287"/>
      <c r="I6" s="18">
        <f t="shared" si="0"/>
        <v>2024</v>
      </c>
      <c r="J6" s="30">
        <v>155.0559856431</v>
      </c>
      <c r="K6" s="30">
        <v>0</v>
      </c>
      <c r="L6" s="30">
        <v>5208.5340214971302</v>
      </c>
      <c r="M6" s="174"/>
      <c r="N6" s="174"/>
      <c r="O6" s="174"/>
      <c r="P6" s="174"/>
      <c r="Q6" s="174"/>
      <c r="R6" s="175"/>
      <c r="S6" s="175"/>
      <c r="T6" s="175"/>
    </row>
    <row r="7" spans="1:20">
      <c r="A7" s="172" t="s">
        <v>98</v>
      </c>
      <c r="B7" s="172" t="s">
        <v>23</v>
      </c>
      <c r="C7" s="302"/>
      <c r="D7" s="302"/>
      <c r="E7" s="302"/>
      <c r="F7" s="287"/>
      <c r="G7" s="287"/>
      <c r="H7" s="287"/>
      <c r="I7" s="18">
        <f t="shared" si="0"/>
        <v>2025</v>
      </c>
      <c r="J7" s="30">
        <v>154.6128683352799</v>
      </c>
      <c r="K7" s="30">
        <v>0</v>
      </c>
      <c r="L7" s="30">
        <v>5368.2964107076696</v>
      </c>
      <c r="M7" s="174"/>
      <c r="N7" s="174"/>
      <c r="O7" s="174"/>
      <c r="P7" s="174"/>
      <c r="Q7" s="174"/>
      <c r="R7" s="175"/>
      <c r="S7" s="175"/>
      <c r="T7" s="175"/>
    </row>
    <row r="8" spans="1:20">
      <c r="A8" s="172" t="s">
        <v>98</v>
      </c>
      <c r="B8" s="172" t="s">
        <v>23</v>
      </c>
      <c r="C8" s="302"/>
      <c r="D8" s="302"/>
      <c r="E8" s="302"/>
      <c r="F8" s="287"/>
      <c r="G8" s="287"/>
      <c r="H8" s="287"/>
      <c r="I8" s="18">
        <f t="shared" si="0"/>
        <v>2026</v>
      </c>
      <c r="J8" s="30">
        <v>154.04731400258001</v>
      </c>
      <c r="K8" s="30">
        <v>0</v>
      </c>
      <c r="L8" s="30">
        <v>5504.4940457483399</v>
      </c>
      <c r="M8" s="174"/>
      <c r="N8" s="174"/>
      <c r="O8" s="174"/>
      <c r="P8" s="174"/>
      <c r="Q8" s="174"/>
      <c r="R8" s="175"/>
      <c r="S8" s="175"/>
      <c r="T8" s="175"/>
    </row>
    <row r="9" spans="1:20">
      <c r="A9" s="172" t="s">
        <v>98</v>
      </c>
      <c r="B9" s="172" t="s">
        <v>23</v>
      </c>
      <c r="C9" s="302"/>
      <c r="D9" s="302"/>
      <c r="E9" s="302"/>
      <c r="F9" s="287"/>
      <c r="G9" s="287"/>
      <c r="H9" s="287"/>
      <c r="I9" s="18">
        <f t="shared" si="0"/>
        <v>2027</v>
      </c>
      <c r="J9" s="30">
        <v>153.58587243741999</v>
      </c>
      <c r="K9" s="30">
        <v>0</v>
      </c>
      <c r="L9" s="30">
        <v>5700.7358772326597</v>
      </c>
      <c r="M9" s="174"/>
      <c r="N9" s="174"/>
      <c r="O9" s="174"/>
      <c r="P9" s="174"/>
      <c r="Q9" s="174"/>
      <c r="R9" s="175"/>
      <c r="S9" s="175"/>
      <c r="T9" s="175"/>
    </row>
    <row r="10" spans="1:20">
      <c r="A10" s="172" t="s">
        <v>98</v>
      </c>
      <c r="B10" s="172" t="s">
        <v>23</v>
      </c>
      <c r="C10" s="302"/>
      <c r="D10" s="302"/>
      <c r="E10" s="302"/>
      <c r="F10" s="287"/>
      <c r="G10" s="287"/>
      <c r="H10" s="287"/>
      <c r="I10" s="18">
        <f t="shared" si="0"/>
        <v>2028</v>
      </c>
      <c r="J10" s="30">
        <v>153.11448507087999</v>
      </c>
      <c r="K10" s="30">
        <v>0</v>
      </c>
      <c r="L10" s="30">
        <v>7053.7330867887194</v>
      </c>
      <c r="M10" s="174"/>
      <c r="N10" s="174"/>
      <c r="O10" s="174"/>
      <c r="P10" s="174"/>
      <c r="Q10" s="174"/>
      <c r="R10" s="175"/>
      <c r="S10" s="175"/>
      <c r="T10" s="175"/>
    </row>
    <row r="11" spans="1:20">
      <c r="A11" s="172" t="s">
        <v>98</v>
      </c>
      <c r="B11" s="172" t="s">
        <v>23</v>
      </c>
      <c r="C11" s="302"/>
      <c r="D11" s="302"/>
      <c r="E11" s="302"/>
      <c r="F11" s="287"/>
      <c r="G11" s="287"/>
      <c r="H11" s="287"/>
      <c r="I11" s="18">
        <f t="shared" si="0"/>
        <v>2029</v>
      </c>
      <c r="J11" s="30">
        <v>152.91130539568002</v>
      </c>
      <c r="K11" s="30">
        <v>0</v>
      </c>
      <c r="L11" s="30">
        <v>7082.6261477191892</v>
      </c>
      <c r="M11" s="174"/>
      <c r="N11" s="174"/>
      <c r="O11" s="174"/>
      <c r="P11" s="174"/>
      <c r="Q11" s="174"/>
      <c r="R11" s="175"/>
      <c r="S11" s="175"/>
      <c r="T11" s="175"/>
    </row>
    <row r="12" spans="1:20">
      <c r="A12" s="172" t="s">
        <v>98</v>
      </c>
      <c r="B12" s="172" t="s">
        <v>23</v>
      </c>
      <c r="C12" s="302"/>
      <c r="D12" s="302"/>
      <c r="E12" s="302"/>
      <c r="F12" s="287"/>
      <c r="G12" s="287"/>
      <c r="H12" s="287"/>
      <c r="I12" s="18">
        <f t="shared" si="0"/>
        <v>2030</v>
      </c>
      <c r="J12" s="30">
        <v>152.48116887360999</v>
      </c>
      <c r="K12" s="30">
        <v>0</v>
      </c>
      <c r="L12" s="30">
        <v>7214.1870538983894</v>
      </c>
      <c r="M12" s="174"/>
      <c r="N12" s="174"/>
      <c r="O12" s="174"/>
      <c r="P12" s="174"/>
      <c r="Q12" s="174"/>
      <c r="R12" s="175"/>
      <c r="S12" s="175"/>
      <c r="T12" s="175"/>
    </row>
    <row r="13" spans="1:20">
      <c r="A13" s="172" t="s">
        <v>98</v>
      </c>
      <c r="B13" s="172" t="s">
        <v>23</v>
      </c>
      <c r="C13" s="302"/>
      <c r="D13" s="302"/>
      <c r="E13" s="302"/>
      <c r="F13" s="287"/>
      <c r="G13" s="287"/>
      <c r="H13" s="287"/>
      <c r="I13" s="18">
        <f t="shared" si="0"/>
        <v>2031</v>
      </c>
      <c r="J13" s="30">
        <v>152.17212302920001</v>
      </c>
      <c r="K13" s="30">
        <v>0</v>
      </c>
      <c r="L13" s="30">
        <v>7321.1078296739597</v>
      </c>
      <c r="M13" s="174"/>
      <c r="N13" s="174"/>
      <c r="O13" s="174"/>
      <c r="P13" s="174"/>
      <c r="Q13" s="174"/>
      <c r="R13" s="175"/>
      <c r="S13" s="175"/>
      <c r="T13" s="175"/>
    </row>
    <row r="14" spans="1:20">
      <c r="A14" s="172" t="s">
        <v>98</v>
      </c>
      <c r="B14" s="172" t="s">
        <v>23</v>
      </c>
      <c r="C14" s="302"/>
      <c r="D14" s="302"/>
      <c r="E14" s="302"/>
      <c r="F14" s="287"/>
      <c r="G14" s="287"/>
      <c r="H14" s="287"/>
      <c r="I14" s="18">
        <f t="shared" si="0"/>
        <v>2032</v>
      </c>
      <c r="J14" s="30">
        <v>151.83264153258</v>
      </c>
      <c r="K14" s="30">
        <v>0</v>
      </c>
      <c r="L14" s="30">
        <v>7508.9184264065998</v>
      </c>
      <c r="M14" s="174"/>
      <c r="N14" s="174"/>
      <c r="O14" s="174"/>
      <c r="P14" s="174"/>
      <c r="Q14" s="174"/>
      <c r="R14" s="175"/>
      <c r="S14" s="175"/>
      <c r="T14" s="175"/>
    </row>
    <row r="15" spans="1:20">
      <c r="A15" s="172" t="s">
        <v>98</v>
      </c>
      <c r="B15" s="172" t="s">
        <v>23</v>
      </c>
      <c r="C15" s="302"/>
      <c r="D15" s="302"/>
      <c r="E15" s="302"/>
      <c r="F15" s="287"/>
      <c r="G15" s="287"/>
      <c r="H15" s="287"/>
      <c r="I15" s="18">
        <f t="shared" si="0"/>
        <v>2033</v>
      </c>
      <c r="J15" s="30">
        <v>151.37528161054001</v>
      </c>
      <c r="K15" s="30">
        <v>0</v>
      </c>
      <c r="L15" s="30">
        <v>7630.89689741851</v>
      </c>
      <c r="M15" s="174"/>
      <c r="N15" s="174"/>
      <c r="O15" s="174"/>
      <c r="P15" s="174"/>
      <c r="Q15" s="174"/>
      <c r="R15" s="175"/>
      <c r="S15" s="175"/>
      <c r="T15" s="175"/>
    </row>
    <row r="16" spans="1:20">
      <c r="A16" s="172" t="s">
        <v>98</v>
      </c>
      <c r="B16" s="172" t="s">
        <v>23</v>
      </c>
      <c r="C16" s="302"/>
      <c r="D16" s="302"/>
      <c r="E16" s="302"/>
      <c r="F16" s="287"/>
      <c r="G16" s="287"/>
      <c r="H16" s="287"/>
      <c r="I16" s="18">
        <f t="shared" si="0"/>
        <v>2034</v>
      </c>
      <c r="J16" s="30">
        <v>151.14447521291999</v>
      </c>
      <c r="K16" s="30">
        <v>0</v>
      </c>
      <c r="L16" s="30">
        <v>7806.711442799171</v>
      </c>
      <c r="M16" s="174"/>
      <c r="N16" s="174"/>
      <c r="O16" s="174"/>
      <c r="P16" s="174"/>
      <c r="Q16" s="174"/>
      <c r="R16" s="175"/>
      <c r="S16" s="175"/>
      <c r="T16" s="175"/>
    </row>
    <row r="17" spans="1:20">
      <c r="A17" s="172" t="s">
        <v>98</v>
      </c>
      <c r="B17" s="172" t="s">
        <v>23</v>
      </c>
      <c r="C17" s="302"/>
      <c r="D17" s="302"/>
      <c r="E17" s="302"/>
      <c r="F17" s="287"/>
      <c r="G17" s="287"/>
      <c r="H17" s="287"/>
      <c r="I17" s="18">
        <f t="shared" si="0"/>
        <v>2035</v>
      </c>
      <c r="J17" s="30">
        <v>150.93273784012001</v>
      </c>
      <c r="K17" s="30">
        <v>0</v>
      </c>
      <c r="L17" s="30">
        <v>8090.2296682576498</v>
      </c>
      <c r="M17" s="174"/>
      <c r="N17" s="174"/>
      <c r="O17" s="174"/>
      <c r="P17" s="174"/>
      <c r="Q17" s="174"/>
      <c r="R17" s="175"/>
      <c r="S17" s="175"/>
      <c r="T17" s="175"/>
    </row>
    <row r="18" spans="1:20">
      <c r="A18" s="172" t="s">
        <v>98</v>
      </c>
      <c r="B18" s="172" t="s">
        <v>23</v>
      </c>
      <c r="C18" s="302"/>
      <c r="D18" s="302"/>
      <c r="E18" s="302"/>
      <c r="F18" s="287"/>
      <c r="G18" s="287"/>
      <c r="H18" s="287"/>
      <c r="I18" s="18">
        <f t="shared" si="0"/>
        <v>2036</v>
      </c>
      <c r="J18" s="30">
        <v>150.75010451863</v>
      </c>
      <c r="K18" s="30">
        <v>0</v>
      </c>
      <c r="L18" s="30">
        <v>8122.8041274499592</v>
      </c>
      <c r="M18" s="174"/>
      <c r="N18" s="174"/>
      <c r="O18" s="174"/>
      <c r="P18" s="174"/>
      <c r="Q18" s="174"/>
      <c r="R18" s="175"/>
      <c r="S18" s="175"/>
      <c r="T18" s="175"/>
    </row>
    <row r="19" spans="1:20">
      <c r="A19" s="172" t="s">
        <v>98</v>
      </c>
      <c r="B19" s="172" t="s">
        <v>23</v>
      </c>
      <c r="C19" s="302"/>
      <c r="D19" s="302"/>
      <c r="E19" s="302"/>
      <c r="F19" s="287"/>
      <c r="G19" s="287"/>
      <c r="H19" s="287"/>
      <c r="I19" s="18">
        <f t="shared" si="0"/>
        <v>2037</v>
      </c>
      <c r="J19" s="30">
        <v>150.52344883769001</v>
      </c>
      <c r="K19" s="30">
        <v>0</v>
      </c>
      <c r="L19" s="30">
        <v>8331.5863605096201</v>
      </c>
      <c r="M19" s="174"/>
      <c r="N19" s="174"/>
      <c r="O19" s="174"/>
      <c r="P19" s="174"/>
      <c r="Q19" s="174"/>
      <c r="R19" s="175"/>
      <c r="S19" s="175"/>
      <c r="T19" s="175"/>
    </row>
    <row r="20" spans="1:20">
      <c r="A20" s="172" t="s">
        <v>98</v>
      </c>
      <c r="B20" s="172" t="s">
        <v>23</v>
      </c>
      <c r="C20" s="302"/>
      <c r="D20" s="302"/>
      <c r="E20" s="302"/>
      <c r="F20" s="287"/>
      <c r="G20" s="287"/>
      <c r="H20" s="287"/>
      <c r="I20" s="18">
        <f t="shared" si="0"/>
        <v>2038</v>
      </c>
      <c r="J20" s="30">
        <v>150.20788659753998</v>
      </c>
      <c r="K20" s="30">
        <v>0</v>
      </c>
      <c r="L20" s="30">
        <v>8602.9239634325604</v>
      </c>
      <c r="M20" s="174"/>
      <c r="N20" s="174"/>
      <c r="O20" s="174"/>
      <c r="P20" s="174"/>
      <c r="Q20" s="174"/>
      <c r="R20" s="175"/>
      <c r="S20" s="175"/>
      <c r="T20" s="175"/>
    </row>
    <row r="21" spans="1:20">
      <c r="A21" s="172" t="s">
        <v>98</v>
      </c>
      <c r="B21" s="172" t="s">
        <v>23</v>
      </c>
      <c r="C21" s="302"/>
      <c r="D21" s="302"/>
      <c r="E21" s="302"/>
      <c r="F21" s="287"/>
      <c r="G21" s="287"/>
      <c r="H21" s="287"/>
      <c r="I21" s="18">
        <f t="shared" si="0"/>
        <v>2039</v>
      </c>
      <c r="J21" s="30">
        <v>149.88937217295</v>
      </c>
      <c r="K21" s="30">
        <v>0</v>
      </c>
      <c r="L21" s="30">
        <v>8789.7600222566398</v>
      </c>
      <c r="M21" s="174"/>
      <c r="N21" s="174"/>
      <c r="O21" s="174"/>
      <c r="P21" s="174"/>
      <c r="Q21" s="174"/>
      <c r="R21" s="175"/>
      <c r="S21" s="175"/>
      <c r="T21" s="175"/>
    </row>
    <row r="22" spans="1:20">
      <c r="A22" s="172" t="s">
        <v>98</v>
      </c>
      <c r="B22" s="172" t="s">
        <v>23</v>
      </c>
      <c r="C22" s="302"/>
      <c r="D22" s="302"/>
      <c r="E22" s="302"/>
      <c r="F22" s="287"/>
      <c r="G22" s="287"/>
      <c r="H22" s="287"/>
      <c r="I22" s="18">
        <f t="shared" si="0"/>
        <v>2040</v>
      </c>
      <c r="J22" s="30">
        <v>149.77953049292</v>
      </c>
      <c r="K22" s="30">
        <v>0</v>
      </c>
      <c r="L22" s="30">
        <v>8922.8472006675602</v>
      </c>
      <c r="M22" s="174"/>
      <c r="N22" s="174"/>
      <c r="O22" s="174"/>
      <c r="P22" s="174"/>
      <c r="Q22" s="174"/>
      <c r="R22" s="175"/>
      <c r="S22" s="175"/>
      <c r="T22" s="175"/>
    </row>
    <row r="23" spans="1:20">
      <c r="A23" s="172" t="s">
        <v>98</v>
      </c>
      <c r="B23" s="172" t="s">
        <v>23</v>
      </c>
      <c r="C23" s="302"/>
      <c r="D23" s="302"/>
      <c r="E23" s="302"/>
      <c r="F23" s="287"/>
      <c r="G23" s="287"/>
      <c r="H23" s="287"/>
      <c r="I23" s="18">
        <f t="shared" si="0"/>
        <v>2041</v>
      </c>
      <c r="J23" s="30">
        <v>149.49746581432001</v>
      </c>
      <c r="K23" s="30">
        <v>0</v>
      </c>
      <c r="L23" s="30">
        <v>9008.0208127351107</v>
      </c>
      <c r="M23" s="174"/>
      <c r="N23" s="174"/>
      <c r="O23" s="174"/>
      <c r="P23" s="174"/>
      <c r="Q23" s="174"/>
      <c r="R23" s="175"/>
      <c r="S23" s="175"/>
      <c r="T23" s="175"/>
    </row>
    <row r="24" spans="1:20">
      <c r="A24" s="172" t="s">
        <v>98</v>
      </c>
      <c r="B24" s="172" t="s">
        <v>23</v>
      </c>
      <c r="C24" s="302"/>
      <c r="D24" s="302"/>
      <c r="E24" s="302"/>
      <c r="F24" s="287"/>
      <c r="G24" s="287"/>
      <c r="H24" s="287"/>
      <c r="I24" s="18">
        <f t="shared" si="0"/>
        <v>2042</v>
      </c>
      <c r="J24" s="30">
        <v>149.20806349174001</v>
      </c>
      <c r="K24" s="30">
        <v>0</v>
      </c>
      <c r="L24" s="30">
        <v>9223.3685125180709</v>
      </c>
      <c r="M24" s="174"/>
      <c r="N24" s="174"/>
      <c r="O24" s="174"/>
      <c r="P24" s="174"/>
      <c r="Q24" s="174"/>
      <c r="R24" s="175"/>
      <c r="S24" s="175"/>
      <c r="T24" s="175"/>
    </row>
    <row r="25" spans="1:20">
      <c r="A25" s="172" t="s">
        <v>98</v>
      </c>
      <c r="B25" s="172" t="s">
        <v>23</v>
      </c>
      <c r="C25" s="302"/>
      <c r="D25" s="302"/>
      <c r="E25" s="302"/>
      <c r="F25" s="287"/>
      <c r="G25" s="287"/>
      <c r="H25" s="287"/>
      <c r="I25" s="18">
        <f t="shared" si="0"/>
        <v>2043</v>
      </c>
      <c r="J25" s="30">
        <v>148.99568818085001</v>
      </c>
      <c r="K25" s="30">
        <v>0</v>
      </c>
      <c r="L25" s="30">
        <v>9318.3414264838702</v>
      </c>
      <c r="M25" s="174"/>
      <c r="N25" s="174"/>
      <c r="O25" s="174"/>
      <c r="P25" s="174"/>
      <c r="Q25" s="174"/>
      <c r="R25" s="175"/>
      <c r="S25" s="175"/>
      <c r="T25" s="175"/>
    </row>
    <row r="26" spans="1:20">
      <c r="A26" s="172" t="s">
        <v>98</v>
      </c>
      <c r="B26" s="172" t="s">
        <v>23</v>
      </c>
      <c r="C26" s="302"/>
      <c r="D26" s="302"/>
      <c r="E26" s="302"/>
      <c r="F26" s="287"/>
      <c r="G26" s="287"/>
      <c r="H26" s="287"/>
      <c r="I26" s="18">
        <f t="shared" si="0"/>
        <v>2044</v>
      </c>
      <c r="J26" s="30">
        <v>148.61558273047001</v>
      </c>
      <c r="K26" s="30">
        <v>0</v>
      </c>
      <c r="L26" s="30">
        <v>9629.8897744677306</v>
      </c>
      <c r="M26" s="174"/>
      <c r="N26" s="174"/>
      <c r="O26" s="174"/>
      <c r="P26" s="174"/>
      <c r="Q26" s="174"/>
      <c r="R26" s="175"/>
      <c r="S26" s="175"/>
      <c r="T26" s="175"/>
    </row>
    <row r="27" spans="1:20">
      <c r="A27" s="172" t="s">
        <v>98</v>
      </c>
      <c r="B27" s="172" t="s">
        <v>23</v>
      </c>
      <c r="C27" s="302"/>
      <c r="D27" s="302"/>
      <c r="E27" s="302"/>
      <c r="F27" s="287"/>
      <c r="G27" s="287"/>
      <c r="H27" s="287"/>
      <c r="I27" s="18">
        <f t="shared" si="0"/>
        <v>2045</v>
      </c>
      <c r="J27" s="30">
        <v>148.42799807217</v>
      </c>
      <c r="K27" s="30">
        <v>0</v>
      </c>
      <c r="L27" s="30">
        <v>9764.8318852394605</v>
      </c>
      <c r="M27" s="174"/>
      <c r="N27" s="174"/>
      <c r="O27" s="174"/>
      <c r="P27" s="174"/>
      <c r="Q27" s="174"/>
      <c r="R27" s="175"/>
      <c r="S27" s="175"/>
      <c r="T27" s="175"/>
    </row>
    <row r="28" spans="1:20">
      <c r="A28" s="172" t="s">
        <v>98</v>
      </c>
      <c r="B28" s="172" t="s">
        <v>23</v>
      </c>
      <c r="C28" s="302"/>
      <c r="D28" s="302"/>
      <c r="E28" s="302"/>
      <c r="F28" s="287"/>
      <c r="G28" s="287"/>
      <c r="H28" s="287"/>
      <c r="I28" s="18">
        <f t="shared" si="0"/>
        <v>2046</v>
      </c>
      <c r="J28" s="30">
        <v>148.15067309161</v>
      </c>
      <c r="K28" s="30">
        <v>0</v>
      </c>
      <c r="L28" s="30">
        <v>10009.17926248205</v>
      </c>
      <c r="M28" s="174"/>
      <c r="N28" s="174"/>
      <c r="O28" s="174"/>
      <c r="P28" s="174"/>
      <c r="Q28" s="174"/>
      <c r="R28" s="175"/>
      <c r="S28" s="175"/>
      <c r="T28" s="175"/>
    </row>
    <row r="29" spans="1:20">
      <c r="A29" s="172" t="s">
        <v>98</v>
      </c>
      <c r="B29" s="172" t="s">
        <v>23</v>
      </c>
      <c r="C29" s="302"/>
      <c r="D29" s="302"/>
      <c r="E29" s="302"/>
      <c r="F29" s="287"/>
      <c r="G29" s="287"/>
      <c r="H29" s="287"/>
      <c r="I29" s="18">
        <f t="shared" si="0"/>
        <v>2047</v>
      </c>
      <c r="J29" s="30">
        <v>147.75435472491</v>
      </c>
      <c r="K29" s="30">
        <v>0</v>
      </c>
      <c r="L29" s="30">
        <v>10235.058830774349</v>
      </c>
      <c r="M29" s="174"/>
      <c r="N29" s="174"/>
      <c r="O29" s="174"/>
      <c r="P29" s="174"/>
      <c r="Q29" s="174"/>
      <c r="R29" s="175"/>
      <c r="S29" s="175"/>
      <c r="T29" s="175"/>
    </row>
    <row r="30" spans="1:20">
      <c r="A30" s="172" t="s">
        <v>98</v>
      </c>
      <c r="B30" s="172" t="s">
        <v>23</v>
      </c>
      <c r="C30" s="302"/>
      <c r="D30" s="302"/>
      <c r="E30" s="302"/>
      <c r="F30" s="287"/>
      <c r="G30" s="287"/>
      <c r="H30" s="287"/>
      <c r="I30" s="18">
        <f t="shared" si="0"/>
        <v>2048</v>
      </c>
      <c r="J30" s="30">
        <v>147.65893118888999</v>
      </c>
      <c r="K30" s="30">
        <v>0</v>
      </c>
      <c r="L30" s="30">
        <v>10469.121358331649</v>
      </c>
      <c r="M30" s="174"/>
      <c r="N30" s="174"/>
      <c r="O30" s="174"/>
      <c r="P30" s="174"/>
      <c r="Q30" s="174"/>
      <c r="R30" s="175"/>
      <c r="S30" s="175"/>
      <c r="T30" s="175"/>
    </row>
    <row r="31" spans="1:20">
      <c r="A31" s="172" t="s">
        <v>98</v>
      </c>
      <c r="B31" s="172" t="s">
        <v>23</v>
      </c>
      <c r="C31" s="302"/>
      <c r="D31" s="302"/>
      <c r="E31" s="302"/>
      <c r="F31" s="287"/>
      <c r="G31" s="287"/>
      <c r="H31" s="287"/>
      <c r="I31" s="18">
        <f>I30+1</f>
        <v>2049</v>
      </c>
      <c r="J31" s="30">
        <v>145.59594759802002</v>
      </c>
      <c r="K31" s="30">
        <v>0</v>
      </c>
      <c r="L31" s="30">
        <v>10393.16539732433</v>
      </c>
      <c r="M31" s="174"/>
      <c r="N31" s="174"/>
      <c r="O31" s="174"/>
      <c r="P31" s="174"/>
      <c r="Q31" s="174"/>
      <c r="R31" s="175"/>
      <c r="S31" s="175"/>
      <c r="T31" s="175"/>
    </row>
    <row r="32" spans="1:20">
      <c r="A32" s="172" t="s">
        <v>98</v>
      </c>
      <c r="B32" s="172" t="s">
        <v>23</v>
      </c>
      <c r="C32" s="302"/>
      <c r="D32" s="302"/>
      <c r="E32" s="302"/>
      <c r="F32" s="287"/>
      <c r="G32" s="287"/>
      <c r="H32" s="287"/>
      <c r="J32" s="30"/>
      <c r="K32" s="30"/>
      <c r="L32" s="30"/>
      <c r="M32" s="174"/>
      <c r="N32" s="174"/>
      <c r="O32" s="174"/>
      <c r="P32" s="174"/>
      <c r="Q32" s="174"/>
      <c r="R32" s="175"/>
      <c r="S32" s="175"/>
      <c r="T32" s="175"/>
    </row>
    <row r="33" spans="1:20">
      <c r="A33" s="172" t="s">
        <v>98</v>
      </c>
      <c r="B33" s="172" t="s">
        <v>23</v>
      </c>
      <c r="C33" s="302"/>
      <c r="D33" s="302"/>
      <c r="E33" s="302"/>
      <c r="F33" s="287"/>
      <c r="G33" s="287"/>
      <c r="H33" s="287"/>
      <c r="I33" s="17"/>
      <c r="K33" s="30"/>
      <c r="L33" s="31"/>
      <c r="M33" s="174"/>
      <c r="N33" s="174"/>
      <c r="O33" s="174"/>
      <c r="P33" s="174"/>
      <c r="Q33" s="174"/>
      <c r="R33" s="175"/>
      <c r="S33" s="175"/>
      <c r="T33" s="175"/>
    </row>
    <row r="34" spans="1:20">
      <c r="A34" s="172" t="s">
        <v>98</v>
      </c>
      <c r="B34" s="172" t="s">
        <v>23</v>
      </c>
      <c r="C34" s="302"/>
      <c r="D34" s="302"/>
      <c r="E34" s="302"/>
      <c r="F34" s="287"/>
      <c r="G34" s="287"/>
      <c r="H34" s="287"/>
      <c r="K34" s="30"/>
      <c r="L34" s="31"/>
      <c r="M34" s="174"/>
      <c r="N34" s="174"/>
      <c r="O34" s="174"/>
      <c r="P34" s="174"/>
      <c r="Q34" s="174"/>
      <c r="R34" s="175"/>
      <c r="S34" s="175"/>
      <c r="T34" s="175"/>
    </row>
    <row r="35" spans="1:20">
      <c r="A35" s="172" t="s">
        <v>98</v>
      </c>
      <c r="B35" s="172" t="s">
        <v>23</v>
      </c>
      <c r="C35" s="302"/>
      <c r="D35" s="302"/>
      <c r="E35" s="302"/>
      <c r="F35" s="287"/>
      <c r="G35" s="287"/>
      <c r="H35" s="287"/>
      <c r="I35" s="28"/>
      <c r="K35" s="30"/>
      <c r="L35" s="31"/>
      <c r="M35" s="174"/>
      <c r="N35" s="174"/>
      <c r="O35" s="174"/>
      <c r="P35" s="174"/>
      <c r="Q35" s="174"/>
      <c r="R35" s="175"/>
      <c r="S35" s="175"/>
      <c r="T35" s="175"/>
    </row>
    <row r="36" spans="1:20">
      <c r="A36" s="172" t="s">
        <v>98</v>
      </c>
      <c r="B36" s="172" t="s">
        <v>23</v>
      </c>
      <c r="C36" s="302"/>
      <c r="D36" s="302"/>
      <c r="E36" s="302"/>
      <c r="F36" s="287"/>
      <c r="G36" s="287"/>
      <c r="H36" s="287"/>
      <c r="I36" s="28"/>
      <c r="K36" s="30"/>
      <c r="L36" s="31"/>
      <c r="M36" s="174"/>
      <c r="N36" s="174"/>
      <c r="O36" s="174"/>
      <c r="P36" s="174"/>
      <c r="Q36" s="174"/>
      <c r="R36" s="175"/>
      <c r="S36" s="175"/>
      <c r="T36" s="175"/>
    </row>
    <row r="37" spans="1:20">
      <c r="A37" s="172" t="s">
        <v>98</v>
      </c>
      <c r="B37" s="172" t="s">
        <v>23</v>
      </c>
      <c r="C37" s="302"/>
      <c r="D37" s="302"/>
      <c r="E37" s="302"/>
      <c r="F37" s="287"/>
      <c r="G37" s="287"/>
      <c r="H37" s="287"/>
      <c r="I37" s="28"/>
      <c r="K37" s="30"/>
      <c r="L37" s="31"/>
      <c r="M37" s="174"/>
      <c r="N37" s="174"/>
      <c r="O37" s="174"/>
      <c r="P37" s="174"/>
      <c r="Q37" s="174"/>
      <c r="R37" s="175"/>
      <c r="S37" s="175"/>
      <c r="T37" s="175"/>
    </row>
    <row r="38" spans="1:20">
      <c r="A38" s="172" t="s">
        <v>98</v>
      </c>
      <c r="B38" s="172" t="s">
        <v>23</v>
      </c>
      <c r="C38" s="302"/>
      <c r="D38" s="302"/>
      <c r="E38" s="302"/>
      <c r="F38" s="287"/>
      <c r="G38" s="287"/>
      <c r="H38" s="287"/>
      <c r="K38" s="30"/>
      <c r="M38" s="174"/>
      <c r="N38" s="174"/>
      <c r="O38" s="174"/>
      <c r="P38" s="174"/>
      <c r="Q38" s="174"/>
      <c r="R38" s="175"/>
      <c r="S38" s="175"/>
      <c r="T38" s="175"/>
    </row>
    <row r="39" spans="1:20">
      <c r="A39" s="172" t="s">
        <v>98</v>
      </c>
      <c r="B39" s="172" t="s">
        <v>23</v>
      </c>
      <c r="C39" s="302"/>
      <c r="D39" s="302"/>
      <c r="E39" s="302"/>
      <c r="F39" s="287"/>
      <c r="G39" s="287"/>
      <c r="H39" s="287"/>
      <c r="K39" s="30"/>
      <c r="L39" s="31"/>
      <c r="M39" s="174"/>
      <c r="N39" s="174"/>
      <c r="O39" s="174"/>
      <c r="P39" s="174"/>
      <c r="Q39" s="174"/>
      <c r="R39" s="175"/>
      <c r="S39" s="175"/>
      <c r="T39" s="175"/>
    </row>
    <row r="40" spans="1:20">
      <c r="A40" s="172" t="s">
        <v>98</v>
      </c>
      <c r="B40" s="172" t="s">
        <v>23</v>
      </c>
      <c r="C40" s="302"/>
      <c r="D40" s="302"/>
      <c r="E40" s="302"/>
      <c r="F40" s="287"/>
      <c r="G40" s="287"/>
      <c r="H40" s="287"/>
      <c r="K40" s="30"/>
      <c r="L40" s="31"/>
      <c r="M40" s="174"/>
      <c r="N40" s="174"/>
      <c r="O40" s="174"/>
      <c r="P40" s="174"/>
      <c r="Q40" s="174"/>
      <c r="R40" s="175"/>
      <c r="S40" s="175"/>
      <c r="T40" s="175"/>
    </row>
    <row r="41" spans="1:20">
      <c r="A41" s="172" t="s">
        <v>98</v>
      </c>
      <c r="B41" s="172" t="s">
        <v>23</v>
      </c>
      <c r="C41" s="302"/>
      <c r="D41" s="302"/>
      <c r="E41" s="302"/>
      <c r="F41" s="287"/>
      <c r="G41" s="287"/>
      <c r="H41" s="287"/>
      <c r="K41" s="30"/>
      <c r="L41" s="31"/>
      <c r="M41" s="174"/>
      <c r="N41" s="174"/>
      <c r="O41" s="174"/>
      <c r="P41" s="174"/>
      <c r="Q41" s="174"/>
      <c r="R41" s="175"/>
      <c r="S41" s="175"/>
      <c r="T41" s="175"/>
    </row>
    <row r="42" spans="1:20">
      <c r="A42" s="172" t="s">
        <v>98</v>
      </c>
      <c r="B42" s="172" t="s">
        <v>23</v>
      </c>
      <c r="C42" s="302"/>
      <c r="D42" s="302"/>
      <c r="E42" s="302"/>
      <c r="F42" s="287"/>
      <c r="G42" s="287"/>
      <c r="H42" s="287"/>
      <c r="K42" s="30"/>
      <c r="L42" s="31"/>
      <c r="M42" s="174"/>
      <c r="N42" s="174"/>
      <c r="O42" s="174"/>
      <c r="P42" s="174"/>
      <c r="Q42" s="174"/>
      <c r="R42" s="175"/>
      <c r="S42" s="175"/>
      <c r="T42" s="175"/>
    </row>
    <row r="43" spans="1:20">
      <c r="A43" s="172" t="s">
        <v>98</v>
      </c>
      <c r="B43" s="172" t="s">
        <v>23</v>
      </c>
      <c r="C43" s="302"/>
      <c r="D43" s="302"/>
      <c r="E43" s="302"/>
      <c r="F43" s="287"/>
      <c r="G43" s="287"/>
      <c r="H43" s="287"/>
      <c r="K43" s="30"/>
      <c r="L43" s="31"/>
      <c r="M43" s="174"/>
      <c r="N43" s="174"/>
      <c r="O43" s="174"/>
      <c r="P43" s="174"/>
      <c r="Q43" s="174"/>
      <c r="R43" s="175"/>
      <c r="S43" s="175"/>
      <c r="T43" s="175"/>
    </row>
    <row r="44" spans="1:20">
      <c r="A44" s="172" t="s">
        <v>98</v>
      </c>
      <c r="B44" s="172" t="s">
        <v>23</v>
      </c>
      <c r="C44" s="302"/>
      <c r="D44" s="302"/>
      <c r="E44" s="302"/>
      <c r="F44" s="287"/>
      <c r="G44" s="287"/>
      <c r="H44" s="287"/>
      <c r="K44" s="30"/>
      <c r="L44" s="31"/>
      <c r="M44" s="174"/>
      <c r="N44" s="174"/>
      <c r="O44" s="174"/>
      <c r="P44" s="174"/>
      <c r="Q44" s="174"/>
      <c r="R44" s="175"/>
      <c r="S44" s="175"/>
      <c r="T44" s="175"/>
    </row>
    <row r="45" spans="1:20">
      <c r="A45" s="172" t="s">
        <v>98</v>
      </c>
      <c r="B45" s="172" t="s">
        <v>23</v>
      </c>
      <c r="C45" s="302"/>
      <c r="D45" s="302"/>
      <c r="E45" s="302"/>
      <c r="F45" s="287"/>
      <c r="G45" s="287"/>
      <c r="H45" s="287"/>
      <c r="K45" s="30"/>
      <c r="L45" s="31"/>
      <c r="M45" s="174"/>
      <c r="N45" s="174"/>
      <c r="O45" s="174"/>
      <c r="P45" s="174"/>
      <c r="Q45" s="174"/>
      <c r="R45" s="175"/>
      <c r="S45" s="175"/>
      <c r="T45" s="175"/>
    </row>
    <row r="46" spans="1:20">
      <c r="A46" s="172" t="s">
        <v>98</v>
      </c>
      <c r="B46" s="172" t="s">
        <v>23</v>
      </c>
      <c r="C46" s="302"/>
      <c r="D46" s="302"/>
      <c r="E46" s="302"/>
      <c r="F46" s="287"/>
      <c r="G46" s="287"/>
      <c r="H46" s="287"/>
      <c r="K46" s="30"/>
      <c r="L46" s="31"/>
      <c r="M46" s="174"/>
      <c r="N46" s="174"/>
      <c r="O46" s="174"/>
      <c r="P46" s="174"/>
      <c r="Q46" s="174"/>
      <c r="R46" s="175"/>
      <c r="S46" s="175"/>
      <c r="T46" s="175"/>
    </row>
    <row r="47" spans="1:20">
      <c r="A47" s="172" t="s">
        <v>98</v>
      </c>
      <c r="B47" s="172" t="s">
        <v>23</v>
      </c>
      <c r="C47" s="302"/>
      <c r="D47" s="302"/>
      <c r="E47" s="302"/>
      <c r="F47" s="287"/>
      <c r="G47" s="287"/>
      <c r="H47" s="287"/>
      <c r="K47" s="30"/>
      <c r="L47" s="31"/>
      <c r="M47" s="174"/>
      <c r="N47" s="174"/>
      <c r="O47" s="174"/>
      <c r="P47" s="174"/>
      <c r="Q47" s="174"/>
      <c r="R47" s="175"/>
      <c r="S47" s="175"/>
      <c r="T47" s="175"/>
    </row>
    <row r="48" spans="1:20">
      <c r="A48" s="172" t="s">
        <v>98</v>
      </c>
      <c r="B48" s="172" t="s">
        <v>23</v>
      </c>
      <c r="C48" s="302"/>
      <c r="D48" s="302"/>
      <c r="E48" s="302"/>
      <c r="F48" s="287"/>
      <c r="G48" s="287"/>
      <c r="H48" s="287"/>
      <c r="K48" s="30"/>
      <c r="L48" s="31"/>
      <c r="M48" s="174"/>
      <c r="N48" s="174"/>
      <c r="O48" s="174"/>
      <c r="P48" s="174"/>
      <c r="Q48" s="174"/>
      <c r="R48" s="175"/>
      <c r="S48" s="175"/>
      <c r="T48" s="175"/>
    </row>
    <row r="49" spans="1:20">
      <c r="A49" s="172" t="s">
        <v>98</v>
      </c>
      <c r="B49" s="172" t="s">
        <v>23</v>
      </c>
      <c r="C49" s="302"/>
      <c r="D49" s="302"/>
      <c r="E49" s="302"/>
      <c r="F49" s="287"/>
      <c r="G49" s="287"/>
      <c r="H49" s="287"/>
      <c r="K49" s="31"/>
      <c r="L49" s="31"/>
      <c r="M49" s="174"/>
      <c r="N49" s="174"/>
      <c r="O49" s="174"/>
      <c r="P49" s="174"/>
      <c r="Q49" s="174"/>
      <c r="R49" s="175"/>
      <c r="S49" s="175"/>
      <c r="T49" s="175"/>
    </row>
    <row r="50" spans="1:20">
      <c r="A50" s="172" t="s">
        <v>98</v>
      </c>
      <c r="B50" s="172" t="s">
        <v>23</v>
      </c>
      <c r="C50" s="302"/>
      <c r="D50" s="302"/>
      <c r="E50" s="302"/>
      <c r="F50" s="287"/>
      <c r="G50" s="287"/>
      <c r="H50" s="287"/>
      <c r="K50" s="31"/>
      <c r="L50" s="31"/>
      <c r="M50" s="174"/>
      <c r="N50" s="174"/>
      <c r="O50" s="174"/>
      <c r="P50" s="174"/>
      <c r="Q50" s="174"/>
      <c r="R50" s="175"/>
      <c r="S50" s="175"/>
      <c r="T50" s="175"/>
    </row>
    <row r="51" spans="1:20">
      <c r="A51" s="172" t="s">
        <v>98</v>
      </c>
      <c r="B51" s="172" t="s">
        <v>23</v>
      </c>
      <c r="C51" s="302"/>
      <c r="D51" s="302"/>
      <c r="E51" s="302"/>
      <c r="F51" s="287"/>
      <c r="G51" s="287"/>
      <c r="H51" s="287"/>
      <c r="K51" s="31"/>
      <c r="L51" s="31"/>
      <c r="M51" s="174"/>
      <c r="N51" s="174"/>
      <c r="O51" s="174"/>
      <c r="P51" s="174"/>
      <c r="Q51" s="174"/>
      <c r="R51" s="175"/>
      <c r="S51" s="175"/>
      <c r="T51" s="175"/>
    </row>
    <row r="52" spans="1:20">
      <c r="A52" s="172" t="s">
        <v>98</v>
      </c>
      <c r="B52" s="172" t="s">
        <v>23</v>
      </c>
      <c r="C52" s="302"/>
      <c r="D52" s="302"/>
      <c r="E52" s="302"/>
      <c r="F52" s="287"/>
      <c r="G52" s="287"/>
      <c r="H52" s="287"/>
      <c r="K52" s="31"/>
      <c r="L52" s="31"/>
      <c r="M52" s="174"/>
      <c r="N52" s="174"/>
      <c r="O52" s="174"/>
      <c r="P52" s="174"/>
      <c r="Q52" s="174"/>
      <c r="R52" s="175"/>
      <c r="S52" s="175"/>
      <c r="T52" s="175"/>
    </row>
    <row r="53" spans="1:20">
      <c r="A53" s="172" t="s">
        <v>98</v>
      </c>
      <c r="B53" s="172" t="s">
        <v>23</v>
      </c>
      <c r="C53" s="302"/>
      <c r="D53" s="302"/>
      <c r="E53" s="302"/>
      <c r="F53" s="287"/>
      <c r="G53" s="287"/>
      <c r="H53" s="287"/>
      <c r="K53" s="31"/>
      <c r="L53" s="31"/>
      <c r="M53" s="174"/>
      <c r="N53" s="174"/>
      <c r="O53" s="174"/>
      <c r="P53" s="174"/>
      <c r="Q53" s="174"/>
      <c r="R53" s="175"/>
      <c r="S53" s="175"/>
      <c r="T53" s="175"/>
    </row>
    <row r="54" spans="1:20">
      <c r="A54" s="172" t="s">
        <v>98</v>
      </c>
      <c r="B54" s="172" t="s">
        <v>23</v>
      </c>
      <c r="C54" s="302"/>
      <c r="D54" s="302"/>
      <c r="E54" s="302"/>
      <c r="F54" s="287"/>
      <c r="G54" s="287"/>
      <c r="H54" s="287"/>
      <c r="K54" s="31"/>
      <c r="L54" s="31"/>
      <c r="M54" s="174"/>
      <c r="N54" s="174"/>
      <c r="O54" s="174"/>
      <c r="P54" s="174"/>
      <c r="Q54" s="174"/>
      <c r="R54" s="175"/>
      <c r="S54" s="175"/>
      <c r="T54" s="175"/>
    </row>
    <row r="55" spans="1:20">
      <c r="A55" s="172" t="s">
        <v>98</v>
      </c>
      <c r="B55" s="172" t="s">
        <v>23</v>
      </c>
      <c r="C55" s="302"/>
      <c r="D55" s="302"/>
      <c r="E55" s="302"/>
      <c r="F55" s="287"/>
      <c r="G55" s="287"/>
      <c r="H55" s="287"/>
      <c r="K55" s="31"/>
      <c r="L55" s="31"/>
      <c r="M55" s="174"/>
      <c r="N55" s="174"/>
      <c r="O55" s="174"/>
      <c r="P55" s="174"/>
      <c r="Q55" s="174"/>
      <c r="R55" s="175"/>
      <c r="S55" s="175"/>
      <c r="T55" s="175"/>
    </row>
    <row r="56" spans="1:20">
      <c r="A56" s="172" t="s">
        <v>98</v>
      </c>
      <c r="B56" s="172" t="s">
        <v>23</v>
      </c>
      <c r="C56" s="302"/>
      <c r="D56" s="302"/>
      <c r="E56" s="302"/>
      <c r="F56" s="287"/>
      <c r="G56" s="287"/>
      <c r="H56" s="287"/>
      <c r="K56" s="31"/>
      <c r="L56" s="31"/>
      <c r="M56" s="174"/>
      <c r="N56" s="174"/>
      <c r="O56" s="174"/>
      <c r="P56" s="174"/>
      <c r="Q56" s="174"/>
      <c r="R56" s="175"/>
      <c r="S56" s="175"/>
      <c r="T56" s="175"/>
    </row>
    <row r="57" spans="1:20">
      <c r="A57" s="172" t="s">
        <v>98</v>
      </c>
      <c r="B57" s="172" t="s">
        <v>23</v>
      </c>
      <c r="C57" s="302"/>
      <c r="D57" s="302"/>
      <c r="E57" s="302"/>
      <c r="F57" s="287"/>
      <c r="G57" s="287"/>
      <c r="H57" s="287"/>
      <c r="K57" s="31"/>
      <c r="L57" s="31"/>
      <c r="M57" s="174"/>
      <c r="N57" s="174"/>
      <c r="O57" s="174"/>
      <c r="P57" s="174"/>
      <c r="Q57" s="174"/>
      <c r="R57" s="175"/>
      <c r="S57" s="175"/>
      <c r="T57" s="175"/>
    </row>
    <row r="58" spans="1:20">
      <c r="A58" s="172" t="s">
        <v>98</v>
      </c>
      <c r="B58" s="172" t="s">
        <v>23</v>
      </c>
      <c r="C58" s="302"/>
      <c r="D58" s="302"/>
      <c r="E58" s="302"/>
      <c r="F58" s="287"/>
      <c r="G58" s="287"/>
      <c r="H58" s="287"/>
      <c r="K58" s="31"/>
      <c r="L58" s="31"/>
      <c r="M58" s="174"/>
      <c r="N58" s="174"/>
      <c r="O58" s="174"/>
      <c r="P58" s="174"/>
      <c r="Q58" s="174"/>
      <c r="R58" s="175"/>
      <c r="S58" s="175"/>
      <c r="T58" s="175"/>
    </row>
    <row r="59" spans="1:20">
      <c r="A59" s="172" t="s">
        <v>98</v>
      </c>
      <c r="B59" s="172" t="s">
        <v>23</v>
      </c>
      <c r="C59" s="302"/>
      <c r="D59" s="302"/>
      <c r="E59" s="302"/>
      <c r="F59" s="287"/>
      <c r="G59" s="287"/>
      <c r="H59" s="287"/>
      <c r="K59" s="31"/>
      <c r="L59" s="31"/>
      <c r="M59" s="174"/>
      <c r="N59" s="174"/>
      <c r="O59" s="174"/>
      <c r="P59" s="174"/>
      <c r="Q59" s="174"/>
      <c r="R59" s="175"/>
      <c r="S59" s="175"/>
      <c r="T59" s="175"/>
    </row>
    <row r="60" spans="1:20">
      <c r="A60" s="172" t="s">
        <v>98</v>
      </c>
      <c r="B60" s="172" t="s">
        <v>23</v>
      </c>
      <c r="C60" s="302"/>
      <c r="D60" s="302"/>
      <c r="E60" s="302"/>
      <c r="F60" s="287"/>
      <c r="G60" s="287"/>
      <c r="H60" s="287"/>
      <c r="K60" s="31"/>
      <c r="L60" s="31"/>
      <c r="M60" s="174"/>
      <c r="N60" s="174"/>
      <c r="O60" s="174"/>
      <c r="P60" s="174"/>
      <c r="Q60" s="174"/>
      <c r="R60" s="175"/>
      <c r="S60" s="175"/>
      <c r="T60" s="175"/>
    </row>
    <row r="61" spans="1:20">
      <c r="A61" s="172" t="s">
        <v>98</v>
      </c>
      <c r="B61" s="172" t="s">
        <v>23</v>
      </c>
      <c r="C61" s="302"/>
      <c r="D61" s="302"/>
      <c r="E61" s="302"/>
      <c r="F61" s="287"/>
      <c r="G61" s="287"/>
      <c r="H61" s="287"/>
      <c r="K61" s="31"/>
      <c r="L61" s="31"/>
      <c r="M61" s="174"/>
      <c r="N61" s="174"/>
      <c r="O61" s="174"/>
      <c r="P61" s="174"/>
      <c r="Q61" s="174"/>
      <c r="R61" s="175"/>
      <c r="S61" s="175"/>
      <c r="T61" s="175"/>
    </row>
    <row r="62" spans="1:20">
      <c r="A62" s="172" t="s">
        <v>98</v>
      </c>
      <c r="B62" s="172" t="s">
        <v>23</v>
      </c>
      <c r="C62" s="302"/>
      <c r="D62" s="302"/>
      <c r="E62" s="302"/>
      <c r="F62" s="287"/>
      <c r="G62" s="287"/>
      <c r="H62" s="287"/>
      <c r="K62" s="31"/>
      <c r="L62" s="31"/>
      <c r="M62" s="174"/>
      <c r="N62" s="174"/>
      <c r="O62" s="174"/>
      <c r="P62" s="174"/>
      <c r="Q62" s="174"/>
      <c r="R62" s="175"/>
      <c r="S62" s="175"/>
      <c r="T62" s="175"/>
    </row>
    <row r="63" spans="1:20">
      <c r="A63" s="172" t="s">
        <v>98</v>
      </c>
      <c r="B63" s="172" t="s">
        <v>23</v>
      </c>
      <c r="C63" s="302"/>
      <c r="D63" s="302"/>
      <c r="E63" s="302"/>
      <c r="F63" s="287"/>
      <c r="G63" s="287"/>
      <c r="H63" s="287"/>
      <c r="K63" s="31"/>
      <c r="L63" s="31"/>
      <c r="M63" s="174"/>
      <c r="N63" s="174"/>
      <c r="O63" s="174"/>
      <c r="P63" s="174"/>
      <c r="Q63" s="174"/>
      <c r="R63" s="175"/>
      <c r="S63" s="175"/>
      <c r="T63" s="175"/>
    </row>
    <row r="64" spans="1:20">
      <c r="A64" s="172" t="s">
        <v>98</v>
      </c>
      <c r="B64" s="172" t="s">
        <v>23</v>
      </c>
      <c r="C64" s="302"/>
      <c r="D64" s="302"/>
      <c r="E64" s="302"/>
      <c r="F64" s="287"/>
      <c r="G64" s="287"/>
      <c r="H64" s="287"/>
      <c r="K64" s="31"/>
      <c r="L64" s="31"/>
      <c r="M64" s="174"/>
      <c r="N64" s="174"/>
      <c r="O64" s="174"/>
      <c r="P64" s="174"/>
      <c r="Q64" s="174"/>
      <c r="R64" s="175"/>
      <c r="S64" s="175"/>
      <c r="T64" s="175"/>
    </row>
    <row r="65" spans="1:20">
      <c r="A65" s="172" t="s">
        <v>98</v>
      </c>
      <c r="B65" s="172" t="s">
        <v>23</v>
      </c>
      <c r="C65" s="302"/>
      <c r="D65" s="302"/>
      <c r="E65" s="302"/>
      <c r="F65" s="287"/>
      <c r="G65" s="287"/>
      <c r="H65" s="287"/>
      <c r="K65" s="31"/>
      <c r="L65" s="31"/>
      <c r="M65" s="174"/>
      <c r="N65" s="174"/>
      <c r="O65" s="174"/>
      <c r="P65" s="174"/>
      <c r="Q65" s="174"/>
      <c r="R65" s="175"/>
      <c r="S65" s="175"/>
      <c r="T65" s="175"/>
    </row>
    <row r="66" spans="1:20">
      <c r="A66" s="172" t="s">
        <v>98</v>
      </c>
      <c r="B66" s="172" t="s">
        <v>23</v>
      </c>
      <c r="C66" s="302"/>
      <c r="D66" s="302"/>
      <c r="E66" s="302"/>
      <c r="F66" s="287"/>
      <c r="G66" s="287"/>
      <c r="H66" s="287"/>
      <c r="K66" s="31"/>
      <c r="L66" s="31"/>
      <c r="M66" s="174"/>
      <c r="N66" s="174"/>
      <c r="O66" s="174"/>
      <c r="P66" s="174"/>
      <c r="Q66" s="174"/>
      <c r="R66" s="175"/>
      <c r="S66" s="175"/>
      <c r="T66" s="175"/>
    </row>
    <row r="67" spans="1:20">
      <c r="A67" s="172" t="s">
        <v>98</v>
      </c>
      <c r="B67" s="172" t="s">
        <v>23</v>
      </c>
      <c r="C67" s="302"/>
      <c r="D67" s="302"/>
      <c r="E67" s="302"/>
      <c r="F67" s="287"/>
      <c r="G67" s="287"/>
      <c r="H67" s="287"/>
      <c r="K67" s="31"/>
      <c r="L67" s="31"/>
      <c r="M67" s="174"/>
      <c r="N67" s="174"/>
      <c r="O67" s="174"/>
      <c r="P67" s="174"/>
      <c r="Q67" s="174"/>
      <c r="R67" s="175"/>
      <c r="S67" s="175"/>
      <c r="T67" s="175"/>
    </row>
    <row r="68" spans="1:20">
      <c r="A68" s="172" t="s">
        <v>98</v>
      </c>
      <c r="B68" s="172" t="s">
        <v>23</v>
      </c>
      <c r="C68" s="302"/>
      <c r="D68" s="302"/>
      <c r="E68" s="302"/>
      <c r="F68" s="287"/>
      <c r="G68" s="287"/>
      <c r="H68" s="287"/>
      <c r="K68" s="31"/>
      <c r="L68" s="31"/>
      <c r="M68" s="174"/>
      <c r="N68" s="174"/>
      <c r="O68" s="174"/>
      <c r="P68" s="174"/>
      <c r="Q68" s="174"/>
      <c r="R68" s="175"/>
      <c r="S68" s="175"/>
      <c r="T68" s="175"/>
    </row>
    <row r="69" spans="1:20">
      <c r="A69" s="172" t="s">
        <v>98</v>
      </c>
      <c r="B69" s="172" t="s">
        <v>23</v>
      </c>
      <c r="C69" s="302"/>
      <c r="D69" s="302"/>
      <c r="E69" s="302"/>
      <c r="F69" s="287"/>
      <c r="G69" s="287"/>
      <c r="H69" s="287"/>
      <c r="K69" s="31"/>
      <c r="L69" s="31"/>
      <c r="M69" s="174"/>
      <c r="N69" s="174"/>
      <c r="O69" s="174"/>
      <c r="P69" s="174"/>
      <c r="Q69" s="174"/>
      <c r="R69" s="175"/>
      <c r="S69" s="175"/>
      <c r="T69" s="175"/>
    </row>
    <row r="70" spans="1:20">
      <c r="A70" s="172" t="s">
        <v>98</v>
      </c>
      <c r="B70" s="172" t="s">
        <v>23</v>
      </c>
      <c r="C70" s="302"/>
      <c r="D70" s="302"/>
      <c r="E70" s="302"/>
      <c r="F70" s="287"/>
      <c r="G70" s="287"/>
      <c r="H70" s="287"/>
      <c r="K70" s="31"/>
      <c r="L70" s="31"/>
      <c r="M70" s="174"/>
      <c r="N70" s="174"/>
      <c r="O70" s="174"/>
      <c r="P70" s="174"/>
      <c r="Q70" s="174"/>
      <c r="R70" s="175"/>
      <c r="S70" s="175"/>
      <c r="T70" s="175"/>
    </row>
    <row r="71" spans="1:20">
      <c r="A71" s="172" t="s">
        <v>98</v>
      </c>
      <c r="B71" s="172" t="s">
        <v>23</v>
      </c>
      <c r="C71" s="302"/>
      <c r="D71" s="302"/>
      <c r="E71" s="302"/>
      <c r="F71" s="287"/>
      <c r="G71" s="287"/>
      <c r="H71" s="287"/>
      <c r="K71" s="31"/>
      <c r="L71" s="31"/>
      <c r="M71" s="174"/>
      <c r="N71" s="174"/>
      <c r="O71" s="174"/>
      <c r="P71" s="174"/>
      <c r="Q71" s="174"/>
      <c r="R71" s="175"/>
      <c r="S71" s="175"/>
      <c r="T71" s="175"/>
    </row>
    <row r="72" spans="1:20">
      <c r="A72" s="172" t="s">
        <v>98</v>
      </c>
      <c r="B72" s="172" t="s">
        <v>23</v>
      </c>
      <c r="C72" s="302"/>
      <c r="D72" s="302"/>
      <c r="E72" s="302"/>
      <c r="F72" s="287"/>
      <c r="G72" s="287"/>
      <c r="H72" s="287"/>
      <c r="K72" s="31"/>
      <c r="L72" s="31"/>
      <c r="M72" s="174"/>
      <c r="N72" s="174"/>
      <c r="O72" s="174"/>
      <c r="P72" s="174"/>
      <c r="Q72" s="174"/>
      <c r="R72" s="175"/>
      <c r="S72" s="175"/>
      <c r="T72" s="175"/>
    </row>
    <row r="73" spans="1:20">
      <c r="A73" s="172" t="s">
        <v>98</v>
      </c>
      <c r="B73" s="172" t="s">
        <v>23</v>
      </c>
      <c r="C73" s="302"/>
      <c r="D73" s="302"/>
      <c r="E73" s="302"/>
      <c r="F73" s="287"/>
      <c r="G73" s="287"/>
      <c r="H73" s="287"/>
      <c r="K73" s="31"/>
      <c r="L73" s="31"/>
      <c r="M73" s="174"/>
      <c r="N73" s="174"/>
      <c r="O73" s="174"/>
      <c r="P73" s="174"/>
      <c r="Q73" s="174"/>
      <c r="R73" s="175"/>
      <c r="S73" s="175"/>
      <c r="T73" s="175"/>
    </row>
    <row r="74" spans="1:20">
      <c r="A74" s="172" t="s">
        <v>98</v>
      </c>
      <c r="B74" s="172" t="s">
        <v>23</v>
      </c>
      <c r="C74" s="302"/>
      <c r="D74" s="302"/>
      <c r="E74" s="302"/>
      <c r="F74" s="287"/>
      <c r="G74" s="287"/>
      <c r="H74" s="287"/>
      <c r="K74" s="31"/>
      <c r="L74" s="31"/>
      <c r="M74" s="174"/>
      <c r="N74" s="174"/>
      <c r="O74" s="174"/>
      <c r="P74" s="174"/>
      <c r="Q74" s="174"/>
      <c r="R74" s="175"/>
      <c r="S74" s="175"/>
      <c r="T74" s="175"/>
    </row>
    <row r="75" spans="1:20">
      <c r="A75" s="172" t="s">
        <v>98</v>
      </c>
      <c r="B75" s="172" t="s">
        <v>23</v>
      </c>
      <c r="C75" s="302"/>
      <c r="D75" s="302"/>
      <c r="E75" s="302"/>
      <c r="F75" s="287"/>
      <c r="G75" s="287"/>
      <c r="H75" s="287"/>
      <c r="K75" s="31"/>
      <c r="L75" s="31"/>
      <c r="M75" s="174"/>
      <c r="N75" s="174"/>
      <c r="O75" s="174"/>
      <c r="P75" s="174"/>
      <c r="Q75" s="174"/>
      <c r="R75" s="175"/>
      <c r="S75" s="175"/>
      <c r="T75" s="175"/>
    </row>
    <row r="76" spans="1:20">
      <c r="A76" s="172" t="s">
        <v>98</v>
      </c>
      <c r="B76" s="172" t="s">
        <v>23</v>
      </c>
      <c r="C76" s="302"/>
      <c r="D76" s="302"/>
      <c r="E76" s="302"/>
      <c r="F76" s="287"/>
      <c r="G76" s="287"/>
      <c r="H76" s="287"/>
      <c r="K76" s="31"/>
      <c r="L76" s="31"/>
      <c r="M76" s="174"/>
      <c r="N76" s="174"/>
      <c r="O76" s="174"/>
      <c r="P76" s="174"/>
      <c r="Q76" s="174"/>
      <c r="R76" s="175"/>
      <c r="S76" s="175"/>
      <c r="T76" s="175"/>
    </row>
    <row r="77" spans="1:20">
      <c r="A77" s="172" t="s">
        <v>98</v>
      </c>
      <c r="B77" s="172" t="s">
        <v>23</v>
      </c>
      <c r="C77" s="302"/>
      <c r="D77" s="302"/>
      <c r="E77" s="302"/>
      <c r="F77" s="287"/>
      <c r="G77" s="287"/>
      <c r="H77" s="287"/>
      <c r="K77" s="31"/>
      <c r="L77" s="31"/>
      <c r="M77" s="174"/>
      <c r="N77" s="174"/>
      <c r="O77" s="174"/>
      <c r="P77" s="174"/>
      <c r="Q77" s="174"/>
      <c r="R77" s="175"/>
      <c r="S77" s="175"/>
      <c r="T77" s="175"/>
    </row>
    <row r="78" spans="1:20">
      <c r="A78" s="172" t="s">
        <v>98</v>
      </c>
      <c r="B78" s="172" t="s">
        <v>23</v>
      </c>
      <c r="C78" s="302"/>
      <c r="D78" s="302"/>
      <c r="E78" s="302"/>
      <c r="F78" s="287"/>
      <c r="G78" s="287"/>
      <c r="H78" s="287"/>
      <c r="K78" s="31"/>
      <c r="L78" s="31"/>
      <c r="M78" s="174"/>
      <c r="N78" s="174"/>
      <c r="O78" s="174"/>
      <c r="P78" s="174"/>
      <c r="Q78" s="174"/>
      <c r="R78" s="175"/>
      <c r="S78" s="175"/>
      <c r="T78" s="175"/>
    </row>
    <row r="79" spans="1:20">
      <c r="A79" s="172" t="s">
        <v>98</v>
      </c>
      <c r="B79" s="172" t="s">
        <v>23</v>
      </c>
      <c r="C79" s="302"/>
      <c r="D79" s="302"/>
      <c r="E79" s="302"/>
      <c r="F79" s="287"/>
      <c r="G79" s="287"/>
      <c r="H79" s="287"/>
      <c r="K79" s="31"/>
      <c r="L79" s="31"/>
      <c r="M79" s="174"/>
      <c r="N79" s="174"/>
      <c r="O79" s="174"/>
      <c r="P79" s="174"/>
      <c r="Q79" s="174"/>
      <c r="R79" s="175"/>
      <c r="S79" s="175"/>
      <c r="T79" s="175"/>
    </row>
    <row r="80" spans="1:20">
      <c r="A80" s="172" t="s">
        <v>98</v>
      </c>
      <c r="B80" s="172" t="s">
        <v>23</v>
      </c>
      <c r="C80" s="302"/>
      <c r="D80" s="302"/>
      <c r="E80" s="302"/>
      <c r="F80" s="287"/>
      <c r="G80" s="287"/>
      <c r="H80" s="287"/>
      <c r="K80" s="31"/>
      <c r="L80" s="31"/>
      <c r="M80" s="174"/>
      <c r="N80" s="174"/>
      <c r="O80" s="174"/>
      <c r="P80" s="174"/>
      <c r="Q80" s="174"/>
      <c r="R80" s="175"/>
      <c r="S80" s="175"/>
      <c r="T80" s="175"/>
    </row>
    <row r="81" spans="1:20">
      <c r="A81" s="172" t="s">
        <v>98</v>
      </c>
      <c r="B81" s="172" t="s">
        <v>23</v>
      </c>
      <c r="C81" s="302"/>
      <c r="D81" s="302"/>
      <c r="E81" s="302"/>
      <c r="F81" s="287"/>
      <c r="G81" s="287"/>
      <c r="H81" s="287"/>
      <c r="K81" s="31"/>
      <c r="L81" s="31"/>
      <c r="M81" s="174"/>
      <c r="N81" s="174"/>
      <c r="O81" s="174"/>
      <c r="P81" s="174"/>
      <c r="Q81" s="174"/>
      <c r="R81" s="175"/>
      <c r="S81" s="175"/>
      <c r="T81" s="175"/>
    </row>
    <row r="82" spans="1:20">
      <c r="A82" s="172" t="s">
        <v>98</v>
      </c>
      <c r="B82" s="172" t="s">
        <v>23</v>
      </c>
      <c r="C82" s="302"/>
      <c r="D82" s="302"/>
      <c r="E82" s="302"/>
      <c r="F82" s="287"/>
      <c r="G82" s="287"/>
      <c r="H82" s="287"/>
      <c r="K82" s="31"/>
      <c r="L82" s="31"/>
      <c r="M82" s="174"/>
      <c r="N82" s="174"/>
      <c r="O82" s="174"/>
      <c r="P82" s="174"/>
      <c r="Q82" s="174"/>
      <c r="R82" s="175"/>
      <c r="S82" s="175"/>
      <c r="T82" s="175"/>
    </row>
    <row r="83" spans="1:20">
      <c r="A83" s="172" t="s">
        <v>98</v>
      </c>
      <c r="B83" s="172" t="s">
        <v>23</v>
      </c>
      <c r="C83" s="302"/>
      <c r="D83" s="302"/>
      <c r="E83" s="302"/>
      <c r="F83" s="287"/>
      <c r="G83" s="287"/>
      <c r="H83" s="287"/>
      <c r="K83" s="31"/>
      <c r="L83" s="31"/>
      <c r="M83" s="174"/>
      <c r="N83" s="174"/>
      <c r="O83" s="174"/>
      <c r="P83" s="174"/>
      <c r="Q83" s="174"/>
      <c r="R83" s="175"/>
      <c r="S83" s="175"/>
      <c r="T83" s="175"/>
    </row>
    <row r="84" spans="1:20">
      <c r="A84" s="172" t="s">
        <v>98</v>
      </c>
      <c r="B84" s="172" t="s">
        <v>23</v>
      </c>
      <c r="C84" s="302"/>
      <c r="D84" s="302"/>
      <c r="E84" s="302"/>
      <c r="F84" s="287"/>
      <c r="G84" s="287"/>
      <c r="H84" s="287"/>
      <c r="K84" s="31"/>
      <c r="L84" s="31"/>
      <c r="M84" s="174"/>
      <c r="N84" s="174"/>
      <c r="O84" s="174"/>
      <c r="P84" s="174"/>
      <c r="Q84" s="174"/>
      <c r="R84" s="175"/>
      <c r="S84" s="175"/>
      <c r="T84" s="175"/>
    </row>
    <row r="85" spans="1:20">
      <c r="A85" s="172" t="s">
        <v>98</v>
      </c>
      <c r="B85" s="172" t="s">
        <v>23</v>
      </c>
      <c r="C85" s="302"/>
      <c r="D85" s="302"/>
      <c r="E85" s="302"/>
      <c r="F85" s="287"/>
      <c r="G85" s="287"/>
      <c r="H85" s="287"/>
      <c r="K85" s="31"/>
      <c r="L85" s="31"/>
      <c r="M85" s="174"/>
      <c r="N85" s="174"/>
      <c r="O85" s="174"/>
      <c r="P85" s="174"/>
      <c r="Q85" s="174"/>
      <c r="R85" s="175"/>
      <c r="S85" s="175"/>
      <c r="T85" s="175"/>
    </row>
    <row r="86" spans="1:20">
      <c r="A86" s="172" t="s">
        <v>98</v>
      </c>
      <c r="B86" s="172" t="s">
        <v>23</v>
      </c>
      <c r="C86" s="302"/>
      <c r="D86" s="302"/>
      <c r="E86" s="302"/>
      <c r="F86" s="287"/>
      <c r="G86" s="287"/>
      <c r="H86" s="287"/>
      <c r="K86" s="31"/>
      <c r="L86" s="31"/>
      <c r="M86" s="174"/>
      <c r="N86" s="174"/>
      <c r="O86" s="174"/>
      <c r="P86" s="174"/>
      <c r="Q86" s="174"/>
      <c r="R86" s="175"/>
      <c r="S86" s="175"/>
      <c r="T86" s="175"/>
    </row>
    <row r="87" spans="1:20">
      <c r="A87" s="172" t="s">
        <v>98</v>
      </c>
      <c r="B87" s="172" t="s">
        <v>23</v>
      </c>
      <c r="C87" s="302"/>
      <c r="D87" s="302"/>
      <c r="E87" s="302"/>
      <c r="F87" s="287"/>
      <c r="G87" s="287"/>
      <c r="H87" s="287"/>
      <c r="K87" s="31"/>
      <c r="L87" s="31"/>
      <c r="M87" s="174"/>
      <c r="N87" s="174"/>
      <c r="O87" s="174"/>
      <c r="P87" s="174"/>
      <c r="Q87" s="174"/>
      <c r="R87" s="175"/>
      <c r="S87" s="175"/>
      <c r="T87" s="175"/>
    </row>
    <row r="88" spans="1:20">
      <c r="A88" s="172" t="s">
        <v>98</v>
      </c>
      <c r="B88" s="172" t="s">
        <v>23</v>
      </c>
      <c r="C88" s="302"/>
      <c r="D88" s="302"/>
      <c r="E88" s="302"/>
      <c r="F88" s="287"/>
      <c r="G88" s="287"/>
      <c r="H88" s="287"/>
      <c r="K88" s="31"/>
      <c r="L88" s="31"/>
      <c r="M88" s="174"/>
      <c r="N88" s="174"/>
      <c r="O88" s="174"/>
      <c r="P88" s="174"/>
      <c r="Q88" s="174"/>
      <c r="R88" s="175"/>
      <c r="S88" s="175"/>
      <c r="T88" s="175"/>
    </row>
    <row r="89" spans="1:20">
      <c r="A89" s="172" t="s">
        <v>98</v>
      </c>
      <c r="B89" s="172" t="s">
        <v>23</v>
      </c>
      <c r="C89" s="302"/>
      <c r="D89" s="302"/>
      <c r="E89" s="302"/>
      <c r="F89" s="287"/>
      <c r="G89" s="287"/>
      <c r="H89" s="287"/>
      <c r="K89" s="31"/>
      <c r="L89" s="31"/>
      <c r="M89" s="174"/>
      <c r="N89" s="174"/>
      <c r="O89" s="174"/>
      <c r="P89" s="174"/>
      <c r="Q89" s="174"/>
      <c r="R89" s="175"/>
      <c r="S89" s="175"/>
      <c r="T89" s="175"/>
    </row>
    <row r="90" spans="1:20">
      <c r="A90" s="172" t="s">
        <v>98</v>
      </c>
      <c r="B90" s="172" t="s">
        <v>23</v>
      </c>
      <c r="C90" s="302"/>
      <c r="D90" s="302"/>
      <c r="E90" s="302"/>
      <c r="F90" s="287"/>
      <c r="G90" s="287"/>
      <c r="H90" s="287"/>
      <c r="K90" s="31"/>
      <c r="L90" s="31"/>
      <c r="M90" s="174"/>
      <c r="N90" s="174"/>
      <c r="O90" s="174"/>
      <c r="P90" s="174"/>
      <c r="Q90" s="174"/>
      <c r="R90" s="175"/>
      <c r="S90" s="175"/>
      <c r="T90" s="175"/>
    </row>
    <row r="91" spans="1:20">
      <c r="A91" s="172" t="s">
        <v>98</v>
      </c>
      <c r="B91" s="172" t="s">
        <v>23</v>
      </c>
      <c r="C91" s="302"/>
      <c r="D91" s="302"/>
      <c r="E91" s="302"/>
      <c r="F91" s="287"/>
      <c r="G91" s="287"/>
      <c r="H91" s="287"/>
      <c r="K91" s="31"/>
      <c r="L91" s="31"/>
      <c r="M91" s="174"/>
      <c r="N91" s="174"/>
      <c r="O91" s="174"/>
      <c r="P91" s="174"/>
      <c r="Q91" s="174"/>
      <c r="R91" s="175"/>
      <c r="S91" s="175"/>
      <c r="T91" s="175"/>
    </row>
    <row r="92" spans="1:20">
      <c r="A92" s="172"/>
      <c r="B92" s="172"/>
      <c r="C92" s="172"/>
      <c r="D92" s="172"/>
      <c r="E92" s="172"/>
      <c r="F92" s="173"/>
      <c r="G92" s="173"/>
      <c r="H92" s="173"/>
      <c r="K92" s="31"/>
      <c r="L92" s="31"/>
      <c r="M92" s="174"/>
      <c r="N92" s="174"/>
      <c r="O92" s="174"/>
      <c r="P92" s="174"/>
      <c r="Q92" s="174"/>
      <c r="R92" s="175"/>
      <c r="S92" s="175"/>
      <c r="T92" s="175"/>
    </row>
    <row r="93" spans="1:20">
      <c r="A93" s="172"/>
      <c r="B93" s="172"/>
      <c r="C93" s="172"/>
      <c r="D93" s="172"/>
      <c r="E93" s="172"/>
      <c r="F93" s="173"/>
      <c r="G93" s="173"/>
      <c r="H93" s="173"/>
      <c r="K93" s="31"/>
      <c r="L93" s="31"/>
      <c r="M93" s="174"/>
      <c r="N93" s="174"/>
      <c r="O93" s="174"/>
      <c r="P93" s="174"/>
      <c r="Q93" s="174"/>
      <c r="R93" s="175"/>
      <c r="S93" s="175"/>
      <c r="T93" s="175"/>
    </row>
    <row r="94" spans="1:20">
      <c r="A94" s="172"/>
      <c r="B94" s="172"/>
      <c r="C94" s="172"/>
      <c r="D94" s="172"/>
      <c r="E94" s="172"/>
      <c r="F94" s="173"/>
      <c r="G94" s="173"/>
      <c r="H94" s="173"/>
      <c r="K94" s="31"/>
      <c r="L94" s="31"/>
      <c r="M94" s="174"/>
      <c r="N94" s="174"/>
      <c r="O94" s="174"/>
      <c r="P94" s="174"/>
      <c r="Q94" s="174"/>
      <c r="R94" s="175"/>
      <c r="S94" s="175"/>
      <c r="T94" s="175"/>
    </row>
    <row r="95" spans="1:20">
      <c r="A95" s="172"/>
      <c r="B95" s="172"/>
      <c r="C95" s="172"/>
      <c r="D95" s="172"/>
      <c r="E95" s="172"/>
      <c r="F95" s="173"/>
      <c r="G95" s="173"/>
      <c r="H95" s="173"/>
      <c r="K95" s="31"/>
      <c r="L95" s="31"/>
      <c r="M95" s="174"/>
      <c r="N95" s="174"/>
      <c r="O95" s="174"/>
      <c r="P95" s="174"/>
      <c r="Q95" s="174"/>
      <c r="R95" s="175"/>
      <c r="S95" s="175"/>
      <c r="T95" s="175"/>
    </row>
    <row r="96" spans="1:20">
      <c r="A96" s="172"/>
      <c r="B96" s="172"/>
      <c r="C96" s="172"/>
      <c r="D96" s="172"/>
      <c r="E96" s="172"/>
      <c r="F96" s="173"/>
      <c r="G96" s="173"/>
      <c r="H96" s="173"/>
      <c r="K96" s="31"/>
      <c r="L96" s="31"/>
      <c r="M96" s="174"/>
      <c r="N96" s="174"/>
      <c r="O96" s="174"/>
      <c r="P96" s="174"/>
      <c r="Q96" s="174"/>
      <c r="R96" s="175"/>
      <c r="S96" s="175"/>
      <c r="T96" s="175"/>
    </row>
    <row r="97" spans="1:20">
      <c r="A97" s="172"/>
      <c r="B97" s="172"/>
      <c r="C97" s="172"/>
      <c r="D97" s="172"/>
      <c r="E97" s="172"/>
      <c r="F97" s="173"/>
      <c r="G97" s="173"/>
      <c r="H97" s="173"/>
      <c r="K97" s="31"/>
      <c r="L97" s="31"/>
      <c r="M97" s="174"/>
      <c r="N97" s="174"/>
      <c r="O97" s="174"/>
      <c r="P97" s="174"/>
      <c r="Q97" s="174"/>
      <c r="R97" s="175"/>
      <c r="S97" s="175"/>
      <c r="T97" s="175"/>
    </row>
    <row r="98" spans="1:20">
      <c r="A98" s="172"/>
      <c r="B98" s="172"/>
      <c r="C98" s="172"/>
      <c r="D98" s="172"/>
      <c r="E98" s="172"/>
      <c r="F98" s="173"/>
      <c r="G98" s="173"/>
      <c r="H98" s="173"/>
      <c r="K98" s="31"/>
      <c r="L98" s="31"/>
      <c r="M98" s="174"/>
      <c r="N98" s="174"/>
      <c r="O98" s="174"/>
      <c r="P98" s="174"/>
      <c r="Q98" s="174"/>
      <c r="R98" s="175"/>
      <c r="S98" s="175"/>
      <c r="T98" s="175"/>
    </row>
    <row r="99" spans="1:20">
      <c r="A99" s="172"/>
      <c r="B99" s="172"/>
      <c r="C99" s="172"/>
      <c r="D99" s="172"/>
      <c r="E99" s="172"/>
      <c r="F99" s="173"/>
      <c r="G99" s="173"/>
      <c r="H99" s="173"/>
      <c r="K99" s="31"/>
      <c r="L99" s="31"/>
      <c r="M99" s="174"/>
      <c r="N99" s="174"/>
      <c r="O99" s="174"/>
      <c r="P99" s="174"/>
      <c r="Q99" s="174"/>
      <c r="R99" s="175"/>
      <c r="S99" s="175"/>
      <c r="T99" s="175"/>
    </row>
    <row r="100" spans="1:20">
      <c r="A100" s="172"/>
      <c r="B100" s="172"/>
      <c r="C100" s="172"/>
      <c r="D100" s="172"/>
      <c r="E100" s="172"/>
      <c r="F100" s="173"/>
      <c r="G100" s="173"/>
      <c r="H100" s="173"/>
      <c r="K100" s="31"/>
      <c r="L100" s="31"/>
      <c r="M100" s="174"/>
      <c r="N100" s="174"/>
      <c r="O100" s="174"/>
      <c r="P100" s="174"/>
      <c r="Q100" s="174"/>
      <c r="R100" s="175"/>
      <c r="S100" s="175"/>
      <c r="T100" s="175"/>
    </row>
    <row r="101" spans="1:20">
      <c r="A101" s="172"/>
      <c r="B101" s="172"/>
      <c r="C101" s="172"/>
      <c r="D101" s="172"/>
      <c r="E101" s="172"/>
      <c r="F101" s="173"/>
      <c r="G101" s="173"/>
      <c r="H101" s="173"/>
      <c r="K101" s="31"/>
      <c r="L101" s="31"/>
      <c r="M101" s="174"/>
      <c r="N101" s="174"/>
      <c r="O101" s="174"/>
      <c r="P101" s="174"/>
      <c r="Q101" s="174"/>
      <c r="R101" s="175"/>
      <c r="S101" s="175"/>
      <c r="T101" s="175"/>
    </row>
    <row r="102" spans="1:20">
      <c r="A102" s="172"/>
      <c r="B102" s="172"/>
      <c r="C102" s="172"/>
      <c r="D102" s="172"/>
      <c r="E102" s="172"/>
      <c r="F102" s="173"/>
      <c r="G102" s="173"/>
      <c r="H102" s="173"/>
      <c r="K102" s="31"/>
      <c r="L102" s="31"/>
      <c r="M102" s="174"/>
      <c r="N102" s="174"/>
      <c r="O102" s="174"/>
      <c r="P102" s="174"/>
      <c r="Q102" s="174"/>
      <c r="R102" s="175"/>
      <c r="S102" s="175"/>
      <c r="T102" s="175"/>
    </row>
    <row r="103" spans="1:20">
      <c r="A103" s="172"/>
      <c r="B103" s="172"/>
      <c r="C103" s="172"/>
      <c r="D103" s="172"/>
      <c r="E103" s="172"/>
      <c r="F103" s="173"/>
      <c r="G103" s="173"/>
      <c r="H103" s="173"/>
      <c r="K103" s="31"/>
      <c r="L103" s="31"/>
      <c r="M103" s="174"/>
      <c r="N103" s="174"/>
      <c r="O103" s="174"/>
      <c r="P103" s="174"/>
      <c r="Q103" s="174"/>
      <c r="R103" s="175"/>
      <c r="S103" s="175"/>
      <c r="T103" s="175"/>
    </row>
    <row r="104" spans="1:20">
      <c r="A104" s="172"/>
      <c r="B104" s="172"/>
      <c r="C104" s="172"/>
      <c r="D104" s="172"/>
      <c r="E104" s="172"/>
      <c r="F104" s="173"/>
      <c r="G104" s="173"/>
      <c r="H104" s="173"/>
      <c r="K104" s="31"/>
      <c r="L104" s="31"/>
      <c r="M104" s="174"/>
      <c r="N104" s="174"/>
      <c r="O104" s="174"/>
      <c r="P104" s="174"/>
      <c r="Q104" s="174"/>
      <c r="R104" s="175"/>
      <c r="S104" s="175"/>
      <c r="T104" s="175"/>
    </row>
    <row r="105" spans="1:20">
      <c r="A105" s="172"/>
      <c r="B105" s="172"/>
      <c r="C105" s="172"/>
      <c r="D105" s="172"/>
      <c r="E105" s="172"/>
      <c r="F105" s="173"/>
      <c r="G105" s="173"/>
      <c r="H105" s="173"/>
      <c r="K105" s="31"/>
      <c r="L105" s="31"/>
      <c r="M105" s="174"/>
      <c r="N105" s="174"/>
      <c r="O105" s="174"/>
      <c r="P105" s="174"/>
      <c r="Q105" s="174"/>
      <c r="R105" s="175"/>
      <c r="S105" s="175"/>
      <c r="T105" s="175"/>
    </row>
    <row r="106" spans="1:20">
      <c r="A106" s="172"/>
      <c r="B106" s="172"/>
      <c r="C106" s="172"/>
      <c r="D106" s="172"/>
      <c r="E106" s="172"/>
      <c r="F106" s="173"/>
      <c r="G106" s="173"/>
      <c r="H106" s="173"/>
      <c r="K106" s="31"/>
      <c r="L106" s="31"/>
      <c r="M106" s="174"/>
      <c r="N106" s="174"/>
      <c r="O106" s="174"/>
      <c r="P106" s="174"/>
      <c r="Q106" s="174"/>
      <c r="R106" s="175"/>
      <c r="S106" s="175"/>
      <c r="T106" s="175"/>
    </row>
    <row r="107" spans="1:20">
      <c r="A107" s="172"/>
      <c r="B107" s="172"/>
      <c r="C107" s="172"/>
      <c r="D107" s="172"/>
      <c r="E107" s="172"/>
      <c r="F107" s="173"/>
      <c r="G107" s="173"/>
      <c r="H107" s="173"/>
      <c r="K107" s="31"/>
      <c r="L107" s="31"/>
      <c r="M107" s="174"/>
      <c r="N107" s="174"/>
      <c r="O107" s="174"/>
      <c r="P107" s="174"/>
      <c r="Q107" s="174"/>
      <c r="R107" s="175"/>
      <c r="S107" s="175"/>
      <c r="T107" s="175"/>
    </row>
    <row r="108" spans="1:20">
      <c r="A108" s="172"/>
      <c r="B108" s="172"/>
      <c r="C108" s="172"/>
      <c r="D108" s="172"/>
      <c r="E108" s="172"/>
      <c r="F108" s="173"/>
      <c r="G108" s="173"/>
      <c r="H108" s="173"/>
      <c r="K108" s="31"/>
      <c r="L108" s="31"/>
      <c r="M108" s="174"/>
      <c r="N108" s="174"/>
      <c r="O108" s="174"/>
      <c r="P108" s="174"/>
      <c r="Q108" s="174"/>
      <c r="R108" s="175"/>
      <c r="S108" s="175"/>
      <c r="T108" s="175"/>
    </row>
    <row r="109" spans="1:20">
      <c r="A109" s="172"/>
      <c r="B109" s="172"/>
      <c r="C109" s="172"/>
      <c r="D109" s="172"/>
      <c r="E109" s="172"/>
      <c r="F109" s="173"/>
      <c r="G109" s="173"/>
      <c r="H109" s="173"/>
      <c r="K109" s="31"/>
      <c r="L109" s="31"/>
      <c r="M109" s="174"/>
      <c r="N109" s="174"/>
      <c r="O109" s="174"/>
      <c r="P109" s="174"/>
      <c r="Q109" s="174"/>
      <c r="R109" s="175"/>
      <c r="S109" s="175"/>
      <c r="T109" s="175"/>
    </row>
    <row r="110" spans="1:20">
      <c r="A110" s="172"/>
      <c r="B110" s="172"/>
      <c r="C110" s="172"/>
      <c r="D110" s="172"/>
      <c r="E110" s="172"/>
      <c r="F110" s="173"/>
      <c r="G110" s="173"/>
      <c r="H110" s="173"/>
      <c r="K110" s="31"/>
      <c r="L110" s="31"/>
      <c r="M110" s="174"/>
      <c r="N110" s="174"/>
      <c r="O110" s="174"/>
      <c r="P110" s="174"/>
      <c r="Q110" s="174"/>
      <c r="R110" s="175"/>
      <c r="S110" s="175"/>
      <c r="T110" s="175"/>
    </row>
    <row r="111" spans="1:20">
      <c r="A111" s="172"/>
      <c r="B111" s="172"/>
      <c r="C111" s="172"/>
      <c r="D111" s="172"/>
      <c r="E111" s="172"/>
      <c r="F111" s="173"/>
      <c r="G111" s="173"/>
      <c r="H111" s="173"/>
      <c r="K111" s="31"/>
      <c r="L111" s="31"/>
      <c r="M111" s="174"/>
      <c r="N111" s="174"/>
      <c r="O111" s="174"/>
      <c r="P111" s="174"/>
      <c r="Q111" s="174"/>
      <c r="R111" s="175"/>
      <c r="S111" s="175"/>
      <c r="T111" s="175"/>
    </row>
    <row r="112" spans="1:20">
      <c r="A112" s="172"/>
      <c r="B112" s="172"/>
      <c r="C112" s="172"/>
      <c r="D112" s="172"/>
      <c r="E112" s="172"/>
      <c r="F112" s="173"/>
      <c r="G112" s="173"/>
      <c r="H112" s="173"/>
      <c r="K112" s="31"/>
      <c r="L112" s="31"/>
      <c r="M112" s="174"/>
      <c r="N112" s="174"/>
      <c r="O112" s="174"/>
      <c r="P112" s="174"/>
      <c r="Q112" s="174"/>
      <c r="R112" s="175"/>
      <c r="S112" s="175"/>
      <c r="T112" s="175"/>
    </row>
    <row r="113" spans="1:20">
      <c r="A113" s="172"/>
      <c r="B113" s="172"/>
      <c r="C113" s="172"/>
      <c r="D113" s="172"/>
      <c r="E113" s="172"/>
      <c r="F113" s="173"/>
      <c r="G113" s="173"/>
      <c r="H113" s="173"/>
      <c r="K113" s="31"/>
      <c r="L113" s="31"/>
      <c r="M113" s="174"/>
      <c r="N113" s="174"/>
      <c r="O113" s="174"/>
      <c r="P113" s="174"/>
      <c r="Q113" s="174"/>
      <c r="R113" s="175"/>
      <c r="S113" s="175"/>
      <c r="T113" s="175"/>
    </row>
    <row r="114" spans="1:20">
      <c r="A114" s="172"/>
      <c r="B114" s="172"/>
      <c r="C114" s="172"/>
      <c r="D114" s="172"/>
      <c r="E114" s="172"/>
      <c r="F114" s="173"/>
      <c r="G114" s="173"/>
      <c r="H114" s="173"/>
      <c r="K114" s="31"/>
      <c r="L114" s="31"/>
      <c r="M114" s="174"/>
      <c r="N114" s="174"/>
      <c r="O114" s="174"/>
      <c r="P114" s="174"/>
      <c r="Q114" s="174"/>
      <c r="R114" s="175"/>
      <c r="S114" s="175"/>
      <c r="T114" s="175"/>
    </row>
    <row r="115" spans="1:20">
      <c r="A115" s="172"/>
      <c r="B115" s="172"/>
      <c r="C115" s="172"/>
      <c r="D115" s="172"/>
      <c r="E115" s="172"/>
      <c r="F115" s="173"/>
      <c r="G115" s="173"/>
      <c r="H115" s="173"/>
      <c r="K115" s="31"/>
      <c r="L115" s="31"/>
      <c r="M115" s="174"/>
      <c r="N115" s="174"/>
      <c r="O115" s="174"/>
      <c r="P115" s="174"/>
      <c r="Q115" s="174"/>
      <c r="R115" s="175"/>
      <c r="S115" s="175"/>
      <c r="T115" s="175"/>
    </row>
    <row r="116" spans="1:20">
      <c r="A116" s="172"/>
      <c r="B116" s="172"/>
      <c r="C116" s="172"/>
      <c r="D116" s="172"/>
      <c r="E116" s="172"/>
      <c r="F116" s="173"/>
      <c r="G116" s="173"/>
      <c r="H116" s="173"/>
      <c r="K116" s="31"/>
      <c r="L116" s="31"/>
      <c r="M116" s="174"/>
      <c r="N116" s="174"/>
      <c r="O116" s="174"/>
      <c r="P116" s="174"/>
      <c r="Q116" s="174"/>
      <c r="R116" s="175"/>
      <c r="S116" s="175"/>
      <c r="T116" s="175"/>
    </row>
    <row r="117" spans="1:20">
      <c r="A117" s="172"/>
      <c r="B117" s="172"/>
      <c r="C117" s="172"/>
      <c r="D117" s="172"/>
      <c r="E117" s="172"/>
      <c r="F117" s="173"/>
      <c r="G117" s="173"/>
      <c r="H117" s="173"/>
      <c r="K117" s="31"/>
      <c r="L117" s="31"/>
      <c r="M117" s="174"/>
      <c r="N117" s="174"/>
      <c r="O117" s="174"/>
      <c r="P117" s="174"/>
      <c r="Q117" s="174"/>
      <c r="R117" s="175"/>
      <c r="S117" s="175"/>
      <c r="T117" s="175"/>
    </row>
    <row r="118" spans="1:20">
      <c r="A118" s="172"/>
      <c r="B118" s="172"/>
      <c r="C118" s="172"/>
      <c r="D118" s="172"/>
      <c r="E118" s="172"/>
      <c r="F118" s="173"/>
      <c r="G118" s="173"/>
      <c r="H118" s="173"/>
      <c r="K118" s="31"/>
      <c r="L118" s="31"/>
      <c r="M118" s="174"/>
      <c r="N118" s="174"/>
      <c r="O118" s="174"/>
      <c r="P118" s="174"/>
      <c r="Q118" s="174"/>
      <c r="R118" s="175"/>
      <c r="S118" s="175"/>
      <c r="T118" s="175"/>
    </row>
    <row r="119" spans="1:20">
      <c r="A119" s="172"/>
      <c r="B119" s="172"/>
      <c r="C119" s="172"/>
      <c r="D119" s="172"/>
      <c r="E119" s="172"/>
      <c r="F119" s="173"/>
      <c r="G119" s="173"/>
      <c r="H119" s="173"/>
      <c r="K119" s="31"/>
      <c r="L119" s="31"/>
      <c r="M119" s="174"/>
      <c r="N119" s="174"/>
      <c r="O119" s="174"/>
      <c r="P119" s="174"/>
      <c r="Q119" s="174"/>
      <c r="R119" s="175"/>
      <c r="S119" s="175"/>
      <c r="T119" s="175"/>
    </row>
    <row r="120" spans="1:20">
      <c r="A120" s="172"/>
      <c r="B120" s="172"/>
      <c r="C120" s="172"/>
      <c r="D120" s="172"/>
      <c r="E120" s="172"/>
      <c r="F120" s="173"/>
      <c r="G120" s="173"/>
      <c r="H120" s="173"/>
      <c r="K120" s="31"/>
      <c r="L120" s="31"/>
      <c r="M120" s="174"/>
      <c r="N120" s="174"/>
      <c r="O120" s="174"/>
      <c r="P120" s="174"/>
      <c r="Q120" s="174"/>
      <c r="R120" s="175"/>
      <c r="S120" s="175"/>
      <c r="T120" s="175"/>
    </row>
    <row r="121" spans="1:20">
      <c r="A121" s="172"/>
      <c r="B121" s="172"/>
      <c r="C121" s="172"/>
      <c r="D121" s="172"/>
      <c r="E121" s="172"/>
      <c r="F121" s="173"/>
      <c r="G121" s="173"/>
      <c r="H121" s="173"/>
      <c r="K121" s="31"/>
      <c r="L121" s="31"/>
      <c r="M121" s="174"/>
      <c r="N121" s="174"/>
      <c r="O121" s="174"/>
      <c r="P121" s="174"/>
      <c r="Q121" s="174"/>
      <c r="R121" s="175"/>
      <c r="S121" s="175"/>
      <c r="T121" s="175"/>
    </row>
    <row r="122" spans="1:20">
      <c r="A122" s="172"/>
      <c r="B122" s="172"/>
      <c r="C122" s="172"/>
      <c r="D122" s="172"/>
      <c r="E122" s="172"/>
      <c r="F122" s="173"/>
      <c r="G122" s="173"/>
      <c r="H122" s="173"/>
      <c r="K122" s="31"/>
      <c r="L122" s="31"/>
      <c r="M122" s="174"/>
      <c r="N122" s="174"/>
      <c r="O122" s="174"/>
      <c r="P122" s="174"/>
      <c r="Q122" s="174"/>
      <c r="R122" s="175"/>
      <c r="S122" s="175"/>
      <c r="T122" s="175"/>
    </row>
    <row r="123" spans="1:20">
      <c r="A123" s="172"/>
      <c r="B123" s="172"/>
      <c r="C123" s="172"/>
      <c r="D123" s="172"/>
      <c r="E123" s="172"/>
      <c r="F123" s="173"/>
      <c r="G123" s="173"/>
      <c r="H123" s="173"/>
      <c r="K123" s="31"/>
      <c r="L123" s="31"/>
      <c r="M123" s="174"/>
      <c r="N123" s="174"/>
      <c r="O123" s="174"/>
      <c r="P123" s="174"/>
      <c r="Q123" s="174"/>
      <c r="R123" s="175"/>
      <c r="S123" s="175"/>
      <c r="T123" s="175"/>
    </row>
    <row r="124" spans="1:20">
      <c r="A124" s="172"/>
      <c r="B124" s="172"/>
      <c r="C124" s="172"/>
      <c r="D124" s="172"/>
      <c r="E124" s="172"/>
      <c r="F124" s="173"/>
      <c r="G124" s="173"/>
      <c r="H124" s="173"/>
      <c r="K124" s="31"/>
      <c r="L124" s="31"/>
      <c r="M124" s="174"/>
      <c r="N124" s="174"/>
      <c r="O124" s="174"/>
      <c r="P124" s="174"/>
      <c r="Q124" s="174"/>
      <c r="R124" s="175"/>
      <c r="S124" s="175"/>
      <c r="T124" s="175"/>
    </row>
    <row r="125" spans="1:20">
      <c r="A125" s="172"/>
      <c r="B125" s="172"/>
      <c r="C125" s="172"/>
      <c r="D125" s="172"/>
      <c r="E125" s="172"/>
      <c r="F125" s="173"/>
      <c r="G125" s="173"/>
      <c r="H125" s="173"/>
      <c r="K125" s="31"/>
      <c r="L125" s="31"/>
      <c r="M125" s="174"/>
      <c r="N125" s="174"/>
      <c r="O125" s="174"/>
      <c r="P125" s="174"/>
      <c r="Q125" s="174"/>
      <c r="R125" s="175"/>
      <c r="S125" s="175"/>
      <c r="T125" s="175"/>
    </row>
    <row r="126" spans="1:20">
      <c r="A126" s="172"/>
      <c r="B126" s="172"/>
      <c r="C126" s="172"/>
      <c r="D126" s="172"/>
      <c r="E126" s="172"/>
      <c r="F126" s="173"/>
      <c r="G126" s="173"/>
      <c r="H126" s="173"/>
      <c r="K126" s="31"/>
      <c r="L126" s="31"/>
      <c r="M126" s="174"/>
      <c r="N126" s="174"/>
      <c r="O126" s="174"/>
      <c r="P126" s="174"/>
      <c r="Q126" s="174"/>
      <c r="R126" s="175"/>
      <c r="S126" s="175"/>
      <c r="T126" s="175"/>
    </row>
    <row r="127" spans="1:20">
      <c r="A127" s="172"/>
      <c r="B127" s="172"/>
      <c r="C127" s="172"/>
      <c r="D127" s="172"/>
      <c r="E127" s="172"/>
      <c r="F127" s="173"/>
      <c r="G127" s="173"/>
      <c r="H127" s="173"/>
      <c r="K127" s="31"/>
      <c r="L127" s="31"/>
      <c r="M127" s="174"/>
      <c r="N127" s="174"/>
      <c r="O127" s="174"/>
      <c r="P127" s="174"/>
      <c r="Q127" s="174"/>
      <c r="R127" s="175"/>
      <c r="S127" s="175"/>
      <c r="T127" s="175"/>
    </row>
    <row r="128" spans="1:20">
      <c r="A128" s="172"/>
      <c r="B128" s="172"/>
      <c r="C128" s="172"/>
      <c r="D128" s="172"/>
      <c r="E128" s="172"/>
      <c r="F128" s="173"/>
      <c r="G128" s="173"/>
      <c r="H128" s="173"/>
      <c r="K128" s="31"/>
      <c r="L128" s="31"/>
      <c r="M128" s="174"/>
      <c r="N128" s="174"/>
      <c r="O128" s="174"/>
      <c r="P128" s="174"/>
      <c r="Q128" s="174"/>
      <c r="R128" s="175"/>
      <c r="S128" s="175"/>
      <c r="T128" s="175"/>
    </row>
    <row r="129" spans="1:20">
      <c r="A129" s="172"/>
      <c r="B129" s="172"/>
      <c r="C129" s="172"/>
      <c r="D129" s="172"/>
      <c r="E129" s="172"/>
      <c r="F129" s="173"/>
      <c r="G129" s="173"/>
      <c r="H129" s="173"/>
      <c r="K129" s="31"/>
      <c r="L129" s="31"/>
      <c r="M129" s="174"/>
      <c r="N129" s="174"/>
      <c r="O129" s="174"/>
      <c r="P129" s="174"/>
      <c r="Q129" s="174"/>
      <c r="R129" s="175"/>
      <c r="S129" s="175"/>
      <c r="T129" s="175"/>
    </row>
    <row r="130" spans="1:20">
      <c r="A130" s="172"/>
      <c r="B130" s="172"/>
      <c r="C130" s="172"/>
      <c r="D130" s="172"/>
      <c r="E130" s="172"/>
      <c r="F130" s="173"/>
      <c r="G130" s="173"/>
      <c r="H130" s="173"/>
      <c r="K130" s="31"/>
      <c r="L130" s="31"/>
      <c r="M130" s="174"/>
      <c r="N130" s="174"/>
      <c r="O130" s="174"/>
      <c r="P130" s="174"/>
      <c r="Q130" s="174"/>
      <c r="R130" s="175"/>
      <c r="S130" s="175"/>
      <c r="T130" s="175"/>
    </row>
    <row r="131" spans="1:20">
      <c r="A131" s="172"/>
      <c r="B131" s="172"/>
      <c r="C131" s="172"/>
      <c r="D131" s="172"/>
      <c r="E131" s="172"/>
      <c r="F131" s="173"/>
      <c r="G131" s="173"/>
      <c r="H131" s="173"/>
      <c r="K131" s="31"/>
      <c r="L131" s="31"/>
      <c r="M131" s="174"/>
      <c r="N131" s="174"/>
      <c r="O131" s="174"/>
      <c r="P131" s="174"/>
      <c r="Q131" s="174"/>
      <c r="R131" s="175"/>
      <c r="S131" s="175"/>
      <c r="T131" s="175"/>
    </row>
    <row r="132" spans="1:20">
      <c r="A132" s="172"/>
      <c r="B132" s="172"/>
      <c r="C132" s="172"/>
      <c r="D132" s="172"/>
      <c r="E132" s="172"/>
      <c r="F132" s="173"/>
      <c r="G132" s="173"/>
      <c r="H132" s="173"/>
      <c r="K132" s="31"/>
      <c r="L132" s="31"/>
      <c r="M132" s="174"/>
      <c r="N132" s="174"/>
      <c r="O132" s="174"/>
      <c r="P132" s="174"/>
      <c r="Q132" s="174"/>
      <c r="R132" s="175"/>
      <c r="S132" s="175"/>
      <c r="T132" s="175"/>
    </row>
    <row r="133" spans="1:20">
      <c r="A133" s="172"/>
      <c r="B133" s="172"/>
      <c r="C133" s="172"/>
      <c r="D133" s="172"/>
      <c r="E133" s="172"/>
      <c r="F133" s="173"/>
      <c r="G133" s="173"/>
      <c r="H133" s="173"/>
      <c r="K133" s="31"/>
      <c r="L133" s="31"/>
      <c r="M133" s="174"/>
      <c r="N133" s="174"/>
      <c r="O133" s="174"/>
      <c r="P133" s="174"/>
      <c r="Q133" s="174"/>
      <c r="R133" s="175"/>
      <c r="S133" s="175"/>
      <c r="T133" s="175"/>
    </row>
    <row r="134" spans="1:20">
      <c r="A134" s="172"/>
      <c r="B134" s="172"/>
      <c r="C134" s="172"/>
      <c r="D134" s="172"/>
      <c r="E134" s="172"/>
      <c r="F134" s="173"/>
      <c r="G134" s="173"/>
      <c r="H134" s="173"/>
      <c r="K134" s="31"/>
      <c r="L134" s="31"/>
      <c r="M134" s="174"/>
      <c r="N134" s="174"/>
      <c r="O134" s="174"/>
      <c r="P134" s="174"/>
      <c r="Q134" s="174"/>
      <c r="R134" s="175"/>
      <c r="S134" s="175"/>
      <c r="T134" s="175"/>
    </row>
    <row r="135" spans="1:20">
      <c r="A135" s="172"/>
      <c r="B135" s="172"/>
      <c r="C135" s="172"/>
      <c r="D135" s="172"/>
      <c r="E135" s="172"/>
      <c r="F135" s="173"/>
      <c r="G135" s="173"/>
      <c r="H135" s="173"/>
      <c r="K135" s="31"/>
      <c r="L135" s="31"/>
      <c r="M135" s="174"/>
      <c r="N135" s="174"/>
      <c r="O135" s="174"/>
      <c r="P135" s="174"/>
      <c r="Q135" s="174"/>
      <c r="R135" s="175"/>
      <c r="S135" s="175"/>
      <c r="T135" s="175"/>
    </row>
    <row r="136" spans="1:20">
      <c r="A136" s="172"/>
      <c r="B136" s="172"/>
      <c r="C136" s="172"/>
      <c r="D136" s="172"/>
      <c r="E136" s="172"/>
      <c r="F136" s="173"/>
      <c r="G136" s="173"/>
      <c r="H136" s="173"/>
      <c r="K136" s="31"/>
      <c r="L136" s="31"/>
      <c r="M136" s="174"/>
      <c r="N136" s="174"/>
      <c r="O136" s="174"/>
      <c r="P136" s="174"/>
      <c r="Q136" s="174"/>
      <c r="R136" s="175"/>
      <c r="S136" s="175"/>
      <c r="T136" s="175"/>
    </row>
    <row r="137" spans="1:20">
      <c r="A137" s="172"/>
      <c r="B137" s="172"/>
      <c r="C137" s="172"/>
      <c r="D137" s="172"/>
      <c r="E137" s="172"/>
      <c r="F137" s="173"/>
      <c r="G137" s="173"/>
      <c r="H137" s="173"/>
      <c r="K137" s="31"/>
      <c r="L137" s="31"/>
      <c r="M137" s="174"/>
      <c r="N137" s="174"/>
      <c r="O137" s="174"/>
      <c r="P137" s="174"/>
      <c r="Q137" s="174"/>
      <c r="R137" s="175"/>
      <c r="S137" s="175"/>
      <c r="T137" s="175"/>
    </row>
    <row r="138" spans="1:20">
      <c r="A138" s="172"/>
      <c r="B138" s="172"/>
      <c r="C138" s="172"/>
      <c r="D138" s="172"/>
      <c r="E138" s="172"/>
      <c r="F138" s="173"/>
      <c r="G138" s="173"/>
      <c r="H138" s="173"/>
      <c r="K138" s="31"/>
      <c r="L138" s="31"/>
      <c r="M138" s="174"/>
      <c r="N138" s="174"/>
      <c r="O138" s="174"/>
      <c r="P138" s="174"/>
      <c r="Q138" s="174"/>
      <c r="R138" s="175"/>
      <c r="S138" s="175"/>
      <c r="T138" s="175"/>
    </row>
    <row r="139" spans="1:20">
      <c r="A139" s="172"/>
      <c r="B139" s="172"/>
      <c r="C139" s="172"/>
      <c r="D139" s="172"/>
      <c r="E139" s="172"/>
      <c r="F139" s="173"/>
      <c r="G139" s="173"/>
      <c r="H139" s="173"/>
      <c r="K139" s="31"/>
      <c r="L139" s="31"/>
      <c r="M139" s="174"/>
      <c r="N139" s="174"/>
      <c r="O139" s="174"/>
      <c r="P139" s="174"/>
      <c r="Q139" s="174"/>
      <c r="R139" s="175"/>
      <c r="S139" s="175"/>
      <c r="T139" s="175"/>
    </row>
    <row r="140" spans="1:20">
      <c r="A140" s="172"/>
      <c r="B140" s="172"/>
      <c r="C140" s="172"/>
      <c r="D140" s="172"/>
      <c r="E140" s="172"/>
      <c r="F140" s="173"/>
      <c r="G140" s="173"/>
      <c r="H140" s="173"/>
      <c r="K140" s="31"/>
      <c r="L140" s="31"/>
      <c r="M140" s="174"/>
      <c r="N140" s="174"/>
      <c r="O140" s="174"/>
      <c r="P140" s="174"/>
      <c r="Q140" s="174"/>
      <c r="R140" s="175"/>
      <c r="S140" s="175"/>
      <c r="T140" s="175"/>
    </row>
    <row r="141" spans="1:20">
      <c r="A141" s="172"/>
      <c r="B141" s="172"/>
      <c r="C141" s="172"/>
      <c r="D141" s="172"/>
      <c r="E141" s="172"/>
      <c r="F141" s="173"/>
      <c r="G141" s="173"/>
      <c r="H141" s="173"/>
      <c r="K141" s="31"/>
      <c r="L141" s="31"/>
      <c r="M141" s="174"/>
      <c r="N141" s="174"/>
      <c r="O141" s="174"/>
      <c r="P141" s="174"/>
      <c r="Q141" s="174"/>
      <c r="R141" s="175"/>
      <c r="S141" s="175"/>
      <c r="T141" s="175"/>
    </row>
    <row r="142" spans="1:20">
      <c r="A142" s="172"/>
      <c r="B142" s="172"/>
      <c r="C142" s="172"/>
      <c r="D142" s="172"/>
      <c r="E142" s="172"/>
      <c r="F142" s="173"/>
      <c r="G142" s="173"/>
      <c r="H142" s="173"/>
      <c r="K142" s="31"/>
      <c r="L142" s="31"/>
      <c r="M142" s="174"/>
      <c r="N142" s="174"/>
      <c r="O142" s="174"/>
      <c r="P142" s="174"/>
      <c r="Q142" s="174"/>
      <c r="R142" s="175"/>
      <c r="S142" s="175"/>
      <c r="T142" s="175"/>
    </row>
    <row r="143" spans="1:20">
      <c r="A143" s="172"/>
      <c r="B143" s="172"/>
      <c r="C143" s="172"/>
      <c r="D143" s="172"/>
      <c r="E143" s="172"/>
      <c r="F143" s="173"/>
      <c r="G143" s="173"/>
      <c r="H143" s="173"/>
      <c r="K143" s="31"/>
      <c r="L143" s="31"/>
      <c r="M143" s="174"/>
      <c r="N143" s="174"/>
      <c r="O143" s="174"/>
      <c r="P143" s="174"/>
      <c r="Q143" s="174"/>
      <c r="R143" s="175"/>
      <c r="S143" s="175"/>
      <c r="T143" s="175"/>
    </row>
    <row r="144" spans="1:20">
      <c r="A144" s="172"/>
      <c r="B144" s="172"/>
      <c r="C144" s="172"/>
      <c r="D144" s="172"/>
      <c r="E144" s="172"/>
      <c r="F144" s="173"/>
      <c r="G144" s="173"/>
      <c r="H144" s="173"/>
      <c r="K144" s="31"/>
      <c r="L144" s="31"/>
      <c r="M144" s="174"/>
      <c r="N144" s="174"/>
      <c r="O144" s="174"/>
      <c r="P144" s="174"/>
      <c r="Q144" s="174"/>
      <c r="R144" s="175"/>
      <c r="S144" s="175"/>
      <c r="T144" s="175"/>
    </row>
    <row r="145" spans="1:20">
      <c r="A145" s="172"/>
      <c r="B145" s="172"/>
      <c r="C145" s="172"/>
      <c r="D145" s="172"/>
      <c r="E145" s="172"/>
      <c r="F145" s="173"/>
      <c r="G145" s="173"/>
      <c r="H145" s="173"/>
      <c r="K145" s="31"/>
      <c r="L145" s="31"/>
      <c r="M145" s="174"/>
      <c r="N145" s="174"/>
      <c r="O145" s="174"/>
      <c r="P145" s="174"/>
      <c r="Q145" s="174"/>
      <c r="R145" s="175"/>
      <c r="S145" s="175"/>
      <c r="T145" s="175"/>
    </row>
    <row r="146" spans="1:20">
      <c r="A146" s="172"/>
      <c r="B146" s="172"/>
      <c r="C146" s="172"/>
      <c r="D146" s="172"/>
      <c r="E146" s="172"/>
      <c r="F146" s="173"/>
      <c r="G146" s="173"/>
      <c r="H146" s="173"/>
      <c r="K146" s="31"/>
      <c r="L146" s="31"/>
      <c r="M146" s="174"/>
      <c r="N146" s="174"/>
      <c r="O146" s="174"/>
      <c r="P146" s="174"/>
      <c r="Q146" s="174"/>
      <c r="R146" s="175"/>
      <c r="S146" s="175"/>
      <c r="T146" s="175"/>
    </row>
    <row r="147" spans="1:20">
      <c r="A147" s="172"/>
      <c r="B147" s="172"/>
      <c r="C147" s="172"/>
      <c r="D147" s="172"/>
      <c r="E147" s="172"/>
      <c r="F147" s="173"/>
      <c r="G147" s="173"/>
      <c r="H147" s="173"/>
      <c r="K147" s="31"/>
      <c r="L147" s="31"/>
      <c r="M147" s="174"/>
      <c r="N147" s="174"/>
      <c r="O147" s="174"/>
      <c r="P147" s="174"/>
      <c r="Q147" s="174"/>
      <c r="R147" s="175"/>
      <c r="S147" s="175"/>
      <c r="T147" s="175"/>
    </row>
    <row r="148" spans="1:20">
      <c r="A148" s="172"/>
      <c r="B148" s="172"/>
      <c r="C148" s="172"/>
      <c r="D148" s="172"/>
      <c r="E148" s="172"/>
      <c r="F148" s="173"/>
      <c r="G148" s="173"/>
      <c r="H148" s="173"/>
      <c r="K148" s="31"/>
      <c r="L148" s="31"/>
      <c r="M148" s="174"/>
      <c r="N148" s="174"/>
      <c r="O148" s="174"/>
      <c r="P148" s="174"/>
      <c r="Q148" s="174"/>
      <c r="R148" s="175"/>
      <c r="S148" s="175"/>
      <c r="T148" s="175"/>
    </row>
    <row r="149" spans="1:20">
      <c r="A149" s="172"/>
      <c r="B149" s="172"/>
      <c r="C149" s="172"/>
      <c r="D149" s="172"/>
      <c r="E149" s="172"/>
      <c r="F149" s="173"/>
      <c r="G149" s="173"/>
      <c r="H149" s="173"/>
      <c r="K149" s="31"/>
      <c r="L149" s="31"/>
      <c r="M149" s="174"/>
      <c r="N149" s="174"/>
      <c r="O149" s="174"/>
      <c r="P149" s="174"/>
      <c r="Q149" s="174"/>
      <c r="R149" s="175"/>
      <c r="S149" s="175"/>
      <c r="T149" s="175"/>
    </row>
    <row r="150" spans="1:20">
      <c r="A150" s="172"/>
      <c r="B150" s="172"/>
      <c r="C150" s="172"/>
      <c r="D150" s="172"/>
      <c r="E150" s="172"/>
      <c r="F150" s="173"/>
      <c r="G150" s="173"/>
      <c r="H150" s="173"/>
      <c r="K150" s="31"/>
      <c r="L150" s="31"/>
      <c r="M150" s="174"/>
      <c r="N150" s="174"/>
      <c r="O150" s="174"/>
      <c r="P150" s="174"/>
      <c r="Q150" s="174"/>
      <c r="R150" s="175"/>
      <c r="S150" s="175"/>
      <c r="T150" s="175"/>
    </row>
    <row r="151" spans="1:20">
      <c r="A151" s="172"/>
      <c r="B151" s="172"/>
      <c r="C151" s="172"/>
      <c r="D151" s="172"/>
      <c r="E151" s="172"/>
      <c r="F151" s="173"/>
      <c r="G151" s="173"/>
      <c r="H151" s="173"/>
      <c r="K151" s="31"/>
      <c r="L151" s="31"/>
      <c r="M151" s="174"/>
      <c r="N151" s="174"/>
      <c r="O151" s="174"/>
      <c r="P151" s="174"/>
      <c r="Q151" s="174"/>
      <c r="R151" s="175"/>
      <c r="S151" s="175"/>
      <c r="T151" s="175"/>
    </row>
    <row r="152" spans="1:20">
      <c r="A152" s="172"/>
      <c r="B152" s="172"/>
      <c r="C152" s="172"/>
      <c r="D152" s="172"/>
      <c r="E152" s="172"/>
      <c r="F152" s="173"/>
      <c r="G152" s="173"/>
      <c r="H152" s="173"/>
      <c r="K152" s="31"/>
      <c r="L152" s="31"/>
      <c r="M152" s="174"/>
      <c r="N152" s="174"/>
      <c r="O152" s="174"/>
      <c r="P152" s="174"/>
      <c r="Q152" s="174"/>
      <c r="R152" s="175"/>
      <c r="S152" s="175"/>
      <c r="T152" s="175"/>
    </row>
    <row r="153" spans="1:20">
      <c r="A153" s="172"/>
      <c r="B153" s="172"/>
      <c r="C153" s="172"/>
      <c r="D153" s="172"/>
      <c r="E153" s="172"/>
      <c r="F153" s="173"/>
      <c r="G153" s="173"/>
      <c r="H153" s="173"/>
      <c r="K153" s="31"/>
      <c r="L153" s="31"/>
      <c r="M153" s="174"/>
      <c r="N153" s="174"/>
      <c r="O153" s="174"/>
      <c r="P153" s="174"/>
      <c r="Q153" s="174"/>
      <c r="R153" s="175"/>
      <c r="S153" s="175"/>
      <c r="T153" s="175"/>
    </row>
    <row r="154" spans="1:20">
      <c r="A154" s="172"/>
      <c r="B154" s="172"/>
      <c r="C154" s="172"/>
      <c r="D154" s="172"/>
      <c r="E154" s="172"/>
      <c r="F154" s="173"/>
      <c r="G154" s="173"/>
      <c r="H154" s="173"/>
      <c r="K154" s="31"/>
      <c r="L154" s="31"/>
      <c r="M154" s="174"/>
      <c r="N154" s="174"/>
      <c r="O154" s="174"/>
      <c r="P154" s="174"/>
      <c r="Q154" s="174"/>
      <c r="R154" s="175"/>
      <c r="S154" s="175"/>
      <c r="T154" s="175"/>
    </row>
    <row r="155" spans="1:20">
      <c r="A155" s="172"/>
      <c r="B155" s="172"/>
      <c r="C155" s="172"/>
      <c r="D155" s="172"/>
      <c r="E155" s="172"/>
      <c r="F155" s="173"/>
      <c r="G155" s="173"/>
      <c r="H155" s="173"/>
      <c r="K155" s="31"/>
      <c r="L155" s="31"/>
      <c r="M155" s="174"/>
      <c r="N155" s="174"/>
      <c r="O155" s="174"/>
      <c r="P155" s="174"/>
      <c r="Q155" s="174"/>
      <c r="R155" s="175"/>
      <c r="S155" s="175"/>
      <c r="T155" s="175"/>
    </row>
    <row r="156" spans="1:20">
      <c r="A156" s="172"/>
      <c r="B156" s="172"/>
      <c r="C156" s="172"/>
      <c r="D156" s="172"/>
      <c r="E156" s="172"/>
      <c r="F156" s="173"/>
      <c r="G156" s="173"/>
      <c r="H156" s="173"/>
      <c r="K156" s="31"/>
      <c r="L156" s="31"/>
      <c r="M156" s="174"/>
      <c r="N156" s="174"/>
      <c r="O156" s="174"/>
      <c r="P156" s="174"/>
      <c r="Q156" s="174"/>
      <c r="R156" s="175"/>
      <c r="S156" s="175"/>
      <c r="T156" s="175"/>
    </row>
    <row r="157" spans="1:20">
      <c r="A157" s="172"/>
      <c r="B157" s="172"/>
      <c r="C157" s="172"/>
      <c r="D157" s="172"/>
      <c r="E157" s="172"/>
      <c r="F157" s="173"/>
      <c r="G157" s="173"/>
      <c r="H157" s="173"/>
      <c r="K157" s="31"/>
      <c r="L157" s="31"/>
      <c r="M157" s="174"/>
      <c r="N157" s="174"/>
      <c r="O157" s="174"/>
      <c r="P157" s="174"/>
      <c r="Q157" s="174"/>
      <c r="R157" s="175"/>
      <c r="S157" s="175"/>
      <c r="T157" s="175"/>
    </row>
    <row r="158" spans="1:20">
      <c r="A158" s="172"/>
      <c r="B158" s="172"/>
      <c r="C158" s="172"/>
      <c r="D158" s="172"/>
      <c r="E158" s="172"/>
      <c r="F158" s="173"/>
      <c r="G158" s="173"/>
      <c r="H158" s="173"/>
      <c r="K158" s="31"/>
      <c r="L158" s="31"/>
      <c r="M158" s="174"/>
      <c r="N158" s="174"/>
      <c r="O158" s="174"/>
      <c r="P158" s="174"/>
      <c r="Q158" s="174"/>
      <c r="R158" s="175"/>
      <c r="S158" s="175"/>
      <c r="T158" s="175"/>
    </row>
    <row r="159" spans="1:20">
      <c r="A159" s="172"/>
      <c r="B159" s="172"/>
      <c r="C159" s="172"/>
      <c r="D159" s="172"/>
      <c r="E159" s="172"/>
      <c r="F159" s="173"/>
      <c r="G159" s="173"/>
      <c r="H159" s="173"/>
      <c r="K159" s="31"/>
      <c r="L159" s="31"/>
      <c r="M159" s="174"/>
      <c r="N159" s="174"/>
      <c r="O159" s="174"/>
      <c r="P159" s="174"/>
      <c r="Q159" s="174"/>
      <c r="R159" s="175"/>
      <c r="S159" s="175"/>
      <c r="T159" s="175"/>
    </row>
    <row r="160" spans="1:20">
      <c r="A160" s="172"/>
      <c r="B160" s="172"/>
      <c r="C160" s="172"/>
      <c r="D160" s="172"/>
      <c r="E160" s="172"/>
      <c r="F160" s="173"/>
      <c r="G160" s="173"/>
      <c r="H160" s="173"/>
      <c r="K160" s="31"/>
      <c r="L160" s="31"/>
      <c r="M160" s="174"/>
      <c r="N160" s="174"/>
      <c r="O160" s="174"/>
      <c r="P160" s="174"/>
      <c r="Q160" s="174"/>
      <c r="R160" s="175"/>
      <c r="S160" s="175"/>
      <c r="T160" s="175"/>
    </row>
    <row r="161" spans="1:20">
      <c r="A161" s="172"/>
      <c r="B161" s="172"/>
      <c r="C161" s="172"/>
      <c r="D161" s="172"/>
      <c r="E161" s="172"/>
      <c r="F161" s="173"/>
      <c r="G161" s="173"/>
      <c r="H161" s="173"/>
      <c r="K161" s="31"/>
      <c r="L161" s="31"/>
      <c r="M161" s="174"/>
      <c r="N161" s="174"/>
      <c r="O161" s="174"/>
      <c r="P161" s="174"/>
      <c r="Q161" s="174"/>
      <c r="R161" s="175"/>
      <c r="S161" s="175"/>
      <c r="T161" s="175"/>
    </row>
    <row r="162" spans="1:20">
      <c r="A162" s="172"/>
      <c r="B162" s="172"/>
      <c r="C162" s="172"/>
      <c r="D162" s="172"/>
      <c r="E162" s="172"/>
      <c r="F162" s="173"/>
      <c r="G162" s="173"/>
      <c r="H162" s="173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72"/>
      <c r="B163" s="172"/>
      <c r="C163" s="172"/>
      <c r="D163" s="172"/>
      <c r="E163" s="172"/>
      <c r="F163" s="173"/>
      <c r="G163" s="173"/>
      <c r="H163" s="173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72"/>
      <c r="B164" s="172"/>
      <c r="C164" s="172"/>
      <c r="D164" s="172"/>
      <c r="E164" s="172"/>
      <c r="F164" s="173"/>
      <c r="G164" s="173"/>
      <c r="H164" s="173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72"/>
      <c r="B165" s="172"/>
      <c r="C165" s="172"/>
      <c r="D165" s="172"/>
      <c r="E165" s="172"/>
      <c r="F165" s="173"/>
      <c r="G165" s="173"/>
      <c r="H165" s="173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72"/>
      <c r="B166" s="172"/>
      <c r="C166" s="172"/>
      <c r="D166" s="172"/>
      <c r="E166" s="172"/>
      <c r="F166" s="173"/>
      <c r="G166" s="173"/>
      <c r="H166" s="173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72"/>
      <c r="B167" s="172"/>
      <c r="C167" s="172"/>
      <c r="D167" s="172"/>
      <c r="E167" s="172"/>
      <c r="F167" s="173"/>
      <c r="G167" s="173"/>
      <c r="H167" s="173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72"/>
      <c r="B168" s="172"/>
      <c r="C168" s="172"/>
      <c r="D168" s="172"/>
      <c r="E168" s="172"/>
      <c r="F168" s="173"/>
      <c r="G168" s="173"/>
      <c r="H168" s="173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72"/>
      <c r="B169" s="172"/>
      <c r="C169" s="172"/>
      <c r="D169" s="172"/>
      <c r="E169" s="172"/>
      <c r="F169" s="173"/>
      <c r="G169" s="173"/>
      <c r="H169" s="173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72"/>
      <c r="B170" s="172"/>
      <c r="C170" s="172"/>
      <c r="D170" s="172"/>
      <c r="E170" s="172"/>
      <c r="F170" s="173"/>
      <c r="G170" s="173"/>
      <c r="H170" s="173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72"/>
      <c r="B171" s="172"/>
      <c r="C171" s="172"/>
      <c r="D171" s="172"/>
      <c r="E171" s="172"/>
      <c r="F171" s="173"/>
      <c r="G171" s="173"/>
      <c r="H171" s="173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72"/>
      <c r="B172" s="172"/>
      <c r="C172" s="172"/>
      <c r="D172" s="172"/>
      <c r="E172" s="172"/>
      <c r="F172" s="173"/>
      <c r="G172" s="173"/>
      <c r="H172" s="173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72"/>
      <c r="B173" s="172"/>
      <c r="C173" s="172"/>
      <c r="D173" s="172"/>
      <c r="E173" s="172"/>
      <c r="F173" s="173"/>
      <c r="G173" s="173"/>
      <c r="H173" s="173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72"/>
      <c r="B174" s="172"/>
      <c r="C174" s="172"/>
      <c r="D174" s="172"/>
      <c r="E174" s="172"/>
      <c r="F174" s="173"/>
      <c r="G174" s="173"/>
      <c r="H174" s="173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72"/>
      <c r="B175" s="172"/>
      <c r="C175" s="172"/>
      <c r="D175" s="172"/>
      <c r="E175" s="172"/>
      <c r="F175" s="173"/>
      <c r="G175" s="173"/>
      <c r="H175" s="173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72"/>
      <c r="B176" s="172"/>
      <c r="C176" s="172"/>
      <c r="D176" s="172"/>
      <c r="E176" s="172"/>
      <c r="F176" s="173"/>
      <c r="G176" s="173"/>
      <c r="H176" s="173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72"/>
      <c r="B177" s="172"/>
      <c r="C177" s="172"/>
      <c r="D177" s="172"/>
      <c r="E177" s="172"/>
      <c r="F177" s="173"/>
      <c r="G177" s="173"/>
      <c r="H177" s="173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72"/>
      <c r="B178" s="172"/>
      <c r="C178" s="172"/>
      <c r="D178" s="172"/>
      <c r="E178" s="172"/>
      <c r="F178" s="173"/>
      <c r="G178" s="173"/>
      <c r="H178" s="173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72"/>
      <c r="B179" s="172"/>
      <c r="C179" s="172"/>
      <c r="D179" s="172"/>
      <c r="E179" s="172"/>
      <c r="F179" s="173"/>
      <c r="G179" s="173"/>
      <c r="H179" s="173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72"/>
      <c r="B180" s="172"/>
      <c r="C180" s="172"/>
      <c r="D180" s="172"/>
      <c r="E180" s="172"/>
      <c r="F180" s="173"/>
      <c r="G180" s="173"/>
      <c r="H180" s="173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72"/>
      <c r="B181" s="172"/>
      <c r="C181" s="172"/>
      <c r="D181" s="172"/>
      <c r="E181" s="172"/>
      <c r="F181" s="173"/>
      <c r="G181" s="173"/>
      <c r="H181" s="173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72"/>
      <c r="B182" s="172"/>
      <c r="C182" s="172"/>
      <c r="D182" s="172"/>
      <c r="E182" s="172"/>
      <c r="F182" s="173"/>
      <c r="G182" s="173"/>
      <c r="H182" s="173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72"/>
      <c r="B183" s="172"/>
      <c r="C183" s="172"/>
      <c r="D183" s="172"/>
      <c r="E183" s="172"/>
      <c r="F183" s="173"/>
      <c r="G183" s="173"/>
      <c r="H183" s="173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72"/>
      <c r="B184" s="172"/>
      <c r="C184" s="172"/>
      <c r="D184" s="172"/>
      <c r="E184" s="172"/>
      <c r="F184" s="173"/>
      <c r="G184" s="173"/>
      <c r="H184" s="173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72"/>
      <c r="B185" s="172"/>
      <c r="C185" s="172"/>
      <c r="D185" s="172"/>
      <c r="E185" s="172"/>
      <c r="F185" s="173"/>
      <c r="G185" s="173"/>
      <c r="H185" s="173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72"/>
      <c r="B186" s="172"/>
      <c r="C186" s="172"/>
      <c r="D186" s="172"/>
      <c r="E186" s="172"/>
      <c r="F186" s="173"/>
      <c r="G186" s="173"/>
      <c r="H186" s="173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72"/>
      <c r="B187" s="172"/>
      <c r="C187" s="172"/>
      <c r="D187" s="172"/>
      <c r="E187" s="172"/>
      <c r="F187" s="173"/>
      <c r="G187" s="173"/>
      <c r="H187" s="173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72"/>
      <c r="B188" s="172"/>
      <c r="C188" s="172"/>
      <c r="D188" s="172"/>
      <c r="E188" s="172"/>
      <c r="F188" s="173"/>
      <c r="G188" s="173"/>
      <c r="H188" s="173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72"/>
      <c r="B189" s="172"/>
      <c r="C189" s="172"/>
      <c r="D189" s="172"/>
      <c r="E189" s="172"/>
      <c r="F189" s="173"/>
      <c r="G189" s="173"/>
      <c r="H189" s="173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72"/>
      <c r="B190" s="172"/>
      <c r="C190" s="172"/>
      <c r="D190" s="172"/>
      <c r="E190" s="172"/>
      <c r="F190" s="173"/>
      <c r="G190" s="173"/>
      <c r="H190" s="173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72"/>
      <c r="B191" s="172"/>
      <c r="C191" s="172"/>
      <c r="D191" s="172"/>
      <c r="E191" s="172"/>
      <c r="F191" s="173"/>
      <c r="G191" s="173"/>
      <c r="H191" s="173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72"/>
      <c r="B192" s="172"/>
      <c r="C192" s="172"/>
      <c r="D192" s="172"/>
      <c r="E192" s="172"/>
      <c r="F192" s="173"/>
      <c r="G192" s="173"/>
      <c r="H192" s="173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72"/>
      <c r="B193" s="172"/>
      <c r="C193" s="172"/>
      <c r="D193" s="172"/>
      <c r="E193" s="172"/>
      <c r="F193" s="173"/>
      <c r="G193" s="173"/>
      <c r="H193" s="173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72"/>
      <c r="B194" s="172"/>
      <c r="C194" s="172"/>
      <c r="D194" s="172"/>
      <c r="E194" s="172"/>
      <c r="F194" s="173"/>
      <c r="G194" s="173"/>
      <c r="H194" s="173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72"/>
      <c r="B195" s="172"/>
      <c r="C195" s="172"/>
      <c r="D195" s="172"/>
      <c r="E195" s="172"/>
      <c r="F195" s="173"/>
      <c r="G195" s="173"/>
      <c r="H195" s="173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72"/>
      <c r="B196" s="172"/>
      <c r="C196" s="172"/>
      <c r="D196" s="172"/>
      <c r="E196" s="172"/>
      <c r="F196" s="173"/>
      <c r="G196" s="173"/>
      <c r="H196" s="173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72"/>
      <c r="B197" s="172"/>
      <c r="C197" s="172"/>
      <c r="D197" s="172"/>
      <c r="E197" s="172"/>
      <c r="F197" s="173"/>
      <c r="G197" s="173"/>
      <c r="H197" s="173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72"/>
      <c r="B198" s="172"/>
      <c r="C198" s="172"/>
      <c r="D198" s="172"/>
      <c r="E198" s="172"/>
      <c r="F198" s="173"/>
      <c r="G198" s="173"/>
      <c r="H198" s="173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72"/>
      <c r="B199" s="172"/>
      <c r="C199" s="172"/>
      <c r="D199" s="172"/>
      <c r="E199" s="172"/>
      <c r="F199" s="173"/>
      <c r="G199" s="173"/>
      <c r="H199" s="173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72"/>
      <c r="B200" s="172"/>
      <c r="C200" s="172"/>
      <c r="D200" s="172"/>
      <c r="E200" s="172"/>
      <c r="F200" s="173"/>
      <c r="G200" s="173"/>
      <c r="H200" s="173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72"/>
      <c r="B201" s="172"/>
      <c r="C201" s="172"/>
      <c r="D201" s="172"/>
      <c r="E201" s="172"/>
      <c r="F201" s="173"/>
      <c r="G201" s="173"/>
      <c r="H201" s="173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BCDE8DDA-7254-4E79-8BD0-269F85A43ED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Existing System FOM OGC</vt:lpstr>
      <vt:lpstr>Summary</vt:lpstr>
      <vt:lpstr>Rate Impacts</vt:lpstr>
      <vt:lpstr>Financial Impact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s007506</cp:lastModifiedBy>
  <cp:lastPrinted>2019-12-04T22:58:53Z</cp:lastPrinted>
  <dcterms:created xsi:type="dcterms:W3CDTF">2013-05-17T13:28:27Z</dcterms:created>
  <dcterms:modified xsi:type="dcterms:W3CDTF">2020-05-21T19:56:28Z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f0551610-8ff1-42d0-99d3-d7360829bc55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  <property fmtid="{D5CDD505-2E9C-101B-9397-08002B2CF9AE}" pid="8" name="{A44787D4-0540-4523-9961-78E4036D8C6D}">
    <vt:lpwstr>{D372482E-02FB-4447-A259-DD8CADB697FC}</vt:lpwstr>
  </property>
</Properties>
</file>