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s Hartline\OneDrive - Navitas Utility Corporation\Documents\Thomas Hartline\Navitas\Utilities\Gasco\B&amp;W\"/>
    </mc:Choice>
  </mc:AlternateContent>
  <xr:revisionPtr revIDLastSave="784" documentId="8_{4685B43A-9DA4-49A7-A2AE-6D355DB537DA}" xr6:coauthVersionLast="44" xr6:coauthVersionMax="44" xr10:uidLastSave="{40DF3705-40A8-42F0-8E11-C6C184E3B5BF}"/>
  <workbookProtection workbookAlgorithmName="SHA-512" workbookHashValue="sEgxEes/6eXyQt0PAuhick/Gc/6MM7gYHMqVjCjHn42UZXi9Y/OoZyedt41NQ0AtppExckiXpk59NgkYm6bhNQ==" workbookSaltValue="s/bDFhxGRKlNDMwafXs/rw==" workbookSpinCount="100000" lockStructure="1"/>
  <bookViews>
    <workbookView xWindow="-109" yWindow="-109" windowWidth="18775" windowHeight="10067" xr2:uid="{9D3132D2-80E2-43DD-9C54-E31307226A53}"/>
  </bookViews>
  <sheets>
    <sheet name="Sheet1" sheetId="1" r:id="rId1"/>
  </sheets>
  <definedNames>
    <definedName name="_xlnm.Print_Area" localSheetId="0">Sheet1!$A$1:$BN$35</definedName>
    <definedName name="_xlnm.Print_Titles" localSheetId="0">Sheet1!$A:$D,Sheet1!$1:$1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9" i="1" l="1"/>
  <c r="AP11" i="1"/>
  <c r="AN11" i="1"/>
  <c r="AL11" i="1"/>
  <c r="AJ11" i="1"/>
  <c r="AH11" i="1"/>
  <c r="AF11" i="1"/>
  <c r="AD11" i="1"/>
  <c r="AB11" i="1"/>
  <c r="Z11" i="1"/>
  <c r="X11" i="1"/>
  <c r="V11" i="1"/>
  <c r="T11" i="1"/>
  <c r="R11" i="1"/>
  <c r="AN9" i="1"/>
  <c r="AL9" i="1"/>
  <c r="AJ9" i="1"/>
  <c r="AH9" i="1"/>
  <c r="AF9" i="1"/>
  <c r="AD9" i="1"/>
  <c r="AB9" i="1"/>
  <c r="Z9" i="1"/>
  <c r="X9" i="1"/>
  <c r="V9" i="1"/>
  <c r="T9" i="1"/>
  <c r="R9" i="1"/>
  <c r="P11" i="1"/>
  <c r="N11" i="1"/>
  <c r="L11" i="1"/>
  <c r="J11" i="1"/>
  <c r="H11" i="1"/>
  <c r="P9" i="1"/>
  <c r="N9" i="1"/>
  <c r="L9" i="1"/>
  <c r="J9" i="1"/>
  <c r="H9" i="1"/>
  <c r="F11" i="1"/>
  <c r="F9" i="1"/>
  <c r="F17" i="1" l="1"/>
  <c r="BJ10" i="1" l="1"/>
  <c r="BL10" i="1"/>
  <c r="BL5" i="1" l="1"/>
  <c r="BJ5" i="1"/>
  <c r="BH5" i="1"/>
  <c r="BL11" i="1" l="1"/>
  <c r="BL13" i="1" s="1"/>
  <c r="BL21" i="1" l="1"/>
  <c r="BL23" i="1" s="1"/>
  <c r="BJ11" i="1" l="1"/>
  <c r="BJ13" i="1" s="1"/>
  <c r="BJ21" i="1" l="1"/>
  <c r="BJ23" i="1" s="1"/>
  <c r="AZ16" i="1" l="1"/>
  <c r="AX16" i="1"/>
  <c r="AV16" i="1"/>
  <c r="AT16" i="1"/>
  <c r="AR16" i="1"/>
  <c r="AZ33" i="1" l="1"/>
  <c r="AZ11" i="1"/>
  <c r="AX33" i="1"/>
  <c r="AX11" i="1"/>
  <c r="AV33" i="1"/>
  <c r="AV11" i="1"/>
  <c r="AX13" i="1" l="1"/>
  <c r="AX21" i="1"/>
  <c r="AX23" i="1" s="1"/>
  <c r="AX24" i="1" s="1"/>
  <c r="AZ13" i="1"/>
  <c r="AZ21" i="1"/>
  <c r="AZ23" i="1" s="1"/>
  <c r="AV13" i="1"/>
  <c r="AV21" i="1"/>
  <c r="AV23" i="1" s="1"/>
  <c r="AT33" i="1"/>
  <c r="AR33" i="1"/>
  <c r="AT11" i="1"/>
  <c r="AT13" i="1" s="1"/>
  <c r="AZ24" i="1" l="1"/>
  <c r="AT21" i="1"/>
  <c r="AT23" i="1" s="1"/>
  <c r="AR11" i="1" l="1"/>
  <c r="AR13" i="1" l="1"/>
  <c r="AR21" i="1"/>
  <c r="AR23" i="1" s="1"/>
  <c r="AR24" i="1" s="1"/>
  <c r="AT24" i="1" s="1"/>
  <c r="AV24" i="1" s="1"/>
  <c r="BF5" i="1"/>
  <c r="BD5" i="1"/>
  <c r="BB5" i="1"/>
  <c r="BD16" i="1" l="1"/>
  <c r="BF16" i="1"/>
  <c r="BB16" i="1"/>
  <c r="BB33" i="1"/>
  <c r="BB11" i="1"/>
  <c r="BB13" i="1" s="1"/>
  <c r="BD33" i="1"/>
  <c r="BD11" i="1"/>
  <c r="BD13" i="1" s="1"/>
  <c r="BF11" i="1"/>
  <c r="BH11" i="1"/>
  <c r="AR48" i="1"/>
  <c r="AP48" i="1"/>
  <c r="AL48" i="1"/>
  <c r="AH48" i="1"/>
  <c r="AF48" i="1"/>
  <c r="AD48" i="1"/>
  <c r="AB48" i="1"/>
  <c r="Z48" i="1"/>
  <c r="V48" i="1"/>
  <c r="BD46" i="1"/>
  <c r="AT46" i="1"/>
  <c r="T46" i="1"/>
  <c r="T48" i="1" s="1"/>
  <c r="AN46" i="1"/>
  <c r="AN48" i="1" s="1"/>
  <c r="AJ46" i="1"/>
  <c r="AJ48" i="1" s="1"/>
  <c r="BB21" i="1" l="1"/>
  <c r="BB23" i="1" s="1"/>
  <c r="BB24" i="1" s="1"/>
  <c r="BD21" i="1"/>
  <c r="BD23" i="1" s="1"/>
  <c r="BF13" i="1"/>
  <c r="BF21" i="1"/>
  <c r="BF23" i="1" s="1"/>
  <c r="BH13" i="1"/>
  <c r="BH21" i="1"/>
  <c r="BH23" i="1" s="1"/>
  <c r="T49" i="1"/>
  <c r="H17" i="1"/>
  <c r="J17" i="1" s="1"/>
  <c r="L17" i="1" s="1"/>
  <c r="N17" i="1" s="1"/>
  <c r="P17" i="1" s="1"/>
  <c r="R17" i="1" s="1"/>
  <c r="T17" i="1" s="1"/>
  <c r="V17" i="1" s="1"/>
  <c r="X17" i="1" s="1"/>
  <c r="Z17" i="1" s="1"/>
  <c r="AB17" i="1" s="1"/>
  <c r="AD17" i="1" s="1"/>
  <c r="AF17" i="1" s="1"/>
  <c r="AH17" i="1" s="1"/>
  <c r="AJ17" i="1" s="1"/>
  <c r="AL17" i="1" s="1"/>
  <c r="AN17" i="1" s="1"/>
  <c r="AP17" i="1" s="1"/>
  <c r="T51" i="1" s="1"/>
  <c r="AP33" i="1"/>
  <c r="AN33" i="1"/>
  <c r="AL33" i="1"/>
  <c r="AJ33" i="1"/>
  <c r="AH33" i="1"/>
  <c r="AF33" i="1"/>
  <c r="AD33" i="1"/>
  <c r="AB33" i="1"/>
  <c r="Z33" i="1"/>
  <c r="X33" i="1"/>
  <c r="V33" i="1"/>
  <c r="T33" i="1"/>
  <c r="R33" i="1"/>
  <c r="P33" i="1"/>
  <c r="N33" i="1"/>
  <c r="L33" i="1"/>
  <c r="J33" i="1"/>
  <c r="H33" i="1"/>
  <c r="F33" i="1"/>
  <c r="F34" i="1" s="1"/>
  <c r="AP21" i="1"/>
  <c r="AP23" i="1" s="1"/>
  <c r="AN21" i="1"/>
  <c r="AN23" i="1" s="1"/>
  <c r="AL21" i="1"/>
  <c r="AL23" i="1" s="1"/>
  <c r="AJ21" i="1"/>
  <c r="AJ23" i="1" s="1"/>
  <c r="AH13" i="1"/>
  <c r="AH18" i="1" s="1"/>
  <c r="AF21" i="1"/>
  <c r="AF23" i="1" s="1"/>
  <c r="AD21" i="1"/>
  <c r="AD23" i="1" s="1"/>
  <c r="AB21" i="1"/>
  <c r="AB23" i="1" s="1"/>
  <c r="Z21" i="1"/>
  <c r="Z23" i="1" s="1"/>
  <c r="X13" i="1"/>
  <c r="X18" i="1" s="1"/>
  <c r="V21" i="1"/>
  <c r="V23" i="1" s="1"/>
  <c r="T21" i="1"/>
  <c r="T23" i="1" s="1"/>
  <c r="R13" i="1"/>
  <c r="R18" i="1" s="1"/>
  <c r="P21" i="1"/>
  <c r="P23" i="1" s="1"/>
  <c r="N21" i="1"/>
  <c r="N23" i="1" s="1"/>
  <c r="L21" i="1"/>
  <c r="L23" i="1" s="1"/>
  <c r="J21" i="1"/>
  <c r="J23" i="1" s="1"/>
  <c r="H13" i="1"/>
  <c r="H18" i="1" s="1"/>
  <c r="F21" i="1"/>
  <c r="F23" i="1" s="1"/>
  <c r="F24" i="1" s="1"/>
  <c r="T50" i="1" l="1"/>
  <c r="H34" i="1"/>
  <c r="J34" i="1" s="1"/>
  <c r="L34" i="1" s="1"/>
  <c r="N34" i="1" s="1"/>
  <c r="P34" i="1" s="1"/>
  <c r="R34" i="1" s="1"/>
  <c r="T34" i="1" s="1"/>
  <c r="V34" i="1" s="1"/>
  <c r="X34" i="1" s="1"/>
  <c r="Z34" i="1" s="1"/>
  <c r="AB34" i="1" s="1"/>
  <c r="AD34" i="1" s="1"/>
  <c r="AF34" i="1" s="1"/>
  <c r="AH34" i="1" s="1"/>
  <c r="AJ34" i="1" s="1"/>
  <c r="AL34" i="1" s="1"/>
  <c r="AN34" i="1" s="1"/>
  <c r="AP34" i="1" s="1"/>
  <c r="AR34" i="1" s="1"/>
  <c r="AT34" i="1" s="1"/>
  <c r="AV34" i="1" s="1"/>
  <c r="AX34" i="1" s="1"/>
  <c r="AZ34" i="1" s="1"/>
  <c r="BB34" i="1" s="1"/>
  <c r="BD34" i="1" s="1"/>
  <c r="H21" i="1"/>
  <c r="H23" i="1" s="1"/>
  <c r="H24" i="1" s="1"/>
  <c r="J24" i="1" s="1"/>
  <c r="L24" i="1" s="1"/>
  <c r="N24" i="1" s="1"/>
  <c r="P24" i="1" s="1"/>
  <c r="R21" i="1"/>
  <c r="R23" i="1" s="1"/>
  <c r="R26" i="1" s="1"/>
  <c r="X21" i="1"/>
  <c r="X23" i="1" s="1"/>
  <c r="X26" i="1" s="1"/>
  <c r="AH21" i="1"/>
  <c r="AH23" i="1" s="1"/>
  <c r="AH26" i="1" s="1"/>
  <c r="L13" i="1"/>
  <c r="T13" i="1"/>
  <c r="AB13" i="1"/>
  <c r="AJ13" i="1"/>
  <c r="N13" i="1"/>
  <c r="V13" i="1"/>
  <c r="AD13" i="1"/>
  <c r="AL13" i="1"/>
  <c r="P13" i="1"/>
  <c r="AF13" i="1"/>
  <c r="AN13" i="1"/>
  <c r="J13" i="1"/>
  <c r="Z13" i="1"/>
  <c r="AP13" i="1"/>
  <c r="F13" i="1"/>
  <c r="F18" i="1" s="1"/>
  <c r="F19" i="1" s="1"/>
  <c r="J26" i="1" l="1"/>
  <c r="J18" i="1"/>
  <c r="AL26" i="1"/>
  <c r="AL18" i="1"/>
  <c r="AJ26" i="1"/>
  <c r="AJ18" i="1"/>
  <c r="AN26" i="1"/>
  <c r="AN18" i="1"/>
  <c r="AD26" i="1"/>
  <c r="AD18" i="1"/>
  <c r="AB26" i="1"/>
  <c r="AB18" i="1"/>
  <c r="AP26" i="1"/>
  <c r="AP18" i="1"/>
  <c r="AF26" i="1"/>
  <c r="AF18" i="1"/>
  <c r="V26" i="1"/>
  <c r="V18" i="1"/>
  <c r="T26" i="1"/>
  <c r="T18" i="1"/>
  <c r="Z26" i="1"/>
  <c r="Z18" i="1"/>
  <c r="P26" i="1"/>
  <c r="P18" i="1"/>
  <c r="N26" i="1"/>
  <c r="N18" i="1"/>
  <c r="L26" i="1"/>
  <c r="L18" i="1"/>
  <c r="H19" i="1"/>
  <c r="H26" i="1"/>
  <c r="F14" i="1"/>
  <c r="F27" i="1" s="1"/>
  <c r="F26" i="1"/>
  <c r="R24" i="1"/>
  <c r="T24" i="1" s="1"/>
  <c r="V24" i="1" s="1"/>
  <c r="X24" i="1" s="1"/>
  <c r="Z24" i="1" s="1"/>
  <c r="AB24" i="1" s="1"/>
  <c r="AD24" i="1" s="1"/>
  <c r="AF24" i="1" s="1"/>
  <c r="AH24" i="1" s="1"/>
  <c r="AJ24" i="1" s="1"/>
  <c r="AL24" i="1" s="1"/>
  <c r="AN24" i="1" s="1"/>
  <c r="AP24" i="1" s="1"/>
  <c r="H14" i="1"/>
  <c r="J19" i="1" l="1"/>
  <c r="L19" i="1" s="1"/>
  <c r="N19" i="1" s="1"/>
  <c r="P19" i="1" s="1"/>
  <c r="R19" i="1" s="1"/>
  <c r="T19" i="1" s="1"/>
  <c r="V19" i="1" s="1"/>
  <c r="X19" i="1" s="1"/>
  <c r="Z19" i="1" s="1"/>
  <c r="AB19" i="1" s="1"/>
  <c r="AD19" i="1" s="1"/>
  <c r="AF19" i="1" s="1"/>
  <c r="AH19" i="1" s="1"/>
  <c r="AJ19" i="1" s="1"/>
  <c r="AL19" i="1" s="1"/>
  <c r="AN19" i="1" s="1"/>
  <c r="AP19" i="1" s="1"/>
  <c r="H27" i="1"/>
  <c r="J14" i="1"/>
  <c r="J27" i="1" s="1"/>
  <c r="L14" i="1" l="1"/>
  <c r="L27" i="1" s="1"/>
  <c r="N14" i="1" l="1"/>
  <c r="N27" i="1" s="1"/>
  <c r="P14" i="1" l="1"/>
  <c r="P27" i="1" s="1"/>
  <c r="R14" i="1" l="1"/>
  <c r="R27" i="1" s="1"/>
  <c r="T14" i="1" l="1"/>
  <c r="T27" i="1" s="1"/>
  <c r="V14" i="1" l="1"/>
  <c r="V27" i="1" s="1"/>
  <c r="X14" i="1" l="1"/>
  <c r="X27" i="1" s="1"/>
  <c r="Z14" i="1" l="1"/>
  <c r="Z27" i="1" s="1"/>
  <c r="AB14" i="1" l="1"/>
  <c r="AB27" i="1" s="1"/>
  <c r="AD14" i="1" l="1"/>
  <c r="AD27" i="1" s="1"/>
  <c r="AF14" i="1" l="1"/>
  <c r="AF27" i="1" s="1"/>
  <c r="AH14" i="1" l="1"/>
  <c r="AH27" i="1" s="1"/>
  <c r="AJ14" i="1" l="1"/>
  <c r="AJ27" i="1" s="1"/>
  <c r="AL14" i="1" l="1"/>
  <c r="AL27" i="1" s="1"/>
  <c r="AN14" i="1" l="1"/>
  <c r="AN27" i="1" s="1"/>
  <c r="AP14" i="1" l="1"/>
  <c r="AP27" i="1" s="1"/>
</calcChain>
</file>

<file path=xl/sharedStrings.xml><?xml version="1.0" encoding="utf-8"?>
<sst xmlns="http://schemas.openxmlformats.org/spreadsheetml/2006/main" count="74" uniqueCount="48">
  <si>
    <t>Gas from FWM (Sparta)</t>
  </si>
  <si>
    <t>Gas from East TN to KY</t>
  </si>
  <si>
    <t>FERC Tariff</t>
  </si>
  <si>
    <t>TRA pro rata share paid</t>
  </si>
  <si>
    <t>Amt in dispute</t>
  </si>
  <si>
    <t>Bal needing clarification</t>
  </si>
  <si>
    <t>Balance</t>
  </si>
  <si>
    <t>Undisputed FERC tariff</t>
  </si>
  <si>
    <t>Tariff available but not charged</t>
  </si>
  <si>
    <t>Foregone B&amp;W Tariff</t>
  </si>
  <si>
    <t>Cumulative</t>
  </si>
  <si>
    <t>FERC Tariff $/MCF</t>
  </si>
  <si>
    <t>Quantity in MCF</t>
  </si>
  <si>
    <t>KY customers sales</t>
  </si>
  <si>
    <t>TN customers sales</t>
  </si>
  <si>
    <t>KY transport pmts to B&amp;W</t>
  </si>
  <si>
    <t>Payments to B&amp;W</t>
  </si>
  <si>
    <t>Payment date</t>
  </si>
  <si>
    <t>APL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</si>
  <si>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</si>
  <si>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</si>
  <si>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</si>
  <si>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</si>
  <si>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</si>
  <si>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</si>
  <si>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</si>
  <si>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</si>
  <si>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</si>
  <si>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</si>
  <si>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</si>
  <si>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</si>
  <si>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Service month(s)</t>
  </si>
  <si>
    <t>Pre arrearage period</t>
  </si>
  <si>
    <t>Arrearage period payments</t>
  </si>
  <si>
    <t xml:space="preserve">Total arrearage period payments </t>
  </si>
  <si>
    <t>Less TN portion</t>
  </si>
  <si>
    <t>KY portion</t>
  </si>
  <si>
    <t>Payment amount</t>
  </si>
  <si>
    <t>Gas from East TN Pipeline (Petrol)</t>
  </si>
  <si>
    <t>Net</t>
  </si>
  <si>
    <t>Net Cumulative</t>
  </si>
  <si>
    <t>&lt;--------------- Case No. 2019-00241---------------&gt;</t>
  </si>
  <si>
    <t>&lt;--------------- Case No. 2019-00372---------------&gt;</t>
  </si>
  <si>
    <t>&lt;--------------- Case No. 2020-00012---------------&gt;</t>
  </si>
  <si>
    <t>&lt;--------------- Case No. 2019-00430</t>
  </si>
  <si>
    <t>Case No. 2019-00430 ---------&gt;</t>
  </si>
  <si>
    <t>MMBtu per MCF</t>
  </si>
  <si>
    <t>MCF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</si>
</sst>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"/>
    <numFmt numFmtId="166" formatCode="_(&quot;$&quot;* #,##0.00000_);_(&quot;$&quot;* \(#,##0.00000\);_(&quot;$&quot;* &quot;-&quot;??_);_(@_)"/>
    <numFmt numFmtId="168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0" xfId="0" applyNumberFormat="1"/>
    <xf numFmtId="44" fontId="0" fillId="0" borderId="0" xfId="0" applyNumberFormat="1"/>
    <xf numFmtId="0" fontId="0" fillId="0" borderId="0" xfId="0" applyAlignment="1">
      <alignment horizontal="right"/>
    </xf>
    <xf numFmtId="165" fontId="0" fillId="0" borderId="1" xfId="0" applyNumberFormat="1" applyBorder="1"/>
    <xf numFmtId="44" fontId="0" fillId="0" borderId="0" xfId="0" applyNumberFormat="1" applyBorder="1"/>
    <xf numFmtId="166" fontId="0" fillId="0" borderId="0" xfId="0" applyNumberFormat="1"/>
    <xf numFmtId="14" fontId="0" fillId="0" borderId="0" xfId="0" applyNumberFormat="1"/>
    <xf numFmtId="43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44" fontId="0" fillId="0" borderId="2" xfId="0" applyNumberFormat="1" applyBorder="1"/>
    <xf numFmtId="43" fontId="0" fillId="2" borderId="0" xfId="0" applyNumberFormat="1" applyFill="1"/>
    <xf numFmtId="43" fontId="0" fillId="2" borderId="3" xfId="0" applyNumberFormat="1" applyFill="1" applyBorder="1"/>
    <xf numFmtId="0" fontId="0" fillId="3" borderId="0" xfId="0" applyFill="1"/>
    <xf numFmtId="44" fontId="0" fillId="3" borderId="0" xfId="0" applyNumberFormat="1" applyFill="1"/>
    <xf numFmtId="3" fontId="0" fillId="0" borderId="0" xfId="0" applyNumberFormat="1" applyFill="1"/>
    <xf numFmtId="1" fontId="0" fillId="0" borderId="0" xfId="0" applyNumberFormat="1" applyFill="1"/>
    <xf numFmtId="44" fontId="0" fillId="4" borderId="0" xfId="0" applyNumberFormat="1" applyFill="1"/>
    <xf numFmtId="0" fontId="0" fillId="4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44" fontId="2" fillId="0" borderId="0" xfId="0" applyNumberFormat="1" applyFont="1" applyBorder="1"/>
    <xf numFmtId="44" fontId="2" fillId="0" borderId="0" xfId="0" applyNumberFormat="1" applyFont="1"/>
    <xf numFmtId="0" fontId="2" fillId="3" borderId="0" xfId="0" applyFont="1" applyFill="1"/>
    <xf numFmtId="43" fontId="2" fillId="0" borderId="0" xfId="1" applyNumberFormat="1" applyFont="1"/>
    <xf numFmtId="44" fontId="2" fillId="4" borderId="0" xfId="0" applyNumberFormat="1" applyFont="1" applyFill="1"/>
    <xf numFmtId="44" fontId="0" fillId="0" borderId="0" xfId="0" applyNumberFormat="1" applyFill="1"/>
    <xf numFmtId="0" fontId="3" fillId="0" borderId="0" xfId="0" applyFont="1"/>
    <xf numFmtId="0" fontId="3" fillId="0" borderId="0" xfId="0" applyFont="1" applyAlignment="1">
      <alignment horizontal="right"/>
    </xf>
    <xf numFmtId="44" fontId="3" fillId="0" borderId="0" xfId="0" applyNumberFormat="1" applyFont="1" applyBorder="1"/>
    <xf numFmtId="44" fontId="3" fillId="0" borderId="0" xfId="0" applyNumberFormat="1" applyFont="1"/>
    <xf numFmtId="0" fontId="0" fillId="0" borderId="4" xfId="0" applyBorder="1"/>
    <xf numFmtId="0" fontId="0" fillId="0" borderId="0" xfId="0" applyBorder="1"/>
    <xf numFmtId="0" fontId="0" fillId="3" borderId="5" xfId="0" applyFill="1" applyBorder="1"/>
    <xf numFmtId="1" fontId="0" fillId="0" borderId="0" xfId="0" applyNumberFormat="1" applyBorder="1"/>
    <xf numFmtId="1" fontId="0" fillId="3" borderId="5" xfId="0" applyNumberFormat="1" applyFill="1" applyBorder="1"/>
    <xf numFmtId="0" fontId="2" fillId="0" borderId="4" xfId="0" applyFont="1" applyBorder="1"/>
    <xf numFmtId="44" fontId="2" fillId="3" borderId="5" xfId="0" applyNumberFormat="1" applyFont="1" applyFill="1" applyBorder="1"/>
    <xf numFmtId="44" fontId="0" fillId="3" borderId="5" xfId="0" applyNumberFormat="1" applyFill="1" applyBorder="1"/>
    <xf numFmtId="0" fontId="3" fillId="0" borderId="4" xfId="0" applyFont="1" applyBorder="1"/>
    <xf numFmtId="44" fontId="3" fillId="3" borderId="5" xfId="0" applyNumberFormat="1" applyFont="1" applyFill="1" applyBorder="1"/>
    <xf numFmtId="0" fontId="3" fillId="0" borderId="0" xfId="0" applyFont="1" applyBorder="1"/>
    <xf numFmtId="0" fontId="3" fillId="3" borderId="5" xfId="0" applyFont="1" applyFill="1" applyBorder="1"/>
    <xf numFmtId="0" fontId="2" fillId="0" borderId="0" xfId="0" applyFont="1" applyBorder="1"/>
    <xf numFmtId="0" fontId="2" fillId="3" borderId="5" xfId="0" applyFont="1" applyFill="1" applyBorder="1"/>
    <xf numFmtId="0" fontId="0" fillId="0" borderId="6" xfId="0" applyBorder="1"/>
    <xf numFmtId="0" fontId="0" fillId="0" borderId="1" xfId="0" applyBorder="1"/>
    <xf numFmtId="44" fontId="0" fillId="0" borderId="1" xfId="0" applyNumberFormat="1" applyBorder="1"/>
    <xf numFmtId="0" fontId="2" fillId="3" borderId="7" xfId="0" applyFont="1" applyFill="1" applyBorder="1"/>
    <xf numFmtId="0" fontId="0" fillId="0" borderId="4" xfId="0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3" borderId="5" xfId="0" applyNumberForma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0" xfId="0" applyFill="1"/>
    <xf numFmtId="1" fontId="0" fillId="5" borderId="0" xfId="0" applyNumberFormat="1" applyFill="1"/>
    <xf numFmtId="44" fontId="2" fillId="5" borderId="0" xfId="0" applyNumberFormat="1" applyFont="1" applyFill="1"/>
    <xf numFmtId="44" fontId="0" fillId="5" borderId="0" xfId="0" applyNumberFormat="1" applyFill="1"/>
    <xf numFmtId="44" fontId="3" fillId="5" borderId="0" xfId="0" applyNumberFormat="1" applyFont="1" applyFill="1"/>
    <xf numFmtId="0" fontId="3" fillId="5" borderId="0" xfId="0" applyFont="1" applyFill="1"/>
    <xf numFmtId="0" fontId="2" fillId="5" borderId="0" xfId="0" applyFont="1" applyFill="1"/>
    <xf numFmtId="44" fontId="2" fillId="0" borderId="0" xfId="0" applyNumberFormat="1" applyFont="1" applyFill="1"/>
    <xf numFmtId="43" fontId="2" fillId="0" borderId="0" xfId="1" applyNumberFormat="1" applyFont="1" applyFill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/>
    <xf numFmtId="44" fontId="3" fillId="4" borderId="0" xfId="0" applyNumberFormat="1" applyFont="1" applyFill="1"/>
    <xf numFmtId="0" fontId="0" fillId="0" borderId="0" xfId="0" applyFill="1" applyBorder="1"/>
    <xf numFmtId="0" fontId="0" fillId="0" borderId="1" xfId="0" applyFill="1" applyBorder="1"/>
    <xf numFmtId="164" fontId="0" fillId="3" borderId="0" xfId="0" applyNumberFormat="1" applyFill="1" applyBorder="1" applyAlignment="1">
      <alignment horizontal="center"/>
    </xf>
    <xf numFmtId="168" fontId="0" fillId="0" borderId="0" xfId="0" applyNumberFormat="1" applyBorder="1"/>
    <xf numFmtId="168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CA1AE-AC88-4D26-B81C-1F639DB30287}">
  <dimension ref="A1:BN51"/>
  <sheetViews>
    <sheetView tabSelected="1" zoomScaleNormal="100" workbookViewId="0">
      <pane xSplit="4" ySplit="1" topLeftCell="AE20" activePane="bottomRight" state="frozen"/>
      <selection pane="topRight" activeCell="E1" sqref="E1"/>
      <selection pane="bottomLeft" activeCell="A2" sqref="A2"/>
      <selection pane="bottomRight" activeCell="AP11" sqref="AP11"/>
    </sheetView>
  </sheetViews>
  <sheetFormatPr defaultRowHeight="14.3" x14ac:dyDescent="0.25"/>
  <cols>
    <col min="1" max="2" width="1.75" customWidth="1"/>
    <col min="3" max="3" width="24.625" customWidth="1"/>
    <col min="4" max="5" width="1.75" customWidth="1"/>
    <col min="6" max="6" width="12.625" customWidth="1"/>
    <col min="7" max="7" width="0.875" customWidth="1"/>
    <col min="8" max="8" width="12.625" customWidth="1"/>
    <col min="9" max="9" width="0.875" customWidth="1"/>
    <col min="10" max="10" width="12.625" customWidth="1"/>
    <col min="11" max="11" width="0.875" customWidth="1"/>
    <col min="12" max="12" width="12.625" customWidth="1"/>
    <col min="13" max="13" width="0.875" customWidth="1"/>
    <col min="14" max="14" width="12.625" customWidth="1"/>
    <col min="15" max="15" width="0.875" customWidth="1"/>
    <col min="16" max="16" width="12.625" customWidth="1"/>
    <col min="17" max="17" width="0.875" customWidth="1"/>
    <col min="18" max="18" width="12.625" customWidth="1"/>
    <col min="19" max="19" width="0.875" customWidth="1"/>
    <col min="20" max="20" width="12.625" customWidth="1"/>
    <col min="21" max="21" width="0.875" customWidth="1"/>
    <col min="22" max="22" width="12.625" customWidth="1"/>
    <col min="23" max="23" width="0.875" customWidth="1"/>
    <col min="24" max="24" width="12.625" customWidth="1"/>
    <col min="25" max="25" width="0.875" customWidth="1"/>
    <col min="26" max="26" width="12.625" customWidth="1"/>
    <col min="27" max="27" width="0.875" customWidth="1"/>
    <col min="28" max="28" width="12.625" customWidth="1"/>
    <col min="29" max="29" width="0.875" customWidth="1"/>
    <col min="30" max="30" width="12.625" customWidth="1"/>
    <col min="31" max="31" width="0.875" customWidth="1"/>
    <col min="32" max="32" width="12.625" customWidth="1"/>
    <col min="33" max="33" width="0.875" customWidth="1"/>
    <col min="34" max="34" width="12.625" customWidth="1"/>
    <col min="35" max="35" width="0.875" customWidth="1"/>
    <col min="36" max="36" width="12.625" customWidth="1"/>
    <col min="37" max="37" width="0.875" customWidth="1"/>
    <col min="38" max="38" width="12.625" customWidth="1"/>
    <col min="39" max="39" width="0.875" customWidth="1"/>
    <col min="40" max="40" width="12.625" customWidth="1"/>
    <col min="41" max="41" width="0.875" customWidth="1"/>
    <col min="42" max="42" width="12.625" customWidth="1"/>
    <col min="43" max="43" width="0.875" customWidth="1"/>
    <col min="44" max="44" width="11.875" customWidth="1"/>
    <col min="45" max="45" width="0.875" customWidth="1"/>
    <col min="46" max="46" width="11.875" customWidth="1"/>
    <col min="47" max="47" width="0.875" customWidth="1"/>
    <col min="48" max="48" width="11.875" customWidth="1"/>
    <col min="49" max="49" width="0.875" customWidth="1"/>
    <col min="50" max="50" width="11.875" customWidth="1"/>
    <col min="51" max="51" width="0.875" customWidth="1"/>
    <col min="52" max="52" width="11.875" customWidth="1"/>
    <col min="53" max="53" width="0.875" customWidth="1"/>
    <col min="54" max="54" width="11.875" customWidth="1"/>
    <col min="55" max="55" width="0.875" customWidth="1"/>
    <col min="56" max="56" width="11.875" customWidth="1"/>
    <col min="57" max="57" width="0.875" customWidth="1"/>
    <col min="58" max="58" width="11.875" customWidth="1"/>
    <col min="59" max="59" width="0.875" customWidth="1"/>
    <col min="60" max="60" width="11.875" customWidth="1"/>
    <col min="61" max="61" width="0.875" customWidth="1"/>
    <col min="62" max="62" width="11.875" customWidth="1"/>
    <col min="63" max="63" width="0.875" customWidth="1"/>
    <col min="64" max="64" width="11.875" customWidth="1"/>
    <col min="65" max="65" width="0.875" customWidth="1"/>
    <col min="66" max="66" width="11.875" customWidth="1"/>
  </cols>
  <sheetData>
    <row r="1" spans="1:66" s="1" customFormat="1" x14ac:dyDescent="0.25">
      <c r="D1" s="72"/>
      <c r="E1" s="72"/>
      <c r="F1" s="3">
        <v>42947</v>
      </c>
      <c r="G1" s="56"/>
      <c r="H1" s="3">
        <v>42978</v>
      </c>
      <c r="I1" s="56"/>
      <c r="J1" s="3">
        <v>43008</v>
      </c>
      <c r="K1" s="56"/>
      <c r="L1" s="3">
        <v>43039</v>
      </c>
      <c r="M1" s="56"/>
      <c r="N1" s="3">
        <v>43069</v>
      </c>
      <c r="O1" s="56"/>
      <c r="P1" s="3">
        <v>43100</v>
      </c>
      <c r="Q1" s="56"/>
      <c r="R1" s="3">
        <v>43131</v>
      </c>
      <c r="S1" s="56"/>
      <c r="T1" s="3">
        <v>43159</v>
      </c>
      <c r="U1" s="56"/>
      <c r="V1" s="3">
        <v>43190</v>
      </c>
      <c r="W1" s="56"/>
      <c r="X1" s="3">
        <v>43220</v>
      </c>
      <c r="Y1" s="56"/>
      <c r="Z1" s="3">
        <v>43250</v>
      </c>
      <c r="AA1" s="56"/>
      <c r="AB1" s="3">
        <v>43281</v>
      </c>
      <c r="AC1" s="56"/>
      <c r="AD1" s="3">
        <v>43312</v>
      </c>
      <c r="AE1" s="56"/>
      <c r="AF1" s="3">
        <v>43343</v>
      </c>
      <c r="AG1" s="56"/>
      <c r="AH1" s="3">
        <v>43373</v>
      </c>
      <c r="AI1" s="56"/>
      <c r="AJ1" s="3">
        <v>43404</v>
      </c>
      <c r="AK1" s="56"/>
      <c r="AL1" s="3">
        <v>43434</v>
      </c>
      <c r="AM1" s="56"/>
      <c r="AN1" s="3">
        <v>43465</v>
      </c>
      <c r="AO1" s="56"/>
      <c r="AP1" s="3">
        <v>43496</v>
      </c>
      <c r="AQ1" s="74"/>
      <c r="AR1" s="3">
        <v>43524</v>
      </c>
      <c r="AS1" s="2"/>
      <c r="AT1" s="3">
        <v>43555</v>
      </c>
      <c r="AU1" s="2"/>
      <c r="AV1" s="3">
        <v>43585</v>
      </c>
      <c r="AW1" s="59"/>
      <c r="AX1" s="3">
        <v>43616</v>
      </c>
      <c r="AY1" s="2"/>
      <c r="AZ1" s="3">
        <v>43646</v>
      </c>
      <c r="BA1" s="2"/>
      <c r="BB1" s="3">
        <v>43677</v>
      </c>
      <c r="BC1" s="59"/>
      <c r="BD1" s="3">
        <v>43708</v>
      </c>
      <c r="BE1" s="2"/>
      <c r="BF1" s="3">
        <v>43738</v>
      </c>
      <c r="BG1" s="2"/>
      <c r="BH1" s="3">
        <v>43769</v>
      </c>
      <c r="BI1" s="59"/>
      <c r="BJ1" s="3">
        <v>43799</v>
      </c>
      <c r="BK1" s="2"/>
      <c r="BL1" s="3">
        <v>43830</v>
      </c>
      <c r="BM1" s="2"/>
      <c r="BN1" s="3">
        <v>43861</v>
      </c>
    </row>
    <row r="2" spans="1:66" s="1" customFormat="1" x14ac:dyDescent="0.25">
      <c r="D2" s="72"/>
      <c r="E2" s="7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74"/>
      <c r="AR2" s="56"/>
      <c r="AS2" s="2"/>
      <c r="AT2" s="56"/>
      <c r="AU2" s="2"/>
      <c r="AV2" s="56"/>
      <c r="AW2" s="59"/>
      <c r="AX2" s="56"/>
      <c r="AY2" s="2"/>
      <c r="AZ2" s="56"/>
      <c r="BA2" s="2"/>
      <c r="BB2" s="56"/>
      <c r="BC2" s="59"/>
      <c r="BD2" s="56"/>
      <c r="BE2" s="2"/>
      <c r="BF2" s="56"/>
      <c r="BG2" s="2"/>
      <c r="BH2" s="56"/>
      <c r="BI2" s="59"/>
      <c r="BJ2" s="56"/>
      <c r="BK2" s="2"/>
      <c r="BL2" s="56"/>
      <c r="BM2" s="2"/>
      <c r="BN2" s="56"/>
    </row>
    <row r="3" spans="1:66" s="1" customFormat="1" x14ac:dyDescent="0.25">
      <c r="E3" s="55"/>
      <c r="F3" s="70" t="s">
        <v>44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7" t="s">
        <v>45</v>
      </c>
      <c r="AQ3" s="58"/>
      <c r="AS3" s="2"/>
      <c r="AT3" s="69" t="s">
        <v>41</v>
      </c>
      <c r="AU3" s="2"/>
      <c r="AV3" s="56"/>
      <c r="AW3" s="59"/>
      <c r="AX3" s="56"/>
      <c r="AY3" s="2"/>
      <c r="AZ3" s="69" t="s">
        <v>42</v>
      </c>
      <c r="BA3" s="2"/>
      <c r="BB3" s="56"/>
      <c r="BC3" s="59"/>
      <c r="BD3" s="56"/>
      <c r="BE3" s="2"/>
      <c r="BF3" s="69" t="s">
        <v>43</v>
      </c>
      <c r="BG3" s="2"/>
      <c r="BH3" s="56"/>
      <c r="BI3" s="59"/>
      <c r="BJ3" s="56"/>
      <c r="BK3" s="2"/>
      <c r="BL3" s="56"/>
      <c r="BM3" s="2"/>
    </row>
    <row r="4" spans="1:66" x14ac:dyDescent="0.25">
      <c r="A4" t="s">
        <v>12</v>
      </c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9"/>
      <c r="AW4" s="60"/>
      <c r="BC4" s="60"/>
      <c r="BI4" s="60"/>
    </row>
    <row r="5" spans="1:66" ht="14.95" x14ac:dyDescent="0.25">
      <c r="B5" t="s">
        <v>13</v>
      </c>
      <c r="E5" s="37"/>
      <c r="F5" s="40">
        <v>2704</v>
      </c>
      <c r="G5" s="40"/>
      <c r="H5" s="40">
        <v>4983</v>
      </c>
      <c r="I5" s="40"/>
      <c r="J5" s="40">
        <v>6437</v>
      </c>
      <c r="K5" s="40"/>
      <c r="L5" s="40">
        <v>6306</v>
      </c>
      <c r="M5" s="40"/>
      <c r="N5" s="40">
        <v>10869</v>
      </c>
      <c r="O5" s="40"/>
      <c r="P5" s="40">
        <v>12716</v>
      </c>
      <c r="Q5" s="40"/>
      <c r="R5" s="40">
        <v>12306</v>
      </c>
      <c r="S5" s="40"/>
      <c r="T5" s="40">
        <v>12391</v>
      </c>
      <c r="U5" s="40"/>
      <c r="V5" s="40">
        <v>13164</v>
      </c>
      <c r="W5" s="40"/>
      <c r="X5" s="40">
        <v>13164.1</v>
      </c>
      <c r="Y5" s="40"/>
      <c r="Z5" s="40">
        <v>6961</v>
      </c>
      <c r="AA5" s="40"/>
      <c r="AB5" s="40">
        <v>6678</v>
      </c>
      <c r="AC5" s="40"/>
      <c r="AD5" s="40">
        <v>5672</v>
      </c>
      <c r="AE5" s="40"/>
      <c r="AF5" s="40">
        <v>6855</v>
      </c>
      <c r="AG5" s="40"/>
      <c r="AH5" s="40">
        <v>6082.8</v>
      </c>
      <c r="AI5" s="40"/>
      <c r="AJ5" s="40">
        <v>7301.3</v>
      </c>
      <c r="AK5" s="40"/>
      <c r="AL5" s="40">
        <v>13375.6</v>
      </c>
      <c r="AM5" s="40"/>
      <c r="AN5" s="40">
        <v>13910</v>
      </c>
      <c r="AO5" s="40"/>
      <c r="AP5" s="40">
        <v>12228</v>
      </c>
      <c r="AQ5" s="41"/>
      <c r="AR5" s="21">
        <v>14660</v>
      </c>
      <c r="AS5" s="22"/>
      <c r="AT5" s="21">
        <v>12783</v>
      </c>
      <c r="AU5" s="22"/>
      <c r="AV5" s="21">
        <v>9302</v>
      </c>
      <c r="AW5" s="61"/>
      <c r="AX5" s="21">
        <v>9488</v>
      </c>
      <c r="AY5" s="22"/>
      <c r="AZ5" s="21">
        <v>6501</v>
      </c>
      <c r="BA5" s="22"/>
      <c r="BB5" s="21">
        <f>62889/10</f>
        <v>6288.9</v>
      </c>
      <c r="BC5" s="61"/>
      <c r="BD5" s="21">
        <f>69253/10</f>
        <v>6925.3</v>
      </c>
      <c r="BE5" s="22"/>
      <c r="BF5" s="21">
        <f>46291/10</f>
        <v>4629.1000000000004</v>
      </c>
      <c r="BG5" s="22"/>
      <c r="BH5" s="21">
        <f>56696/10</f>
        <v>5669.6</v>
      </c>
      <c r="BI5" s="61"/>
      <c r="BJ5" s="21">
        <f>114762/10</f>
        <v>11476.2</v>
      </c>
      <c r="BK5" s="4"/>
      <c r="BL5" s="21">
        <f>110608/10</f>
        <v>11060.8</v>
      </c>
      <c r="BM5" s="4"/>
    </row>
    <row r="6" spans="1:66" ht="14.95" x14ac:dyDescent="0.25">
      <c r="E6" s="37"/>
      <c r="F6" s="40"/>
      <c r="G6" s="38"/>
      <c r="H6" s="40"/>
      <c r="I6" s="38"/>
      <c r="J6" s="40"/>
      <c r="K6" s="38"/>
      <c r="L6" s="40"/>
      <c r="M6" s="38"/>
      <c r="N6" s="40"/>
      <c r="O6" s="38"/>
      <c r="P6" s="40"/>
      <c r="Q6" s="38"/>
      <c r="R6" s="40"/>
      <c r="S6" s="38"/>
      <c r="T6" s="40"/>
      <c r="U6" s="38"/>
      <c r="V6" s="40"/>
      <c r="W6" s="38"/>
      <c r="X6" s="40"/>
      <c r="Y6" s="38"/>
      <c r="Z6" s="40"/>
      <c r="AA6" s="38"/>
      <c r="AB6" s="40"/>
      <c r="AC6" s="38"/>
      <c r="AD6" s="40"/>
      <c r="AE6" s="38"/>
      <c r="AF6" s="40"/>
      <c r="AG6" s="38"/>
      <c r="AH6" s="40"/>
      <c r="AI6" s="38"/>
      <c r="AJ6" s="40"/>
      <c r="AK6" s="38"/>
      <c r="AL6" s="40"/>
      <c r="AM6" s="38"/>
      <c r="AN6" s="40"/>
      <c r="AO6" s="38"/>
      <c r="AP6" s="40"/>
      <c r="AQ6" s="39"/>
      <c r="AR6" s="40"/>
      <c r="AT6" s="40"/>
      <c r="AV6" s="40"/>
      <c r="AW6" s="60"/>
      <c r="AX6" s="40"/>
      <c r="AZ6" s="40"/>
      <c r="BB6" s="40"/>
      <c r="BC6" s="60"/>
      <c r="BD6" s="40"/>
      <c r="BF6" s="40"/>
      <c r="BH6" s="40"/>
      <c r="BI6" s="60"/>
      <c r="BJ6" s="40"/>
      <c r="BL6" s="40"/>
      <c r="BN6" s="4"/>
    </row>
    <row r="7" spans="1:66" x14ac:dyDescent="0.25">
      <c r="B7" t="s">
        <v>38</v>
      </c>
      <c r="E7" s="37"/>
      <c r="F7" s="40">
        <v>835</v>
      </c>
      <c r="G7" s="40"/>
      <c r="H7" s="40">
        <v>5371</v>
      </c>
      <c r="I7" s="40"/>
      <c r="J7" s="40">
        <v>4577</v>
      </c>
      <c r="K7" s="40"/>
      <c r="L7" s="40">
        <v>8775</v>
      </c>
      <c r="M7" s="40"/>
      <c r="N7" s="40">
        <v>8233</v>
      </c>
      <c r="O7" s="40"/>
      <c r="P7" s="40">
        <v>12107</v>
      </c>
      <c r="Q7" s="40"/>
      <c r="R7" s="40">
        <v>14902</v>
      </c>
      <c r="S7" s="40"/>
      <c r="T7" s="40">
        <v>10526</v>
      </c>
      <c r="U7" s="40"/>
      <c r="V7" s="40">
        <v>13840</v>
      </c>
      <c r="W7" s="40"/>
      <c r="X7" s="40">
        <v>9082</v>
      </c>
      <c r="Y7" s="40"/>
      <c r="Z7" s="40">
        <v>3934</v>
      </c>
      <c r="AA7" s="40"/>
      <c r="AB7" s="40">
        <v>1794</v>
      </c>
      <c r="AC7" s="40"/>
      <c r="AD7" s="40">
        <v>2667</v>
      </c>
      <c r="AE7" s="40"/>
      <c r="AF7" s="40">
        <v>1258</v>
      </c>
      <c r="AG7" s="40"/>
      <c r="AH7" s="40">
        <v>1591</v>
      </c>
      <c r="AI7" s="40"/>
      <c r="AJ7" s="40">
        <v>5119</v>
      </c>
      <c r="AK7" s="40"/>
      <c r="AL7" s="40">
        <v>10934</v>
      </c>
      <c r="AM7" s="40"/>
      <c r="AN7" s="40">
        <v>12501</v>
      </c>
      <c r="AO7" s="40"/>
      <c r="AP7" s="40">
        <v>12699</v>
      </c>
      <c r="AQ7" s="41"/>
      <c r="AR7">
        <v>10916</v>
      </c>
      <c r="AS7" s="4"/>
      <c r="AT7">
        <v>10720</v>
      </c>
      <c r="AU7" s="4"/>
      <c r="AV7">
        <v>5356</v>
      </c>
      <c r="AW7" s="61"/>
      <c r="AX7">
        <v>3382</v>
      </c>
      <c r="AY7" s="4"/>
      <c r="AZ7">
        <v>2219</v>
      </c>
      <c r="BA7" s="4"/>
      <c r="BB7">
        <v>2880</v>
      </c>
      <c r="BC7" s="61"/>
      <c r="BD7">
        <v>2876</v>
      </c>
      <c r="BE7" s="4"/>
      <c r="BF7">
        <v>2173</v>
      </c>
      <c r="BG7" s="4"/>
      <c r="BH7">
        <v>5302</v>
      </c>
      <c r="BI7" s="61"/>
      <c r="BJ7">
        <v>9221</v>
      </c>
      <c r="BK7" s="4"/>
      <c r="BL7">
        <v>8615</v>
      </c>
      <c r="BM7" s="4"/>
    </row>
    <row r="8" spans="1:66" x14ac:dyDescent="0.25">
      <c r="C8" t="s">
        <v>46</v>
      </c>
      <c r="E8" s="37"/>
      <c r="F8" s="75">
        <v>1.0581542351453856</v>
      </c>
      <c r="G8" s="76"/>
      <c r="H8" s="75">
        <v>1.0642107429512246</v>
      </c>
      <c r="I8" s="76"/>
      <c r="J8" s="75">
        <v>1.0656257623810685</v>
      </c>
      <c r="K8" s="76"/>
      <c r="L8" s="75">
        <v>1.0628329297820822</v>
      </c>
      <c r="M8" s="75"/>
      <c r="N8" s="75">
        <v>1.062209602478059</v>
      </c>
      <c r="O8" s="75"/>
      <c r="P8" s="75">
        <v>1.0614583333333334</v>
      </c>
      <c r="Q8" s="40"/>
      <c r="R8" s="75">
        <v>1.0538265666996747</v>
      </c>
      <c r="S8" s="76"/>
      <c r="T8" s="75">
        <v>1.0585336417580207</v>
      </c>
      <c r="U8" s="76"/>
      <c r="V8" s="75">
        <v>1.0579023756779466</v>
      </c>
      <c r="W8" s="76"/>
      <c r="X8" s="75">
        <v>1.0616318431189449</v>
      </c>
      <c r="Y8" s="76"/>
      <c r="Z8" s="75">
        <v>1.0612520237452778</v>
      </c>
      <c r="AA8" s="76"/>
      <c r="AB8" s="75">
        <v>1.0580000000000001</v>
      </c>
      <c r="AC8" s="76"/>
      <c r="AD8" s="75">
        <v>1.0564387917329094</v>
      </c>
      <c r="AE8" s="76"/>
      <c r="AF8" s="75">
        <v>1.0571428571428572</v>
      </c>
      <c r="AG8" s="76"/>
      <c r="AH8" s="75">
        <v>1.0656396517079705</v>
      </c>
      <c r="AI8" s="76"/>
      <c r="AJ8" s="75">
        <v>1.0682387312186978</v>
      </c>
      <c r="AK8" s="76"/>
      <c r="AL8" s="75">
        <v>1.0656984111511842</v>
      </c>
      <c r="AM8" s="75"/>
      <c r="AN8" s="75">
        <v>1.0596015260703688</v>
      </c>
      <c r="AO8" s="40"/>
      <c r="AP8" s="75">
        <v>1.0640241347523673</v>
      </c>
      <c r="AQ8" s="41"/>
      <c r="AS8" s="4"/>
      <c r="AU8" s="4"/>
      <c r="AW8" s="61"/>
      <c r="AY8" s="4"/>
      <c r="BA8" s="4"/>
      <c r="BC8" s="61"/>
      <c r="BE8" s="4"/>
      <c r="BG8" s="4"/>
      <c r="BI8" s="61"/>
      <c r="BK8" s="4"/>
      <c r="BM8" s="4"/>
    </row>
    <row r="9" spans="1:66" x14ac:dyDescent="0.25">
      <c r="C9" t="s">
        <v>47</v>
      </c>
      <c r="E9" s="37"/>
      <c r="F9" s="40">
        <f>F7/F8</f>
        <v>789.10991636798087</v>
      </c>
      <c r="G9" s="40"/>
      <c r="H9" s="40">
        <f>H7/H8</f>
        <v>5046.9327016051047</v>
      </c>
      <c r="I9" s="40"/>
      <c r="J9" s="40">
        <f>J7/J8</f>
        <v>4295.1288919413919</v>
      </c>
      <c r="K9" s="40"/>
      <c r="L9" s="40">
        <f>L7/L8</f>
        <v>8256.2364734024377</v>
      </c>
      <c r="M9" s="40"/>
      <c r="N9" s="40">
        <f>N7/N8</f>
        <v>7750.8243013365727</v>
      </c>
      <c r="O9" s="40"/>
      <c r="P9" s="40">
        <f>P7/P8</f>
        <v>11406.005888125612</v>
      </c>
      <c r="Q9" s="40"/>
      <c r="R9" s="40">
        <f>R7/R8</f>
        <v>14140.846768239478</v>
      </c>
      <c r="S9" s="40"/>
      <c r="T9" s="40">
        <f>T7/T8</f>
        <v>9943.9447030878873</v>
      </c>
      <c r="U9" s="40"/>
      <c r="V9" s="40">
        <f>V7/V8</f>
        <v>13082.492598743593</v>
      </c>
      <c r="W9" s="40"/>
      <c r="X9" s="40">
        <f>X7/X8</f>
        <v>8554.7547003848267</v>
      </c>
      <c r="Y9" s="40"/>
      <c r="Z9" s="40">
        <f>Z7/Z8</f>
        <v>3706.9422832443429</v>
      </c>
      <c r="AA9" s="40"/>
      <c r="AB9" s="40">
        <f>AB7/AB8</f>
        <v>1695.6521739130435</v>
      </c>
      <c r="AC9" s="40"/>
      <c r="AD9" s="40">
        <f>AD7/AD8</f>
        <v>2524.5191873589165</v>
      </c>
      <c r="AE9" s="40"/>
      <c r="AF9" s="40">
        <f>AF7/AF8</f>
        <v>1190</v>
      </c>
      <c r="AG9" s="40"/>
      <c r="AH9" s="40">
        <f>AH7/AH8</f>
        <v>1493</v>
      </c>
      <c r="AI9" s="40"/>
      <c r="AJ9" s="40">
        <f>AJ7/AJ8</f>
        <v>4792</v>
      </c>
      <c r="AK9" s="40"/>
      <c r="AL9" s="40">
        <f>AL7/AL8</f>
        <v>10259.938351779019</v>
      </c>
      <c r="AM9" s="40"/>
      <c r="AN9" s="40">
        <f>AN7/AN8</f>
        <v>11797.831253000481</v>
      </c>
      <c r="AO9" s="40"/>
      <c r="AP9" s="40">
        <f>AP7/AP8</f>
        <v>11934.879656611798</v>
      </c>
      <c r="AQ9" s="41"/>
      <c r="AS9" s="4"/>
      <c r="AU9" s="4"/>
      <c r="AW9" s="61"/>
      <c r="AY9" s="4"/>
      <c r="BA9" s="4"/>
      <c r="BC9" s="61"/>
      <c r="BE9" s="4"/>
      <c r="BG9" s="4"/>
      <c r="BI9" s="61"/>
      <c r="BK9" s="4"/>
      <c r="BM9" s="4"/>
    </row>
    <row r="10" spans="1:66" x14ac:dyDescent="0.25">
      <c r="B10" t="s">
        <v>14</v>
      </c>
      <c r="E10" s="37"/>
      <c r="F10" s="40">
        <v>212.3</v>
      </c>
      <c r="G10" s="40"/>
      <c r="H10" s="40">
        <v>177.1</v>
      </c>
      <c r="I10" s="40"/>
      <c r="J10" s="40">
        <v>288.7</v>
      </c>
      <c r="K10" s="40"/>
      <c r="L10" s="40">
        <v>725.4</v>
      </c>
      <c r="M10" s="40"/>
      <c r="N10" s="40">
        <v>960.4</v>
      </c>
      <c r="O10" s="40"/>
      <c r="P10" s="40">
        <v>2023.2</v>
      </c>
      <c r="Q10" s="40"/>
      <c r="R10" s="40">
        <v>3942.6</v>
      </c>
      <c r="S10" s="40"/>
      <c r="T10" s="40">
        <v>1690</v>
      </c>
      <c r="U10" s="40"/>
      <c r="V10" s="40">
        <v>1922.1</v>
      </c>
      <c r="W10" s="40"/>
      <c r="X10" s="40">
        <v>812.8</v>
      </c>
      <c r="Y10" s="40"/>
      <c r="Z10" s="40">
        <v>247.2</v>
      </c>
      <c r="AA10" s="40"/>
      <c r="AB10" s="40">
        <v>130</v>
      </c>
      <c r="AC10" s="40"/>
      <c r="AD10" s="40">
        <v>127.4</v>
      </c>
      <c r="AE10" s="40"/>
      <c r="AF10" s="40">
        <v>122.3</v>
      </c>
      <c r="AG10" s="40"/>
      <c r="AH10" s="40">
        <v>133</v>
      </c>
      <c r="AI10" s="40"/>
      <c r="AJ10" s="40">
        <v>414.2</v>
      </c>
      <c r="AK10" s="40"/>
      <c r="AL10" s="40">
        <v>1153.5999999999999</v>
      </c>
      <c r="AM10" s="40"/>
      <c r="AN10" s="40">
        <v>2057.1999999999998</v>
      </c>
      <c r="AO10" s="40"/>
      <c r="AP10" s="40">
        <v>2459.6</v>
      </c>
      <c r="AQ10" s="41"/>
      <c r="AR10">
        <v>1841.4</v>
      </c>
      <c r="AS10" s="4"/>
      <c r="AT10">
        <v>1746.3</v>
      </c>
      <c r="AU10" s="4"/>
      <c r="AV10">
        <v>810.1</v>
      </c>
      <c r="AW10" s="61"/>
      <c r="AX10">
        <v>111.5</v>
      </c>
      <c r="AY10" s="4"/>
      <c r="AZ10">
        <v>170</v>
      </c>
      <c r="BA10" s="4"/>
      <c r="BB10">
        <v>78.5</v>
      </c>
      <c r="BC10" s="61"/>
      <c r="BD10">
        <v>99.1</v>
      </c>
      <c r="BE10" s="4"/>
      <c r="BF10">
        <v>122.4</v>
      </c>
      <c r="BG10" s="4"/>
      <c r="BH10">
        <v>537.70000000000005</v>
      </c>
      <c r="BI10" s="61"/>
      <c r="BJ10">
        <f>(682+675+688)/10</f>
        <v>204.5</v>
      </c>
      <c r="BK10" s="4"/>
      <c r="BL10">
        <f>(4348+8798+6581)/10</f>
        <v>1972.7</v>
      </c>
      <c r="BM10" s="4"/>
    </row>
    <row r="11" spans="1:66" ht="14.95" x14ac:dyDescent="0.25">
      <c r="C11" t="s">
        <v>1</v>
      </c>
      <c r="E11" s="37"/>
      <c r="F11" s="40">
        <f>IF((F9-F10)&gt;F5,F5,F9-F10)</f>
        <v>576.8099163679808</v>
      </c>
      <c r="G11" s="40"/>
      <c r="H11" s="40">
        <f>IF((H9-H10)&gt;H5,H5,H9-H10)</f>
        <v>4869.8327016051044</v>
      </c>
      <c r="I11" s="40"/>
      <c r="J11" s="40">
        <f>IF((J9-J10)&gt;J5,J5,J9-J10)</f>
        <v>4006.4288919413921</v>
      </c>
      <c r="K11" s="40"/>
      <c r="L11" s="40">
        <f>IF((L9-L10)&gt;L5,L5,L9-L10)</f>
        <v>6306</v>
      </c>
      <c r="M11" s="40"/>
      <c r="N11" s="40">
        <f>IF((N9-N10)&gt;N5,N5,N9-N10)</f>
        <v>6790.4243013365731</v>
      </c>
      <c r="O11" s="40"/>
      <c r="P11" s="40">
        <f>IF((P9-P10)&gt;P5,P5,P9-P10)</f>
        <v>9382.8058881256111</v>
      </c>
      <c r="Q11" s="40"/>
      <c r="R11" s="40">
        <f>IF((R9-R10)&gt;R5,R5,R9-R10)</f>
        <v>10198.246768239478</v>
      </c>
      <c r="S11" s="40"/>
      <c r="T11" s="40">
        <f>IF((T9-T10)&gt;T5,T5,T9-T10)</f>
        <v>8253.9447030878873</v>
      </c>
      <c r="U11" s="40"/>
      <c r="V11" s="40">
        <f>IF((V9-V10)&gt;V5,V5,V9-V10)</f>
        <v>11160.392598743592</v>
      </c>
      <c r="W11" s="40"/>
      <c r="X11" s="40">
        <f>IF((X9-X10)&gt;X5,X5,X9-X10)</f>
        <v>7741.9547003848265</v>
      </c>
      <c r="Y11" s="40"/>
      <c r="Z11" s="40">
        <f>IF((Z9-Z10)&gt;Z5,Z5,Z9-Z10)</f>
        <v>3459.7422832443431</v>
      </c>
      <c r="AA11" s="40"/>
      <c r="AB11" s="40">
        <f>IF((AB9-AB10)&gt;AB5,AB5,AB9-AB10)</f>
        <v>1565.6521739130435</v>
      </c>
      <c r="AC11" s="40"/>
      <c r="AD11" s="40">
        <f>IF((AD9-AD10)&gt;AD5,AD5,AD9-AD10)</f>
        <v>2397.1191873589164</v>
      </c>
      <c r="AE11" s="40"/>
      <c r="AF11" s="40">
        <f>IF((AF9-AF10)&gt;AF5,AF5,AF9-AF10)</f>
        <v>1067.7</v>
      </c>
      <c r="AG11" s="40"/>
      <c r="AH11" s="40">
        <f>IF((AH9-AH10)&gt;AH5,AH5,AH9-AH10)</f>
        <v>1360</v>
      </c>
      <c r="AI11" s="40"/>
      <c r="AJ11" s="40">
        <f>IF((AJ9-AJ10)&gt;AJ5,AJ5,AJ9-AJ10)</f>
        <v>4377.8</v>
      </c>
      <c r="AK11" s="40"/>
      <c r="AL11" s="40">
        <f>IF((AL9-AL10)&gt;AL5,AL5,AL9-AL10)</f>
        <v>9106.3383517790189</v>
      </c>
      <c r="AM11" s="40"/>
      <c r="AN11" s="40">
        <f>IF((AN9-AN10)&gt;AN5,AN5,AN9-AN10)</f>
        <v>9740.6312530004798</v>
      </c>
      <c r="AO11" s="40"/>
      <c r="AP11" s="40">
        <f>IF((AP9-AP10)&gt;AP5,AP5,AP9-AP10)</f>
        <v>9475.2796566117977</v>
      </c>
      <c r="AQ11" s="41"/>
      <c r="AR11" s="4">
        <f>IF((AR7-AR10)&gt;AR5,AR5,AR7-AR10)</f>
        <v>9074.6</v>
      </c>
      <c r="AS11" s="4"/>
      <c r="AT11" s="4">
        <f>IF((AT7-AT10)&gt;AT5,AT5,AT7-AT10)</f>
        <v>8973.7000000000007</v>
      </c>
      <c r="AU11" s="4"/>
      <c r="AV11" s="4">
        <f>IF((AV7-AV10)&gt;AV5,AV5,AV7-AV10)</f>
        <v>4545.8999999999996</v>
      </c>
      <c r="AW11" s="61"/>
      <c r="AX11" s="4">
        <f>IF((AX7-AX10)&gt;AX5,AX5,AX7-AX10)</f>
        <v>3270.5</v>
      </c>
      <c r="AY11" s="4"/>
      <c r="AZ11" s="4">
        <f>IF((AZ7-AZ10)&gt;AZ5,AZ5,AZ7-AZ10)</f>
        <v>2049</v>
      </c>
      <c r="BA11" s="4"/>
      <c r="BB11" s="4">
        <f>IF((BB7-BB10)&gt;BB5,BB5,BB7-BB10)</f>
        <v>2801.5</v>
      </c>
      <c r="BC11" s="61"/>
      <c r="BD11" s="4">
        <f>IF((BD7-BD10)&gt;BD5,BD5,BD7-BD10)</f>
        <v>2776.9</v>
      </c>
      <c r="BE11" s="4"/>
      <c r="BF11" s="4">
        <f>IF((BF7-BF10)&gt;BF5,BF5,BF7-BF10)</f>
        <v>2050.6</v>
      </c>
      <c r="BG11" s="4"/>
      <c r="BH11" s="4">
        <f>IF((BH7-BH10)&gt;BH5,BH5,BH7-BH10)</f>
        <v>4764.3</v>
      </c>
      <c r="BI11" s="61"/>
      <c r="BJ11" s="4">
        <f>IF((BJ7-BJ10)&gt;BJ5,BJ5,BJ7-BJ10)</f>
        <v>9016.5</v>
      </c>
      <c r="BK11" s="4"/>
      <c r="BL11" s="4">
        <f>IF((BL7-BL10)&gt;BL5,BL5,BL7-BL10)</f>
        <v>6642.3</v>
      </c>
      <c r="BM11" s="4"/>
    </row>
    <row r="12" spans="1:66" ht="14.95" x14ac:dyDescent="0.25">
      <c r="C12" s="6" t="s">
        <v>11</v>
      </c>
      <c r="E12" s="37"/>
      <c r="F12" s="7">
        <v>2.7172000000000001</v>
      </c>
      <c r="G12" s="38"/>
      <c r="H12" s="7">
        <v>2.7172000000000001</v>
      </c>
      <c r="I12" s="38"/>
      <c r="J12" s="7">
        <v>2.7172000000000001</v>
      </c>
      <c r="K12" s="38"/>
      <c r="L12" s="7">
        <v>2.7172000000000001</v>
      </c>
      <c r="M12" s="38"/>
      <c r="N12" s="7">
        <v>2.7172000000000001</v>
      </c>
      <c r="O12" s="38"/>
      <c r="P12" s="7">
        <v>2.7172000000000001</v>
      </c>
      <c r="Q12" s="38"/>
      <c r="R12" s="7">
        <v>2.7172000000000001</v>
      </c>
      <c r="S12" s="38"/>
      <c r="T12" s="7">
        <v>2.7172000000000001</v>
      </c>
      <c r="U12" s="38"/>
      <c r="V12" s="7">
        <v>2.7172000000000001</v>
      </c>
      <c r="W12" s="38"/>
      <c r="X12" s="7">
        <v>2.7172000000000001</v>
      </c>
      <c r="Y12" s="38"/>
      <c r="Z12" s="7">
        <v>2.7172000000000001</v>
      </c>
      <c r="AA12" s="38"/>
      <c r="AB12" s="7">
        <v>2.7172000000000001</v>
      </c>
      <c r="AC12" s="38"/>
      <c r="AD12" s="7">
        <v>2.7172000000000001</v>
      </c>
      <c r="AE12" s="38"/>
      <c r="AF12" s="7">
        <v>2.7172000000000001</v>
      </c>
      <c r="AG12" s="38"/>
      <c r="AH12" s="7">
        <v>2.7172000000000001</v>
      </c>
      <c r="AI12" s="38"/>
      <c r="AJ12" s="7">
        <v>2.7172000000000001</v>
      </c>
      <c r="AK12" s="38"/>
      <c r="AL12" s="7">
        <v>2.7172000000000001</v>
      </c>
      <c r="AM12" s="38"/>
      <c r="AN12" s="7">
        <v>2.7172000000000001</v>
      </c>
      <c r="AO12" s="38"/>
      <c r="AP12" s="7">
        <v>2.7172000000000001</v>
      </c>
      <c r="AQ12" s="39"/>
      <c r="AR12" s="7">
        <v>2.7172000000000001</v>
      </c>
      <c r="AT12" s="7">
        <v>2.7172000000000001</v>
      </c>
      <c r="AV12" s="7">
        <v>2.7172000000000001</v>
      </c>
      <c r="AW12" s="60"/>
      <c r="AX12" s="7">
        <v>2.7172000000000001</v>
      </c>
      <c r="AZ12" s="7">
        <v>2.7172000000000001</v>
      </c>
      <c r="BB12" s="7">
        <v>2.7172000000000001</v>
      </c>
      <c r="BC12" s="60"/>
      <c r="BD12" s="7">
        <v>2.7172000000000001</v>
      </c>
      <c r="BF12" s="7">
        <v>2.7172000000000001</v>
      </c>
      <c r="BH12" s="7">
        <v>2.7172000000000001</v>
      </c>
      <c r="BI12" s="60"/>
      <c r="BJ12" s="7">
        <v>2.7172000000000001</v>
      </c>
      <c r="BL12" s="7">
        <v>2.7172000000000001</v>
      </c>
    </row>
    <row r="13" spans="1:66" s="25" customFormat="1" x14ac:dyDescent="0.25">
      <c r="C13" s="26" t="s">
        <v>7</v>
      </c>
      <c r="E13" s="42"/>
      <c r="F13" s="27">
        <f>F11*F12</f>
        <v>1567.3079047550775</v>
      </c>
      <c r="G13" s="27"/>
      <c r="H13" s="27">
        <f>H11*H12</f>
        <v>13232.30941680139</v>
      </c>
      <c r="I13" s="27"/>
      <c r="J13" s="27">
        <f>J11*J12</f>
        <v>10886.26858518315</v>
      </c>
      <c r="K13" s="27"/>
      <c r="L13" s="27">
        <f>L11*L12</f>
        <v>17134.663199999999</v>
      </c>
      <c r="M13" s="27"/>
      <c r="N13" s="27">
        <f>N11*N12</f>
        <v>18450.940911591737</v>
      </c>
      <c r="O13" s="27"/>
      <c r="P13" s="27">
        <f>P11*P12</f>
        <v>25494.960159214912</v>
      </c>
      <c r="Q13" s="27"/>
      <c r="R13" s="27">
        <f>R11*R12</f>
        <v>27710.676118660311</v>
      </c>
      <c r="S13" s="27"/>
      <c r="T13" s="27">
        <f>T11*T12</f>
        <v>22427.61854723041</v>
      </c>
      <c r="U13" s="27"/>
      <c r="V13" s="27">
        <f>V11*V12</f>
        <v>30325.018769306091</v>
      </c>
      <c r="W13" s="27"/>
      <c r="X13" s="27">
        <f>X11*X12</f>
        <v>21036.43931188565</v>
      </c>
      <c r="Y13" s="27"/>
      <c r="Z13" s="27">
        <f>Z11*Z12</f>
        <v>9400.8117320315287</v>
      </c>
      <c r="AA13" s="27"/>
      <c r="AB13" s="27">
        <f>AB11*AB12</f>
        <v>4254.1900869565216</v>
      </c>
      <c r="AC13" s="27"/>
      <c r="AD13" s="27">
        <f>AD11*AD12</f>
        <v>6513.4522558916478</v>
      </c>
      <c r="AE13" s="27"/>
      <c r="AF13" s="27">
        <f>AF11*AF12</f>
        <v>2901.1544400000002</v>
      </c>
      <c r="AG13" s="27"/>
      <c r="AH13" s="27">
        <f>AH11*AH12</f>
        <v>3695.3920000000003</v>
      </c>
      <c r="AI13" s="27"/>
      <c r="AJ13" s="27">
        <f>AJ11*AJ12</f>
        <v>11895.358160000002</v>
      </c>
      <c r="AK13" s="27"/>
      <c r="AL13" s="27">
        <f>AL11*AL12</f>
        <v>24743.742569453952</v>
      </c>
      <c r="AM13" s="27"/>
      <c r="AN13" s="27">
        <f>AN11*AN12</f>
        <v>26467.243240652904</v>
      </c>
      <c r="AO13" s="27"/>
      <c r="AP13" s="27">
        <f>AP11*AP12</f>
        <v>25746.229882945576</v>
      </c>
      <c r="AQ13" s="43"/>
      <c r="AR13" s="27">
        <f>AR11*AR12</f>
        <v>24657.503120000001</v>
      </c>
      <c r="AS13" s="28"/>
      <c r="AT13" s="27">
        <f>AT11*AT12</f>
        <v>24383.337640000002</v>
      </c>
      <c r="AU13" s="28"/>
      <c r="AV13" s="27">
        <f>AV11*AV12</f>
        <v>12352.119479999999</v>
      </c>
      <c r="AW13" s="62"/>
      <c r="AX13" s="27">
        <f>AX11*AX12</f>
        <v>8886.6026000000002</v>
      </c>
      <c r="AY13" s="28"/>
      <c r="AZ13" s="27">
        <f>AZ11*AZ12</f>
        <v>5567.5428000000002</v>
      </c>
      <c r="BA13" s="28"/>
      <c r="BB13" s="27">
        <f>BB11*BB12</f>
        <v>7612.2358000000004</v>
      </c>
      <c r="BC13" s="62"/>
      <c r="BD13" s="27">
        <f>BD11*BD12</f>
        <v>7545.3926800000008</v>
      </c>
      <c r="BE13" s="28"/>
      <c r="BF13" s="27">
        <f>BF11*BF12</f>
        <v>5571.8903199999995</v>
      </c>
      <c r="BG13" s="28"/>
      <c r="BH13" s="27">
        <f>BH11*BH12</f>
        <v>12945.555960000002</v>
      </c>
      <c r="BI13" s="62"/>
      <c r="BJ13" s="27">
        <f>BJ11*BJ12</f>
        <v>24499.6338</v>
      </c>
      <c r="BK13" s="28"/>
      <c r="BL13" s="27">
        <f>BL11*BL12</f>
        <v>18048.457560000003</v>
      </c>
      <c r="BM13" s="28"/>
    </row>
    <row r="14" spans="1:66" x14ac:dyDescent="0.25">
      <c r="C14" s="6" t="s">
        <v>10</v>
      </c>
      <c r="E14" s="37"/>
      <c r="F14" s="8">
        <f>F13</f>
        <v>1567.3079047550775</v>
      </c>
      <c r="G14" s="8"/>
      <c r="H14" s="8">
        <f>H13+F13</f>
        <v>14799.617321556469</v>
      </c>
      <c r="I14" s="8"/>
      <c r="J14" s="8">
        <f>J13+H14</f>
        <v>25685.885906739619</v>
      </c>
      <c r="K14" s="8"/>
      <c r="L14" s="8">
        <f>L13+J14</f>
        <v>42820.549106739621</v>
      </c>
      <c r="M14" s="8"/>
      <c r="N14" s="8">
        <f>N13+L14</f>
        <v>61271.490018331358</v>
      </c>
      <c r="O14" s="8"/>
      <c r="P14" s="8">
        <f>P13+N14</f>
        <v>86766.45017754627</v>
      </c>
      <c r="Q14" s="8"/>
      <c r="R14" s="8">
        <f>R13+P14</f>
        <v>114477.12629620658</v>
      </c>
      <c r="S14" s="8"/>
      <c r="T14" s="8">
        <f>T13+R14</f>
        <v>136904.74484343699</v>
      </c>
      <c r="U14" s="8"/>
      <c r="V14" s="8">
        <f>V13+T14</f>
        <v>167229.76361274309</v>
      </c>
      <c r="W14" s="8"/>
      <c r="X14" s="8">
        <f>X13+V14</f>
        <v>188266.20292462874</v>
      </c>
      <c r="Y14" s="8"/>
      <c r="Z14" s="8">
        <f>Z13+X14</f>
        <v>197667.01465666026</v>
      </c>
      <c r="AA14" s="8"/>
      <c r="AB14" s="8">
        <f>AB13+Z14</f>
        <v>201921.20474361678</v>
      </c>
      <c r="AC14" s="8"/>
      <c r="AD14" s="8">
        <f>AD13+AB14</f>
        <v>208434.65699950841</v>
      </c>
      <c r="AE14" s="8"/>
      <c r="AF14" s="8">
        <f>AF13+AD14</f>
        <v>211335.81143950843</v>
      </c>
      <c r="AG14" s="8"/>
      <c r="AH14" s="8">
        <f>AH13+AF14</f>
        <v>215031.20343950842</v>
      </c>
      <c r="AI14" s="8"/>
      <c r="AJ14" s="8">
        <f>AJ13+AH14</f>
        <v>226926.56159950842</v>
      </c>
      <c r="AK14" s="8"/>
      <c r="AL14" s="8">
        <f>AL13+AJ14</f>
        <v>251670.30416896238</v>
      </c>
      <c r="AM14" s="8"/>
      <c r="AN14" s="8">
        <f>AN13+AL14</f>
        <v>278137.5474096153</v>
      </c>
      <c r="AO14" s="8"/>
      <c r="AP14" s="8">
        <f>AP13+AN14</f>
        <v>303883.7772925609</v>
      </c>
      <c r="AQ14" s="44"/>
      <c r="AS14" s="5"/>
      <c r="AU14" s="5"/>
      <c r="AW14" s="63"/>
      <c r="AY14" s="5"/>
      <c r="BA14" s="5"/>
      <c r="BC14" s="63"/>
      <c r="BE14" s="32"/>
      <c r="BF14" s="1"/>
      <c r="BG14" s="32"/>
      <c r="BI14" s="63"/>
      <c r="BK14" s="5"/>
      <c r="BM14" s="5"/>
    </row>
    <row r="15" spans="1:66" x14ac:dyDescent="0.25">
      <c r="A15" t="s">
        <v>15</v>
      </c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9"/>
      <c r="AW15" s="60"/>
      <c r="BC15" s="60"/>
      <c r="BE15" s="1"/>
      <c r="BF15" s="1"/>
      <c r="BG15" s="24"/>
      <c r="BI15" s="60"/>
    </row>
    <row r="16" spans="1:66" s="25" customFormat="1" x14ac:dyDescent="0.25">
      <c r="B16" s="25" t="s">
        <v>3</v>
      </c>
      <c r="E16" s="42"/>
      <c r="F16" s="27">
        <v>-12885.951267016424</v>
      </c>
      <c r="G16" s="27"/>
      <c r="H16" s="27">
        <v>-13420.687507994031</v>
      </c>
      <c r="I16" s="27"/>
      <c r="J16" s="27">
        <v>-13301.113904872356</v>
      </c>
      <c r="K16" s="27"/>
      <c r="L16" s="27">
        <v>-12463.905768410274</v>
      </c>
      <c r="M16" s="27"/>
      <c r="N16" s="27">
        <v>-12769.352226655621</v>
      </c>
      <c r="O16" s="27"/>
      <c r="P16" s="27">
        <v>-11989.983969279201</v>
      </c>
      <c r="Q16" s="27"/>
      <c r="R16" s="27">
        <v>-10396.13435334452</v>
      </c>
      <c r="S16" s="27"/>
      <c r="T16" s="27">
        <v>-12076.497865999047</v>
      </c>
      <c r="U16" s="27"/>
      <c r="V16" s="27">
        <v>-11978.271234957507</v>
      </c>
      <c r="W16" s="27"/>
      <c r="X16" s="27">
        <v>-12950.676212208087</v>
      </c>
      <c r="Y16" s="27"/>
      <c r="Z16" s="27">
        <v>-13267.005975123082</v>
      </c>
      <c r="AA16" s="27"/>
      <c r="AB16" s="27">
        <v>-13403.711711269334</v>
      </c>
      <c r="AC16" s="27"/>
      <c r="AD16" s="27">
        <v>-13349.068473014851</v>
      </c>
      <c r="AE16" s="27"/>
      <c r="AF16" s="27">
        <v>-13257.702980837474</v>
      </c>
      <c r="AG16" s="27"/>
      <c r="AH16" s="27">
        <v>-13357.25751331195</v>
      </c>
      <c r="AI16" s="27"/>
      <c r="AJ16" s="27">
        <v>-13467.702533844764</v>
      </c>
      <c r="AK16" s="27"/>
      <c r="AL16" s="27">
        <v>-13562.154806259805</v>
      </c>
      <c r="AM16" s="27"/>
      <c r="AN16" s="27">
        <v>-13656.062736205593</v>
      </c>
      <c r="AO16" s="27"/>
      <c r="AP16" s="27">
        <v>-13637.697214531621</v>
      </c>
      <c r="AQ16" s="43"/>
      <c r="AR16" s="30">
        <f>-(1-(AR10/AR5))*13897.6</f>
        <v>-12151.962848567531</v>
      </c>
      <c r="AS16" s="28"/>
      <c r="AT16" s="30">
        <f>-(1-(AT10/AT5))*13897.6</f>
        <v>-11999.033241023235</v>
      </c>
      <c r="AU16" s="28"/>
      <c r="AV16" s="30">
        <f>-(1-(AV10/AV5))*13897.6</f>
        <v>-12687.27471941518</v>
      </c>
      <c r="AW16" s="62"/>
      <c r="AX16" s="30">
        <f>-(1-(AX10/AX5))*13897.6</f>
        <v>-13734.279763912311</v>
      </c>
      <c r="AY16" s="28"/>
      <c r="AZ16" s="30">
        <f>-(1-(AZ10/AZ5))*13897.6</f>
        <v>-13534.180218427935</v>
      </c>
      <c r="BA16" s="28"/>
      <c r="BB16" s="30">
        <f>-(1-(BB10/BB5))*13897.6</f>
        <v>-13724.12584712748</v>
      </c>
      <c r="BC16" s="62"/>
      <c r="BD16" s="30">
        <f>-(1-(BD10/BD5))*13897.6</f>
        <v>-13698.727437078538</v>
      </c>
      <c r="BE16" s="67"/>
      <c r="BF16" s="68">
        <f>-(1-(BF10/BF5))*13897.6</f>
        <v>-13530.12765332354</v>
      </c>
      <c r="BG16" s="31"/>
      <c r="BI16" s="62"/>
      <c r="BK16" s="28"/>
      <c r="BM16" s="28"/>
    </row>
    <row r="17" spans="1:65" x14ac:dyDescent="0.25">
      <c r="C17" s="6" t="s">
        <v>10</v>
      </c>
      <c r="E17" s="37"/>
      <c r="F17" s="8">
        <f>F16</f>
        <v>-12885.951267016424</v>
      </c>
      <c r="G17" s="8"/>
      <c r="H17" s="8">
        <f>H16+F16</f>
        <v>-26306.638775010455</v>
      </c>
      <c r="I17" s="8"/>
      <c r="J17" s="8">
        <f>J16+H17</f>
        <v>-39607.752679882811</v>
      </c>
      <c r="K17" s="8"/>
      <c r="L17" s="8">
        <f>L16+J17</f>
        <v>-52071.658448293085</v>
      </c>
      <c r="M17" s="8"/>
      <c r="N17" s="8">
        <f>N16+L17</f>
        <v>-64841.010674948702</v>
      </c>
      <c r="O17" s="8"/>
      <c r="P17" s="8">
        <f>P16+N17</f>
        <v>-76830.994644227903</v>
      </c>
      <c r="Q17" s="8"/>
      <c r="R17" s="8">
        <f>R16+P17</f>
        <v>-87227.128997572421</v>
      </c>
      <c r="S17" s="8"/>
      <c r="T17" s="8">
        <f>T16+R17</f>
        <v>-99303.626863571466</v>
      </c>
      <c r="U17" s="8"/>
      <c r="V17" s="8">
        <f>V16+T17</f>
        <v>-111281.89809852897</v>
      </c>
      <c r="W17" s="8"/>
      <c r="X17" s="8">
        <f>X16+V17</f>
        <v>-124232.57431073705</v>
      </c>
      <c r="Y17" s="8"/>
      <c r="Z17" s="8">
        <f>Z16+X17</f>
        <v>-137499.58028586014</v>
      </c>
      <c r="AA17" s="8"/>
      <c r="AB17" s="8">
        <f>AB16+Z17</f>
        <v>-150903.29199712948</v>
      </c>
      <c r="AC17" s="8"/>
      <c r="AD17" s="8">
        <f>AD16+AB17</f>
        <v>-164252.36047014434</v>
      </c>
      <c r="AE17" s="8"/>
      <c r="AF17" s="8">
        <f>AF16+AD17</f>
        <v>-177510.0634509818</v>
      </c>
      <c r="AG17" s="8"/>
      <c r="AH17" s="8">
        <f>AH16+AF17</f>
        <v>-190867.32096429376</v>
      </c>
      <c r="AI17" s="8"/>
      <c r="AJ17" s="8">
        <f>AJ16+AH17</f>
        <v>-204335.02349813853</v>
      </c>
      <c r="AK17" s="8"/>
      <c r="AL17" s="8">
        <f>AL16+AJ17</f>
        <v>-217897.17830439835</v>
      </c>
      <c r="AM17" s="8"/>
      <c r="AN17" s="8">
        <f>AN16+AL17</f>
        <v>-231553.24104060393</v>
      </c>
      <c r="AO17" s="8"/>
      <c r="AP17" s="8">
        <f>AP16+AN17</f>
        <v>-245190.93825513555</v>
      </c>
      <c r="AQ17" s="44"/>
      <c r="AS17" s="5"/>
      <c r="AU17" s="5"/>
      <c r="AW17" s="63"/>
      <c r="AY17" s="5"/>
      <c r="BA17" s="5"/>
      <c r="BC17" s="63"/>
      <c r="BE17" s="32"/>
      <c r="BF17" s="1"/>
      <c r="BG17" s="23"/>
      <c r="BI17" s="63"/>
      <c r="BK17" s="5"/>
      <c r="BM17" s="5"/>
    </row>
    <row r="18" spans="1:65" s="33" customFormat="1" x14ac:dyDescent="0.25">
      <c r="C18" s="34" t="s">
        <v>39</v>
      </c>
      <c r="E18" s="45"/>
      <c r="F18" s="35">
        <f>F13+F16</f>
        <v>-11318.643362261346</v>
      </c>
      <c r="G18" s="35"/>
      <c r="H18" s="35">
        <f>H13+H16</f>
        <v>-188.37809119264057</v>
      </c>
      <c r="I18" s="35"/>
      <c r="J18" s="35">
        <f>J13+J16</f>
        <v>-2414.845319689206</v>
      </c>
      <c r="K18" s="35"/>
      <c r="L18" s="35">
        <f>L13+L16</f>
        <v>4670.7574315897255</v>
      </c>
      <c r="M18" s="35"/>
      <c r="N18" s="35">
        <f>N13+N16</f>
        <v>5681.5886849361159</v>
      </c>
      <c r="O18" s="35"/>
      <c r="P18" s="35">
        <f>P13+P16</f>
        <v>13504.976189935711</v>
      </c>
      <c r="Q18" s="35"/>
      <c r="R18" s="35">
        <f>R13+R16</f>
        <v>17314.541765315793</v>
      </c>
      <c r="S18" s="35"/>
      <c r="T18" s="35">
        <f>T13+T16</f>
        <v>10351.120681231363</v>
      </c>
      <c r="U18" s="35"/>
      <c r="V18" s="35">
        <f>V13+V16</f>
        <v>18346.747534348586</v>
      </c>
      <c r="W18" s="35"/>
      <c r="X18" s="35">
        <f>X13+X16</f>
        <v>8085.7630996775624</v>
      </c>
      <c r="Y18" s="35"/>
      <c r="Z18" s="35">
        <f>Z13+Z16</f>
        <v>-3866.1942430915533</v>
      </c>
      <c r="AA18" s="35"/>
      <c r="AB18" s="35">
        <f>AB13+AB16</f>
        <v>-9149.5216243128125</v>
      </c>
      <c r="AC18" s="35"/>
      <c r="AD18" s="35">
        <f>AD13+AD16</f>
        <v>-6835.6162171232036</v>
      </c>
      <c r="AE18" s="35"/>
      <c r="AF18" s="35">
        <f>AF13+AF16</f>
        <v>-10356.548540837473</v>
      </c>
      <c r="AG18" s="35"/>
      <c r="AH18" s="35">
        <f>AH13+AH16</f>
        <v>-9661.8655133119501</v>
      </c>
      <c r="AI18" s="35"/>
      <c r="AJ18" s="35">
        <f>AJ13+AJ16</f>
        <v>-1572.3443738447622</v>
      </c>
      <c r="AK18" s="35"/>
      <c r="AL18" s="35">
        <f>AL13+AL16</f>
        <v>11181.587763194148</v>
      </c>
      <c r="AM18" s="35"/>
      <c r="AN18" s="35">
        <f>AN13+AN16</f>
        <v>12811.180504447311</v>
      </c>
      <c r="AO18" s="35"/>
      <c r="AP18" s="35">
        <f>AP13+AP16</f>
        <v>12108.532668413955</v>
      </c>
      <c r="AQ18" s="46"/>
      <c r="AS18" s="36"/>
      <c r="AU18" s="36"/>
      <c r="AW18" s="64"/>
      <c r="AY18" s="36"/>
      <c r="BA18" s="36"/>
      <c r="BC18" s="64"/>
      <c r="BE18" s="36"/>
      <c r="BG18" s="71"/>
      <c r="BI18" s="64"/>
      <c r="BK18" s="36"/>
      <c r="BM18" s="36"/>
    </row>
    <row r="19" spans="1:65" x14ac:dyDescent="0.25">
      <c r="C19" s="6" t="s">
        <v>40</v>
      </c>
      <c r="E19" s="37"/>
      <c r="F19" s="8">
        <f>F18</f>
        <v>-11318.643362261346</v>
      </c>
      <c r="G19" s="8"/>
      <c r="H19" s="8">
        <f>H18+F18</f>
        <v>-11507.021453453986</v>
      </c>
      <c r="I19" s="8"/>
      <c r="J19" s="8">
        <f>J18+H19</f>
        <v>-13921.866773143192</v>
      </c>
      <c r="K19" s="8"/>
      <c r="L19" s="8">
        <f>L18+J19</f>
        <v>-9251.1093415534669</v>
      </c>
      <c r="M19" s="8"/>
      <c r="N19" s="8">
        <f>N18+L19</f>
        <v>-3569.5206566173511</v>
      </c>
      <c r="O19" s="8"/>
      <c r="P19" s="8">
        <f>P18+N19</f>
        <v>9935.4555333183598</v>
      </c>
      <c r="Q19" s="8"/>
      <c r="R19" s="8">
        <f>R18+P19</f>
        <v>27249.997298634153</v>
      </c>
      <c r="S19" s="8"/>
      <c r="T19" s="8">
        <f>T18+R19</f>
        <v>37601.117979865514</v>
      </c>
      <c r="U19" s="8"/>
      <c r="V19" s="8">
        <f>V18+T19</f>
        <v>55947.8655142141</v>
      </c>
      <c r="W19" s="8"/>
      <c r="X19" s="8">
        <f>X18+V19</f>
        <v>64033.628613891662</v>
      </c>
      <c r="Y19" s="8"/>
      <c r="Z19" s="8">
        <f>Z18+X19</f>
        <v>60167.434370800111</v>
      </c>
      <c r="AA19" s="8"/>
      <c r="AB19" s="8">
        <f>AB18+Z19</f>
        <v>51017.912746487302</v>
      </c>
      <c r="AC19" s="8"/>
      <c r="AD19" s="8">
        <f>AD18+AB19</f>
        <v>44182.296529364095</v>
      </c>
      <c r="AE19" s="8"/>
      <c r="AF19" s="8">
        <f>AF18+AD19</f>
        <v>33825.747988526622</v>
      </c>
      <c r="AG19" s="8"/>
      <c r="AH19" s="8">
        <f>AH18+AF19</f>
        <v>24163.882475214672</v>
      </c>
      <c r="AI19" s="8"/>
      <c r="AJ19" s="8">
        <f>AJ18+AH19</f>
        <v>22591.538101369908</v>
      </c>
      <c r="AK19" s="8"/>
      <c r="AL19" s="8">
        <f>AL18+AJ19</f>
        <v>33773.125864564056</v>
      </c>
      <c r="AM19" s="8"/>
      <c r="AN19" s="8">
        <f>AN18+AL19</f>
        <v>46584.306369011363</v>
      </c>
      <c r="AO19" s="8"/>
      <c r="AP19" s="8">
        <f>AP18+AN19</f>
        <v>58692.839037425321</v>
      </c>
      <c r="AQ19" s="44"/>
      <c r="AS19" s="5"/>
      <c r="AU19" s="5"/>
      <c r="AW19" s="63"/>
      <c r="AY19" s="5"/>
      <c r="BA19" s="5"/>
      <c r="BC19" s="63"/>
      <c r="BE19" s="5"/>
      <c r="BG19" s="23"/>
      <c r="BI19" s="63"/>
      <c r="BK19" s="5"/>
      <c r="BM19" s="5"/>
    </row>
    <row r="20" spans="1:65" x14ac:dyDescent="0.25">
      <c r="E20" s="37"/>
      <c r="F20" s="40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9"/>
      <c r="AW20" s="60"/>
      <c r="BC20" s="60"/>
      <c r="BI20" s="60"/>
    </row>
    <row r="21" spans="1:65" x14ac:dyDescent="0.25">
      <c r="A21" t="s">
        <v>0</v>
      </c>
      <c r="E21" s="37"/>
      <c r="F21" s="40">
        <f>F5-F11</f>
        <v>2127.1900836320192</v>
      </c>
      <c r="G21" s="38"/>
      <c r="H21" s="40">
        <f>H5-H11</f>
        <v>113.16729839489562</v>
      </c>
      <c r="I21" s="38"/>
      <c r="J21" s="40">
        <f>J5-J11</f>
        <v>2430.5711080586079</v>
      </c>
      <c r="K21" s="38"/>
      <c r="L21" s="40">
        <f>L5-L11</f>
        <v>0</v>
      </c>
      <c r="M21" s="38"/>
      <c r="N21" s="40">
        <f>N5-N11</f>
        <v>4078.5756986634269</v>
      </c>
      <c r="O21" s="38"/>
      <c r="P21" s="40">
        <f>P5-P11</f>
        <v>3333.1941118743889</v>
      </c>
      <c r="Q21" s="38"/>
      <c r="R21" s="40">
        <f>R5-R11</f>
        <v>2107.7532317605219</v>
      </c>
      <c r="S21" s="38"/>
      <c r="T21" s="40">
        <f>T5-T11</f>
        <v>4137.0552969121127</v>
      </c>
      <c r="U21" s="38"/>
      <c r="V21" s="40">
        <f>V5-V11</f>
        <v>2003.6074012564077</v>
      </c>
      <c r="W21" s="38"/>
      <c r="X21" s="40">
        <f>X5-X11</f>
        <v>5422.1452996151738</v>
      </c>
      <c r="Y21" s="38"/>
      <c r="Z21" s="40">
        <f>Z5-Z11</f>
        <v>3501.2577167556569</v>
      </c>
      <c r="AA21" s="38"/>
      <c r="AB21" s="40">
        <f>AB5-AB11</f>
        <v>5112.347826086956</v>
      </c>
      <c r="AC21" s="38"/>
      <c r="AD21" s="40">
        <f>AD5-AD11</f>
        <v>3274.8808126410836</v>
      </c>
      <c r="AE21" s="38"/>
      <c r="AF21" s="40">
        <f>AF5-AF11</f>
        <v>5787.3</v>
      </c>
      <c r="AG21" s="38"/>
      <c r="AH21" s="40">
        <f>AH5-AH11</f>
        <v>4722.8</v>
      </c>
      <c r="AI21" s="38"/>
      <c r="AJ21" s="40">
        <f>AJ5-AJ11</f>
        <v>2923.5</v>
      </c>
      <c r="AK21" s="38"/>
      <c r="AL21" s="40">
        <f>AL5-AL11</f>
        <v>4269.2616482209814</v>
      </c>
      <c r="AM21" s="38"/>
      <c r="AN21" s="40">
        <f>AN5-AN11</f>
        <v>4169.3687469995202</v>
      </c>
      <c r="AO21" s="38"/>
      <c r="AP21" s="40">
        <f>AP5-AP11</f>
        <v>2752.7203433882023</v>
      </c>
      <c r="AQ21" s="39"/>
      <c r="AR21" s="4">
        <f>AR5-AR11</f>
        <v>5585.4</v>
      </c>
      <c r="AT21" s="4">
        <f>AT5-AT11</f>
        <v>3809.2999999999993</v>
      </c>
      <c r="AV21" s="4">
        <f>AV5-AV11</f>
        <v>4756.1000000000004</v>
      </c>
      <c r="AW21" s="60"/>
      <c r="AX21" s="4">
        <f>AX5-AX11</f>
        <v>6217.5</v>
      </c>
      <c r="AZ21" s="4">
        <f>AZ5-AZ11</f>
        <v>4452</v>
      </c>
      <c r="BB21" s="4">
        <f>BB5-BB11</f>
        <v>3487.3999999999996</v>
      </c>
      <c r="BC21" s="60"/>
      <c r="BD21" s="4">
        <f>BD5-BD11</f>
        <v>4148.3999999999996</v>
      </c>
      <c r="BF21" s="4">
        <f>BF5-BF11</f>
        <v>2578.5000000000005</v>
      </c>
      <c r="BH21" s="4">
        <f>BH5-BH11</f>
        <v>905.30000000000018</v>
      </c>
      <c r="BI21" s="60"/>
      <c r="BJ21" s="4">
        <f>BJ5-BJ11</f>
        <v>2459.7000000000007</v>
      </c>
      <c r="BL21" s="4">
        <f>BL5-BL11</f>
        <v>4418.4999999999991</v>
      </c>
    </row>
    <row r="22" spans="1:65" x14ac:dyDescent="0.25">
      <c r="C22" s="6" t="s">
        <v>2</v>
      </c>
      <c r="E22" s="37"/>
      <c r="F22" s="7">
        <v>2.7172000000000001</v>
      </c>
      <c r="G22" s="38"/>
      <c r="H22" s="7">
        <v>2.7172000000000001</v>
      </c>
      <c r="I22" s="38"/>
      <c r="J22" s="7">
        <v>2.7172000000000001</v>
      </c>
      <c r="K22" s="38"/>
      <c r="L22" s="7">
        <v>2.7172000000000001</v>
      </c>
      <c r="M22" s="38"/>
      <c r="N22" s="7">
        <v>2.7172000000000001</v>
      </c>
      <c r="O22" s="38"/>
      <c r="P22" s="7">
        <v>2.7172000000000001</v>
      </c>
      <c r="Q22" s="38"/>
      <c r="R22" s="7">
        <v>2.7172000000000001</v>
      </c>
      <c r="S22" s="38"/>
      <c r="T22" s="7">
        <v>2.7172000000000001</v>
      </c>
      <c r="U22" s="38"/>
      <c r="V22" s="7">
        <v>2.7172000000000001</v>
      </c>
      <c r="W22" s="38"/>
      <c r="X22" s="7">
        <v>2.7172000000000001</v>
      </c>
      <c r="Y22" s="38"/>
      <c r="Z22" s="7">
        <v>2.7172000000000001</v>
      </c>
      <c r="AA22" s="38"/>
      <c r="AB22" s="7">
        <v>2.7172000000000001</v>
      </c>
      <c r="AC22" s="38"/>
      <c r="AD22" s="7">
        <v>2.7172000000000001</v>
      </c>
      <c r="AE22" s="38"/>
      <c r="AF22" s="7">
        <v>2.7172000000000001</v>
      </c>
      <c r="AG22" s="38"/>
      <c r="AH22" s="7">
        <v>2.7172000000000001</v>
      </c>
      <c r="AI22" s="38"/>
      <c r="AJ22" s="7">
        <v>2.7172000000000001</v>
      </c>
      <c r="AK22" s="38"/>
      <c r="AL22" s="7">
        <v>2.7172000000000001</v>
      </c>
      <c r="AM22" s="38"/>
      <c r="AN22" s="7">
        <v>2.7172000000000001</v>
      </c>
      <c r="AO22" s="38"/>
      <c r="AP22" s="7">
        <v>2.7172000000000001</v>
      </c>
      <c r="AQ22" s="39"/>
      <c r="AR22" s="7">
        <v>2.7172000000000001</v>
      </c>
      <c r="AT22" s="7">
        <v>2.7172000000000001</v>
      </c>
      <c r="AV22" s="7">
        <v>2.7172000000000001</v>
      </c>
      <c r="AW22" s="60"/>
      <c r="AX22" s="7">
        <v>2.7172000000000001</v>
      </c>
      <c r="AZ22" s="7">
        <v>2.7172000000000001</v>
      </c>
      <c r="BB22" s="7">
        <v>2.7172000000000001</v>
      </c>
      <c r="BC22" s="60"/>
      <c r="BD22" s="7">
        <v>2.7172000000000001</v>
      </c>
      <c r="BF22" s="7">
        <v>2.7172000000000001</v>
      </c>
      <c r="BH22" s="7">
        <v>2.7172000000000001</v>
      </c>
      <c r="BI22" s="60"/>
      <c r="BJ22" s="7">
        <v>2.7172000000000001</v>
      </c>
      <c r="BL22" s="7">
        <v>2.7172000000000001</v>
      </c>
    </row>
    <row r="23" spans="1:65" s="33" customFormat="1" x14ac:dyDescent="0.25">
      <c r="C23" s="34" t="s">
        <v>4</v>
      </c>
      <c r="E23" s="45"/>
      <c r="F23" s="35">
        <f>F21*F22</f>
        <v>5780.0008952449225</v>
      </c>
      <c r="G23" s="47"/>
      <c r="H23" s="35">
        <f>H21*H22</f>
        <v>307.49818319861038</v>
      </c>
      <c r="I23" s="47"/>
      <c r="J23" s="35">
        <f>J21*J22</f>
        <v>6604.3478148168497</v>
      </c>
      <c r="K23" s="47"/>
      <c r="L23" s="35">
        <f>L21*L22</f>
        <v>0</v>
      </c>
      <c r="M23" s="47"/>
      <c r="N23" s="35">
        <f>N21*N22</f>
        <v>11082.305888408264</v>
      </c>
      <c r="O23" s="47"/>
      <c r="P23" s="35">
        <f>P21*P22</f>
        <v>9056.9550407850893</v>
      </c>
      <c r="Q23" s="47"/>
      <c r="R23" s="35">
        <f>R21*R22</f>
        <v>5727.1870813396899</v>
      </c>
      <c r="S23" s="47"/>
      <c r="T23" s="35">
        <f>T21*T22</f>
        <v>11241.206652769593</v>
      </c>
      <c r="U23" s="47"/>
      <c r="V23" s="35">
        <f>V21*V22</f>
        <v>5444.2020306939112</v>
      </c>
      <c r="W23" s="47"/>
      <c r="X23" s="35">
        <f>X21*X22</f>
        <v>14733.05320811435</v>
      </c>
      <c r="Y23" s="47"/>
      <c r="Z23" s="35">
        <f>Z21*Z22</f>
        <v>9513.6174679684718</v>
      </c>
      <c r="AA23" s="47"/>
      <c r="AB23" s="35">
        <f>AB21*AB22</f>
        <v>13891.271513043477</v>
      </c>
      <c r="AC23" s="47"/>
      <c r="AD23" s="35">
        <f>AD21*AD22</f>
        <v>8898.5061441083526</v>
      </c>
      <c r="AE23" s="47"/>
      <c r="AF23" s="35">
        <f>AF21*AF22</f>
        <v>15725.251560000001</v>
      </c>
      <c r="AG23" s="47"/>
      <c r="AH23" s="35">
        <f>AH21*AH22</f>
        <v>12832.792160000001</v>
      </c>
      <c r="AI23" s="47"/>
      <c r="AJ23" s="35">
        <f>AJ21*AJ22</f>
        <v>7943.7341999999999</v>
      </c>
      <c r="AK23" s="47"/>
      <c r="AL23" s="35">
        <f>AL21*AL22</f>
        <v>11600.437750546051</v>
      </c>
      <c r="AM23" s="47"/>
      <c r="AN23" s="35">
        <f>AN21*AN22</f>
        <v>11329.008759347096</v>
      </c>
      <c r="AO23" s="47"/>
      <c r="AP23" s="35">
        <f>AP21*AP22</f>
        <v>7479.6917170544239</v>
      </c>
      <c r="AQ23" s="48"/>
      <c r="AR23" s="35">
        <f>AR21*AR22</f>
        <v>15176.648879999999</v>
      </c>
      <c r="AT23" s="35">
        <f>AT21*AT22</f>
        <v>10350.629959999998</v>
      </c>
      <c r="AV23" s="35">
        <f>AV21*AV22</f>
        <v>12923.274920000002</v>
      </c>
      <c r="AW23" s="65"/>
      <c r="AX23" s="35">
        <f>AX21*AX22</f>
        <v>16894.190999999999</v>
      </c>
      <c r="AZ23" s="35">
        <f>AZ21*AZ22</f>
        <v>12096.974400000001</v>
      </c>
      <c r="BB23" s="35">
        <f>BB21*BB22</f>
        <v>9475.9632799999999</v>
      </c>
      <c r="BC23" s="65"/>
      <c r="BD23" s="35">
        <f>BD21*BD22</f>
        <v>11272.03248</v>
      </c>
      <c r="BF23" s="35">
        <f>BF21*BF22</f>
        <v>7006.3002000000015</v>
      </c>
      <c r="BH23" s="35">
        <f>BH21*BH22</f>
        <v>2459.8811600000004</v>
      </c>
      <c r="BI23" s="65"/>
      <c r="BJ23" s="35">
        <f>BJ21*BJ22</f>
        <v>6683.4968400000025</v>
      </c>
      <c r="BL23" s="35">
        <f>BL21*BL22</f>
        <v>12005.948199999997</v>
      </c>
    </row>
    <row r="24" spans="1:65" x14ac:dyDescent="0.25">
      <c r="C24" t="s">
        <v>5</v>
      </c>
      <c r="E24" s="37"/>
      <c r="F24" s="8">
        <f>F23</f>
        <v>5780.0008952449225</v>
      </c>
      <c r="G24" s="38"/>
      <c r="H24" s="8">
        <f>H23+F24</f>
        <v>6087.4990784435331</v>
      </c>
      <c r="I24" s="38"/>
      <c r="J24" s="8">
        <f>J23+H24</f>
        <v>12691.846893260383</v>
      </c>
      <c r="K24" s="38"/>
      <c r="L24" s="8">
        <f>L23+J24</f>
        <v>12691.846893260383</v>
      </c>
      <c r="M24" s="38"/>
      <c r="N24" s="8">
        <f>N23+L24</f>
        <v>23774.152781668647</v>
      </c>
      <c r="O24" s="38"/>
      <c r="P24" s="8">
        <f>P23+N24</f>
        <v>32831.107822453734</v>
      </c>
      <c r="Q24" s="38"/>
      <c r="R24" s="8">
        <f>R23+P24</f>
        <v>38558.294903793423</v>
      </c>
      <c r="S24" s="38"/>
      <c r="T24" s="8">
        <f>T23+R24</f>
        <v>49799.501556563016</v>
      </c>
      <c r="U24" s="38"/>
      <c r="V24" s="8">
        <f>V23+T24</f>
        <v>55243.703587256925</v>
      </c>
      <c r="W24" s="38"/>
      <c r="X24" s="8">
        <f>X23+V24</f>
        <v>69976.756795371271</v>
      </c>
      <c r="Y24" s="38"/>
      <c r="Z24" s="8">
        <f>Z23+X24</f>
        <v>79490.374263339749</v>
      </c>
      <c r="AA24" s="38"/>
      <c r="AB24" s="8">
        <f>AB23+Z24</f>
        <v>93381.64577638323</v>
      </c>
      <c r="AC24" s="38"/>
      <c r="AD24" s="8">
        <f>AD23+AB24</f>
        <v>102280.15192049158</v>
      </c>
      <c r="AE24" s="38"/>
      <c r="AF24" s="8">
        <f>AF23+AD24</f>
        <v>118005.40348049159</v>
      </c>
      <c r="AG24" s="38"/>
      <c r="AH24" s="8">
        <f>AH23+AF24</f>
        <v>130838.19564049158</v>
      </c>
      <c r="AI24" s="38"/>
      <c r="AJ24" s="8">
        <f>AJ23+AH24</f>
        <v>138781.92984049159</v>
      </c>
      <c r="AK24" s="38"/>
      <c r="AL24" s="8">
        <f>AL23+AJ24</f>
        <v>150382.36759103765</v>
      </c>
      <c r="AM24" s="38"/>
      <c r="AN24" s="8">
        <f>AN23+AL24</f>
        <v>161711.37635038473</v>
      </c>
      <c r="AO24" s="38"/>
      <c r="AP24" s="8">
        <f>AP23+AN24</f>
        <v>169191.06806743916</v>
      </c>
      <c r="AQ24" s="39"/>
      <c r="AR24" s="5">
        <f>AR23</f>
        <v>15176.648879999999</v>
      </c>
      <c r="AT24" s="5">
        <f>AT23+AR24</f>
        <v>25527.278839999999</v>
      </c>
      <c r="AV24" s="5">
        <f>AV23+AT24</f>
        <v>38450.553760000003</v>
      </c>
      <c r="AW24" s="60"/>
      <c r="AX24" s="5">
        <f>AX23</f>
        <v>16894.190999999999</v>
      </c>
      <c r="AZ24" s="5">
        <f>AZ23+AX24</f>
        <v>28991.165399999998</v>
      </c>
      <c r="BB24" s="5">
        <f>BB23+AZ24</f>
        <v>38467.128679999994</v>
      </c>
      <c r="BC24" s="60"/>
      <c r="BI24" s="60"/>
    </row>
    <row r="25" spans="1:65" x14ac:dyDescent="0.25">
      <c r="E25" s="3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44"/>
      <c r="AS25" s="5"/>
      <c r="AU25" s="5"/>
      <c r="AW25" s="63"/>
      <c r="AY25" s="5"/>
      <c r="BA25" s="5"/>
      <c r="BC25" s="63"/>
      <c r="BE25" s="5"/>
      <c r="BG25" s="5"/>
      <c r="BI25" s="63"/>
      <c r="BK25" s="5"/>
      <c r="BM25" s="5"/>
    </row>
    <row r="26" spans="1:65" x14ac:dyDescent="0.25">
      <c r="E26" s="37"/>
      <c r="F26" s="16">
        <f>F13+F23+F16</f>
        <v>-5538.6424670164242</v>
      </c>
      <c r="G26" s="8"/>
      <c r="H26" s="16">
        <f>H13+H23+H16</f>
        <v>119.12009200596913</v>
      </c>
      <c r="I26" s="8"/>
      <c r="J26" s="16">
        <f>J13+J23+J16</f>
        <v>4189.5024951276428</v>
      </c>
      <c r="K26" s="8"/>
      <c r="L26" s="16">
        <f>L13+L23+L16</f>
        <v>4670.7574315897255</v>
      </c>
      <c r="M26" s="8"/>
      <c r="N26" s="16">
        <f>N13+N23+N16</f>
        <v>16763.89457334438</v>
      </c>
      <c r="O26" s="8"/>
      <c r="P26" s="16">
        <f>P13+P23+P16</f>
        <v>22561.931230720802</v>
      </c>
      <c r="Q26" s="8"/>
      <c r="R26" s="16">
        <f>R13+R23+R16</f>
        <v>23041.728846655482</v>
      </c>
      <c r="S26" s="8"/>
      <c r="T26" s="16">
        <f>T13+T23+T16</f>
        <v>21592.327334000962</v>
      </c>
      <c r="U26" s="8"/>
      <c r="V26" s="16">
        <f>V13+V23+V16</f>
        <v>23790.949565042494</v>
      </c>
      <c r="W26" s="8"/>
      <c r="X26" s="16">
        <f>X13+X23+X16</f>
        <v>22818.816307791913</v>
      </c>
      <c r="Y26" s="8"/>
      <c r="Z26" s="16">
        <f>Z13+Z23+Z16</f>
        <v>5647.4232248769167</v>
      </c>
      <c r="AA26" s="8"/>
      <c r="AB26" s="16">
        <f>AB13+AB23+AB16</f>
        <v>4741.7498887306647</v>
      </c>
      <c r="AC26" s="8"/>
      <c r="AD26" s="16">
        <f>AD13+AD23+AD16</f>
        <v>2062.8899269851481</v>
      </c>
      <c r="AE26" s="8"/>
      <c r="AF26" s="16">
        <f>AF13+AF23+AF16</f>
        <v>5368.703019162529</v>
      </c>
      <c r="AG26" s="8"/>
      <c r="AH26" s="16">
        <f>AH13+AH23+AH16</f>
        <v>3170.9266466880508</v>
      </c>
      <c r="AI26" s="8"/>
      <c r="AJ26" s="16">
        <f>AJ13+AJ23+AJ16</f>
        <v>6371.3898261552386</v>
      </c>
      <c r="AK26" s="8"/>
      <c r="AL26" s="16">
        <f>AL13+AL23+AL16</f>
        <v>22782.025513740195</v>
      </c>
      <c r="AM26" s="8"/>
      <c r="AN26" s="16">
        <f>AN13+AN23+AN16</f>
        <v>24140.189263794407</v>
      </c>
      <c r="AO26" s="8"/>
      <c r="AP26" s="16">
        <f>AP13+AP23+AP16</f>
        <v>19588.22438546838</v>
      </c>
      <c r="AQ26" s="44"/>
      <c r="AS26" s="5"/>
      <c r="AU26" s="5"/>
      <c r="AW26" s="63"/>
      <c r="AY26" s="5"/>
      <c r="BA26" s="5"/>
      <c r="BC26" s="63"/>
      <c r="BE26" s="5"/>
      <c r="BG26" s="5"/>
      <c r="BI26" s="63"/>
      <c r="BK26" s="5"/>
      <c r="BM26" s="5"/>
    </row>
    <row r="27" spans="1:65" s="25" customFormat="1" x14ac:dyDescent="0.25">
      <c r="C27" s="25" t="s">
        <v>6</v>
      </c>
      <c r="E27" s="42"/>
      <c r="F27" s="27">
        <f>F14+F24+F17</f>
        <v>-5538.6424670164242</v>
      </c>
      <c r="G27" s="49"/>
      <c r="H27" s="27">
        <f>H14+H24+H17</f>
        <v>-5419.5223750104524</v>
      </c>
      <c r="I27" s="49"/>
      <c r="J27" s="27">
        <f>J14+J24+J17</f>
        <v>-1230.0198798828133</v>
      </c>
      <c r="K27" s="49"/>
      <c r="L27" s="27">
        <f>L14+L24+L17</f>
        <v>3440.7375517069231</v>
      </c>
      <c r="M27" s="49"/>
      <c r="N27" s="27">
        <f>N14+N24+N17</f>
        <v>20204.632125051299</v>
      </c>
      <c r="O27" s="49"/>
      <c r="P27" s="27">
        <f>P14+P24+P17</f>
        <v>42766.563355772101</v>
      </c>
      <c r="Q27" s="49"/>
      <c r="R27" s="27">
        <f>R14+R24+R17</f>
        <v>65808.29220242759</v>
      </c>
      <c r="S27" s="49"/>
      <c r="T27" s="27">
        <f>T14+T24+T17</f>
        <v>87400.619536428538</v>
      </c>
      <c r="U27" s="49"/>
      <c r="V27" s="27">
        <f>V14+V24+V17</f>
        <v>111191.56910147105</v>
      </c>
      <c r="W27" s="49"/>
      <c r="X27" s="27">
        <f>X14+X24+X17</f>
        <v>134010.38540926296</v>
      </c>
      <c r="Y27" s="49"/>
      <c r="Z27" s="27">
        <f>Z14+Z24+Z17</f>
        <v>139657.80863413986</v>
      </c>
      <c r="AA27" s="49"/>
      <c r="AB27" s="27">
        <f>AB14+AB24+AB17</f>
        <v>144399.5585228705</v>
      </c>
      <c r="AC27" s="49"/>
      <c r="AD27" s="27">
        <f>AD14+AD24+AD17</f>
        <v>146462.44844985564</v>
      </c>
      <c r="AE27" s="49"/>
      <c r="AF27" s="27">
        <f>AF14+AF24+AF17</f>
        <v>151831.15146901819</v>
      </c>
      <c r="AG27" s="49"/>
      <c r="AH27" s="27">
        <f>AH14+AH24+AH17</f>
        <v>155002.07811570624</v>
      </c>
      <c r="AI27" s="49"/>
      <c r="AJ27" s="27">
        <f>AJ14+AJ24+AJ17</f>
        <v>161373.46794186148</v>
      </c>
      <c r="AK27" s="49"/>
      <c r="AL27" s="27">
        <f>AL14+AL24+AL17</f>
        <v>184155.49345560171</v>
      </c>
      <c r="AM27" s="49"/>
      <c r="AN27" s="27">
        <f>AN14+AN24+AN17</f>
        <v>208295.68271939611</v>
      </c>
      <c r="AO27" s="49"/>
      <c r="AP27" s="27">
        <f>AP14+AP24+AP17</f>
        <v>227883.90710486448</v>
      </c>
      <c r="AQ27" s="50"/>
      <c r="AW27" s="66"/>
      <c r="BC27" s="66"/>
      <c r="BI27" s="66"/>
    </row>
    <row r="28" spans="1:65" x14ac:dyDescent="0.25"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8"/>
      <c r="AQ28" s="50"/>
      <c r="AW28" s="60"/>
      <c r="BC28" s="60"/>
      <c r="BI28" s="60"/>
    </row>
    <row r="29" spans="1:65" x14ac:dyDescent="0.25">
      <c r="E29" s="37"/>
      <c r="F29" s="70" t="s">
        <v>44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57" t="s">
        <v>45</v>
      </c>
      <c r="AQ29" s="58"/>
      <c r="AR29" s="1"/>
      <c r="AS29" s="2"/>
      <c r="AT29" s="69" t="s">
        <v>41</v>
      </c>
      <c r="AW29" s="60"/>
      <c r="AZ29" s="69" t="s">
        <v>42</v>
      </c>
      <c r="BC29" s="60"/>
      <c r="BF29" s="69" t="s">
        <v>43</v>
      </c>
      <c r="BI29" s="60"/>
    </row>
    <row r="30" spans="1:65" x14ac:dyDescent="0.25"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3"/>
      <c r="AQ30" s="54"/>
      <c r="AW30" s="60"/>
      <c r="BC30" s="60"/>
      <c r="BI30" s="60"/>
    </row>
    <row r="31" spans="1:65" x14ac:dyDescent="0.25">
      <c r="AP31" s="5"/>
      <c r="AQ31" s="29"/>
      <c r="AW31" s="60"/>
      <c r="BC31" s="60"/>
      <c r="BI31" s="60"/>
    </row>
    <row r="32" spans="1:65" x14ac:dyDescent="0.25">
      <c r="A32" t="s">
        <v>8</v>
      </c>
      <c r="F32" s="9">
        <v>0.30813000000000001</v>
      </c>
      <c r="G32" s="5"/>
      <c r="H32" s="9">
        <v>0.30813000000000001</v>
      </c>
      <c r="I32" s="5"/>
      <c r="J32" s="9">
        <v>0.30813000000000001</v>
      </c>
      <c r="K32" s="5"/>
      <c r="L32" s="9">
        <v>0.30813000000000001</v>
      </c>
      <c r="M32" s="5"/>
      <c r="N32" s="9">
        <v>0.30813000000000001</v>
      </c>
      <c r="O32" s="5"/>
      <c r="P32" s="9">
        <v>0.30813000000000001</v>
      </c>
      <c r="Q32" s="5"/>
      <c r="R32" s="9">
        <v>0.30813000000000001</v>
      </c>
      <c r="S32" s="5"/>
      <c r="T32" s="9">
        <v>0.30813000000000001</v>
      </c>
      <c r="U32" s="5"/>
      <c r="V32" s="9">
        <v>0.30813000000000001</v>
      </c>
      <c r="W32" s="5"/>
      <c r="X32" s="9">
        <v>0.30813000000000001</v>
      </c>
      <c r="Y32" s="5"/>
      <c r="Z32" s="9">
        <v>0.30813000000000001</v>
      </c>
      <c r="AA32" s="5"/>
      <c r="AB32" s="9">
        <v>0.30813000000000001</v>
      </c>
      <c r="AC32" s="5"/>
      <c r="AD32" s="9">
        <v>0.30813000000000001</v>
      </c>
      <c r="AE32" s="5"/>
      <c r="AF32" s="9">
        <v>0.30813000000000001</v>
      </c>
      <c r="AG32" s="5"/>
      <c r="AH32" s="9">
        <v>0.30813000000000001</v>
      </c>
      <c r="AI32" s="5"/>
      <c r="AJ32" s="9">
        <v>0.30813000000000001</v>
      </c>
      <c r="AK32" s="5"/>
      <c r="AL32" s="9">
        <v>0.30813000000000001</v>
      </c>
      <c r="AM32" s="5"/>
      <c r="AN32" s="9">
        <v>0.30813000000000001</v>
      </c>
      <c r="AO32" s="5"/>
      <c r="AP32" s="9">
        <v>0.30813000000000001</v>
      </c>
      <c r="AQ32" s="20"/>
      <c r="AR32" s="9">
        <v>0.30813000000000001</v>
      </c>
      <c r="AS32" s="5"/>
      <c r="AT32" s="9">
        <v>0.30813000000000001</v>
      </c>
      <c r="AU32" s="5"/>
      <c r="AV32" s="9">
        <v>0.30813000000000001</v>
      </c>
      <c r="AW32" s="63"/>
      <c r="AX32" s="9">
        <v>0.30813000000000001</v>
      </c>
      <c r="AY32" s="5"/>
      <c r="AZ32" s="9">
        <v>0.30813000000000001</v>
      </c>
      <c r="BA32" s="5"/>
      <c r="BB32" s="9">
        <v>0.30813000000000001</v>
      </c>
      <c r="BC32" s="63"/>
      <c r="BD32" s="9">
        <v>0.30813000000000001</v>
      </c>
      <c r="BE32" s="24"/>
      <c r="BF32" s="9"/>
      <c r="BG32" s="32"/>
      <c r="BH32" s="9"/>
      <c r="BI32" s="63"/>
      <c r="BJ32" s="9"/>
      <c r="BK32" s="5"/>
      <c r="BL32" s="9"/>
      <c r="BM32" s="5"/>
    </row>
    <row r="33" spans="1:66" x14ac:dyDescent="0.25">
      <c r="C33" s="6" t="s">
        <v>9</v>
      </c>
      <c r="F33" s="5">
        <f>F5*-F32</f>
        <v>-833.18352000000004</v>
      </c>
      <c r="G33" s="5"/>
      <c r="H33" s="5">
        <f>H5*-H32</f>
        <v>-1535.4117900000001</v>
      </c>
      <c r="I33" s="5"/>
      <c r="J33" s="5">
        <f>J5*-J32</f>
        <v>-1983.43281</v>
      </c>
      <c r="K33" s="5"/>
      <c r="L33" s="5">
        <f>L5*-L32</f>
        <v>-1943.0677800000001</v>
      </c>
      <c r="M33" s="5"/>
      <c r="N33" s="5">
        <f>N5*-N32</f>
        <v>-3349.0649700000004</v>
      </c>
      <c r="O33" s="5"/>
      <c r="P33" s="5">
        <f>P5*-P32</f>
        <v>-3918.1810800000003</v>
      </c>
      <c r="Q33" s="5"/>
      <c r="R33" s="5">
        <f>R5*-R32</f>
        <v>-3791.8477800000001</v>
      </c>
      <c r="S33" s="5"/>
      <c r="T33" s="5">
        <f>T5*-T32</f>
        <v>-3818.03883</v>
      </c>
      <c r="U33" s="5"/>
      <c r="V33" s="5">
        <f>V5*-V32</f>
        <v>-4056.2233200000001</v>
      </c>
      <c r="W33" s="5"/>
      <c r="X33" s="5">
        <f>X5*-X32</f>
        <v>-4056.2541330000004</v>
      </c>
      <c r="Y33" s="5"/>
      <c r="Z33" s="5">
        <f>Z5*-Z32</f>
        <v>-2144.89293</v>
      </c>
      <c r="AA33" s="5"/>
      <c r="AB33" s="5">
        <f>AB5*-AB32</f>
        <v>-2057.6921400000001</v>
      </c>
      <c r="AC33" s="5"/>
      <c r="AD33" s="5">
        <f>AD5*-AD32</f>
        <v>-1747.7133600000002</v>
      </c>
      <c r="AE33" s="5"/>
      <c r="AF33" s="5">
        <f>AF5*-AF32</f>
        <v>-2112.2311500000001</v>
      </c>
      <c r="AG33" s="5"/>
      <c r="AH33" s="5">
        <f>AH5*-AH32</f>
        <v>-1874.2931640000002</v>
      </c>
      <c r="AI33" s="5"/>
      <c r="AJ33" s="5">
        <f>AJ5*-AJ32</f>
        <v>-2249.7495690000001</v>
      </c>
      <c r="AK33" s="5"/>
      <c r="AL33" s="5">
        <f>AL5*-AL32</f>
        <v>-4121.4236280000005</v>
      </c>
      <c r="AM33" s="5"/>
      <c r="AN33" s="5">
        <f>AN5*-AN32</f>
        <v>-4286.0883000000003</v>
      </c>
      <c r="AO33" s="5"/>
      <c r="AP33" s="5">
        <f>AP5*-AP32</f>
        <v>-3767.8136400000003</v>
      </c>
      <c r="AQ33" s="20"/>
      <c r="AR33" s="5">
        <f>AR5*-AR32</f>
        <v>-4517.1858000000002</v>
      </c>
      <c r="AS33" s="5"/>
      <c r="AT33" s="5">
        <f>AT5*-AT32</f>
        <v>-3938.8257900000003</v>
      </c>
      <c r="AU33" s="5"/>
      <c r="AV33" s="5">
        <f>AV5*-AV32</f>
        <v>-2866.2252600000002</v>
      </c>
      <c r="AW33" s="63"/>
      <c r="AX33" s="5">
        <f>AX5*-AX32</f>
        <v>-2923.5374400000001</v>
      </c>
      <c r="AY33" s="5"/>
      <c r="AZ33" s="5">
        <f>AZ5*-AZ32</f>
        <v>-2003.1531300000001</v>
      </c>
      <c r="BA33" s="5"/>
      <c r="BB33" s="5">
        <f>BB5*-BB32</f>
        <v>-1937.798757</v>
      </c>
      <c r="BC33" s="63"/>
      <c r="BD33" s="5">
        <f>BD5*-BD32</f>
        <v>-2133.8926890000002</v>
      </c>
      <c r="BE33" s="24"/>
      <c r="BF33" s="5"/>
      <c r="BG33" s="32"/>
      <c r="BH33" s="5"/>
      <c r="BI33" s="63"/>
      <c r="BJ33" s="5"/>
      <c r="BK33" s="5"/>
      <c r="BL33" s="5"/>
      <c r="BM33" s="5"/>
    </row>
    <row r="34" spans="1:66" x14ac:dyDescent="0.25">
      <c r="C34" s="6" t="s">
        <v>10</v>
      </c>
      <c r="F34" s="5">
        <f>D33+F33</f>
        <v>-833.18352000000004</v>
      </c>
      <c r="H34" s="5">
        <f>F33+H33</f>
        <v>-2368.5953100000002</v>
      </c>
      <c r="J34" s="5">
        <f>H34+J33</f>
        <v>-4352.0281199999999</v>
      </c>
      <c r="L34" s="5">
        <f>J34+L33</f>
        <v>-6295.0959000000003</v>
      </c>
      <c r="N34" s="5">
        <f>L34+N33</f>
        <v>-9644.1608699999997</v>
      </c>
      <c r="P34" s="5">
        <f>N34+P33</f>
        <v>-13562.34195</v>
      </c>
      <c r="R34" s="5">
        <f>P34+R33</f>
        <v>-17354.189729999998</v>
      </c>
      <c r="T34" s="5">
        <f>R34+T33</f>
        <v>-21172.22856</v>
      </c>
      <c r="V34" s="5">
        <f>T34+V33</f>
        <v>-25228.451880000001</v>
      </c>
      <c r="X34" s="5">
        <f>V34+X33</f>
        <v>-29284.706013000003</v>
      </c>
      <c r="Z34" s="5">
        <f>X34+Z33</f>
        <v>-31429.598943000005</v>
      </c>
      <c r="AB34" s="5">
        <f>Z34+AB33</f>
        <v>-33487.291083000004</v>
      </c>
      <c r="AD34" s="5">
        <f>AB34+AD33</f>
        <v>-35235.004443000005</v>
      </c>
      <c r="AF34" s="5">
        <f>AD34+AF33</f>
        <v>-37347.235593000005</v>
      </c>
      <c r="AH34" s="5">
        <f>AF34+AH33</f>
        <v>-39221.528757000007</v>
      </c>
      <c r="AJ34" s="5">
        <f>AH34+AJ33</f>
        <v>-41471.278326000007</v>
      </c>
      <c r="AL34" s="5">
        <f>AJ34+AL33</f>
        <v>-45592.701954000004</v>
      </c>
      <c r="AN34" s="5">
        <f>AL34+AN33</f>
        <v>-49878.790254000007</v>
      </c>
      <c r="AP34" s="5">
        <f>AN34+AP33</f>
        <v>-53646.603894000007</v>
      </c>
      <c r="AQ34" s="19"/>
      <c r="AR34" s="5">
        <f>AP34+AR33</f>
        <v>-58163.789694000006</v>
      </c>
      <c r="AT34" s="5">
        <f>AT33+AR34</f>
        <v>-62102.615484000009</v>
      </c>
      <c r="AV34" s="5">
        <f>AV33+AT34</f>
        <v>-64968.840744000008</v>
      </c>
      <c r="AW34" s="60"/>
      <c r="AX34" s="5">
        <f>AV34+AX33</f>
        <v>-67892.378184000001</v>
      </c>
      <c r="AZ34" s="5">
        <f>AZ33+AX34</f>
        <v>-69895.531314000007</v>
      </c>
      <c r="BB34" s="5">
        <f>BB33+AZ34</f>
        <v>-71833.330071000004</v>
      </c>
      <c r="BC34" s="60"/>
      <c r="BD34" s="5">
        <f>BB34+BD33</f>
        <v>-73967.222760000004</v>
      </c>
      <c r="BE34" s="24"/>
      <c r="BG34" s="1"/>
      <c r="BI34" s="60"/>
    </row>
    <row r="35" spans="1:66" x14ac:dyDescent="0.25">
      <c r="AP35" s="5"/>
      <c r="AQ35" s="19"/>
      <c r="AW35" s="60"/>
      <c r="BC35" s="60"/>
      <c r="BE35" s="24"/>
      <c r="BI35" s="60"/>
    </row>
    <row r="36" spans="1:66" x14ac:dyDescent="0.25">
      <c r="A36" t="s">
        <v>16</v>
      </c>
    </row>
    <row r="37" spans="1:66" x14ac:dyDescent="0.25">
      <c r="B37" t="s">
        <v>17</v>
      </c>
      <c r="F37" s="12">
        <v>42935</v>
      </c>
      <c r="G37" s="13"/>
      <c r="H37" s="13"/>
      <c r="I37" s="13"/>
      <c r="J37" s="13"/>
      <c r="K37" s="13"/>
      <c r="L37" s="12">
        <v>43020</v>
      </c>
      <c r="M37" s="13"/>
      <c r="N37" s="13"/>
      <c r="O37" s="13"/>
      <c r="P37" s="13"/>
      <c r="Q37" s="13"/>
      <c r="S37" s="13"/>
      <c r="T37" s="12">
        <v>43132</v>
      </c>
      <c r="U37" s="13"/>
      <c r="V37" s="12">
        <v>43181</v>
      </c>
      <c r="W37" s="13"/>
      <c r="X37" s="13"/>
      <c r="Y37" s="13"/>
      <c r="Z37" s="12">
        <v>43236</v>
      </c>
      <c r="AA37" s="13"/>
      <c r="AB37" s="12">
        <v>43265</v>
      </c>
      <c r="AC37" s="13"/>
      <c r="AD37" s="12">
        <v>43300</v>
      </c>
      <c r="AE37" s="13"/>
      <c r="AF37" s="12">
        <v>43327</v>
      </c>
      <c r="AG37" s="13"/>
      <c r="AH37" s="12">
        <v>43371</v>
      </c>
      <c r="AI37" s="13"/>
      <c r="AJ37" s="12">
        <v>43385</v>
      </c>
      <c r="AK37" s="13"/>
      <c r="AL37" s="12">
        <v>43413</v>
      </c>
      <c r="AM37" s="13"/>
      <c r="AN37" s="12">
        <v>43444</v>
      </c>
      <c r="AO37" s="13"/>
      <c r="AP37" s="12">
        <v>43483</v>
      </c>
      <c r="AR37" s="10">
        <v>43504</v>
      </c>
      <c r="AT37" s="10">
        <v>43532</v>
      </c>
      <c r="AX37" s="10">
        <v>43595</v>
      </c>
      <c r="AZ37" s="10">
        <v>43637</v>
      </c>
      <c r="BB37" s="10">
        <v>43661</v>
      </c>
      <c r="BD37" s="10">
        <v>43693</v>
      </c>
      <c r="BL37" s="10">
        <v>43812</v>
      </c>
      <c r="BN37" s="10">
        <v>43847</v>
      </c>
    </row>
    <row r="38" spans="1:66" x14ac:dyDescent="0.25">
      <c r="F38" s="12"/>
      <c r="G38" s="13"/>
      <c r="H38" s="13"/>
      <c r="I38" s="13"/>
      <c r="J38" s="13"/>
      <c r="K38" s="13"/>
      <c r="L38" s="12"/>
      <c r="M38" s="13"/>
      <c r="N38" s="13"/>
      <c r="O38" s="13"/>
      <c r="P38" s="13"/>
      <c r="Q38" s="13"/>
      <c r="R38" s="12"/>
      <c r="S38" s="13"/>
      <c r="T38" s="12">
        <v>43151</v>
      </c>
      <c r="U38" s="13"/>
      <c r="V38" s="12"/>
      <c r="W38" s="13"/>
      <c r="X38" s="13"/>
      <c r="Y38" s="13"/>
      <c r="Z38" s="12"/>
      <c r="AA38" s="13"/>
      <c r="AB38" s="12"/>
      <c r="AC38" s="13"/>
      <c r="AD38" s="12"/>
      <c r="AE38" s="13"/>
      <c r="AF38" s="12"/>
      <c r="AG38" s="13"/>
      <c r="AH38" s="12"/>
      <c r="AI38" s="13"/>
      <c r="AJ38" s="12">
        <v>43392</v>
      </c>
      <c r="AK38" s="13"/>
      <c r="AL38" s="12"/>
      <c r="AM38" s="13"/>
      <c r="AN38" s="12">
        <v>43462</v>
      </c>
      <c r="AO38" s="13"/>
      <c r="AP38" s="13"/>
      <c r="AT38" s="10">
        <v>43553</v>
      </c>
      <c r="BD38" s="10">
        <v>43700</v>
      </c>
    </row>
    <row r="39" spans="1:66" x14ac:dyDescent="0.25">
      <c r="B39" t="s">
        <v>31</v>
      </c>
      <c r="F39" s="13" t="s">
        <v>18</v>
      </c>
      <c r="G39" s="13"/>
      <c r="H39" s="13"/>
      <c r="I39" s="13"/>
      <c r="J39" s="13"/>
      <c r="K39" s="13"/>
      <c r="L39" s="13" t="s">
        <v>19</v>
      </c>
      <c r="M39" s="13"/>
      <c r="N39" s="13"/>
      <c r="O39" s="13"/>
      <c r="P39" s="13"/>
      <c r="Q39" s="13"/>
      <c r="S39" s="13"/>
      <c r="T39" s="13" t="s">
        <v>20</v>
      </c>
      <c r="U39" s="13"/>
      <c r="V39" s="14" t="s">
        <v>25</v>
      </c>
      <c r="W39" s="13"/>
      <c r="X39" s="13"/>
      <c r="Y39" s="13"/>
      <c r="Z39" s="14" t="s">
        <v>28</v>
      </c>
      <c r="AA39" s="13"/>
      <c r="AB39" s="14" t="s">
        <v>29</v>
      </c>
      <c r="AC39" s="13"/>
      <c r="AD39" s="14" t="s">
        <v>30</v>
      </c>
      <c r="AE39" s="13"/>
      <c r="AF39" s="14" t="s">
        <v>19</v>
      </c>
      <c r="AG39" s="13"/>
      <c r="AH39" s="14" t="s">
        <v>20</v>
      </c>
      <c r="AI39" s="13"/>
      <c r="AJ39" s="14" t="s">
        <v>21</v>
      </c>
      <c r="AK39" s="13"/>
      <c r="AL39" s="14" t="s">
        <v>23</v>
      </c>
      <c r="AM39" s="13"/>
      <c r="AN39" s="14" t="s">
        <v>24</v>
      </c>
      <c r="AO39" s="13"/>
      <c r="AP39" s="14" t="s">
        <v>26</v>
      </c>
      <c r="AR39" s="15" t="s">
        <v>27</v>
      </c>
      <c r="AT39" t="s">
        <v>28</v>
      </c>
      <c r="AX39" t="s">
        <v>30</v>
      </c>
      <c r="AZ39" t="s">
        <v>19</v>
      </c>
      <c r="BB39" t="s">
        <v>20</v>
      </c>
      <c r="BD39" t="s">
        <v>21</v>
      </c>
      <c r="BL39" t="s">
        <v>23</v>
      </c>
      <c r="BN39" t="s">
        <v>25</v>
      </c>
    </row>
    <row r="40" spans="1:66" x14ac:dyDescent="0.25"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S40" s="13"/>
      <c r="T40" s="14" t="s">
        <v>21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4" t="s">
        <v>22</v>
      </c>
      <c r="AK40" s="13"/>
      <c r="AL40" s="13"/>
      <c r="AM40" s="13"/>
      <c r="AN40" s="14" t="s">
        <v>25</v>
      </c>
      <c r="AO40" s="13"/>
      <c r="AP40" s="13"/>
      <c r="AT40" t="s">
        <v>29</v>
      </c>
      <c r="BD40" t="s">
        <v>22</v>
      </c>
      <c r="BL40" t="s">
        <v>24</v>
      </c>
    </row>
    <row r="41" spans="1:66" x14ac:dyDescent="0.25"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S41" s="13"/>
      <c r="T41" s="14" t="s">
        <v>22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66" x14ac:dyDescent="0.25"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S42" s="13"/>
      <c r="T42" s="14" t="s">
        <v>23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66" x14ac:dyDescent="0.25"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S43" s="13"/>
      <c r="T43" s="14" t="s">
        <v>24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66" x14ac:dyDescent="0.25"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S44" s="13"/>
      <c r="T44" s="14" t="s">
        <v>26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66" x14ac:dyDescent="0.25"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S45" s="13"/>
      <c r="T45" s="14" t="s">
        <v>27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66" x14ac:dyDescent="0.25">
      <c r="C46" t="s">
        <v>37</v>
      </c>
      <c r="F46" s="11">
        <v>14258.15</v>
      </c>
      <c r="G46" s="11"/>
      <c r="H46" s="11"/>
      <c r="I46" s="11"/>
      <c r="J46" s="11"/>
      <c r="K46" s="11"/>
      <c r="L46" s="11">
        <v>14279.5</v>
      </c>
      <c r="M46" s="11"/>
      <c r="N46" s="11"/>
      <c r="O46" s="11"/>
      <c r="P46" s="11"/>
      <c r="Q46" s="11"/>
      <c r="R46" s="11"/>
      <c r="S46" s="11"/>
      <c r="T46" s="11">
        <f>69982.19+28919.29</f>
        <v>98901.48000000001</v>
      </c>
      <c r="U46" s="11"/>
      <c r="V46" s="11">
        <v>13936.8</v>
      </c>
      <c r="W46" s="11"/>
      <c r="X46" s="11"/>
      <c r="Y46" s="11"/>
      <c r="Z46" s="11">
        <v>15182.76</v>
      </c>
      <c r="AA46" s="11"/>
      <c r="AB46" s="11">
        <v>14500.31</v>
      </c>
      <c r="AC46" s="11"/>
      <c r="AD46" s="11">
        <v>15497.33</v>
      </c>
      <c r="AE46" s="11"/>
      <c r="AF46" s="11">
        <v>14223.02</v>
      </c>
      <c r="AG46" s="11"/>
      <c r="AH46" s="11">
        <v>13960.21</v>
      </c>
      <c r="AI46" s="11"/>
      <c r="AJ46" s="11">
        <f>14020.29+14051.98</f>
        <v>28072.27</v>
      </c>
      <c r="AK46" s="11"/>
      <c r="AL46" s="11">
        <v>14267.08</v>
      </c>
      <c r="AM46" s="11"/>
      <c r="AN46" s="11">
        <f>14023.07+14160.17</f>
        <v>28183.239999999998</v>
      </c>
      <c r="AO46" s="11"/>
      <c r="AP46" s="11">
        <v>14466.73</v>
      </c>
      <c r="AR46" s="11">
        <v>14661.45</v>
      </c>
      <c r="AS46" s="11"/>
      <c r="AT46" s="11">
        <f>14466.73+14540.67</f>
        <v>29007.4</v>
      </c>
      <c r="AU46" s="11"/>
      <c r="AV46" s="11"/>
      <c r="AW46" s="11"/>
      <c r="AX46" s="11">
        <v>14542.52</v>
      </c>
      <c r="AY46" s="11"/>
      <c r="AZ46" s="11">
        <v>14175.88</v>
      </c>
      <c r="BA46" s="11"/>
      <c r="BB46" s="11">
        <v>13985.79</v>
      </c>
      <c r="BC46" s="11"/>
      <c r="BD46" s="11">
        <f>14028.3+13990.41</f>
        <v>28018.71</v>
      </c>
    </row>
    <row r="47" spans="1:66" x14ac:dyDescent="0.25">
      <c r="R47" s="6" t="s">
        <v>32</v>
      </c>
      <c r="T47" s="11">
        <v>13897.67</v>
      </c>
    </row>
    <row r="48" spans="1:66" ht="14.95" thickBot="1" x14ac:dyDescent="0.3">
      <c r="R48" s="6" t="s">
        <v>33</v>
      </c>
      <c r="T48" s="18">
        <f>T46-T47</f>
        <v>85003.810000000012</v>
      </c>
      <c r="V48" s="17">
        <f>V46</f>
        <v>13936.8</v>
      </c>
      <c r="Z48" s="17">
        <f>Z46</f>
        <v>15182.76</v>
      </c>
      <c r="AB48" s="17">
        <f>AB46</f>
        <v>14500.31</v>
      </c>
      <c r="AD48" s="17">
        <f>AD46</f>
        <v>15497.33</v>
      </c>
      <c r="AF48" s="17">
        <f>AF46</f>
        <v>14223.02</v>
      </c>
      <c r="AH48" s="17">
        <f>AH46</f>
        <v>13960.21</v>
      </c>
      <c r="AJ48" s="17">
        <f>AJ46</f>
        <v>28072.27</v>
      </c>
      <c r="AL48" s="17">
        <f>AL46</f>
        <v>14267.08</v>
      </c>
      <c r="AN48" s="17">
        <f>AN46</f>
        <v>28183.239999999998</v>
      </c>
      <c r="AP48" s="17">
        <f>AP46</f>
        <v>14466.73</v>
      </c>
      <c r="AR48" s="17">
        <f>AR46</f>
        <v>14661.45</v>
      </c>
      <c r="AT48" s="11"/>
      <c r="AX48" s="11"/>
      <c r="AZ48" s="11"/>
      <c r="BB48" s="11"/>
      <c r="BD48" s="11"/>
    </row>
    <row r="49" spans="18:20" x14ac:dyDescent="0.25">
      <c r="R49" s="6" t="s">
        <v>34</v>
      </c>
      <c r="T49" s="11">
        <f>SUM(T48:AR48)</f>
        <v>271955.00999999995</v>
      </c>
    </row>
    <row r="50" spans="18:20" x14ac:dyDescent="0.25">
      <c r="R50" s="6" t="s">
        <v>35</v>
      </c>
      <c r="T50" s="11">
        <f>T49-T51</f>
        <v>26764.071744864399</v>
      </c>
    </row>
    <row r="51" spans="18:20" x14ac:dyDescent="0.25">
      <c r="R51" s="6" t="s">
        <v>36</v>
      </c>
      <c r="T51" s="16">
        <f>-AP17</f>
        <v>245190.93825513555</v>
      </c>
    </row>
  </sheetData>
  <pageMargins left="0.7" right="0.7" top="0.75" bottom="0.75" header="0.3" footer="0.3"/>
  <pageSetup scale="98" orientation="landscape" horizontalDpi="4294967295" verticalDpi="4294967295" r:id="rId1"/>
  <headerFooter>
    <oddHeader>&amp;CNavitas KYNG, LLC&amp;RExhibit G</oddHeader>
    <oddFooter>&amp;R&amp;D</oddFooter>
  </headerFooter>
  <colBreaks count="2" manualBreakCount="2">
    <brk id="43" max="1048575" man="1"/>
    <brk id="5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8E801A48761247A5B56E7821B4ABA6" ma:contentTypeVersion="10" ma:contentTypeDescription="Create a new document." ma:contentTypeScope="" ma:versionID="3c6845f8e2e866437deb7484c8943b6e">
  <xsd:schema xmlns:xsd="http://www.w3.org/2001/XMLSchema" xmlns:xs="http://www.w3.org/2001/XMLSchema" xmlns:p="http://schemas.microsoft.com/office/2006/metadata/properties" xmlns:ns3="4567fdcd-b08e-462f-9429-e84f6cddc8be" targetNamespace="http://schemas.microsoft.com/office/2006/metadata/properties" ma:root="true" ma:fieldsID="3a4985183ad823a792f24d947b0be9ea" ns3:_="">
    <xsd:import namespace="4567fdcd-b08e-462f-9429-e84f6cddc8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7fdcd-b08e-462f-9429-e84f6cddc8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75424A-932A-463B-B74A-D00003BB32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9ABA8D-24B3-4F23-A6DD-A7711996396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4567fdcd-b08e-462f-9429-e84f6cddc8b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BFB4658-86C7-499A-B80D-21C102C9B7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67fdcd-b08e-462f-9429-e84f6cddc8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Hartline</dc:creator>
  <cp:lastModifiedBy>Thomas Hartline</cp:lastModifiedBy>
  <cp:lastPrinted>2020-04-07T22:07:51Z</cp:lastPrinted>
  <dcterms:created xsi:type="dcterms:W3CDTF">2019-11-18T21:41:47Z</dcterms:created>
  <dcterms:modified xsi:type="dcterms:W3CDTF">2020-04-07T22:07:53Z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0x010100648E801A48761247A5B56E7821B4ABA6</vt:lpwstr>
  </property>
</Properties>
</file>