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defaultThemeVersion="124226"/>
  <xr:revisionPtr revIDLastSave="0" documentId="13_ncr:1_{B15C9585-3520-4A60-BF29-FE4D44BD4711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Page 1" sheetId="1" r:id="rId1"/>
    <sheet name="Page 2" sheetId="2" r:id="rId2"/>
    <sheet name="Page 3" sheetId="5" r:id="rId3"/>
    <sheet name="Page 4" sheetId="4" r:id="rId4"/>
    <sheet name="Page 5" sheetId="3" r:id="rId5"/>
    <sheet name="Page 6" sheetId="8" r:id="rId6"/>
    <sheet name="Page 7" sheetId="9" r:id="rId7"/>
  </sheets>
  <externalReferences>
    <externalReference r:id="rId8"/>
    <externalReference r:id="rId9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9" l="1"/>
  <c r="B16" i="9"/>
  <c r="H14" i="8"/>
  <c r="H13" i="8"/>
  <c r="G46" i="1" l="1"/>
  <c r="G45" i="1"/>
  <c r="G44" i="1"/>
  <c r="G43" i="1"/>
  <c r="G42" i="1"/>
  <c r="G41" i="1"/>
  <c r="G40" i="1"/>
  <c r="G39" i="1"/>
  <c r="G38" i="1"/>
  <c r="G37" i="1"/>
  <c r="F46" i="1"/>
  <c r="F45" i="1"/>
  <c r="F44" i="1"/>
  <c r="F43" i="1"/>
  <c r="F42" i="1"/>
  <c r="F41" i="1"/>
  <c r="F40" i="1"/>
  <c r="F39" i="1"/>
  <c r="F38" i="1"/>
  <c r="F37" i="1"/>
  <c r="E49" i="1"/>
  <c r="E46" i="1"/>
  <c r="E45" i="1"/>
  <c r="E44" i="1"/>
  <c r="E43" i="1"/>
  <c r="E42" i="1"/>
  <c r="E41" i="1"/>
  <c r="E40" i="1"/>
  <c r="E39" i="1"/>
  <c r="E38" i="1"/>
  <c r="E37" i="1"/>
  <c r="I17" i="1"/>
  <c r="I16" i="1"/>
  <c r="I15" i="1"/>
  <c r="I14" i="1"/>
  <c r="I13" i="1"/>
  <c r="I12" i="1"/>
  <c r="I11" i="1"/>
  <c r="H18" i="1"/>
  <c r="H17" i="1"/>
  <c r="H16" i="1"/>
  <c r="H15" i="1"/>
  <c r="H14" i="1"/>
  <c r="H13" i="1"/>
  <c r="H12" i="1"/>
  <c r="H11" i="1"/>
  <c r="E18" i="1"/>
  <c r="E17" i="1"/>
  <c r="E16" i="1"/>
  <c r="E15" i="1"/>
  <c r="E14" i="1"/>
  <c r="E13" i="1"/>
  <c r="E12" i="1"/>
  <c r="E11" i="1"/>
  <c r="D15" i="8" l="1"/>
  <c r="E15" i="8" s="1"/>
  <c r="B15" i="8"/>
  <c r="E19" i="1" l="1"/>
  <c r="B29" i="2" l="1"/>
  <c r="C16" i="9" l="1"/>
  <c r="E16" i="9"/>
  <c r="H16" i="2"/>
  <c r="K16" i="2" s="1"/>
  <c r="H15" i="2"/>
  <c r="K15" i="2" s="1"/>
  <c r="H14" i="2"/>
  <c r="K14" i="2" s="1"/>
  <c r="H13" i="2"/>
  <c r="K13" i="2" s="1"/>
  <c r="H12" i="2"/>
  <c r="K12" i="2" s="1"/>
  <c r="H11" i="2"/>
  <c r="K11" i="2" s="1"/>
  <c r="H9" i="9"/>
  <c r="G12" i="9"/>
  <c r="G11" i="9"/>
  <c r="G10" i="9"/>
  <c r="G9" i="9"/>
  <c r="G12" i="2" s="1"/>
  <c r="G8" i="9"/>
  <c r="E14" i="9"/>
  <c r="D14" i="9"/>
  <c r="C14" i="9"/>
  <c r="B14" i="9"/>
  <c r="G17" i="1" l="1"/>
  <c r="G18" i="1"/>
  <c r="G49" i="1" l="1"/>
  <c r="F49" i="1"/>
  <c r="E13" i="8" l="1"/>
  <c r="E12" i="8"/>
  <c r="E11" i="8"/>
  <c r="E10" i="8"/>
  <c r="E9" i="8"/>
  <c r="E8" i="8"/>
  <c r="E7" i="8"/>
  <c r="C15" i="8"/>
  <c r="C14" i="8"/>
  <c r="C13" i="8"/>
  <c r="C12" i="8"/>
  <c r="G12" i="8" s="1"/>
  <c r="C11" i="8"/>
  <c r="G11" i="8" s="1"/>
  <c r="C10" i="8"/>
  <c r="G10" i="8" s="1"/>
  <c r="C9" i="8"/>
  <c r="G9" i="8" s="1"/>
  <c r="C8" i="8"/>
  <c r="G8" i="8" s="1"/>
  <c r="C7" i="8"/>
  <c r="G7" i="8" s="1"/>
  <c r="H10" i="8" l="1"/>
  <c r="G14" i="1"/>
  <c r="H8" i="8"/>
  <c r="G12" i="1"/>
  <c r="H9" i="8"/>
  <c r="G13" i="1"/>
  <c r="H7" i="8"/>
  <c r="G11" i="1"/>
  <c r="H11" i="8"/>
  <c r="G15" i="1"/>
  <c r="H12" i="8"/>
  <c r="G16" i="1"/>
  <c r="G47" i="1"/>
  <c r="E47" i="1"/>
  <c r="D47" i="1"/>
  <c r="C47" i="1"/>
  <c r="B47" i="1"/>
  <c r="A54" i="1" l="1"/>
  <c r="H35" i="1" l="1"/>
  <c r="F15" i="1" l="1"/>
  <c r="F11" i="1"/>
  <c r="F18" i="1" l="1"/>
  <c r="F17" i="1"/>
  <c r="F14" i="1"/>
  <c r="F16" i="1"/>
  <c r="F12" i="1"/>
  <c r="F13" i="1"/>
  <c r="E21" i="1" l="1"/>
  <c r="C21" i="1" l="1"/>
  <c r="D21" i="1"/>
  <c r="B21" i="1"/>
  <c r="E30" i="2" l="1"/>
  <c r="E29" i="2"/>
  <c r="E28" i="2"/>
  <c r="C32" i="2"/>
  <c r="B32" i="2" l="1"/>
  <c r="D32" i="2"/>
  <c r="E27" i="2"/>
  <c r="E32" i="2" l="1"/>
  <c r="I30" i="2" l="1"/>
  <c r="J30" i="2" s="1"/>
  <c r="I27" i="2"/>
  <c r="G29" i="2"/>
  <c r="I29" i="2" s="1"/>
  <c r="J29" i="2" s="1"/>
  <c r="G28" i="2"/>
  <c r="I28" i="2" s="1"/>
  <c r="I25" i="2"/>
  <c r="J27" i="2" l="1"/>
  <c r="I32" i="2"/>
  <c r="J28" i="2"/>
  <c r="J32" i="2" l="1"/>
  <c r="L21" i="1"/>
  <c r="M21" i="1" l="1"/>
  <c r="I21" i="1"/>
  <c r="F21" i="1" l="1"/>
  <c r="B1" i="3" l="1"/>
  <c r="B1" i="4"/>
  <c r="B1" i="5"/>
  <c r="I22" i="3"/>
  <c r="I18" i="3"/>
  <c r="I15" i="3"/>
  <c r="A51" i="1"/>
  <c r="L25" i="3"/>
  <c r="B3" i="4"/>
  <c r="B3" i="3" s="1"/>
  <c r="E36" i="1"/>
  <c r="F36" i="1" s="1"/>
  <c r="G36" i="1" s="1"/>
  <c r="B36" i="1"/>
  <c r="C36" i="1" s="1"/>
  <c r="D36" i="1" s="1"/>
  <c r="H9" i="1"/>
  <c r="I9" i="1" s="1"/>
  <c r="A52" i="1"/>
  <c r="C9" i="1"/>
  <c r="D9" i="1" s="1"/>
  <c r="H37" i="3"/>
  <c r="K20" i="2" s="1"/>
  <c r="H34" i="3"/>
  <c r="J20" i="2" s="1"/>
  <c r="I28" i="3"/>
  <c r="H39" i="3" l="1"/>
  <c r="B20" i="2" s="1"/>
  <c r="N21" i="1"/>
  <c r="G21" i="1"/>
  <c r="F28" i="3" l="1"/>
  <c r="D20" i="5" l="1"/>
  <c r="G22" i="3"/>
  <c r="G18" i="3" l="1"/>
  <c r="D17" i="5"/>
  <c r="I16" i="2" l="1"/>
  <c r="E14" i="2"/>
  <c r="I11" i="2"/>
  <c r="I14" i="2"/>
  <c r="I13" i="2"/>
  <c r="E11" i="2"/>
  <c r="I15" i="2"/>
  <c r="C18" i="2"/>
  <c r="C34" i="2" s="1"/>
  <c r="E12" i="2"/>
  <c r="I12" i="2"/>
  <c r="E16" i="2"/>
  <c r="E13" i="2"/>
  <c r="E15" i="2"/>
  <c r="J14" i="2" l="1"/>
  <c r="J13" i="2"/>
  <c r="J11" i="2"/>
  <c r="J12" i="2"/>
  <c r="J15" i="2"/>
  <c r="J16" i="2"/>
  <c r="B18" i="2" l="1"/>
  <c r="B34" i="2" s="1"/>
  <c r="K18" i="2"/>
  <c r="I18" i="2"/>
  <c r="G28" i="3" l="1"/>
  <c r="H28" i="3" s="1"/>
  <c r="K28" i="3" s="1"/>
  <c r="D23" i="5"/>
  <c r="D18" i="2" l="1"/>
  <c r="D34" i="2" s="1"/>
  <c r="E18" i="2"/>
  <c r="E34" i="2" s="1"/>
  <c r="J18" i="2"/>
  <c r="G15" i="3" l="1"/>
  <c r="D14" i="5"/>
  <c r="J49" i="1" l="1"/>
  <c r="F22" i="3" s="1"/>
  <c r="H22" i="3" s="1"/>
  <c r="K22" i="3" s="1"/>
  <c r="F47" i="1" l="1"/>
  <c r="J47" i="1" s="1"/>
  <c r="F18" i="3" s="1"/>
  <c r="H18" i="3" s="1"/>
  <c r="K18" i="3" s="1"/>
  <c r="K25" i="3" s="1"/>
  <c r="H21" i="1"/>
  <c r="O21" i="1" s="1"/>
  <c r="F15" i="3" s="1"/>
  <c r="H15" i="3" s="1"/>
  <c r="K15" i="3" l="1"/>
  <c r="H30" i="3"/>
  <c r="H41" i="3" s="1"/>
</calcChain>
</file>

<file path=xl/sharedStrings.xml><?xml version="1.0" encoding="utf-8"?>
<sst xmlns="http://schemas.openxmlformats.org/spreadsheetml/2006/main" count="260" uniqueCount="163">
  <si>
    <t xml:space="preserve">                      Kentucky DSM Rider</t>
  </si>
  <si>
    <t>Comparison of Revenue Requirement to Rider Recovery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</si>
  <si>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</si>
  <si>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</si>
  <si>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</si>
  <si>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</si>
  <si>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</si>
  <si>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</si>
  <si>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</si>
  <si>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</si>
  <si>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</si>
  <si>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</si>
  <si>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Projected Program Costs</t>
  </si>
  <si>
    <t>Program Expenditures</t>
  </si>
  <si>
    <t xml:space="preserve">         Rider Collection (F)</t>
  </si>
  <si>
    <t>(Over)/Under Collection</t>
  </si>
  <si>
    <t>Gas</t>
  </si>
  <si>
    <t>Electric</t>
  </si>
  <si>
    <t>Gas (G)</t>
  </si>
  <si>
    <t>Electric (H)</t>
  </si>
  <si>
    <t>NA</t>
  </si>
  <si>
    <t>Residential Programs</t>
  </si>
  <si>
    <t>Gas (D)</t>
  </si>
  <si>
    <t>Electric (E)</t>
  </si>
  <si>
    <t>Commercial Programs</t>
  </si>
  <si>
    <t>Rider</t>
  </si>
  <si>
    <t>Reconciliation (C)</t>
  </si>
  <si>
    <t>Collection (D)</t>
  </si>
  <si>
    <t>Lost</t>
  </si>
  <si>
    <t>Shared</t>
  </si>
  <si>
    <t>Costs</t>
  </si>
  <si>
    <t>Revenues</t>
  </si>
  <si>
    <t>Savings</t>
  </si>
  <si>
    <t>Total</t>
  </si>
  <si>
    <t>Total Costs, Net Lost Revenues, Shared Savings</t>
  </si>
  <si>
    <t>Program</t>
  </si>
  <si>
    <t>Costs (A)</t>
  </si>
  <si>
    <t>Electric Rider DSM</t>
  </si>
  <si>
    <t>Residential Rate RS</t>
  </si>
  <si>
    <t>DS, DP, DT, GS-FL, EH &amp; SP</t>
  </si>
  <si>
    <t>Gas Rider DSM</t>
  </si>
  <si>
    <t>Summary of Billing Determinants</t>
  </si>
  <si>
    <t xml:space="preserve">Year </t>
  </si>
  <si>
    <t>Rates DS, DP, DT,</t>
  </si>
  <si>
    <t>GS-FL, EH, &amp; SP</t>
  </si>
  <si>
    <t>Rate RS</t>
  </si>
  <si>
    <t>Summary of Calculations</t>
  </si>
  <si>
    <t>Expected</t>
  </si>
  <si>
    <t>Total DSM</t>
  </si>
  <si>
    <t>Estimated</t>
  </si>
  <si>
    <t>Rate Schedule</t>
  </si>
  <si>
    <t>True-Up</t>
  </si>
  <si>
    <t>Revenue</t>
  </si>
  <si>
    <t>Billing</t>
  </si>
  <si>
    <t>DSM Cost</t>
  </si>
  <si>
    <t>Requirements</t>
  </si>
  <si>
    <t>$/kWh</t>
  </si>
  <si>
    <t>Total Recovery</t>
  </si>
  <si>
    <t>Amount (A)</t>
  </si>
  <si>
    <t>Costs (B)</t>
  </si>
  <si>
    <t>Determinants (C)</t>
  </si>
  <si>
    <t>Electric Costs</t>
  </si>
  <si>
    <t>Gas Costs</t>
  </si>
  <si>
    <t>Projected Lost Revenues</t>
  </si>
  <si>
    <t>Projected Shared Savings</t>
  </si>
  <si>
    <t>Lost Revenues</t>
  </si>
  <si>
    <t>Shared Savings</t>
  </si>
  <si>
    <t>(11)</t>
  </si>
  <si>
    <t>(12)</t>
  </si>
  <si>
    <t>(13)</t>
  </si>
  <si>
    <t>(14)</t>
  </si>
  <si>
    <t>(G) Column (5) + Column (9) - Column(11).</t>
  </si>
  <si>
    <t>(H) Column (6) + Column (7) + Column (8) + Column (10) - Column(12).</t>
  </si>
  <si>
    <t>Collection (E)</t>
  </si>
  <si>
    <t>(E) Column (4) + Column (5) + Column (6) + Column (7) - Column (8)</t>
  </si>
  <si>
    <t>Demand Side Management Cost Recovery Rider (DSMR)</t>
  </si>
  <si>
    <t>Recovery Rider (DSMR)</t>
  </si>
  <si>
    <t>Budget (Costs, Lost Revenues, &amp; Shared Savings)</t>
  </si>
  <si>
    <t>Total Rider Recovery</t>
  </si>
  <si>
    <t>Electric No.4</t>
  </si>
  <si>
    <t>Gas No. 5</t>
  </si>
  <si>
    <t>Number of Customers</t>
  </si>
  <si>
    <t>Annual Revenues</t>
  </si>
  <si>
    <t>Riders</t>
  </si>
  <si>
    <t>Total Customer Charge Revenues</t>
  </si>
  <si>
    <t>Monthly Customer Charge</t>
  </si>
  <si>
    <t>Duke Energy Kentucky</t>
  </si>
  <si>
    <t>GS-FL, EH, SP, &amp; TT</t>
  </si>
  <si>
    <t>TT</t>
  </si>
  <si>
    <t>Distribution Level Rates Part A</t>
  </si>
  <si>
    <t>Distribution Level Rates Part B</t>
  </si>
  <si>
    <t>Transmission Level Rates &amp;</t>
  </si>
  <si>
    <t>Distribution Level Rates Total</t>
  </si>
  <si>
    <t>Total Program</t>
  </si>
  <si>
    <t>Customer Charge for HEA Program</t>
  </si>
  <si>
    <t>Projected Annual Electric Sales kWH</t>
  </si>
  <si>
    <t>Projected Annual Gas Sales CCF</t>
  </si>
  <si>
    <t>kWh</t>
  </si>
  <si>
    <t>CCF</t>
  </si>
  <si>
    <t>$/CCF</t>
  </si>
  <si>
    <t>Summary of Calculations for Programs</t>
  </si>
  <si>
    <t>(B) Appendix B, page 2.</t>
  </si>
  <si>
    <t>(C) Appendix B, page 4.</t>
  </si>
  <si>
    <t xml:space="preserve">                 Program Expenditures (C)</t>
  </si>
  <si>
    <t>Residential Smart $aver®</t>
  </si>
  <si>
    <t>Energy Efficiency Education Program for Schools</t>
  </si>
  <si>
    <t>My Home Energy Report</t>
  </si>
  <si>
    <t>Low Income Neighborhood</t>
  </si>
  <si>
    <t>Low Income Services</t>
  </si>
  <si>
    <t>Residential Energy Assessments</t>
  </si>
  <si>
    <t>Smart $aver® Custom</t>
  </si>
  <si>
    <t>Smart $aver® Prescriptive - Energy Star Food Service Products</t>
  </si>
  <si>
    <t>Smart $aver® Prescriptive - HVAC</t>
  </si>
  <si>
    <t>Smart $aver® Prescriptive - Lighting</t>
  </si>
  <si>
    <t>Smart $aver® Prescriptive - Motors/Pumps/VFD</t>
  </si>
  <si>
    <t>Smart $aver® Prescriptive - Process Equipment</t>
  </si>
  <si>
    <t>(Over)/Under</t>
  </si>
  <si>
    <t>Home Energy Assistance Pilot Program</t>
  </si>
  <si>
    <t>Revenues collected except for HEA</t>
  </si>
  <si>
    <t>(D) Recovery allowed in accordance with the Commission's Order in Case No. 2012-00085.</t>
  </si>
  <si>
    <t>(E) Recovery allowed in accordance with the Commission's Order in Case No. 2012-00085.</t>
  </si>
  <si>
    <t>Smart $aver® Prescriptive - IT</t>
  </si>
  <si>
    <t>ccf</t>
  </si>
  <si>
    <t>Total Residential</t>
  </si>
  <si>
    <t>% of Total Res Sales</t>
  </si>
  <si>
    <t>Total Residential (Rate RS) Sales</t>
  </si>
  <si>
    <t>Elec % of Total % of Sales</t>
  </si>
  <si>
    <t>Gas % of Total % of Sales</t>
  </si>
  <si>
    <t>Allocation of Costs (B)</t>
  </si>
  <si>
    <t>Small Business Energy Saver</t>
  </si>
  <si>
    <t>(C) Allocation of program expenditures to gas and electric in accordance with the Commission's Order in Case No. 2014-00388.</t>
  </si>
  <si>
    <t>(C) Recovery allowed in accordance with the Commission's Order in Case No. 2012-00085.</t>
  </si>
  <si>
    <t>Power Manager®</t>
  </si>
  <si>
    <t>Power Manager® for Apartments</t>
  </si>
  <si>
    <t>PowerShare®</t>
  </si>
  <si>
    <t>Power Manager® for Business</t>
  </si>
  <si>
    <t>(I) Revenues and expenses for the Home Energy Assistance Pilot Program.</t>
  </si>
  <si>
    <t>Residential Program Summary (A)</t>
  </si>
  <si>
    <t>NonResidential Program Summary (A)</t>
  </si>
  <si>
    <t xml:space="preserve">Reconciliation  </t>
  </si>
  <si>
    <t>Smart $aver® Non-Residential Performance Incentive Program</t>
  </si>
  <si>
    <t>July 2019 to June 2020</t>
  </si>
  <si>
    <t>(C) Smart $aver® Prescriptive consists of the following technologies: Energy Efficient Food Service Projects, HVAC, Lighting, IT, Pumps and Motors, and Process Equipment.</t>
  </si>
  <si>
    <t>Smart $aver® Prescriptive (C)</t>
  </si>
  <si>
    <t>(A) Costs, Lost Revenues (for this period and from prior period DSM measure installations), and Shared Savings for Year 8 of portfolio.</t>
  </si>
  <si>
    <t>7/2018 to 6/2019 (A)</t>
  </si>
  <si>
    <t>July 2018 to June 2019</t>
  </si>
  <si>
    <t>Allocation Factors based on July 2018-June 2019</t>
  </si>
  <si>
    <t>(B) Actual program expenditures, lost revenues (for this period and from prior period DSM measure installations), and shared savings for the period July 1, 2018 through June 30, 2019.</t>
  </si>
  <si>
    <t>(F) Revenues collected through the DSM Rider between July 1, 2018 and June 30, 2019.</t>
  </si>
  <si>
    <t>For July 2018 Through June 2019</t>
  </si>
  <si>
    <t>7/2018 to 6/2019 (B)</t>
  </si>
  <si>
    <t>Projected</t>
  </si>
  <si>
    <t>(B) Allocation of program expenditures to gas and electric in accordance with the Commission's Order in Case No. 2014-00388.</t>
  </si>
  <si>
    <t xml:space="preserve">2020-2021 Projected Program Costs, Lost Revenues, and Shared Savings </t>
  </si>
  <si>
    <r>
      <t xml:space="preserve">Home Energy Assistance Pilot Program (I) </t>
    </r>
    <r>
      <rPr>
        <sz val="10"/>
        <color rgb="FFFF0000"/>
        <rFont val="Arial"/>
        <family val="2"/>
      </rPr>
      <t xml:space="preserve"> </t>
    </r>
  </si>
  <si>
    <t>(A) Amounts identified in report filed in Case No. 2017-00427</t>
  </si>
  <si>
    <t>(A) See Appendix B, page 2 of 7</t>
  </si>
  <si>
    <t>(A) (Over)/Under of Appendix B page 1 multiplied by the average three-month commercial paper rate for 2018 to include interest on over or under-recovery in accordance with the Commission's order in Case No. 95-312. Value is:</t>
  </si>
  <si>
    <t>Summary of Load Impacts July 2020 Through June 2021 (1)</t>
  </si>
  <si>
    <t>Summary of Load Impacts July 2018 Through June 2019 (1)</t>
  </si>
  <si>
    <t>(1) Load Impacts Net of Free Riders at Meter</t>
  </si>
  <si>
    <t xml:space="preserve">Allocation Factors Projected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</si>
</sst>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  <numFmt numFmtId="167" formatCode="_(&quot;$&quot;* #,##0.000000_);_(&quot;$&quot;* \(#,##0.000000\);_(&quot;$&quot;* &quot;-&quot;??_);_(@_)"/>
    <numFmt numFmtId="168" formatCode="0.000000"/>
    <numFmt numFmtId="169" formatCode="0.0000%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color theme="4"/>
      <name val="Arial"/>
      <family val="2"/>
    </font>
    <font>
      <sz val="11"/>
      <color theme="1"/>
      <name val="Cambria"/>
      <family val="2"/>
    </font>
    <font>
      <sz val="10"/>
      <color theme="1"/>
      <name val="Arial"/>
      <family val="2"/>
    </font>
    <font>
      <u/>
      <sz val="11"/>
      <color theme="10"/>
      <name val="Cambria"/>
      <family val="2"/>
    </font>
    <font>
      <u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0" fillId="0" borderId="0"/>
    <xf numFmtId="0" fontId="12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2">
    <xf numFmtId="0" fontId="0" fillId="0" borderId="0" xfId="0"/>
    <xf numFmtId="0" fontId="0" fillId="0" borderId="0" xfId="0" applyFill="1" applyBorder="1"/>
    <xf numFmtId="164" fontId="0" fillId="0" borderId="0" xfId="2" applyNumberFormat="1" applyFont="1" applyFill="1"/>
    <xf numFmtId="164" fontId="0" fillId="0" borderId="0" xfId="0" applyNumberFormat="1" applyFill="1"/>
    <xf numFmtId="0" fontId="0" fillId="0" borderId="0" xfId="0" applyFill="1"/>
    <xf numFmtId="164" fontId="0" fillId="0" borderId="0" xfId="0" applyNumberFormat="1" applyFill="1" applyBorder="1"/>
    <xf numFmtId="166" fontId="0" fillId="0" borderId="0" xfId="1" applyNumberFormat="1" applyFont="1" applyFill="1"/>
    <xf numFmtId="166" fontId="0" fillId="0" borderId="0" xfId="0" applyNumberFormat="1" applyFill="1"/>
    <xf numFmtId="0" fontId="0" fillId="0" borderId="1" xfId="0" applyFill="1" applyBorder="1"/>
    <xf numFmtId="164" fontId="0" fillId="0" borderId="0" xfId="2" applyNumberFormat="1" applyFont="1" applyFill="1" applyBorder="1"/>
    <xf numFmtId="49" fontId="0" fillId="0" borderId="0" xfId="0" applyNumberForma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6" fillId="0" borderId="0" xfId="0" applyNumberFormat="1" applyFont="1" applyFill="1"/>
    <xf numFmtId="0" fontId="6" fillId="0" borderId="0" xfId="0" quotePrefix="1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0" fillId="0" borderId="1" xfId="0" applyFill="1" applyBorder="1" applyAlignment="1">
      <alignment horizontal="left"/>
    </xf>
    <xf numFmtId="164" fontId="0" fillId="0" borderId="0" xfId="2" applyNumberFormat="1" applyFont="1" applyFill="1" applyAlignment="1"/>
    <xf numFmtId="164" fontId="0" fillId="0" borderId="0" xfId="2" applyNumberFormat="1" applyFont="1" applyFill="1" applyBorder="1" applyAlignment="1">
      <alignment horizontal="center"/>
    </xf>
    <xf numFmtId="164" fontId="0" fillId="0" borderId="0" xfId="2" applyNumberFormat="1" applyFont="1" applyFill="1" applyBorder="1" applyAlignment="1"/>
    <xf numFmtId="164" fontId="7" fillId="0" borderId="0" xfId="2" applyNumberFormat="1" applyFont="1" applyFill="1"/>
    <xf numFmtId="167" fontId="0" fillId="0" borderId="0" xfId="2" applyNumberFormat="1" applyFont="1" applyFill="1"/>
    <xf numFmtId="44" fontId="0" fillId="0" borderId="0" xfId="2" applyFont="1" applyFill="1"/>
    <xf numFmtId="0" fontId="1" fillId="0" borderId="0" xfId="0" applyFont="1" applyFill="1" applyBorder="1"/>
    <xf numFmtId="164" fontId="1" fillId="0" borderId="0" xfId="2" applyNumberFormat="1" applyFont="1" applyFill="1"/>
    <xf numFmtId="0" fontId="1" fillId="0" borderId="0" xfId="0" applyFont="1" applyFill="1" applyAlignment="1">
      <alignment horizontal="right"/>
    </xf>
    <xf numFmtId="0" fontId="5" fillId="0" borderId="0" xfId="0" applyFont="1" applyFill="1"/>
    <xf numFmtId="43" fontId="0" fillId="0" borderId="0" xfId="0" applyNumberFormat="1" applyFill="1"/>
    <xf numFmtId="0" fontId="3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8" fillId="0" borderId="0" xfId="0" applyFont="1" applyFill="1" applyAlignment="1">
      <alignment horizontal="right"/>
    </xf>
    <xf numFmtId="0" fontId="1" fillId="0" borderId="1" xfId="0" applyFont="1" applyFill="1" applyBorder="1"/>
    <xf numFmtId="0" fontId="0" fillId="0" borderId="3" xfId="0" applyFill="1" applyBorder="1"/>
    <xf numFmtId="164" fontId="0" fillId="0" borderId="3" xfId="0" applyNumberFormat="1" applyFill="1" applyBorder="1"/>
    <xf numFmtId="164" fontId="0" fillId="0" borderId="3" xfId="2" applyNumberFormat="1" applyFont="1" applyFill="1" applyBorder="1"/>
    <xf numFmtId="164" fontId="9" fillId="0" borderId="0" xfId="2" applyNumberFormat="1" applyFont="1" applyFill="1" applyBorder="1"/>
    <xf numFmtId="0" fontId="1" fillId="0" borderId="3" xfId="0" applyFont="1" applyFill="1" applyBorder="1"/>
    <xf numFmtId="0" fontId="0" fillId="0" borderId="0" xfId="0" applyFill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166" fontId="1" fillId="0" borderId="0" xfId="1" applyNumberFormat="1" applyFont="1" applyFill="1"/>
    <xf numFmtId="164" fontId="1" fillId="0" borderId="0" xfId="0" applyNumberFormat="1" applyFont="1" applyFill="1"/>
    <xf numFmtId="164" fontId="1" fillId="0" borderId="0" xfId="2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64" fontId="4" fillId="0" borderId="0" xfId="5" applyNumberFormat="1" applyFont="1" applyFill="1"/>
    <xf numFmtId="0" fontId="0" fillId="0" borderId="0" xfId="0" applyFill="1"/>
    <xf numFmtId="0" fontId="1" fillId="0" borderId="0" xfId="0" applyFont="1" applyFill="1"/>
    <xf numFmtId="0" fontId="1" fillId="0" borderId="0" xfId="9" applyFont="1" applyFill="1" applyBorder="1" applyAlignment="1">
      <alignment horizontal="center"/>
    </xf>
    <xf numFmtId="0" fontId="3" fillId="0" borderId="0" xfId="9" applyFont="1" applyFill="1" applyBorder="1" applyAlignment="1">
      <alignment horizontal="center" wrapText="1"/>
    </xf>
    <xf numFmtId="167" fontId="1" fillId="0" borderId="0" xfId="2" applyNumberFormat="1" applyFont="1" applyFill="1"/>
    <xf numFmtId="167" fontId="7" fillId="0" borderId="0" xfId="2" applyNumberFormat="1" applyFont="1" applyFill="1"/>
    <xf numFmtId="0" fontId="1" fillId="0" borderId="0" xfId="12" applyFill="1"/>
    <xf numFmtId="0" fontId="8" fillId="0" borderId="0" xfId="12" applyFont="1" applyFill="1" applyAlignment="1">
      <alignment horizontal="right"/>
    </xf>
    <xf numFmtId="0" fontId="1" fillId="0" borderId="0" xfId="12" applyFill="1" applyAlignment="1">
      <alignment horizontal="left"/>
    </xf>
    <xf numFmtId="0" fontId="1" fillId="0" borderId="0" xfId="12" applyFont="1" applyFill="1"/>
    <xf numFmtId="0" fontId="1" fillId="0" borderId="0" xfId="12" applyFill="1" applyAlignment="1">
      <alignment horizontal="center"/>
    </xf>
    <xf numFmtId="0" fontId="1" fillId="0" borderId="0" xfId="12" applyFont="1" applyFill="1" applyAlignment="1">
      <alignment horizontal="left"/>
    </xf>
    <xf numFmtId="164" fontId="4" fillId="0" borderId="0" xfId="13" applyNumberFormat="1" applyFont="1" applyFill="1" applyAlignment="1">
      <alignment horizontal="center"/>
    </xf>
    <xf numFmtId="0" fontId="3" fillId="0" borderId="0" xfId="12" applyFont="1" applyFill="1" applyAlignment="1">
      <alignment horizontal="center"/>
    </xf>
    <xf numFmtId="164" fontId="1" fillId="0" borderId="0" xfId="13" applyNumberFormat="1" applyFont="1" applyFill="1"/>
    <xf numFmtId="164" fontId="1" fillId="0" borderId="0" xfId="12" applyNumberFormat="1" applyFill="1"/>
    <xf numFmtId="164" fontId="0" fillId="0" borderId="0" xfId="13" applyNumberFormat="1" applyFont="1" applyFill="1"/>
    <xf numFmtId="164" fontId="1" fillId="0" borderId="0" xfId="12" applyNumberFormat="1" applyFont="1" applyFill="1"/>
    <xf numFmtId="165" fontId="0" fillId="0" borderId="0" xfId="14" applyNumberFormat="1" applyFont="1" applyFill="1"/>
    <xf numFmtId="0" fontId="1" fillId="0" borderId="0" xfId="12" applyFont="1" applyFill="1" applyAlignment="1">
      <alignment horizontal="center"/>
    </xf>
    <xf numFmtId="0" fontId="11" fillId="0" borderId="0" xfId="12" applyFont="1" applyFill="1"/>
    <xf numFmtId="164" fontId="0" fillId="0" borderId="1" xfId="0" applyNumberFormat="1" applyFill="1" applyBorder="1"/>
    <xf numFmtId="165" fontId="0" fillId="0" borderId="0" xfId="6" applyNumberFormat="1" applyFont="1" applyFill="1"/>
    <xf numFmtId="0" fontId="1" fillId="0" borderId="0" xfId="12" applyFont="1" applyFill="1" applyAlignment="1">
      <alignment horizontal="left" indent="6"/>
    </xf>
    <xf numFmtId="0" fontId="1" fillId="0" borderId="0" xfId="12" applyFont="1" applyFill="1" applyAlignment="1">
      <alignment horizontal="left" indent="7"/>
    </xf>
    <xf numFmtId="0" fontId="1" fillId="0" borderId="0" xfId="12" applyFont="1" applyFill="1" applyAlignment="1">
      <alignment horizontal="left" vertical="center" indent="1"/>
    </xf>
    <xf numFmtId="0" fontId="1" fillId="0" borderId="0" xfId="9" applyFont="1" applyFill="1"/>
    <xf numFmtId="0" fontId="1" fillId="0" borderId="0" xfId="9" applyFill="1"/>
    <xf numFmtId="0" fontId="11" fillId="0" borderId="0" xfId="9" applyFont="1" applyFill="1"/>
    <xf numFmtId="0" fontId="1" fillId="0" borderId="0" xfId="9" applyFont="1"/>
    <xf numFmtId="169" fontId="1" fillId="0" borderId="4" xfId="6" applyNumberFormat="1" applyFont="1" applyBorder="1"/>
    <xf numFmtId="169" fontId="11" fillId="0" borderId="5" xfId="6" applyNumberFormat="1" applyFont="1" applyBorder="1"/>
    <xf numFmtId="9" fontId="11" fillId="0" borderId="0" xfId="6" applyFont="1" applyBorder="1"/>
    <xf numFmtId="0" fontId="1" fillId="0" borderId="0" xfId="0" applyFont="1" applyFill="1" applyAlignment="1">
      <alignment horizontal="left" indent="1"/>
    </xf>
    <xf numFmtId="0" fontId="0" fillId="0" borderId="0" xfId="0" applyFill="1" applyAlignment="1">
      <alignment horizontal="left" indent="1"/>
    </xf>
    <xf numFmtId="164" fontId="7" fillId="0" borderId="3" xfId="2" applyNumberFormat="1" applyFont="1" applyFill="1" applyBorder="1" applyAlignment="1">
      <alignment horizontal="left"/>
    </xf>
    <xf numFmtId="164" fontId="7" fillId="0" borderId="0" xfId="2" applyNumberFormat="1" applyFont="1" applyFill="1" applyBorder="1" applyAlignment="1">
      <alignment horizontal="left"/>
    </xf>
    <xf numFmtId="0" fontId="11" fillId="0" borderId="0" xfId="9" applyFont="1" applyFill="1" applyAlignment="1">
      <alignment horizontal="left" indent="16"/>
    </xf>
    <xf numFmtId="0" fontId="1" fillId="0" borderId="0" xfId="9" applyFont="1" applyFill="1" applyBorder="1" applyAlignment="1"/>
    <xf numFmtId="0" fontId="11" fillId="0" borderId="0" xfId="9" applyFont="1" applyFill="1" applyBorder="1"/>
    <xf numFmtId="0" fontId="3" fillId="0" borderId="0" xfId="9" applyFont="1" applyFill="1" applyBorder="1" applyAlignment="1">
      <alignment horizontal="center"/>
    </xf>
    <xf numFmtId="0" fontId="13" fillId="0" borderId="0" xfId="9" applyFont="1" applyFill="1" applyBorder="1" applyAlignment="1">
      <alignment horizontal="center"/>
    </xf>
    <xf numFmtId="9" fontId="1" fillId="0" borderId="0" xfId="9" applyNumberFormat="1" applyFont="1" applyFill="1"/>
    <xf numFmtId="0" fontId="11" fillId="0" borderId="2" xfId="9" applyFont="1" applyFill="1" applyBorder="1"/>
    <xf numFmtId="166" fontId="11" fillId="0" borderId="5" xfId="9" applyNumberFormat="1" applyFont="1" applyFill="1" applyBorder="1"/>
    <xf numFmtId="166" fontId="11" fillId="0" borderId="0" xfId="9" applyNumberFormat="1" applyFont="1" applyFill="1" applyBorder="1"/>
    <xf numFmtId="9" fontId="11" fillId="0" borderId="0" xfId="6" applyFont="1" applyFill="1" applyBorder="1"/>
    <xf numFmtId="0" fontId="1" fillId="0" borderId="0" xfId="0" applyFont="1" applyFill="1" applyBorder="1" applyAlignment="1">
      <alignment horizontal="left" indent="4"/>
    </xf>
    <xf numFmtId="0" fontId="1" fillId="0" borderId="1" xfId="0" applyFont="1" applyFill="1" applyBorder="1" applyAlignment="1">
      <alignment horizontal="center"/>
    </xf>
    <xf numFmtId="168" fontId="1" fillId="0" borderId="0" xfId="0" applyNumberFormat="1" applyFont="1" applyFill="1" applyAlignment="1">
      <alignment horizontal="left"/>
    </xf>
    <xf numFmtId="166" fontId="1" fillId="0" borderId="4" xfId="7" applyNumberFormat="1" applyFont="1" applyFill="1" applyBorder="1"/>
    <xf numFmtId="169" fontId="1" fillId="0" borderId="4" xfId="6" applyNumberFormat="1" applyFont="1" applyFill="1" applyBorder="1"/>
    <xf numFmtId="166" fontId="11" fillId="0" borderId="4" xfId="8" applyNumberFormat="1" applyFont="1" applyFill="1" applyBorder="1"/>
    <xf numFmtId="169" fontId="11" fillId="0" borderId="5" xfId="6" applyNumberFormat="1" applyFont="1" applyFill="1" applyBorder="1"/>
    <xf numFmtId="164" fontId="1" fillId="0" borderId="3" xfId="0" applyNumberFormat="1" applyFont="1" applyFill="1" applyBorder="1"/>
    <xf numFmtId="164" fontId="1" fillId="0" borderId="0" xfId="2" applyNumberFormat="1" applyFont="1" applyFill="1" applyBorder="1" applyAlignment="1">
      <alignment horizontal="left"/>
    </xf>
    <xf numFmtId="0" fontId="1" fillId="0" borderId="0" xfId="10" applyFont="1" applyFill="1"/>
    <xf numFmtId="0" fontId="1" fillId="0" borderId="0" xfId="10" applyFont="1"/>
    <xf numFmtId="0" fontId="11" fillId="0" borderId="0" xfId="10" applyFont="1" applyFill="1" applyAlignment="1">
      <alignment horizontal="left"/>
    </xf>
    <xf numFmtId="0" fontId="11" fillId="0" borderId="0" xfId="10" applyFont="1" applyAlignment="1">
      <alignment horizontal="left" indent="17"/>
    </xf>
    <xf numFmtId="0" fontId="11" fillId="0" borderId="0" xfId="10" applyFont="1"/>
    <xf numFmtId="0" fontId="1" fillId="0" borderId="6" xfId="10" applyFont="1" applyBorder="1" applyAlignment="1">
      <alignment horizontal="left" indent="5"/>
    </xf>
    <xf numFmtId="0" fontId="1" fillId="0" borderId="0" xfId="10" applyFont="1" applyBorder="1" applyAlignment="1">
      <alignment horizontal="left" indent="5"/>
    </xf>
    <xf numFmtId="0" fontId="3" fillId="0" borderId="4" xfId="10" applyFont="1" applyBorder="1" applyAlignment="1">
      <alignment horizontal="center" wrapText="1"/>
    </xf>
    <xf numFmtId="0" fontId="3" fillId="0" borderId="7" xfId="10" applyFont="1" applyBorder="1" applyAlignment="1">
      <alignment horizontal="center" wrapText="1"/>
    </xf>
    <xf numFmtId="0" fontId="13" fillId="0" borderId="6" xfId="10" applyFont="1" applyBorder="1" applyAlignment="1">
      <alignment horizontal="center" wrapText="1"/>
    </xf>
    <xf numFmtId="9" fontId="3" fillId="0" borderId="0" xfId="9" applyNumberFormat="1" applyFont="1" applyAlignment="1">
      <alignment horizontal="center" wrapText="1"/>
    </xf>
    <xf numFmtId="166" fontId="11" fillId="0" borderId="6" xfId="8" applyNumberFormat="1" applyFont="1" applyFill="1" applyBorder="1"/>
    <xf numFmtId="9" fontId="1" fillId="0" borderId="0" xfId="9" applyNumberFormat="1" applyFont="1"/>
    <xf numFmtId="0" fontId="1" fillId="0" borderId="0" xfId="10" applyFont="1" applyFill="1" applyBorder="1"/>
    <xf numFmtId="9" fontId="1" fillId="0" borderId="0" xfId="6" applyFont="1"/>
    <xf numFmtId="166" fontId="11" fillId="0" borderId="8" xfId="10" applyNumberFormat="1" applyFont="1" applyBorder="1"/>
    <xf numFmtId="166" fontId="11" fillId="0" borderId="0" xfId="10" applyNumberFormat="1" applyFont="1" applyBorder="1"/>
    <xf numFmtId="0" fontId="1" fillId="0" borderId="0" xfId="10" applyFont="1" applyBorder="1"/>
    <xf numFmtId="0" fontId="11" fillId="0" borderId="0" xfId="10" applyFont="1" applyBorder="1"/>
    <xf numFmtId="0" fontId="1" fillId="0" borderId="0" xfId="9"/>
    <xf numFmtId="0" fontId="11" fillId="0" borderId="0" xfId="10" applyFont="1" applyFill="1" applyBorder="1"/>
    <xf numFmtId="0" fontId="14" fillId="0" borderId="0" xfId="0" applyFont="1" applyBorder="1" applyAlignment="1"/>
    <xf numFmtId="166" fontId="11" fillId="0" borderId="0" xfId="10" applyNumberFormat="1" applyFont="1" applyFill="1" applyBorder="1"/>
    <xf numFmtId="166" fontId="1" fillId="0" borderId="7" xfId="7" applyNumberFormat="1" applyFont="1" applyBorder="1"/>
    <xf numFmtId="166" fontId="11" fillId="0" borderId="9" xfId="10" applyNumberFormat="1" applyFont="1" applyBorder="1"/>
    <xf numFmtId="0" fontId="11" fillId="0" borderId="0" xfId="10" applyFont="1" applyBorder="1" applyAlignment="1">
      <alignment wrapText="1"/>
    </xf>
    <xf numFmtId="0" fontId="11" fillId="0" borderId="2" xfId="10" applyFont="1" applyBorder="1"/>
    <xf numFmtId="0" fontId="1" fillId="0" borderId="0" xfId="12" applyFont="1" applyFill="1" applyAlignment="1">
      <alignment horizontal="center" wrapText="1"/>
    </xf>
    <xf numFmtId="0" fontId="1" fillId="0" borderId="0" xfId="9" applyFont="1" applyFill="1" applyBorder="1" applyAlignment="1">
      <alignment horizontal="center" vertical="center" wrapText="1"/>
    </xf>
    <xf numFmtId="0" fontId="1" fillId="0" borderId="0" xfId="9" applyFont="1" applyFill="1" applyBorder="1" applyAlignment="1">
      <alignment horizontal="center" wrapText="1"/>
    </xf>
  </cellXfs>
  <cellStyles count="15">
    <cellStyle name="Comma" xfId="1" builtinId="3"/>
    <cellStyle name="Comma 10" xfId="8" xr:uid="{00000000-0005-0000-0000-000001000000}"/>
    <cellStyle name="Comma 2" xfId="3" xr:uid="{00000000-0005-0000-0000-000002000000}"/>
    <cellStyle name="Comma 2 6" xfId="7" xr:uid="{00000000-0005-0000-0000-000003000000}"/>
    <cellStyle name="Currency" xfId="2" builtinId="4"/>
    <cellStyle name="Currency 10 5" xfId="13" xr:uid="{00000000-0005-0000-0000-000005000000}"/>
    <cellStyle name="Currency 2" xfId="5" xr:uid="{00000000-0005-0000-0000-000006000000}"/>
    <cellStyle name="Hyperlink 8" xfId="11" xr:uid="{00000000-0005-0000-0000-000007000000}"/>
    <cellStyle name="Normal" xfId="0" builtinId="0"/>
    <cellStyle name="Normal - Style2 2" xfId="12" xr:uid="{00000000-0005-0000-0000-000009000000}"/>
    <cellStyle name="Normal 2" xfId="4" xr:uid="{00000000-0005-0000-0000-00000A000000}"/>
    <cellStyle name="Normal 2 2 2" xfId="9" xr:uid="{00000000-0005-0000-0000-00000B000000}"/>
    <cellStyle name="Normal 2 26" xfId="10" xr:uid="{00000000-0005-0000-0000-00000C000000}"/>
    <cellStyle name="Percent 10 10" xfId="14" xr:uid="{00000000-0005-0000-0000-00000D000000}"/>
    <cellStyle name="Percent 2 2" xfId="6" xr:uid="{00000000-0005-0000-0000-00000E000000}"/>
  </cellStyles>
  <dxfs count="0"/>
  <tableStyles count="0" defaultTableStyle="TableStyleMedium9" defaultPivotStyle="PivotStyleLight16"/>
  <colors>
    <mruColors>
      <color rgb="FFFE7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e0247\AppData\Local\Microsoft\Windows\INetCache\Content.Outlook\V7SD7A2C\KY%202018-19%20True%20Up%20working%20vers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e0247\AppData\Local\Microsoft\Windows\INetCache\Content.Outlook\V7SD7A2C\Copy%20of%20KY%202018-19%20True%20Up%20jah%20927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Totals - Partic"/>
      <sheetName val="Control Totals - Prog Cost"/>
      <sheetName val="Lookup"/>
      <sheetName val="INPUTS"/>
      <sheetName val="S$NR Lookup"/>
      <sheetName val="Cost Eff"/>
      <sheetName val="Allocation Factors - Pg 1"/>
      <sheetName val="Table 1 at Meter"/>
      <sheetName val="Programs"/>
      <sheetName val="Lost Revenue Detail"/>
      <sheetName val="LR Pivot"/>
      <sheetName val="HECR &amp; DR"/>
      <sheetName val="Msr Lvl Pivot"/>
      <sheetName val="Cost Staging"/>
      <sheetName val="CES pivot for checking"/>
      <sheetName val="Data - UI Cost Eff"/>
      <sheetName val="Data - UI CES S$NR"/>
      <sheetName val="Cost Alloc Recon pivot"/>
      <sheetName val="Data-Cost Alloc Recon"/>
      <sheetName val="Data-UI Msr Lvl"/>
      <sheetName val="MDO pivot for checking"/>
      <sheetName val="Data-UI MDO"/>
      <sheetName val="Data-UI L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3">
          <cell r="D13" t="str">
            <v>Appliance Recycling Program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0.1</v>
          </cell>
          <cell r="R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Z13">
            <v>0</v>
          </cell>
        </row>
        <row r="14">
          <cell r="D14" t="str">
            <v>Energy Efficiency Education Program for Schools</v>
          </cell>
          <cell r="F14">
            <v>1798.8978824673843</v>
          </cell>
          <cell r="G14">
            <v>0.42381465384518713</v>
          </cell>
          <cell r="H14">
            <v>5</v>
          </cell>
          <cell r="J14">
            <v>178.78182283090135</v>
          </cell>
          <cell r="K14">
            <v>426.2113864785947</v>
          </cell>
          <cell r="L14">
            <v>126.02594274509335</v>
          </cell>
          <cell r="M14">
            <v>0</v>
          </cell>
          <cell r="N14">
            <v>731.01915205458931</v>
          </cell>
          <cell r="O14">
            <v>6168.0513796712039</v>
          </cell>
          <cell r="P14">
            <v>-5437.0322276166144</v>
          </cell>
          <cell r="Q14">
            <v>0.1</v>
          </cell>
          <cell r="R14">
            <v>-543.70322276166144</v>
          </cell>
          <cell r="T14">
            <v>6168.0513796712039</v>
          </cell>
          <cell r="U14">
            <v>-359.16434272842798</v>
          </cell>
          <cell r="V14">
            <v>5808.8870369427759</v>
          </cell>
          <cell r="W14">
            <v>5808.8870369427759</v>
          </cell>
          <cell r="Y14">
            <v>5265.1838141811149</v>
          </cell>
          <cell r="Z14">
            <v>0</v>
          </cell>
        </row>
        <row r="15">
          <cell r="D15" t="str">
            <v>Low Income Neighborhood</v>
          </cell>
          <cell r="F15">
            <v>244949.65544260415</v>
          </cell>
          <cell r="G15">
            <v>72.29155215754804</v>
          </cell>
          <cell r="H15">
            <v>608</v>
          </cell>
          <cell r="J15">
            <v>34996.973512680539</v>
          </cell>
          <cell r="K15">
            <v>69095.556696044398</v>
          </cell>
          <cell r="L15">
            <v>27277.745366115701</v>
          </cell>
          <cell r="M15">
            <v>0</v>
          </cell>
          <cell r="N15">
            <v>131370.27557484063</v>
          </cell>
          <cell r="O15">
            <v>234459.44178919823</v>
          </cell>
          <cell r="P15">
            <v>-103089.1662143576</v>
          </cell>
          <cell r="Q15">
            <v>0.1</v>
          </cell>
          <cell r="R15">
            <v>-10308.916621435761</v>
          </cell>
          <cell r="T15">
            <v>234459.44178919823</v>
          </cell>
          <cell r="U15">
            <v>0</v>
          </cell>
          <cell r="V15">
            <v>234459.44178919823</v>
          </cell>
          <cell r="W15">
            <v>234459.44178919823</v>
          </cell>
          <cell r="Y15">
            <v>224150.52516776248</v>
          </cell>
          <cell r="Z15">
            <v>459.02873766749997</v>
          </cell>
        </row>
        <row r="16">
          <cell r="D16" t="str">
            <v>Low Income Services</v>
          </cell>
          <cell r="F16">
            <v>223874.45724960719</v>
          </cell>
          <cell r="G16">
            <v>51.521481541481862</v>
          </cell>
          <cell r="H16">
            <v>131</v>
          </cell>
          <cell r="J16">
            <v>39380.21201340916</v>
          </cell>
          <cell r="K16">
            <v>97407.00038881645</v>
          </cell>
          <cell r="L16">
            <v>27562.619273417578</v>
          </cell>
          <cell r="M16">
            <v>0</v>
          </cell>
          <cell r="N16">
            <v>164349.83167564319</v>
          </cell>
          <cell r="O16">
            <v>358633.15891101031</v>
          </cell>
          <cell r="P16">
            <v>-194283.32723536712</v>
          </cell>
          <cell r="Q16">
            <v>0.1</v>
          </cell>
          <cell r="R16">
            <v>-19428.332723536714</v>
          </cell>
          <cell r="T16">
            <v>458781.30934802012</v>
          </cell>
          <cell r="U16">
            <v>0</v>
          </cell>
          <cell r="V16">
            <v>458781.30934802012</v>
          </cell>
          <cell r="W16">
            <v>458781.30934802012</v>
          </cell>
          <cell r="Y16">
            <v>439352.97662448342</v>
          </cell>
          <cell r="Z16">
            <v>154.30927324999999</v>
          </cell>
        </row>
        <row r="17">
          <cell r="D17" t="str">
            <v>My Home Energy Report</v>
          </cell>
          <cell r="F17">
            <v>41723.69207210029</v>
          </cell>
          <cell r="G17">
            <v>11.264711221124152</v>
          </cell>
          <cell r="H17">
            <v>1753</v>
          </cell>
          <cell r="J17">
            <v>789.66781999950013</v>
          </cell>
          <cell r="K17">
            <v>1567.9144933599466</v>
          </cell>
          <cell r="L17">
            <v>559.48220140555168</v>
          </cell>
          <cell r="M17">
            <v>0</v>
          </cell>
          <cell r="N17">
            <v>2917.0645147649984</v>
          </cell>
          <cell r="O17">
            <v>30275.362987549044</v>
          </cell>
          <cell r="P17">
            <v>-27358.298472784045</v>
          </cell>
          <cell r="Q17">
            <v>0.1</v>
          </cell>
          <cell r="R17">
            <v>-2735.8298472784045</v>
          </cell>
          <cell r="T17">
            <v>30275.362987549044</v>
          </cell>
          <cell r="U17">
            <v>188.03303923837106</v>
          </cell>
          <cell r="V17">
            <v>30463.396026787414</v>
          </cell>
          <cell r="W17">
            <v>30463.396026787414</v>
          </cell>
          <cell r="Y17">
            <v>27727.566179509009</v>
          </cell>
          <cell r="Z17">
            <v>1777.1560613926372</v>
          </cell>
        </row>
        <row r="18">
          <cell r="D18" t="str">
            <v>Residential Energy Assessments</v>
          </cell>
          <cell r="F18">
            <v>416795.54794966424</v>
          </cell>
          <cell r="G18">
            <v>74.10863428377624</v>
          </cell>
          <cell r="H18">
            <v>2579</v>
          </cell>
          <cell r="J18">
            <v>55016.712427531464</v>
          </cell>
          <cell r="K18">
            <v>179184.57770193735</v>
          </cell>
          <cell r="L18">
            <v>53543.932334695957</v>
          </cell>
          <cell r="M18">
            <v>0</v>
          </cell>
          <cell r="N18">
            <v>287745.22246416478</v>
          </cell>
          <cell r="O18">
            <v>157263.49579017141</v>
          </cell>
          <cell r="P18">
            <v>130481.72667399337</v>
          </cell>
          <cell r="Q18">
            <v>0.1</v>
          </cell>
          <cell r="R18">
            <v>13048.172667399338</v>
          </cell>
          <cell r="T18">
            <v>157263.49579017141</v>
          </cell>
          <cell r="U18">
            <v>28694.012062059206</v>
          </cell>
          <cell r="V18">
            <v>185957.50785223063</v>
          </cell>
          <cell r="W18">
            <v>185957.50785223063</v>
          </cell>
          <cell r="Y18">
            <v>199005.68051962997</v>
          </cell>
          <cell r="Z18">
            <v>1467.5891143503002</v>
          </cell>
        </row>
        <row r="19">
          <cell r="D19" t="str">
            <v>Residential Smart $aver®</v>
          </cell>
          <cell r="F19">
            <v>6177961.1143357465</v>
          </cell>
          <cell r="G19">
            <v>726.28579718205685</v>
          </cell>
          <cell r="H19">
            <v>234560</v>
          </cell>
          <cell r="J19">
            <v>488601.87631585065</v>
          </cell>
          <cell r="K19">
            <v>2292186.6080884216</v>
          </cell>
          <cell r="L19">
            <v>544377.07451639022</v>
          </cell>
          <cell r="M19">
            <v>0</v>
          </cell>
          <cell r="N19">
            <v>3325165.5589206629</v>
          </cell>
          <cell r="O19">
            <v>1103925.5366413062</v>
          </cell>
          <cell r="P19">
            <v>2221240.0222793566</v>
          </cell>
          <cell r="Q19">
            <v>0.1</v>
          </cell>
          <cell r="R19">
            <v>222124.00222793568</v>
          </cell>
          <cell r="T19">
            <v>1103925.5366413062</v>
          </cell>
          <cell r="U19">
            <v>0</v>
          </cell>
          <cell r="V19">
            <v>1103925.5366413062</v>
          </cell>
          <cell r="W19">
            <v>1103925.5366413062</v>
          </cell>
          <cell r="Y19">
            <v>1326049.538869242</v>
          </cell>
          <cell r="Z19">
            <v>12934.065709834036</v>
          </cell>
        </row>
        <row r="20">
          <cell r="D20" t="str">
            <v>Total</v>
          </cell>
          <cell r="F20">
            <v>7107103.3649321897</v>
          </cell>
          <cell r="G20">
            <v>935.89599103983232</v>
          </cell>
          <cell r="H20">
            <v>239636</v>
          </cell>
          <cell r="J20">
            <v>618964.22391230217</v>
          </cell>
          <cell r="K20">
            <v>2639867.8687550584</v>
          </cell>
          <cell r="L20">
            <v>653446.8796347701</v>
          </cell>
          <cell r="M20">
            <v>0</v>
          </cell>
          <cell r="N20">
            <v>3912278.9723021309</v>
          </cell>
          <cell r="O20">
            <v>1890725.0474989065</v>
          </cell>
          <cell r="P20">
            <v>2021553.9248032246</v>
          </cell>
          <cell r="R20">
            <v>202155.39248032248</v>
          </cell>
          <cell r="T20">
            <v>1990873.1979359163</v>
          </cell>
          <cell r="U20">
            <v>28522.88075856915</v>
          </cell>
          <cell r="V20">
            <v>2019396.0786944854</v>
          </cell>
          <cell r="W20">
            <v>2019396.0786944854</v>
          </cell>
          <cell r="Y20">
            <v>2221551.4711748082</v>
          </cell>
          <cell r="Z20">
            <v>16792.148896494473</v>
          </cell>
        </row>
        <row r="23">
          <cell r="D23" t="str">
            <v>Power Manager®</v>
          </cell>
          <cell r="F23">
            <v>0</v>
          </cell>
          <cell r="G23">
            <v>14014.366017272929</v>
          </cell>
          <cell r="H23">
            <v>12474</v>
          </cell>
          <cell r="J23">
            <v>966433.5234000585</v>
          </cell>
          <cell r="K23">
            <v>0</v>
          </cell>
          <cell r="L23">
            <v>682242.66407099098</v>
          </cell>
          <cell r="M23">
            <v>0</v>
          </cell>
          <cell r="N23">
            <v>1648676.1874710494</v>
          </cell>
          <cell r="O23">
            <v>567793.78880209988</v>
          </cell>
          <cell r="P23">
            <v>1080882.3986689495</v>
          </cell>
          <cell r="Q23">
            <v>0.1</v>
          </cell>
          <cell r="R23">
            <v>108088.23986689496</v>
          </cell>
          <cell r="T23">
            <v>567793.78880209988</v>
          </cell>
          <cell r="U23">
            <v>1160.1744323215389</v>
          </cell>
          <cell r="V23">
            <v>568953.96323442145</v>
          </cell>
          <cell r="W23">
            <v>568953.96323442145</v>
          </cell>
          <cell r="Y23">
            <v>677042.20310131647</v>
          </cell>
          <cell r="Z23">
            <v>0</v>
          </cell>
        </row>
        <row r="24">
          <cell r="D24" t="str">
            <v>Power Manager® for Apartments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-7.409640562305845</v>
          </cell>
          <cell r="P24">
            <v>7.409640562305845</v>
          </cell>
          <cell r="Q24">
            <v>0.1</v>
          </cell>
          <cell r="R24">
            <v>0.74096405623058459</v>
          </cell>
          <cell r="T24">
            <v>-7.409640562305845</v>
          </cell>
          <cell r="U24">
            <v>0</v>
          </cell>
          <cell r="V24">
            <v>-7.409640562305845</v>
          </cell>
          <cell r="W24">
            <v>-7.409640562305845</v>
          </cell>
          <cell r="Y24">
            <v>-6.6686765060752604</v>
          </cell>
          <cell r="Z24">
            <v>0</v>
          </cell>
        </row>
        <row r="25">
          <cell r="D25" t="str">
            <v>Total</v>
          </cell>
          <cell r="F25">
            <v>0</v>
          </cell>
          <cell r="G25">
            <v>14014.366017272929</v>
          </cell>
          <cell r="H25">
            <v>12474</v>
          </cell>
          <cell r="J25">
            <v>966433.5234000585</v>
          </cell>
          <cell r="K25">
            <v>0</v>
          </cell>
          <cell r="L25">
            <v>682242.66407099098</v>
          </cell>
          <cell r="M25">
            <v>0</v>
          </cell>
          <cell r="N25">
            <v>1648676.1874710494</v>
          </cell>
          <cell r="O25">
            <v>567786.37916153762</v>
          </cell>
          <cell r="P25">
            <v>1080889.8083095117</v>
          </cell>
          <cell r="R25">
            <v>108088.98083095119</v>
          </cell>
          <cell r="T25">
            <v>567786.37916153762</v>
          </cell>
          <cell r="U25">
            <v>1160.1744323215389</v>
          </cell>
          <cell r="V25">
            <v>568946.55359385919</v>
          </cell>
          <cell r="W25">
            <v>568946.55359385919</v>
          </cell>
          <cell r="Y25">
            <v>677035.53442481044</v>
          </cell>
          <cell r="Z25">
            <v>0</v>
          </cell>
        </row>
        <row r="28">
          <cell r="D28" t="str">
            <v>Small Business Energy Saver</v>
          </cell>
          <cell r="F28">
            <v>1996312.6520040715</v>
          </cell>
          <cell r="G28">
            <v>348.52253580442402</v>
          </cell>
          <cell r="H28">
            <v>1886689</v>
          </cell>
          <cell r="J28">
            <v>203985.3660348595</v>
          </cell>
          <cell r="K28">
            <v>661328.14646029263</v>
          </cell>
          <cell r="L28">
            <v>143259.96192042393</v>
          </cell>
          <cell r="M28">
            <v>0</v>
          </cell>
          <cell r="N28">
            <v>1008573.4744155761</v>
          </cell>
          <cell r="O28">
            <v>434958.04349195212</v>
          </cell>
          <cell r="P28">
            <v>573615.43092362396</v>
          </cell>
          <cell r="Q28">
            <v>0.1</v>
          </cell>
          <cell r="R28">
            <v>57361.543092362401</v>
          </cell>
          <cell r="T28">
            <v>434958.04349195212</v>
          </cell>
          <cell r="U28">
            <v>1977.5602907635398</v>
          </cell>
          <cell r="V28">
            <v>436935.60378271568</v>
          </cell>
          <cell r="W28">
            <v>436935.60378271568</v>
          </cell>
          <cell r="Y28">
            <v>494297.14687507809</v>
          </cell>
          <cell r="Z28">
            <v>3999.0910896443734</v>
          </cell>
        </row>
        <row r="29">
          <cell r="D29" t="str">
            <v>Smart $aver® Custom</v>
          </cell>
          <cell r="F29">
            <v>11825493.727586938</v>
          </cell>
          <cell r="G29">
            <v>1474.3834159121645</v>
          </cell>
          <cell r="H29">
            <v>3344</v>
          </cell>
          <cell r="J29">
            <v>1159131.5763699899</v>
          </cell>
          <cell r="K29">
            <v>4882385.1393577382</v>
          </cell>
          <cell r="L29">
            <v>988612.4469782766</v>
          </cell>
          <cell r="M29">
            <v>0</v>
          </cell>
          <cell r="N29">
            <v>7030129.1627060045</v>
          </cell>
          <cell r="O29">
            <v>1273740.6820607511</v>
          </cell>
          <cell r="P29">
            <v>5756388.4806452533</v>
          </cell>
          <cell r="Q29">
            <v>0.1</v>
          </cell>
          <cell r="R29">
            <v>575638.8480645254</v>
          </cell>
          <cell r="T29">
            <v>1273740.6820607511</v>
          </cell>
          <cell r="U29">
            <v>1476.1846497048118</v>
          </cell>
          <cell r="V29">
            <v>1275216.8667104559</v>
          </cell>
          <cell r="W29">
            <v>1275216.8667104559</v>
          </cell>
          <cell r="Y29">
            <v>1850855.7147749811</v>
          </cell>
          <cell r="Z29">
            <v>11889.015550632941</v>
          </cell>
        </row>
        <row r="30">
          <cell r="D30" t="str">
            <v>Smart $aver® Non-Residential Performance Incentive Program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41.756372334714271</v>
          </cell>
          <cell r="P30">
            <v>-41.756372334714271</v>
          </cell>
          <cell r="Q30">
            <v>0.1</v>
          </cell>
          <cell r="R30">
            <v>-4.1756372334714271</v>
          </cell>
          <cell r="T30">
            <v>41.756372334714271</v>
          </cell>
          <cell r="U30">
            <v>0</v>
          </cell>
          <cell r="V30">
            <v>41.756372334714271</v>
          </cell>
          <cell r="W30">
            <v>41.756372334714271</v>
          </cell>
          <cell r="Y30">
            <v>37.580735101242844</v>
          </cell>
          <cell r="Z30">
            <v>0</v>
          </cell>
        </row>
        <row r="31">
          <cell r="D31" t="str">
            <v>Smart $aver® Prescriptive - Energy Star Food Service Products</v>
          </cell>
          <cell r="F31">
            <v>108257.05095257622</v>
          </cell>
          <cell r="G31">
            <v>12.41002823950293</v>
          </cell>
          <cell r="H31">
            <v>86</v>
          </cell>
          <cell r="J31">
            <v>7440.4934347093904</v>
          </cell>
          <cell r="K31">
            <v>34174.598116395471</v>
          </cell>
          <cell r="L31">
            <v>5222.6173282880072</v>
          </cell>
          <cell r="M31">
            <v>0</v>
          </cell>
          <cell r="N31">
            <v>46837.708879392863</v>
          </cell>
          <cell r="O31">
            <v>17852.221829686026</v>
          </cell>
          <cell r="P31">
            <v>28985.487049706837</v>
          </cell>
          <cell r="Q31">
            <v>0.1</v>
          </cell>
          <cell r="R31">
            <v>2898.548704970684</v>
          </cell>
          <cell r="T31">
            <v>17852.221829686026</v>
          </cell>
          <cell r="U31">
            <v>460.34729605922882</v>
          </cell>
          <cell r="V31">
            <v>18312.569125745256</v>
          </cell>
          <cell r="W31">
            <v>18312.569125745256</v>
          </cell>
          <cell r="Y31">
            <v>21211.117830715939</v>
          </cell>
          <cell r="Z31">
            <v>149.14808374280855</v>
          </cell>
        </row>
        <row r="32">
          <cell r="D32" t="str">
            <v>Smart $aver® Prescriptive - HVAC</v>
          </cell>
          <cell r="F32">
            <v>166665.95801041156</v>
          </cell>
          <cell r="G32">
            <v>78.422957139228316</v>
          </cell>
          <cell r="H32">
            <v>311217.48000000004</v>
          </cell>
          <cell r="J32">
            <v>63833.309178528158</v>
          </cell>
          <cell r="K32">
            <v>69573.472249258222</v>
          </cell>
          <cell r="L32">
            <v>44865.434992354705</v>
          </cell>
          <cell r="M32">
            <v>0</v>
          </cell>
          <cell r="N32">
            <v>178272.21642014111</v>
          </cell>
          <cell r="O32">
            <v>69405.429980087007</v>
          </cell>
          <cell r="P32">
            <v>108866.7864400541</v>
          </cell>
          <cell r="Q32">
            <v>0.1</v>
          </cell>
          <cell r="R32">
            <v>10886.678644005411</v>
          </cell>
          <cell r="T32">
            <v>69405.429980087007</v>
          </cell>
          <cell r="U32">
            <v>920.69459211845765</v>
          </cell>
          <cell r="V32">
            <v>70326.124572205459</v>
          </cell>
          <cell r="W32">
            <v>70326.124572205459</v>
          </cell>
          <cell r="Y32">
            <v>81212.803216210872</v>
          </cell>
          <cell r="Z32">
            <v>171.82252166987871</v>
          </cell>
        </row>
        <row r="33">
          <cell r="D33" t="str">
            <v>Smart $aver® Prescriptive - IT</v>
          </cell>
          <cell r="F33">
            <v>0</v>
          </cell>
          <cell r="G33">
            <v>0</v>
          </cell>
          <cell r="H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3829.5285648010376</v>
          </cell>
          <cell r="P33">
            <v>-3829.5285648010376</v>
          </cell>
          <cell r="Q33">
            <v>0.1</v>
          </cell>
          <cell r="R33">
            <v>-382.95285648010378</v>
          </cell>
          <cell r="T33">
            <v>3829.5285648010376</v>
          </cell>
          <cell r="U33">
            <v>0</v>
          </cell>
          <cell r="V33">
            <v>3829.5285648010376</v>
          </cell>
          <cell r="W33">
            <v>3829.5285648010376</v>
          </cell>
          <cell r="Y33">
            <v>3446.5757083209337</v>
          </cell>
          <cell r="Z33">
            <v>0</v>
          </cell>
        </row>
        <row r="34">
          <cell r="D34" t="str">
            <v>Smart $aver® Prescriptive - Lighting</v>
          </cell>
          <cell r="F34">
            <v>5007195.99827863</v>
          </cell>
          <cell r="G34">
            <v>959.98823670651859</v>
          </cell>
          <cell r="H34">
            <v>55356</v>
          </cell>
          <cell r="J34">
            <v>744488.35881557001</v>
          </cell>
          <cell r="K34">
            <v>2170719.1300260955</v>
          </cell>
          <cell r="L34">
            <v>520865.08853208181</v>
          </cell>
          <cell r="M34">
            <v>0</v>
          </cell>
          <cell r="N34">
            <v>3436072.5773737472</v>
          </cell>
          <cell r="O34">
            <v>703048.09881387581</v>
          </cell>
          <cell r="P34">
            <v>2733024.4785598712</v>
          </cell>
          <cell r="Q34">
            <v>0.1</v>
          </cell>
          <cell r="R34">
            <v>273302.44785598712</v>
          </cell>
          <cell r="T34">
            <v>703048.09881387581</v>
          </cell>
          <cell r="U34">
            <v>13963.867980463274</v>
          </cell>
          <cell r="V34">
            <v>717011.96679433913</v>
          </cell>
          <cell r="W34">
            <v>717011.96679433913</v>
          </cell>
          <cell r="Y34">
            <v>990314.41465032625</v>
          </cell>
          <cell r="Z34">
            <v>5116.8804097749744</v>
          </cell>
        </row>
        <row r="35">
          <cell r="D35" t="str">
            <v>Smart $aver® Prescriptive - Motors/Pumps/VFD</v>
          </cell>
          <cell r="F35">
            <v>49238.250117521224</v>
          </cell>
          <cell r="G35">
            <v>14.768999729148236</v>
          </cell>
          <cell r="H35">
            <v>130</v>
          </cell>
          <cell r="J35">
            <v>11376.869249903624</v>
          </cell>
          <cell r="K35">
            <v>19996.108771482344</v>
          </cell>
          <cell r="L35">
            <v>7966.5459689788604</v>
          </cell>
          <cell r="M35">
            <v>0</v>
          </cell>
          <cell r="N35">
            <v>39339.523990364833</v>
          </cell>
          <cell r="O35">
            <v>13720.414923480086</v>
          </cell>
          <cell r="P35">
            <v>25619.109066884746</v>
          </cell>
          <cell r="Q35">
            <v>0.1</v>
          </cell>
          <cell r="R35">
            <v>2561.9109066884748</v>
          </cell>
          <cell r="T35">
            <v>13720.414923480086</v>
          </cell>
          <cell r="U35">
            <v>0</v>
          </cell>
          <cell r="V35">
            <v>13720.414923480086</v>
          </cell>
          <cell r="W35">
            <v>13720.414923480086</v>
          </cell>
          <cell r="Y35">
            <v>16282.32583016856</v>
          </cell>
          <cell r="Z35">
            <v>0</v>
          </cell>
        </row>
        <row r="36">
          <cell r="D36" t="str">
            <v>Smart $aver® Prescriptive - Process Equipment</v>
          </cell>
          <cell r="F36">
            <v>0</v>
          </cell>
          <cell r="G36">
            <v>0</v>
          </cell>
          <cell r="H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2506.9759235085908</v>
          </cell>
          <cell r="P36">
            <v>-2506.9759235085908</v>
          </cell>
          <cell r="Q36">
            <v>0.1</v>
          </cell>
          <cell r="R36">
            <v>-250.69759235085908</v>
          </cell>
          <cell r="T36">
            <v>2506.9759235085908</v>
          </cell>
          <cell r="U36">
            <v>0</v>
          </cell>
          <cell r="V36">
            <v>2506.9759235085908</v>
          </cell>
          <cell r="W36">
            <v>2506.9759235085908</v>
          </cell>
          <cell r="Y36">
            <v>2256.2783311577318</v>
          </cell>
          <cell r="Z36">
            <v>0</v>
          </cell>
        </row>
        <row r="37">
          <cell r="D37" t="str">
            <v>Total</v>
          </cell>
          <cell r="F37">
            <v>19153163.63695015</v>
          </cell>
          <cell r="G37">
            <v>2888.4961735309867</v>
          </cell>
          <cell r="H37">
            <v>2256822.48</v>
          </cell>
          <cell r="J37">
            <v>2190255.9730835608</v>
          </cell>
          <cell r="K37">
            <v>7838176.5949812625</v>
          </cell>
          <cell r="L37">
            <v>1710792.0957204038</v>
          </cell>
          <cell r="M37">
            <v>0</v>
          </cell>
          <cell r="N37">
            <v>11739224.663785227</v>
          </cell>
          <cell r="O37">
            <v>2519103.1519604768</v>
          </cell>
          <cell r="P37">
            <v>9220121.5118247494</v>
          </cell>
          <cell r="R37">
            <v>922012.15118247492</v>
          </cell>
          <cell r="T37">
            <v>2519103.1519604768</v>
          </cell>
          <cell r="U37">
            <v>18798.654809109314</v>
          </cell>
          <cell r="V37">
            <v>2537901.8067695857</v>
          </cell>
          <cell r="W37">
            <v>2537901.8067695857</v>
          </cell>
          <cell r="Y37">
            <v>3459913.9579520607</v>
          </cell>
          <cell r="Z37">
            <v>21325.957655464976</v>
          </cell>
        </row>
        <row r="40">
          <cell r="D40" t="str">
            <v>Power Manager® for Business</v>
          </cell>
          <cell r="F40">
            <v>939.30476258170734</v>
          </cell>
          <cell r="G40">
            <v>63.804322648652295</v>
          </cell>
          <cell r="H40">
            <v>52.710000000000008</v>
          </cell>
          <cell r="J40">
            <v>4597.3853030451091</v>
          </cell>
          <cell r="K40">
            <v>241.98259597383191</v>
          </cell>
          <cell r="L40">
            <v>3245.7528341254188</v>
          </cell>
          <cell r="M40">
            <v>0</v>
          </cell>
          <cell r="N40">
            <v>8085.1207331443602</v>
          </cell>
          <cell r="O40">
            <v>2722.9001164544788</v>
          </cell>
          <cell r="P40">
            <v>5362.2206166898814</v>
          </cell>
          <cell r="Q40">
            <v>0.1</v>
          </cell>
          <cell r="R40">
            <v>536.2220616689882</v>
          </cell>
          <cell r="T40">
            <v>2722.9001164544788</v>
          </cell>
          <cell r="U40">
            <v>0</v>
          </cell>
          <cell r="V40">
            <v>2722.9001164544788</v>
          </cell>
          <cell r="W40">
            <v>2722.9001164544788</v>
          </cell>
          <cell r="Y40">
            <v>3259.1221781234672</v>
          </cell>
          <cell r="Z40">
            <v>0</v>
          </cell>
        </row>
        <row r="41">
          <cell r="D41" t="str">
            <v>PowerShare®</v>
          </cell>
          <cell r="F41">
            <v>0</v>
          </cell>
          <cell r="G41">
            <v>18468.774692028546</v>
          </cell>
          <cell r="H41">
            <v>17</v>
          </cell>
          <cell r="J41">
            <v>1270618.5281551576</v>
          </cell>
          <cell r="K41">
            <v>0</v>
          </cell>
          <cell r="L41">
            <v>896540.27564674325</v>
          </cell>
          <cell r="M41">
            <v>0</v>
          </cell>
          <cell r="N41">
            <v>2167158.8038019007</v>
          </cell>
          <cell r="O41">
            <v>593292.30082561518</v>
          </cell>
          <cell r="P41">
            <v>1573866.5029762855</v>
          </cell>
          <cell r="Q41">
            <v>0.1</v>
          </cell>
          <cell r="R41">
            <v>157386.65029762857</v>
          </cell>
          <cell r="T41">
            <v>593292.30082561518</v>
          </cell>
          <cell r="U41">
            <v>0</v>
          </cell>
          <cell r="V41">
            <v>593292.30082561518</v>
          </cell>
          <cell r="W41">
            <v>593292.30082561518</v>
          </cell>
          <cell r="Y41">
            <v>750678.95112324378</v>
          </cell>
          <cell r="Z41">
            <v>0</v>
          </cell>
        </row>
        <row r="42">
          <cell r="D42" t="str">
            <v>Total</v>
          </cell>
          <cell r="F42">
            <v>939.30476258170734</v>
          </cell>
          <cell r="G42">
            <v>18532.579014677198</v>
          </cell>
          <cell r="H42">
            <v>69.710000000000008</v>
          </cell>
          <cell r="J42">
            <v>1275215.9134582027</v>
          </cell>
          <cell r="K42">
            <v>241.98259597383191</v>
          </cell>
          <cell r="L42">
            <v>899786.02848086867</v>
          </cell>
          <cell r="M42">
            <v>0</v>
          </cell>
          <cell r="N42">
            <v>2175243.9245350449</v>
          </cell>
          <cell r="O42">
            <v>596015.20094206964</v>
          </cell>
          <cell r="P42">
            <v>1579228.7235929754</v>
          </cell>
          <cell r="R42">
            <v>157922.87235929756</v>
          </cell>
          <cell r="T42">
            <v>596015.20094206964</v>
          </cell>
          <cell r="U42">
            <v>0</v>
          </cell>
          <cell r="V42">
            <v>596015.20094206964</v>
          </cell>
          <cell r="W42">
            <v>596015.20094206964</v>
          </cell>
          <cell r="Y42">
            <v>753938.07330136723</v>
          </cell>
          <cell r="Z42">
            <v>0</v>
          </cell>
        </row>
        <row r="45">
          <cell r="D45" t="str">
            <v>Payment Plus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Y45">
            <v>0</v>
          </cell>
          <cell r="Z45">
            <v>0</v>
          </cell>
        </row>
        <row r="46">
          <cell r="D46" t="str">
            <v>Total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Y46">
            <v>0</v>
          </cell>
          <cell r="Z46">
            <v>0</v>
          </cell>
        </row>
        <row r="48">
          <cell r="F48">
            <v>26261206.306644924</v>
          </cell>
          <cell r="G48">
            <v>36371.337196520944</v>
          </cell>
          <cell r="H48">
            <v>2509002.19</v>
          </cell>
          <cell r="J48">
            <v>5050869.6338541247</v>
          </cell>
          <cell r="K48">
            <v>10478286.446332294</v>
          </cell>
          <cell r="L48">
            <v>3946267.6679070336</v>
          </cell>
          <cell r="M48">
            <v>0</v>
          </cell>
          <cell r="N48">
            <v>19475423.748093452</v>
          </cell>
          <cell r="O48">
            <v>5573629.7795629911</v>
          </cell>
          <cell r="P48">
            <v>13901793.968530463</v>
          </cell>
          <cell r="R48">
            <v>1390179.396853046</v>
          </cell>
          <cell r="T48">
            <v>5673777.9300000006</v>
          </cell>
          <cell r="U48">
            <v>48481.710000000006</v>
          </cell>
          <cell r="V48">
            <v>5722259.6399999997</v>
          </cell>
          <cell r="W48">
            <v>5722259.6399999997</v>
          </cell>
          <cell r="Y48">
            <v>7112439.0368530471</v>
          </cell>
          <cell r="Z48">
            <v>38118.106551959449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Totals - Partic"/>
      <sheetName val="Control Totals - Prog Cost"/>
      <sheetName val="INPUTS"/>
      <sheetName val="Lookup"/>
      <sheetName val="S$NR Lookup"/>
      <sheetName val="Cost Eff"/>
      <sheetName val="Allocation Factors - Pg 1"/>
      <sheetName val="Table 1 at Meter"/>
      <sheetName val="Programs"/>
      <sheetName val="Lost Revenue Detail"/>
      <sheetName val="LR Pivot"/>
      <sheetName val="HECR &amp; DR"/>
      <sheetName val="Msr Lvl Pivot"/>
      <sheetName val="Cost Staging"/>
      <sheetName val="CES pivot for checking"/>
      <sheetName val="Data - UI Cost Eff"/>
      <sheetName val="Data - UI CES S$NR"/>
      <sheetName val="Cost Alloc Recon pivot"/>
      <sheetName val="Data-Cost Alloc Recon"/>
      <sheetName val="Data-UI Msr Lvl"/>
      <sheetName val="MDO pivot for checking"/>
      <sheetName val="Data-UI MDO"/>
      <sheetName val="Data-UI L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3">
          <cell r="D13" t="str">
            <v>Appliance Recycling Program</v>
          </cell>
          <cell r="E13"/>
          <cell r="F13">
            <v>0</v>
          </cell>
          <cell r="G13">
            <v>0</v>
          </cell>
          <cell r="H13">
            <v>0</v>
          </cell>
          <cell r="I13"/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0.1</v>
          </cell>
          <cell r="R13">
            <v>0</v>
          </cell>
          <cell r="S13"/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/>
          <cell r="Y13">
            <v>0</v>
          </cell>
          <cell r="Z13">
            <v>0</v>
          </cell>
        </row>
        <row r="14">
          <cell r="D14" t="str">
            <v>Energy Efficiency Education Program for Schools</v>
          </cell>
          <cell r="E14"/>
          <cell r="F14">
            <v>1798.8978824673843</v>
          </cell>
          <cell r="G14">
            <v>0.42381465384518713</v>
          </cell>
          <cell r="H14">
            <v>5</v>
          </cell>
          <cell r="I14"/>
          <cell r="J14">
            <v>178.78182283090135</v>
          </cell>
          <cell r="K14">
            <v>426.2113864785947</v>
          </cell>
          <cell r="L14">
            <v>126.02594274509335</v>
          </cell>
          <cell r="M14">
            <v>0</v>
          </cell>
          <cell r="N14">
            <v>731.01915205458931</v>
          </cell>
          <cell r="O14">
            <v>6168.0513796712039</v>
          </cell>
          <cell r="P14">
            <v>-5437.0322276166144</v>
          </cell>
          <cell r="Q14">
            <v>0.1</v>
          </cell>
          <cell r="R14">
            <v>-543.70322276166144</v>
          </cell>
          <cell r="S14"/>
          <cell r="T14">
            <v>6168.0513796712039</v>
          </cell>
          <cell r="U14">
            <v>-359.16434272842798</v>
          </cell>
          <cell r="V14">
            <v>5808.8870369427759</v>
          </cell>
          <cell r="W14">
            <v>5808.8870369427759</v>
          </cell>
          <cell r="X14"/>
          <cell r="Y14">
            <v>5265.1838141811149</v>
          </cell>
          <cell r="Z14">
            <v>0</v>
          </cell>
        </row>
        <row r="15">
          <cell r="D15" t="str">
            <v>Low Income Neighborhood</v>
          </cell>
          <cell r="E15"/>
          <cell r="F15">
            <v>244949.65544260415</v>
          </cell>
          <cell r="G15">
            <v>72.29155215754804</v>
          </cell>
          <cell r="H15">
            <v>608</v>
          </cell>
          <cell r="I15"/>
          <cell r="J15">
            <v>34996.973512680539</v>
          </cell>
          <cell r="K15">
            <v>69095.556696044398</v>
          </cell>
          <cell r="L15">
            <v>27277.745366115701</v>
          </cell>
          <cell r="M15">
            <v>0</v>
          </cell>
          <cell r="N15">
            <v>131370.27557484063</v>
          </cell>
          <cell r="O15">
            <v>234459.44178919823</v>
          </cell>
          <cell r="P15">
            <v>-103089.1662143576</v>
          </cell>
          <cell r="Q15">
            <v>0.1</v>
          </cell>
          <cell r="R15">
            <v>-10308.916621435761</v>
          </cell>
          <cell r="S15"/>
          <cell r="T15">
            <v>234459.44178919823</v>
          </cell>
          <cell r="U15">
            <v>0</v>
          </cell>
          <cell r="V15">
            <v>234459.44178919823</v>
          </cell>
          <cell r="W15">
            <v>234459.44178919823</v>
          </cell>
          <cell r="X15"/>
          <cell r="Y15">
            <v>224150.52516776248</v>
          </cell>
          <cell r="Z15">
            <v>459.02873766749997</v>
          </cell>
        </row>
        <row r="16">
          <cell r="D16" t="str">
            <v>Low Income Services</v>
          </cell>
          <cell r="E16"/>
          <cell r="F16">
            <v>223874.45724960719</v>
          </cell>
          <cell r="G16">
            <v>51.521481541481862</v>
          </cell>
          <cell r="H16">
            <v>131</v>
          </cell>
          <cell r="I16"/>
          <cell r="J16">
            <v>39380.21201340916</v>
          </cell>
          <cell r="K16">
            <v>97407.00038881645</v>
          </cell>
          <cell r="L16">
            <v>27562.619273417578</v>
          </cell>
          <cell r="M16">
            <v>0</v>
          </cell>
          <cell r="N16">
            <v>164349.83167564319</v>
          </cell>
          <cell r="O16">
            <v>358633.15891101031</v>
          </cell>
          <cell r="P16">
            <v>-194283.32723536712</v>
          </cell>
          <cell r="Q16">
            <v>0.1</v>
          </cell>
          <cell r="R16">
            <v>-19428.332723536714</v>
          </cell>
          <cell r="S16"/>
          <cell r="T16">
            <v>458781.30934802012</v>
          </cell>
          <cell r="U16">
            <v>0</v>
          </cell>
          <cell r="V16">
            <v>458781.30934802012</v>
          </cell>
          <cell r="W16">
            <v>458781.30934802012</v>
          </cell>
          <cell r="X16"/>
          <cell r="Y16">
            <v>439352.97662448342</v>
          </cell>
          <cell r="Z16">
            <v>154.30927324999999</v>
          </cell>
        </row>
        <row r="17">
          <cell r="D17" t="str">
            <v>My Home Energy Report</v>
          </cell>
          <cell r="E17"/>
          <cell r="F17">
            <v>41723.69207210029</v>
          </cell>
          <cell r="G17">
            <v>11.264711221124152</v>
          </cell>
          <cell r="H17">
            <v>1753</v>
          </cell>
          <cell r="I17"/>
          <cell r="J17">
            <v>789.66781999950013</v>
          </cell>
          <cell r="K17">
            <v>1567.9144933599466</v>
          </cell>
          <cell r="L17">
            <v>559.48220140555168</v>
          </cell>
          <cell r="M17">
            <v>0</v>
          </cell>
          <cell r="N17">
            <v>2917.0645147649984</v>
          </cell>
          <cell r="O17">
            <v>30275.362987549044</v>
          </cell>
          <cell r="P17">
            <v>-27358.298472784045</v>
          </cell>
          <cell r="Q17">
            <v>0.1</v>
          </cell>
          <cell r="R17">
            <v>-2735.8298472784045</v>
          </cell>
          <cell r="S17"/>
          <cell r="T17">
            <v>30275.362987549044</v>
          </cell>
          <cell r="U17">
            <v>188.03303923837106</v>
          </cell>
          <cell r="V17">
            <v>30463.396026787414</v>
          </cell>
          <cell r="W17">
            <v>30463.396026787414</v>
          </cell>
          <cell r="X17"/>
          <cell r="Y17">
            <v>27727.566179509009</v>
          </cell>
          <cell r="Z17">
            <v>1777.1560613926372</v>
          </cell>
        </row>
        <row r="18">
          <cell r="D18" t="str">
            <v>Residential Energy Assessments</v>
          </cell>
          <cell r="E18"/>
          <cell r="F18">
            <v>416795.54794966424</v>
          </cell>
          <cell r="G18">
            <v>74.10863428377624</v>
          </cell>
          <cell r="H18">
            <v>2579</v>
          </cell>
          <cell r="I18"/>
          <cell r="J18">
            <v>55016.712427531464</v>
          </cell>
          <cell r="K18">
            <v>179184.57770193735</v>
          </cell>
          <cell r="L18">
            <v>53543.932334695957</v>
          </cell>
          <cell r="M18">
            <v>0</v>
          </cell>
          <cell r="N18">
            <v>287745.22246416478</v>
          </cell>
          <cell r="O18">
            <v>157263.49579017141</v>
          </cell>
          <cell r="P18">
            <v>130481.72667399337</v>
          </cell>
          <cell r="Q18">
            <v>0.1</v>
          </cell>
          <cell r="R18">
            <v>13048.172667399338</v>
          </cell>
          <cell r="S18"/>
          <cell r="T18">
            <v>157263.49579017141</v>
          </cell>
          <cell r="U18">
            <v>28694.012062059206</v>
          </cell>
          <cell r="V18">
            <v>185957.50785223063</v>
          </cell>
          <cell r="W18">
            <v>185957.50785223063</v>
          </cell>
          <cell r="X18"/>
          <cell r="Y18">
            <v>199005.68051962997</v>
          </cell>
          <cell r="Z18">
            <v>1467.5891143503002</v>
          </cell>
        </row>
        <row r="19">
          <cell r="D19" t="str">
            <v>Residential Smart $aver®</v>
          </cell>
          <cell r="E19"/>
          <cell r="F19">
            <v>6177961.1143357465</v>
          </cell>
          <cell r="G19">
            <v>726.28579718205685</v>
          </cell>
          <cell r="H19">
            <v>234560</v>
          </cell>
          <cell r="I19"/>
          <cell r="J19">
            <v>488601.87631585065</v>
          </cell>
          <cell r="K19">
            <v>2292186.6080884216</v>
          </cell>
          <cell r="L19">
            <v>544377.07451639022</v>
          </cell>
          <cell r="M19">
            <v>0</v>
          </cell>
          <cell r="N19">
            <v>3325165.5589206629</v>
          </cell>
          <cell r="O19">
            <v>1103925.5366413062</v>
          </cell>
          <cell r="P19">
            <v>2221240.0222793566</v>
          </cell>
          <cell r="Q19">
            <v>0.1</v>
          </cell>
          <cell r="R19">
            <v>222124.00222793568</v>
          </cell>
          <cell r="S19"/>
          <cell r="T19">
            <v>1103925.5366413062</v>
          </cell>
          <cell r="U19">
            <v>0</v>
          </cell>
          <cell r="V19">
            <v>1103925.5366413062</v>
          </cell>
          <cell r="W19">
            <v>1103925.5366413062</v>
          </cell>
          <cell r="X19"/>
          <cell r="Y19">
            <v>1326049.538869242</v>
          </cell>
          <cell r="Z19">
            <v>12934.065709834036</v>
          </cell>
        </row>
        <row r="20">
          <cell r="D20" t="str">
            <v>Total</v>
          </cell>
          <cell r="E20"/>
          <cell r="F20">
            <v>7107103.3649321897</v>
          </cell>
          <cell r="G20">
            <v>935.89599103983232</v>
          </cell>
          <cell r="H20">
            <v>239636</v>
          </cell>
          <cell r="I20"/>
          <cell r="J20">
            <v>618964.22391230217</v>
          </cell>
          <cell r="K20">
            <v>2639867.8687550584</v>
          </cell>
          <cell r="L20">
            <v>653446.8796347701</v>
          </cell>
          <cell r="M20">
            <v>0</v>
          </cell>
          <cell r="N20">
            <v>3912278.9723021309</v>
          </cell>
          <cell r="O20">
            <v>1890725.0474989065</v>
          </cell>
          <cell r="P20">
            <v>2021553.9248032246</v>
          </cell>
          <cell r="Q20"/>
          <cell r="R20">
            <v>202155.39248032248</v>
          </cell>
          <cell r="S20"/>
          <cell r="T20">
            <v>1990873.1979359163</v>
          </cell>
          <cell r="U20">
            <v>28522.88075856915</v>
          </cell>
          <cell r="V20">
            <v>2019396.0786944854</v>
          </cell>
          <cell r="W20">
            <v>2019396.0786944854</v>
          </cell>
          <cell r="X20"/>
          <cell r="Y20">
            <v>2221551.4711748082</v>
          </cell>
          <cell r="Z20">
            <v>16792.148896494473</v>
          </cell>
        </row>
        <row r="21"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/>
          <cell r="Y21"/>
          <cell r="Z21"/>
        </row>
        <row r="22"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</row>
        <row r="23">
          <cell r="D23" t="str">
            <v>Power Manager®</v>
          </cell>
          <cell r="E23"/>
          <cell r="F23">
            <v>0</v>
          </cell>
          <cell r="G23">
            <v>14014.366017272929</v>
          </cell>
          <cell r="H23">
            <v>12474</v>
          </cell>
          <cell r="I23"/>
          <cell r="J23">
            <v>966433.5234000585</v>
          </cell>
          <cell r="K23">
            <v>0</v>
          </cell>
          <cell r="L23">
            <v>682242.66407099098</v>
          </cell>
          <cell r="M23">
            <v>0</v>
          </cell>
          <cell r="N23">
            <v>1648676.1874710494</v>
          </cell>
          <cell r="O23">
            <v>567793.78880209988</v>
          </cell>
          <cell r="P23">
            <v>1080882.3986689495</v>
          </cell>
          <cell r="Q23">
            <v>0.1</v>
          </cell>
          <cell r="R23">
            <v>108088.23986689496</v>
          </cell>
          <cell r="S23"/>
          <cell r="T23">
            <v>567793.78880209988</v>
          </cell>
          <cell r="U23">
            <v>1160.1744323215389</v>
          </cell>
          <cell r="V23">
            <v>568953.96323442145</v>
          </cell>
          <cell r="W23">
            <v>568953.96323442145</v>
          </cell>
          <cell r="X23"/>
          <cell r="Y23">
            <v>677042.20310131647</v>
          </cell>
          <cell r="Z23">
            <v>0</v>
          </cell>
        </row>
        <row r="24">
          <cell r="D24" t="str">
            <v>Power Manager® for Apartments</v>
          </cell>
          <cell r="E24"/>
          <cell r="F24">
            <v>0</v>
          </cell>
          <cell r="G24">
            <v>0</v>
          </cell>
          <cell r="H24">
            <v>0</v>
          </cell>
          <cell r="I24"/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-7.409640562305845</v>
          </cell>
          <cell r="P24">
            <v>7.409640562305845</v>
          </cell>
          <cell r="Q24">
            <v>0.1</v>
          </cell>
          <cell r="R24">
            <v>0.74096405623058459</v>
          </cell>
          <cell r="S24"/>
          <cell r="T24">
            <v>-7.409640562305845</v>
          </cell>
          <cell r="U24">
            <v>0</v>
          </cell>
          <cell r="V24">
            <v>-7.409640562305845</v>
          </cell>
          <cell r="W24">
            <v>-7.409640562305845</v>
          </cell>
          <cell r="X24"/>
          <cell r="Y24">
            <v>-6.6686765060752604</v>
          </cell>
          <cell r="Z24">
            <v>0</v>
          </cell>
        </row>
        <row r="25">
          <cell r="D25" t="str">
            <v>Total</v>
          </cell>
          <cell r="E25"/>
          <cell r="F25">
            <v>0</v>
          </cell>
          <cell r="G25">
            <v>14014.366017272929</v>
          </cell>
          <cell r="H25">
            <v>12474</v>
          </cell>
          <cell r="I25"/>
          <cell r="J25">
            <v>966433.5234000585</v>
          </cell>
          <cell r="K25">
            <v>0</v>
          </cell>
          <cell r="L25">
            <v>682242.66407099098</v>
          </cell>
          <cell r="M25">
            <v>0</v>
          </cell>
          <cell r="N25">
            <v>1648676.1874710494</v>
          </cell>
          <cell r="O25">
            <v>567786.37916153762</v>
          </cell>
          <cell r="P25">
            <v>1080889.8083095117</v>
          </cell>
          <cell r="Q25"/>
          <cell r="R25">
            <v>108088.98083095119</v>
          </cell>
          <cell r="S25"/>
          <cell r="T25">
            <v>567786.37916153762</v>
          </cell>
          <cell r="U25">
            <v>1160.1744323215389</v>
          </cell>
          <cell r="V25">
            <v>568946.55359385919</v>
          </cell>
          <cell r="W25">
            <v>568946.55359385919</v>
          </cell>
          <cell r="X25"/>
          <cell r="Y25">
            <v>677035.53442481044</v>
          </cell>
          <cell r="Z25">
            <v>0</v>
          </cell>
        </row>
        <row r="26"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</row>
        <row r="27"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</row>
        <row r="28">
          <cell r="D28" t="str">
            <v>Small Business Energy Saver</v>
          </cell>
          <cell r="E28"/>
          <cell r="F28">
            <v>1996312.6520040715</v>
          </cell>
          <cell r="G28">
            <v>348.52253580442402</v>
          </cell>
          <cell r="H28">
            <v>1886689</v>
          </cell>
          <cell r="I28"/>
          <cell r="J28">
            <v>203985.3660348595</v>
          </cell>
          <cell r="K28">
            <v>661328.14646029263</v>
          </cell>
          <cell r="L28">
            <v>143259.96192042393</v>
          </cell>
          <cell r="M28">
            <v>0</v>
          </cell>
          <cell r="N28">
            <v>1008573.4744155761</v>
          </cell>
          <cell r="O28">
            <v>434958.04349195212</v>
          </cell>
          <cell r="P28">
            <v>573615.43092362396</v>
          </cell>
          <cell r="Q28">
            <v>0.1</v>
          </cell>
          <cell r="R28">
            <v>57361.543092362401</v>
          </cell>
          <cell r="S28"/>
          <cell r="T28">
            <v>434958.04349195212</v>
          </cell>
          <cell r="U28">
            <v>1977.5602907635398</v>
          </cell>
          <cell r="V28">
            <v>436935.60378271568</v>
          </cell>
          <cell r="W28">
            <v>436935.60378271568</v>
          </cell>
          <cell r="X28"/>
          <cell r="Y28">
            <v>494297.14687507809</v>
          </cell>
          <cell r="Z28">
            <v>3999.0910896443734</v>
          </cell>
        </row>
        <row r="29">
          <cell r="D29" t="str">
            <v>Smart $aver® Custom</v>
          </cell>
          <cell r="E29"/>
          <cell r="F29">
            <v>11825493.727586938</v>
          </cell>
          <cell r="G29">
            <v>1474.3834159121645</v>
          </cell>
          <cell r="H29">
            <v>3344</v>
          </cell>
          <cell r="I29"/>
          <cell r="J29">
            <v>1159131.5763699899</v>
          </cell>
          <cell r="K29">
            <v>4882385.1393577382</v>
          </cell>
          <cell r="L29">
            <v>988612.4469782766</v>
          </cell>
          <cell r="M29">
            <v>0</v>
          </cell>
          <cell r="N29">
            <v>7030129.1627060045</v>
          </cell>
          <cell r="O29">
            <v>1273740.6820607511</v>
          </cell>
          <cell r="P29">
            <v>5756388.4806452533</v>
          </cell>
          <cell r="Q29">
            <v>0.1</v>
          </cell>
          <cell r="R29">
            <v>575638.8480645254</v>
          </cell>
          <cell r="S29"/>
          <cell r="T29">
            <v>1273740.6820607511</v>
          </cell>
          <cell r="U29">
            <v>1476.1846497048118</v>
          </cell>
          <cell r="V29">
            <v>1275216.8667104559</v>
          </cell>
          <cell r="W29">
            <v>1275216.8667104559</v>
          </cell>
          <cell r="X29"/>
          <cell r="Y29">
            <v>1850855.7147749811</v>
          </cell>
          <cell r="Z29">
            <v>11889.015550632941</v>
          </cell>
        </row>
        <row r="30">
          <cell r="D30" t="str">
            <v>Smart $aver® Non-Residential Performance Incentive Program</v>
          </cell>
          <cell r="E30"/>
          <cell r="F30">
            <v>0</v>
          </cell>
          <cell r="G30">
            <v>0</v>
          </cell>
          <cell r="H30">
            <v>0</v>
          </cell>
          <cell r="I30"/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41.756372334714271</v>
          </cell>
          <cell r="P30">
            <v>-41.756372334714271</v>
          </cell>
          <cell r="Q30">
            <v>0.1</v>
          </cell>
          <cell r="R30">
            <v>-4.1756372334714271</v>
          </cell>
          <cell r="S30"/>
          <cell r="T30">
            <v>41.756372334714271</v>
          </cell>
          <cell r="U30">
            <v>0</v>
          </cell>
          <cell r="V30">
            <v>41.756372334714271</v>
          </cell>
          <cell r="W30">
            <v>41.756372334714271</v>
          </cell>
          <cell r="X30"/>
          <cell r="Y30">
            <v>37.580735101242844</v>
          </cell>
          <cell r="Z30">
            <v>0</v>
          </cell>
        </row>
        <row r="31">
          <cell r="D31" t="str">
            <v>Smart $aver® Prescriptive - Energy Star Food Service Products</v>
          </cell>
          <cell r="E31"/>
          <cell r="F31">
            <v>108257.05095257622</v>
          </cell>
          <cell r="G31">
            <v>12.41002823950293</v>
          </cell>
          <cell r="H31">
            <v>86</v>
          </cell>
          <cell r="I31"/>
          <cell r="J31">
            <v>7440.4934347093904</v>
          </cell>
          <cell r="K31">
            <v>34174.598116395471</v>
          </cell>
          <cell r="L31">
            <v>5222.6173282880072</v>
          </cell>
          <cell r="M31">
            <v>0</v>
          </cell>
          <cell r="N31">
            <v>46837.708879392863</v>
          </cell>
          <cell r="O31">
            <v>17852.221829686026</v>
          </cell>
          <cell r="P31">
            <v>28985.487049706837</v>
          </cell>
          <cell r="Q31">
            <v>0.1</v>
          </cell>
          <cell r="R31">
            <v>2898.548704970684</v>
          </cell>
          <cell r="S31"/>
          <cell r="T31">
            <v>17852.221829686026</v>
          </cell>
          <cell r="U31">
            <v>460.34729605922882</v>
          </cell>
          <cell r="V31">
            <v>18312.569125745256</v>
          </cell>
          <cell r="W31">
            <v>18312.569125745256</v>
          </cell>
          <cell r="X31"/>
          <cell r="Y31">
            <v>21211.117830715939</v>
          </cell>
          <cell r="Z31">
            <v>149.14808374280855</v>
          </cell>
        </row>
        <row r="32">
          <cell r="D32" t="str">
            <v>Smart $aver® Prescriptive - HVAC</v>
          </cell>
          <cell r="E32"/>
          <cell r="F32">
            <v>166665.95801041156</v>
          </cell>
          <cell r="G32">
            <v>78.422957139228316</v>
          </cell>
          <cell r="H32">
            <v>311217.48000000004</v>
          </cell>
          <cell r="I32"/>
          <cell r="J32">
            <v>63833.309178528158</v>
          </cell>
          <cell r="K32">
            <v>69573.472249258222</v>
          </cell>
          <cell r="L32">
            <v>44865.434992354705</v>
          </cell>
          <cell r="M32">
            <v>0</v>
          </cell>
          <cell r="N32">
            <v>178272.21642014111</v>
          </cell>
          <cell r="O32">
            <v>69405.429980087007</v>
          </cell>
          <cell r="P32">
            <v>108866.7864400541</v>
          </cell>
          <cell r="Q32">
            <v>0.1</v>
          </cell>
          <cell r="R32">
            <v>10886.678644005411</v>
          </cell>
          <cell r="S32"/>
          <cell r="T32">
            <v>69405.429980087007</v>
          </cell>
          <cell r="U32">
            <v>920.69459211845765</v>
          </cell>
          <cell r="V32">
            <v>70326.124572205459</v>
          </cell>
          <cell r="W32">
            <v>70326.124572205459</v>
          </cell>
          <cell r="X32"/>
          <cell r="Y32">
            <v>81212.803216210872</v>
          </cell>
          <cell r="Z32">
            <v>171.82252166987871</v>
          </cell>
        </row>
        <row r="33">
          <cell r="D33" t="str">
            <v>Smart $aver® Prescriptive - IT</v>
          </cell>
          <cell r="E33"/>
          <cell r="F33">
            <v>0</v>
          </cell>
          <cell r="G33">
            <v>0</v>
          </cell>
          <cell r="H33">
            <v>0</v>
          </cell>
          <cell r="I33"/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3829.5285648010376</v>
          </cell>
          <cell r="P33">
            <v>-3829.5285648010376</v>
          </cell>
          <cell r="Q33">
            <v>0.1</v>
          </cell>
          <cell r="R33">
            <v>-382.95285648010378</v>
          </cell>
          <cell r="S33"/>
          <cell r="T33">
            <v>3829.5285648010376</v>
          </cell>
          <cell r="U33">
            <v>0</v>
          </cell>
          <cell r="V33">
            <v>3829.5285648010376</v>
          </cell>
          <cell r="W33">
            <v>3829.5285648010376</v>
          </cell>
          <cell r="X33"/>
          <cell r="Y33">
            <v>3446.5757083209337</v>
          </cell>
          <cell r="Z33">
            <v>0</v>
          </cell>
        </row>
        <row r="34">
          <cell r="D34" t="str">
            <v>Smart $aver® Prescriptive - Lighting</v>
          </cell>
          <cell r="E34"/>
          <cell r="F34">
            <v>5007195.99827863</v>
          </cell>
          <cell r="G34">
            <v>959.98823670651859</v>
          </cell>
          <cell r="H34">
            <v>55356</v>
          </cell>
          <cell r="I34"/>
          <cell r="J34">
            <v>744488.35881557001</v>
          </cell>
          <cell r="K34">
            <v>2170719.1300260955</v>
          </cell>
          <cell r="L34">
            <v>520865.08853208181</v>
          </cell>
          <cell r="M34">
            <v>0</v>
          </cell>
          <cell r="N34">
            <v>3436072.5773737472</v>
          </cell>
          <cell r="O34">
            <v>703048.09881387581</v>
          </cell>
          <cell r="P34">
            <v>2733024.4785598712</v>
          </cell>
          <cell r="Q34">
            <v>0.1</v>
          </cell>
          <cell r="R34">
            <v>273302.44785598712</v>
          </cell>
          <cell r="S34"/>
          <cell r="T34">
            <v>703048.09881387581</v>
          </cell>
          <cell r="U34">
            <v>13963.867980463274</v>
          </cell>
          <cell r="V34">
            <v>717011.96679433913</v>
          </cell>
          <cell r="W34">
            <v>717011.96679433913</v>
          </cell>
          <cell r="X34"/>
          <cell r="Y34">
            <v>990314.41465032625</v>
          </cell>
          <cell r="Z34">
            <v>5116.8804097749744</v>
          </cell>
        </row>
        <row r="35">
          <cell r="D35" t="str">
            <v>Smart $aver® Prescriptive - Motors/Pumps/VFD</v>
          </cell>
          <cell r="E35"/>
          <cell r="F35">
            <v>49238.250117521224</v>
          </cell>
          <cell r="G35">
            <v>14.768999729148236</v>
          </cell>
          <cell r="H35">
            <v>130</v>
          </cell>
          <cell r="I35"/>
          <cell r="J35">
            <v>11376.869249903624</v>
          </cell>
          <cell r="K35">
            <v>19996.108771482344</v>
          </cell>
          <cell r="L35">
            <v>7966.5459689788604</v>
          </cell>
          <cell r="M35">
            <v>0</v>
          </cell>
          <cell r="N35">
            <v>39339.523990364833</v>
          </cell>
          <cell r="O35">
            <v>13720.414923480086</v>
          </cell>
          <cell r="P35">
            <v>25619.109066884746</v>
          </cell>
          <cell r="Q35">
            <v>0.1</v>
          </cell>
          <cell r="R35">
            <v>2561.9109066884748</v>
          </cell>
          <cell r="S35"/>
          <cell r="T35">
            <v>13720.414923480086</v>
          </cell>
          <cell r="U35">
            <v>0</v>
          </cell>
          <cell r="V35">
            <v>13720.414923480086</v>
          </cell>
          <cell r="W35">
            <v>13720.414923480086</v>
          </cell>
          <cell r="X35"/>
          <cell r="Y35">
            <v>16282.32583016856</v>
          </cell>
          <cell r="Z35">
            <v>0</v>
          </cell>
        </row>
        <row r="36">
          <cell r="D36" t="str">
            <v>Smart $aver® Prescriptive - Process Equipment</v>
          </cell>
          <cell r="E36"/>
          <cell r="F36">
            <v>0</v>
          </cell>
          <cell r="G36">
            <v>0</v>
          </cell>
          <cell r="H36">
            <v>0</v>
          </cell>
          <cell r="I36"/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2506.9759235085908</v>
          </cell>
          <cell r="P36">
            <v>-2506.9759235085908</v>
          </cell>
          <cell r="Q36">
            <v>0.1</v>
          </cell>
          <cell r="R36">
            <v>-250.69759235085908</v>
          </cell>
          <cell r="S36"/>
          <cell r="T36">
            <v>2506.9759235085908</v>
          </cell>
          <cell r="U36">
            <v>0</v>
          </cell>
          <cell r="V36">
            <v>2506.9759235085908</v>
          </cell>
          <cell r="W36">
            <v>2506.9759235085908</v>
          </cell>
          <cell r="X36"/>
          <cell r="Y36">
            <v>2256.2783311577318</v>
          </cell>
          <cell r="Z36">
            <v>0</v>
          </cell>
        </row>
        <row r="37">
          <cell r="D37" t="str">
            <v>Total</v>
          </cell>
          <cell r="E37"/>
          <cell r="F37">
            <v>19153163.63695015</v>
          </cell>
          <cell r="G37">
            <v>2888.4961735309867</v>
          </cell>
          <cell r="H37">
            <v>2256822.48</v>
          </cell>
          <cell r="I37"/>
          <cell r="J37">
            <v>2190255.9730835608</v>
          </cell>
          <cell r="K37">
            <v>7838176.5949812625</v>
          </cell>
          <cell r="L37">
            <v>1710792.0957204038</v>
          </cell>
          <cell r="M37">
            <v>0</v>
          </cell>
          <cell r="N37">
            <v>11739224.663785227</v>
          </cell>
          <cell r="O37">
            <v>2519103.1519604768</v>
          </cell>
          <cell r="P37">
            <v>9220121.5118247494</v>
          </cell>
          <cell r="Q37"/>
          <cell r="R37">
            <v>922012.15118247492</v>
          </cell>
          <cell r="S37"/>
          <cell r="T37">
            <v>2519103.1519604768</v>
          </cell>
          <cell r="U37">
            <v>18798.654809109314</v>
          </cell>
          <cell r="V37">
            <v>2537901.8067695857</v>
          </cell>
          <cell r="W37">
            <v>2537901.8067695857</v>
          </cell>
          <cell r="X37"/>
          <cell r="Y37">
            <v>3459913.9579520607</v>
          </cell>
          <cell r="Z37">
            <v>21325.957655464976</v>
          </cell>
        </row>
        <row r="38"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</row>
        <row r="39"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O39"/>
          <cell r="P39"/>
          <cell r="Q39"/>
          <cell r="R39"/>
          <cell r="S39"/>
          <cell r="T39"/>
          <cell r="U39"/>
          <cell r="V39"/>
          <cell r="W39"/>
          <cell r="X39"/>
          <cell r="Y39"/>
          <cell r="Z39"/>
        </row>
        <row r="40">
          <cell r="D40" t="str">
            <v>Power Manager® for Business</v>
          </cell>
          <cell r="E40"/>
          <cell r="F40">
            <v>939.30476258170734</v>
          </cell>
          <cell r="G40">
            <v>63.804322648652295</v>
          </cell>
          <cell r="H40">
            <v>52.710000000000008</v>
          </cell>
          <cell r="I40"/>
          <cell r="J40">
            <v>4597.3853030451091</v>
          </cell>
          <cell r="K40">
            <v>241.98259597383191</v>
          </cell>
          <cell r="L40">
            <v>3245.7528341254188</v>
          </cell>
          <cell r="M40">
            <v>0</v>
          </cell>
          <cell r="N40">
            <v>8085.1207331443602</v>
          </cell>
          <cell r="O40">
            <v>2722.9001164544788</v>
          </cell>
          <cell r="P40">
            <v>5362.2206166898814</v>
          </cell>
          <cell r="Q40">
            <v>0.1</v>
          </cell>
          <cell r="R40">
            <v>536.2220616689882</v>
          </cell>
          <cell r="S40"/>
          <cell r="T40">
            <v>2722.9001164544788</v>
          </cell>
          <cell r="U40">
            <v>0</v>
          </cell>
          <cell r="V40">
            <v>2722.9001164544788</v>
          </cell>
          <cell r="W40">
            <v>2722.9001164544788</v>
          </cell>
          <cell r="X40"/>
          <cell r="Y40">
            <v>3259.1221781234672</v>
          </cell>
          <cell r="Z40">
            <v>0</v>
          </cell>
        </row>
        <row r="41">
          <cell r="D41" t="str">
            <v>PowerShare®</v>
          </cell>
          <cell r="E41"/>
          <cell r="F41">
            <v>0</v>
          </cell>
          <cell r="G41">
            <v>18468.774692028546</v>
          </cell>
          <cell r="H41">
            <v>17</v>
          </cell>
          <cell r="I41"/>
          <cell r="J41">
            <v>1270618.5281551576</v>
          </cell>
          <cell r="K41">
            <v>0</v>
          </cell>
          <cell r="L41">
            <v>896540.27564674325</v>
          </cell>
          <cell r="M41">
            <v>0</v>
          </cell>
          <cell r="N41">
            <v>2167158.8038019007</v>
          </cell>
          <cell r="O41">
            <v>593292.30082561518</v>
          </cell>
          <cell r="P41">
            <v>1573866.5029762855</v>
          </cell>
          <cell r="Q41">
            <v>0.1</v>
          </cell>
          <cell r="R41">
            <v>157386.65029762857</v>
          </cell>
          <cell r="S41"/>
          <cell r="T41">
            <v>593292.30082561518</v>
          </cell>
          <cell r="U41">
            <v>0</v>
          </cell>
          <cell r="V41">
            <v>593292.30082561518</v>
          </cell>
          <cell r="W41">
            <v>593292.30082561518</v>
          </cell>
          <cell r="X41"/>
          <cell r="Y41">
            <v>750678.95112324378</v>
          </cell>
          <cell r="Z41">
            <v>0</v>
          </cell>
        </row>
        <row r="42">
          <cell r="D42" t="str">
            <v>Total</v>
          </cell>
          <cell r="E42"/>
          <cell r="F42">
            <v>939.30476258170734</v>
          </cell>
          <cell r="G42">
            <v>18532.579014677198</v>
          </cell>
          <cell r="H42">
            <v>69.710000000000008</v>
          </cell>
          <cell r="I42"/>
          <cell r="J42">
            <v>1275215.9134582027</v>
          </cell>
          <cell r="K42">
            <v>241.98259597383191</v>
          </cell>
          <cell r="L42">
            <v>899786.02848086867</v>
          </cell>
          <cell r="M42">
            <v>0</v>
          </cell>
          <cell r="N42">
            <v>2175243.9245350449</v>
          </cell>
          <cell r="O42">
            <v>596015.20094206964</v>
          </cell>
          <cell r="P42">
            <v>1579228.7235929754</v>
          </cell>
          <cell r="Q42"/>
          <cell r="R42">
            <v>157922.87235929756</v>
          </cell>
          <cell r="S42"/>
          <cell r="T42">
            <v>596015.20094206964</v>
          </cell>
          <cell r="U42">
            <v>0</v>
          </cell>
          <cell r="V42">
            <v>596015.20094206964</v>
          </cell>
          <cell r="W42">
            <v>596015.20094206964</v>
          </cell>
          <cell r="X42"/>
          <cell r="Y42">
            <v>753938.07330136723</v>
          </cell>
          <cell r="Z42">
            <v>0</v>
          </cell>
        </row>
        <row r="43">
          <cell r="D43"/>
          <cell r="E43"/>
          <cell r="F43"/>
          <cell r="G43"/>
          <cell r="H43"/>
          <cell r="I43"/>
          <cell r="J43"/>
          <cell r="K43"/>
          <cell r="L43"/>
          <cell r="M43"/>
          <cell r="N43"/>
          <cell r="O43"/>
          <cell r="P43"/>
          <cell r="Q43"/>
          <cell r="R43"/>
          <cell r="S43"/>
          <cell r="T43"/>
          <cell r="U43"/>
          <cell r="V43"/>
          <cell r="W43"/>
          <cell r="X43"/>
          <cell r="Y43"/>
          <cell r="Z43"/>
        </row>
        <row r="44">
          <cell r="D44"/>
          <cell r="E44"/>
          <cell r="F44"/>
          <cell r="G44"/>
          <cell r="H44"/>
          <cell r="I44"/>
          <cell r="J44"/>
          <cell r="K44"/>
          <cell r="L44"/>
          <cell r="M44"/>
          <cell r="N44"/>
          <cell r="O44"/>
          <cell r="P44"/>
          <cell r="Q44"/>
          <cell r="R44"/>
          <cell r="S44"/>
          <cell r="T44"/>
          <cell r="U44"/>
          <cell r="V44"/>
          <cell r="W44"/>
          <cell r="X44"/>
          <cell r="Y44"/>
          <cell r="Z44"/>
        </row>
        <row r="45">
          <cell r="D45" t="str">
            <v>Payment Plus</v>
          </cell>
          <cell r="E45"/>
          <cell r="F45"/>
          <cell r="G45"/>
          <cell r="H45"/>
          <cell r="I45"/>
          <cell r="J45"/>
          <cell r="K45"/>
          <cell r="L45"/>
          <cell r="M45"/>
          <cell r="N45"/>
          <cell r="O45"/>
          <cell r="P45"/>
          <cell r="Q45"/>
          <cell r="R45"/>
          <cell r="S45"/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/>
          <cell r="Y45">
            <v>0</v>
          </cell>
          <cell r="Z45">
            <v>0</v>
          </cell>
        </row>
        <row r="46">
          <cell r="D46" t="str">
            <v>Total</v>
          </cell>
          <cell r="E46"/>
          <cell r="F46"/>
          <cell r="G46"/>
          <cell r="H46"/>
          <cell r="I46"/>
          <cell r="J46"/>
          <cell r="K46"/>
          <cell r="L46"/>
          <cell r="M46"/>
          <cell r="N46"/>
          <cell r="O46"/>
          <cell r="P46"/>
          <cell r="Q46"/>
          <cell r="R46"/>
          <cell r="S46"/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/>
          <cell r="Y46">
            <v>0</v>
          </cell>
          <cell r="Z46">
            <v>0</v>
          </cell>
        </row>
        <row r="47">
          <cell r="D47"/>
          <cell r="E47"/>
          <cell r="F47"/>
          <cell r="G47"/>
          <cell r="H47"/>
          <cell r="I47"/>
          <cell r="J47"/>
          <cell r="K47"/>
          <cell r="L47"/>
          <cell r="M47"/>
          <cell r="N47"/>
          <cell r="O47"/>
          <cell r="P47"/>
          <cell r="Q47"/>
          <cell r="R47"/>
          <cell r="S47"/>
          <cell r="T47"/>
          <cell r="U47"/>
          <cell r="V47"/>
          <cell r="W47"/>
          <cell r="X47"/>
          <cell r="Y47"/>
          <cell r="Z47"/>
        </row>
        <row r="48">
          <cell r="D48"/>
          <cell r="E48"/>
          <cell r="F48">
            <v>26261206.306644924</v>
          </cell>
          <cell r="G48">
            <v>36371.337196520944</v>
          </cell>
          <cell r="H48">
            <v>2509002.19</v>
          </cell>
          <cell r="I48"/>
          <cell r="J48">
            <v>5050869.6338541247</v>
          </cell>
          <cell r="K48">
            <v>10478286.446332294</v>
          </cell>
          <cell r="L48">
            <v>3946267.6679070336</v>
          </cell>
          <cell r="M48">
            <v>0</v>
          </cell>
          <cell r="N48">
            <v>19475423.748093452</v>
          </cell>
          <cell r="O48">
            <v>5573629.7795629911</v>
          </cell>
          <cell r="P48">
            <v>13901793.968530463</v>
          </cell>
          <cell r="Q48"/>
          <cell r="R48">
            <v>1390179.396853046</v>
          </cell>
          <cell r="S48"/>
          <cell r="T48">
            <v>5673777.9300000006</v>
          </cell>
          <cell r="U48">
            <v>48481.710000000006</v>
          </cell>
          <cell r="V48">
            <v>5722259.6399999997</v>
          </cell>
          <cell r="W48">
            <v>5722259.6399999997</v>
          </cell>
          <cell r="X48"/>
          <cell r="Y48">
            <v>7112439.0368530471</v>
          </cell>
          <cell r="Z48">
            <v>38118.106551959449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57"/>
  <sheetViews>
    <sheetView tabSelected="1" view="pageLayout" zoomScale="85" zoomScaleNormal="100" zoomScalePageLayoutView="85" workbookViewId="0">
      <selection activeCell="A23" sqref="A23"/>
    </sheetView>
  </sheetViews>
  <sheetFormatPr defaultColWidth="9.140625" defaultRowHeight="12.75" x14ac:dyDescent="0.2"/>
  <cols>
    <col min="1" max="1" width="57.42578125" style="46" customWidth="1"/>
    <col min="2" max="4" width="22.42578125" style="46" customWidth="1"/>
    <col min="5" max="5" width="18.28515625" style="46" customWidth="1"/>
    <col min="6" max="6" width="17.85546875" style="46" customWidth="1"/>
    <col min="7" max="7" width="17.5703125" style="46" customWidth="1"/>
    <col min="8" max="8" width="18.140625" style="46" customWidth="1"/>
    <col min="9" max="9" width="18.28515625" style="46" customWidth="1"/>
    <col min="10" max="10" width="12.140625" style="46" customWidth="1"/>
    <col min="11" max="11" width="15.85546875" style="46" customWidth="1"/>
    <col min="12" max="12" width="13.140625" style="46" customWidth="1"/>
    <col min="13" max="13" width="13.28515625" style="46" customWidth="1"/>
    <col min="14" max="14" width="12.28515625" style="46" customWidth="1"/>
    <col min="15" max="15" width="13.28515625" style="46" customWidth="1"/>
    <col min="16" max="16384" width="9.140625" style="46"/>
  </cols>
  <sheetData>
    <row r="1" spans="1:19" x14ac:dyDescent="0.2">
      <c r="S1" s="2"/>
    </row>
    <row r="2" spans="1:19" x14ac:dyDescent="0.2">
      <c r="O2" s="47"/>
    </row>
    <row r="3" spans="1:19" x14ac:dyDescent="0.2">
      <c r="E3" s="46" t="s">
        <v>0</v>
      </c>
    </row>
    <row r="4" spans="1:19" x14ac:dyDescent="0.2">
      <c r="S4" s="2"/>
    </row>
    <row r="5" spans="1:19" x14ac:dyDescent="0.2">
      <c r="E5" s="46" t="s">
        <v>1</v>
      </c>
      <c r="J5" s="47"/>
    </row>
    <row r="6" spans="1:19" x14ac:dyDescent="0.2">
      <c r="S6" s="2"/>
    </row>
    <row r="7" spans="1:19" x14ac:dyDescent="0.2"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67</v>
      </c>
      <c r="M7" s="10" t="s">
        <v>68</v>
      </c>
      <c r="N7" s="10" t="s">
        <v>69</v>
      </c>
      <c r="O7" s="10" t="s">
        <v>70</v>
      </c>
    </row>
    <row r="8" spans="1:19" x14ac:dyDescent="0.2">
      <c r="A8" s="46" t="s">
        <v>21</v>
      </c>
      <c r="B8" s="44" t="s">
        <v>12</v>
      </c>
      <c r="C8" s="44" t="s">
        <v>63</v>
      </c>
      <c r="D8" s="44" t="s">
        <v>64</v>
      </c>
      <c r="E8" s="46" t="s">
        <v>13</v>
      </c>
      <c r="F8" s="47" t="s">
        <v>103</v>
      </c>
      <c r="H8" s="44" t="s">
        <v>65</v>
      </c>
      <c r="I8" s="44" t="s">
        <v>66</v>
      </c>
      <c r="J8" s="93">
        <v>2018</v>
      </c>
      <c r="K8" s="46" t="s">
        <v>139</v>
      </c>
      <c r="L8" s="46" t="s">
        <v>14</v>
      </c>
      <c r="N8" s="39" t="s">
        <v>15</v>
      </c>
      <c r="O8" s="39"/>
      <c r="S8" s="2"/>
    </row>
    <row r="9" spans="1:19" x14ac:dyDescent="0.2">
      <c r="B9" s="94" t="s">
        <v>145</v>
      </c>
      <c r="C9" s="11" t="str">
        <f>B9</f>
        <v>7/2018 to 6/2019 (A)</v>
      </c>
      <c r="D9" s="11" t="str">
        <f>C9</f>
        <v>7/2018 to 6/2019 (A)</v>
      </c>
      <c r="E9" s="33" t="s">
        <v>151</v>
      </c>
      <c r="F9" s="11" t="s">
        <v>16</v>
      </c>
      <c r="G9" s="11" t="s">
        <v>17</v>
      </c>
      <c r="H9" s="8" t="str">
        <f>E9</f>
        <v>7/2018 to 6/2019 (B)</v>
      </c>
      <c r="I9" s="8" t="str">
        <f>H9</f>
        <v>7/2018 to 6/2019 (B)</v>
      </c>
      <c r="J9" s="12" t="s">
        <v>22</v>
      </c>
      <c r="K9" s="12" t="s">
        <v>23</v>
      </c>
      <c r="L9" s="11" t="s">
        <v>16</v>
      </c>
      <c r="M9" s="11" t="s">
        <v>17</v>
      </c>
      <c r="N9" s="11" t="s">
        <v>18</v>
      </c>
      <c r="O9" s="11" t="s">
        <v>19</v>
      </c>
    </row>
    <row r="10" spans="1:19" ht="5.25" customHeight="1" x14ac:dyDescent="0.2">
      <c r="B10" s="25"/>
      <c r="C10" s="25"/>
      <c r="D10" s="25"/>
      <c r="E10" s="25"/>
      <c r="F10" s="2"/>
      <c r="G10" s="2"/>
      <c r="H10" s="25"/>
      <c r="I10" s="25"/>
      <c r="L10" s="44"/>
      <c r="M10" s="44"/>
      <c r="N10" s="44"/>
      <c r="O10" s="44"/>
      <c r="Q10" s="1"/>
      <c r="S10" s="9"/>
    </row>
    <row r="11" spans="1:19" x14ac:dyDescent="0.2">
      <c r="A11" s="46" t="s">
        <v>105</v>
      </c>
      <c r="B11" s="25">
        <v>0</v>
      </c>
      <c r="C11" s="25">
        <v>0</v>
      </c>
      <c r="D11" s="25">
        <v>0</v>
      </c>
      <c r="E11" s="25">
        <f>VLOOKUP($A11,[1]Programs!$D$13:$V$48,19,FALSE)</f>
        <v>5808.8870369427759</v>
      </c>
      <c r="F11" s="2">
        <f>$E11*VLOOKUP($A11,'Page 6'!$A$7:$H$14,8,FALSE)</f>
        <v>5713.9109821070524</v>
      </c>
      <c r="G11" s="2">
        <f>$E11*VLOOKUP($A11,'Page 6'!$A$7:$H$14,7,FALSE)</f>
        <v>94.976054835723588</v>
      </c>
      <c r="H11" s="25">
        <f>VLOOKUP($A11,[1]Programs!$D$13:$Z$48,23,FALSE)</f>
        <v>0</v>
      </c>
      <c r="I11" s="25">
        <f>VLOOKUP($A11,[1]Programs!$D$13:$V$48,15,FALSE)</f>
        <v>-543.70322276166144</v>
      </c>
      <c r="L11" s="44"/>
      <c r="M11" s="44"/>
      <c r="N11" s="44"/>
      <c r="O11" s="44"/>
      <c r="Q11" s="1"/>
      <c r="S11" s="9"/>
    </row>
    <row r="12" spans="1:19" x14ac:dyDescent="0.2">
      <c r="A12" s="46" t="s">
        <v>107</v>
      </c>
      <c r="B12" s="25">
        <v>343237</v>
      </c>
      <c r="C12" s="25">
        <v>243</v>
      </c>
      <c r="D12" s="25">
        <v>-15215.583503057946</v>
      </c>
      <c r="E12" s="25">
        <f>VLOOKUP($A12,[1]Programs!$D$13:$V$48,19,FALSE)</f>
        <v>234459.44178919823</v>
      </c>
      <c r="F12" s="2">
        <f>$E12*VLOOKUP($A12,'Page 6'!$A$7:$H$14,8,FALSE)</f>
        <v>0</v>
      </c>
      <c r="G12" s="2">
        <f>$E12*VLOOKUP($A12,'Page 6'!$A$7:$H$14,7,FALSE)</f>
        <v>234459.44178919823</v>
      </c>
      <c r="H12" s="25">
        <f>VLOOKUP($A12,[1]Programs!$D$13:$Z$48,23,FALSE)</f>
        <v>459.02873766749997</v>
      </c>
      <c r="I12" s="25">
        <f>VLOOKUP($A12,[1]Programs!$D$13:$V$48,15,FALSE)</f>
        <v>-10308.916621435761</v>
      </c>
      <c r="L12" s="44"/>
      <c r="M12" s="44"/>
      <c r="N12" s="44"/>
      <c r="O12" s="44"/>
    </row>
    <row r="13" spans="1:19" x14ac:dyDescent="0.2">
      <c r="A13" s="1" t="s">
        <v>108</v>
      </c>
      <c r="B13" s="25">
        <v>911344</v>
      </c>
      <c r="C13" s="25">
        <v>1157</v>
      </c>
      <c r="D13" s="25">
        <v>-51877.960091741174</v>
      </c>
      <c r="E13" s="25">
        <f>VLOOKUP($A13,[1]Programs!$D$13:$V$48,19,FALSE)</f>
        <v>458781.30934802012</v>
      </c>
      <c r="F13" s="2">
        <f>$E13*VLOOKUP($A13,'Page 6'!$A$7:$H$14,8,FALSE)</f>
        <v>196798.71268748734</v>
      </c>
      <c r="G13" s="2">
        <f>$E13*VLOOKUP($A13,'Page 6'!$A$7:$H$14,7,FALSE)</f>
        <v>261982.59666053278</v>
      </c>
      <c r="H13" s="25">
        <f>VLOOKUP($A13,[1]Programs!$D$13:$Z$48,23,FALSE)</f>
        <v>154.30927324999999</v>
      </c>
      <c r="I13" s="25">
        <f>VLOOKUP($A13,[1]Programs!$D$13:$V$48,15,FALSE)</f>
        <v>-19428.332723536714</v>
      </c>
      <c r="L13" s="44"/>
      <c r="M13" s="44"/>
      <c r="N13" s="44"/>
      <c r="O13" s="44"/>
    </row>
    <row r="14" spans="1:19" x14ac:dyDescent="0.2">
      <c r="A14" s="46" t="s">
        <v>106</v>
      </c>
      <c r="B14" s="60">
        <v>0</v>
      </c>
      <c r="C14" s="60">
        <v>0</v>
      </c>
      <c r="D14" s="60">
        <v>0</v>
      </c>
      <c r="E14" s="25">
        <f>VLOOKUP($A14,[1]Programs!$D$13:$V$48,19,FALSE)</f>
        <v>30463.396026787414</v>
      </c>
      <c r="F14" s="2">
        <f>$E14*VLOOKUP($A14,'Page 6'!$A$7:$H$14,8,FALSE)</f>
        <v>0</v>
      </c>
      <c r="G14" s="2">
        <f>$E14*VLOOKUP($A14,'Page 6'!$A$7:$H$14,7,FALSE)</f>
        <v>30463.396026787414</v>
      </c>
      <c r="H14" s="25">
        <f>VLOOKUP($A14,[1]Programs!$D$13:$Z$48,23,FALSE)</f>
        <v>1777.1560613926372</v>
      </c>
      <c r="I14" s="25">
        <f>VLOOKUP($A14,[1]Programs!$D$13:$V$48,15,FALSE)</f>
        <v>-2735.8298472784045</v>
      </c>
      <c r="L14" s="44"/>
      <c r="M14" s="44"/>
      <c r="N14" s="44"/>
      <c r="O14" s="44"/>
    </row>
    <row r="15" spans="1:19" x14ac:dyDescent="0.2">
      <c r="A15" s="1" t="s">
        <v>109</v>
      </c>
      <c r="B15" s="25">
        <v>300015</v>
      </c>
      <c r="C15" s="25">
        <v>1532</v>
      </c>
      <c r="D15" s="25">
        <v>8033.4556700028334</v>
      </c>
      <c r="E15" s="25">
        <f>VLOOKUP($A15,[1]Programs!$D$13:$V$48,19,FALSE)</f>
        <v>185957.50785223063</v>
      </c>
      <c r="F15" s="2">
        <f>$E15*VLOOKUP($A15,'Page 6'!$A$7:$H$14,8,FALSE)</f>
        <v>0</v>
      </c>
      <c r="G15" s="2">
        <f>$E15*VLOOKUP($A15,'Page 6'!$A$7:$H$14,7,FALSE)</f>
        <v>185957.50785223063</v>
      </c>
      <c r="H15" s="25">
        <f>VLOOKUP($A15,[1]Programs!$D$13:$Z$48,23,FALSE)</f>
        <v>1467.5891143503002</v>
      </c>
      <c r="I15" s="25">
        <f>VLOOKUP($A15,[1]Programs!$D$13:$V$48,15,FALSE)</f>
        <v>13048.172667399338</v>
      </c>
      <c r="L15" s="44"/>
      <c r="M15" s="44"/>
      <c r="N15" s="44"/>
      <c r="O15" s="44"/>
    </row>
    <row r="16" spans="1:19" x14ac:dyDescent="0.2">
      <c r="A16" s="46" t="s">
        <v>104</v>
      </c>
      <c r="B16" s="60">
        <v>2323461</v>
      </c>
      <c r="C16" s="60">
        <v>17149</v>
      </c>
      <c r="D16" s="60">
        <v>106686.12305832152</v>
      </c>
      <c r="E16" s="25">
        <f>VLOOKUP($A16,[1]Programs!$D$13:$V$48,19,FALSE)</f>
        <v>1103925.5366413062</v>
      </c>
      <c r="F16" s="2">
        <f>$E16*VLOOKUP($A16,'Page 6'!$A$7:$H$14,8,FALSE)</f>
        <v>0</v>
      </c>
      <c r="G16" s="2">
        <f>$E16*VLOOKUP($A16,'Page 6'!$A$7:$H$14,7,FALSE)</f>
        <v>1103925.5366413062</v>
      </c>
      <c r="H16" s="25">
        <f>VLOOKUP($A16,[1]Programs!$D$13:$Z$48,23,FALSE)</f>
        <v>12934.065709834036</v>
      </c>
      <c r="I16" s="25">
        <f>VLOOKUP($A16,[1]Programs!$D$13:$V$48,15,FALSE)</f>
        <v>222124.00222793568</v>
      </c>
      <c r="L16" s="44"/>
      <c r="M16" s="44"/>
      <c r="N16" s="44"/>
      <c r="O16" s="44"/>
    </row>
    <row r="17" spans="1:15" x14ac:dyDescent="0.2">
      <c r="A17" s="46" t="s">
        <v>132</v>
      </c>
      <c r="B17" s="60">
        <v>760837</v>
      </c>
      <c r="C17" s="60">
        <v>0</v>
      </c>
      <c r="D17" s="60">
        <v>119491.79883415444</v>
      </c>
      <c r="E17" s="25">
        <f>VLOOKUP($A17,[1]Programs!$D$13:$V$48,19,FALSE)</f>
        <v>568953.96323442145</v>
      </c>
      <c r="F17" s="2">
        <f>$E17*VLOOKUP($A17,'Page 6'!$A$7:$H$14,8,FALSE)</f>
        <v>0</v>
      </c>
      <c r="G17" s="2">
        <f>$E17*VLOOKUP($A17,'Page 6'!$A$7:$H$14,7,FALSE)</f>
        <v>568953.96323442145</v>
      </c>
      <c r="H17" s="25">
        <f>VLOOKUP($A17,[1]Programs!$D$13:$Z$48,23,FALSE)</f>
        <v>0</v>
      </c>
      <c r="I17" s="25">
        <f>VLOOKUP($A17,[1]Programs!$D$13:$V$48,15,FALSE)</f>
        <v>108088.23986689496</v>
      </c>
      <c r="L17" s="44"/>
      <c r="M17" s="44"/>
      <c r="N17" s="44"/>
      <c r="O17" s="44"/>
    </row>
    <row r="18" spans="1:15" x14ac:dyDescent="0.2">
      <c r="A18" s="46" t="s">
        <v>133</v>
      </c>
      <c r="B18" s="60">
        <v>0</v>
      </c>
      <c r="C18" s="60">
        <v>0</v>
      </c>
      <c r="D18" s="60">
        <v>0</v>
      </c>
      <c r="E18" s="25">
        <f>VLOOKUP($A18,[1]Programs!$D$13:$V$48,19,FALSE)</f>
        <v>-7.409640562305845</v>
      </c>
      <c r="F18" s="2">
        <f>$E18*VLOOKUP($A18,'Page 6'!$A$7:$H$14,8,FALSE)</f>
        <v>0</v>
      </c>
      <c r="G18" s="2">
        <f>$E18*VLOOKUP($A18,'Page 6'!$A$7:$H$14,7,FALSE)</f>
        <v>-7.409640562305845</v>
      </c>
      <c r="H18" s="25">
        <f>VLOOKUP($A18,[1]Programs!$D$13:$Z$48,23,FALSE)</f>
        <v>0</v>
      </c>
      <c r="I18" s="25">
        <v>0</v>
      </c>
      <c r="L18" s="44"/>
      <c r="M18" s="44"/>
      <c r="N18" s="44"/>
      <c r="O18" s="44"/>
    </row>
    <row r="19" spans="1:15" x14ac:dyDescent="0.2">
      <c r="A19" s="79" t="s">
        <v>155</v>
      </c>
      <c r="B19" s="25">
        <v>258401</v>
      </c>
      <c r="C19" s="25">
        <v>0</v>
      </c>
      <c r="D19" s="25">
        <v>0</v>
      </c>
      <c r="E19" s="25">
        <f>262623.64+39393.55</f>
        <v>302017.19</v>
      </c>
      <c r="F19" s="25">
        <v>126686</v>
      </c>
      <c r="G19" s="25">
        <v>175331.19</v>
      </c>
      <c r="H19" s="25"/>
      <c r="I19" s="25"/>
      <c r="L19" s="25">
        <v>110443.1</v>
      </c>
      <c r="M19" s="25">
        <v>152851.29999999999</v>
      </c>
      <c r="N19" s="43"/>
      <c r="O19" s="43"/>
    </row>
    <row r="20" spans="1:15" x14ac:dyDescent="0.2">
      <c r="A20" s="80" t="s">
        <v>118</v>
      </c>
      <c r="B20" s="25"/>
      <c r="C20" s="25"/>
      <c r="D20" s="25"/>
      <c r="E20" s="25"/>
      <c r="F20" s="25"/>
      <c r="G20" s="42"/>
      <c r="H20" s="25"/>
      <c r="I20" s="25"/>
      <c r="L20" s="25">
        <v>-2578966.0100000002</v>
      </c>
      <c r="M20" s="25">
        <v>4711948.43</v>
      </c>
      <c r="N20" s="44"/>
      <c r="O20" s="44"/>
    </row>
    <row r="21" spans="1:15" x14ac:dyDescent="0.2">
      <c r="A21" s="34" t="s">
        <v>33</v>
      </c>
      <c r="B21" s="36">
        <f>SUM(B10:B20)</f>
        <v>4897295</v>
      </c>
      <c r="C21" s="36">
        <f>SUM(C10:C20)</f>
        <v>20081</v>
      </c>
      <c r="D21" s="36">
        <f>SUM(D10:D20)</f>
        <v>167117.83396767967</v>
      </c>
      <c r="E21" s="36">
        <f>SUM(E10:E20)</f>
        <v>2890359.8222883446</v>
      </c>
      <c r="F21" s="36">
        <f t="shared" ref="F21:I21" si="0">SUM(F10:F20)</f>
        <v>329198.62366959441</v>
      </c>
      <c r="G21" s="36">
        <f t="shared" si="0"/>
        <v>2561161.1986187501</v>
      </c>
      <c r="H21" s="36">
        <f t="shared" si="0"/>
        <v>16792.148896494473</v>
      </c>
      <c r="I21" s="36">
        <f t="shared" si="0"/>
        <v>310243.63234721741</v>
      </c>
      <c r="J21" s="100">
        <v>-1050839.3737197442</v>
      </c>
      <c r="K21" s="100">
        <v>-5236243.9730231948</v>
      </c>
      <c r="L21" s="35">
        <f>L19+L20</f>
        <v>-2468522.91</v>
      </c>
      <c r="M21" s="35">
        <f>M19+M20</f>
        <v>4864799.7299999995</v>
      </c>
      <c r="N21" s="35">
        <f>F21+J21-L21</f>
        <v>1746882.1599498503</v>
      </c>
      <c r="O21" s="35">
        <f>G21+H21+I21+K21-M21</f>
        <v>-7212846.7231607325</v>
      </c>
    </row>
    <row r="22" spans="1:15" x14ac:dyDescent="0.2">
      <c r="C22" s="14"/>
      <c r="E22" s="3"/>
      <c r="H22" s="3"/>
      <c r="I22" s="3"/>
    </row>
    <row r="23" spans="1:15" x14ac:dyDescent="0.2">
      <c r="A23" s="47" t="s">
        <v>156</v>
      </c>
      <c r="I23" s="2"/>
    </row>
    <row r="24" spans="1:15" x14ac:dyDescent="0.2">
      <c r="A24" s="47" t="s">
        <v>148</v>
      </c>
      <c r="H24" s="3"/>
      <c r="J24" s="42"/>
      <c r="K24" s="26"/>
      <c r="L24" s="2"/>
      <c r="M24" s="2"/>
    </row>
    <row r="25" spans="1:15" x14ac:dyDescent="0.2">
      <c r="A25" s="47" t="s">
        <v>130</v>
      </c>
      <c r="H25" s="7"/>
      <c r="I25" s="3"/>
      <c r="J25" s="42"/>
      <c r="L25" s="2"/>
      <c r="M25" s="2"/>
    </row>
    <row r="26" spans="1:15" x14ac:dyDescent="0.2">
      <c r="A26" s="47" t="s">
        <v>119</v>
      </c>
      <c r="E26" s="3"/>
      <c r="H26" s="7"/>
      <c r="L26" s="2"/>
      <c r="M26" s="2"/>
    </row>
    <row r="27" spans="1:15" x14ac:dyDescent="0.2">
      <c r="A27" s="47" t="s">
        <v>120</v>
      </c>
      <c r="H27" s="3"/>
    </row>
    <row r="28" spans="1:15" x14ac:dyDescent="0.2">
      <c r="A28" s="47" t="s">
        <v>149</v>
      </c>
      <c r="H28" s="7"/>
    </row>
    <row r="29" spans="1:15" x14ac:dyDescent="0.2">
      <c r="A29" s="46" t="s">
        <v>71</v>
      </c>
      <c r="H29" s="7"/>
    </row>
    <row r="30" spans="1:15" x14ac:dyDescent="0.2">
      <c r="A30" s="46" t="s">
        <v>72</v>
      </c>
      <c r="H30" s="3"/>
      <c r="M30" s="1"/>
    </row>
    <row r="31" spans="1:15" x14ac:dyDescent="0.2">
      <c r="A31" s="47" t="s">
        <v>136</v>
      </c>
      <c r="H31" s="3"/>
    </row>
    <row r="32" spans="1:15" x14ac:dyDescent="0.2">
      <c r="A32" s="47"/>
      <c r="H32" s="3"/>
    </row>
    <row r="33" spans="1:26" x14ac:dyDescent="0.2">
      <c r="E33" s="15"/>
      <c r="F33" s="15"/>
      <c r="G33" s="15"/>
      <c r="H33" s="15"/>
      <c r="I33" s="15"/>
      <c r="J33" s="15"/>
    </row>
    <row r="34" spans="1:26" x14ac:dyDescent="0.2">
      <c r="B34" s="10" t="s">
        <v>2</v>
      </c>
      <c r="C34" s="10" t="s">
        <v>3</v>
      </c>
      <c r="D34" s="10" t="s">
        <v>4</v>
      </c>
      <c r="E34" s="16" t="s">
        <v>5</v>
      </c>
      <c r="F34" s="16" t="s">
        <v>6</v>
      </c>
      <c r="G34" s="16" t="s">
        <v>7</v>
      </c>
      <c r="H34" s="16" t="s">
        <v>8</v>
      </c>
      <c r="I34" s="16" t="s">
        <v>9</v>
      </c>
      <c r="J34" s="16" t="s">
        <v>10</v>
      </c>
      <c r="Q34" s="10"/>
      <c r="R34" s="10"/>
      <c r="T34" s="10"/>
      <c r="U34" s="10"/>
      <c r="W34" s="10"/>
      <c r="X34" s="10"/>
    </row>
    <row r="35" spans="1:26" x14ac:dyDescent="0.2">
      <c r="A35" s="46" t="s">
        <v>24</v>
      </c>
      <c r="B35" s="46" t="s">
        <v>12</v>
      </c>
      <c r="C35" s="44" t="s">
        <v>63</v>
      </c>
      <c r="D35" s="44" t="s">
        <v>64</v>
      </c>
      <c r="E35" s="46" t="s">
        <v>13</v>
      </c>
      <c r="F35" s="44" t="s">
        <v>65</v>
      </c>
      <c r="G35" s="44" t="s">
        <v>66</v>
      </c>
      <c r="H35" s="13">
        <f>J8</f>
        <v>2018</v>
      </c>
      <c r="I35" s="44" t="s">
        <v>25</v>
      </c>
      <c r="J35" s="40" t="s">
        <v>116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">
      <c r="B36" s="11" t="str">
        <f>B9</f>
        <v>7/2018 to 6/2019 (A)</v>
      </c>
      <c r="C36" s="11" t="str">
        <f>B36</f>
        <v>7/2018 to 6/2019 (A)</v>
      </c>
      <c r="D36" s="11" t="str">
        <f>C36</f>
        <v>7/2018 to 6/2019 (A)</v>
      </c>
      <c r="E36" s="8" t="str">
        <f>E9</f>
        <v>7/2018 to 6/2019 (B)</v>
      </c>
      <c r="F36" s="8" t="str">
        <f>E36</f>
        <v>7/2018 to 6/2019 (B)</v>
      </c>
      <c r="G36" s="8" t="str">
        <f>F36</f>
        <v>7/2018 to 6/2019 (B)</v>
      </c>
      <c r="H36" s="11" t="s">
        <v>26</v>
      </c>
      <c r="I36" s="11" t="s">
        <v>27</v>
      </c>
      <c r="J36" s="17" t="s">
        <v>73</v>
      </c>
      <c r="K36" s="1"/>
      <c r="L36" s="1"/>
      <c r="M36" s="13"/>
      <c r="N36" s="1"/>
      <c r="O36" s="13"/>
      <c r="P36" s="1"/>
      <c r="Q36" s="13"/>
      <c r="R36" s="13"/>
      <c r="S36" s="1"/>
      <c r="T36" s="13"/>
      <c r="U36" s="13"/>
      <c r="V36" s="1"/>
      <c r="W36" s="13"/>
      <c r="X36" s="13"/>
      <c r="Y36" s="1"/>
      <c r="Z36" s="1"/>
    </row>
    <row r="37" spans="1:26" s="1" customFormat="1" x14ac:dyDescent="0.2">
      <c r="A37" s="24" t="s">
        <v>129</v>
      </c>
      <c r="B37" s="25">
        <v>909657</v>
      </c>
      <c r="C37" s="25">
        <v>3775.5235374071262</v>
      </c>
      <c r="D37" s="25">
        <v>117551.10308366924</v>
      </c>
      <c r="E37" s="25">
        <f>VLOOKUP($A37,[1]Programs!$D$13:$V$48,19,FALSE)</f>
        <v>436935.60378271568</v>
      </c>
      <c r="F37" s="25">
        <f>VLOOKUP($A37,[1]Programs!$D$13:$Z$48,23,FALSE)</f>
        <v>3999.0910896443734</v>
      </c>
      <c r="G37" s="25">
        <f>VLOOKUP($A37,[1]Programs!$D$13:$V$48,15,FALSE)</f>
        <v>57361.543092362401</v>
      </c>
      <c r="H37" s="20"/>
      <c r="I37" s="20"/>
      <c r="K37" s="19"/>
      <c r="L37" s="20"/>
      <c r="M37" s="9"/>
      <c r="Q37" s="9"/>
      <c r="R37" s="5"/>
      <c r="T37" s="13"/>
      <c r="U37" s="13"/>
      <c r="W37" s="13"/>
      <c r="X37" s="13"/>
    </row>
    <row r="38" spans="1:26" x14ac:dyDescent="0.2">
      <c r="A38" s="47" t="s">
        <v>110</v>
      </c>
      <c r="B38" s="25">
        <v>1527598</v>
      </c>
      <c r="C38" s="25">
        <v>207789</v>
      </c>
      <c r="D38" s="25">
        <v>402802</v>
      </c>
      <c r="E38" s="25">
        <f>VLOOKUP($A38,[1]Programs!$D$13:$V$48,19,FALSE)</f>
        <v>1275216.8667104559</v>
      </c>
      <c r="F38" s="25">
        <f>VLOOKUP($A38,[1]Programs!$D$13:$Z$48,23,FALSE)</f>
        <v>11889.015550632941</v>
      </c>
      <c r="G38" s="25">
        <f>VLOOKUP($A38,[1]Programs!$D$13:$V$48,15,FALSE)</f>
        <v>575638.8480645254</v>
      </c>
      <c r="H38" s="18"/>
      <c r="I38" s="18"/>
      <c r="J38" s="1"/>
      <c r="K38" s="19"/>
      <c r="L38" s="19"/>
      <c r="M38" s="9"/>
      <c r="N38" s="1"/>
      <c r="O38" s="1"/>
      <c r="P38" s="1"/>
      <c r="Q38" s="9"/>
      <c r="R38" s="5"/>
      <c r="S38" s="1"/>
      <c r="T38" s="13"/>
      <c r="U38" s="13"/>
      <c r="V38" s="1"/>
      <c r="W38" s="13"/>
      <c r="X38" s="13"/>
      <c r="Y38" s="1"/>
      <c r="Z38" s="1"/>
    </row>
    <row r="39" spans="1:26" x14ac:dyDescent="0.2">
      <c r="A39" s="52" t="s">
        <v>140</v>
      </c>
      <c r="B39" s="60">
        <v>205022</v>
      </c>
      <c r="C39" s="60">
        <v>2542.9754826977514</v>
      </c>
      <c r="D39" s="60">
        <v>47181.43779392125</v>
      </c>
      <c r="E39" s="25">
        <f>VLOOKUP($A39,[1]Programs!$D$13:$V$48,19,FALSE)</f>
        <v>41.756372334714271</v>
      </c>
      <c r="F39" s="25">
        <f>VLOOKUP($A39,[1]Programs!$D$13:$Z$48,23,FALSE)</f>
        <v>0</v>
      </c>
      <c r="G39" s="25">
        <f>VLOOKUP($A39,[1]Programs!$D$13:$V$48,15,FALSE)</f>
        <v>-4.1756372334714271</v>
      </c>
      <c r="H39" s="20"/>
      <c r="I39" s="20"/>
      <c r="J39" s="1"/>
      <c r="K39" s="1"/>
      <c r="L39" s="1"/>
      <c r="M39" s="13"/>
      <c r="N39" s="1"/>
      <c r="O39" s="13"/>
      <c r="P39" s="1"/>
      <c r="Q39" s="13"/>
      <c r="R39" s="13"/>
      <c r="S39" s="1"/>
      <c r="T39" s="13"/>
      <c r="U39" s="13"/>
      <c r="V39" s="1"/>
      <c r="W39" s="13"/>
      <c r="X39" s="13"/>
      <c r="Y39" s="1"/>
      <c r="Z39" s="1"/>
    </row>
    <row r="40" spans="1:26" x14ac:dyDescent="0.2">
      <c r="A40" s="46" t="s">
        <v>111</v>
      </c>
      <c r="B40" s="25">
        <v>40698</v>
      </c>
      <c r="C40" s="25">
        <v>241.02855113494044</v>
      </c>
      <c r="D40" s="25">
        <v>8191.6081375205295</v>
      </c>
      <c r="E40" s="25">
        <f>VLOOKUP($A40,[1]Programs!$D$13:$V$48,19,FALSE)</f>
        <v>18312.569125745256</v>
      </c>
      <c r="F40" s="25">
        <f>VLOOKUP($A40,[1]Programs!$D$13:$Z$48,23,FALSE)</f>
        <v>149.14808374280855</v>
      </c>
      <c r="G40" s="25">
        <f>VLOOKUP($A40,[1]Programs!$D$13:$V$48,15,FALSE)</f>
        <v>2898.548704970684</v>
      </c>
      <c r="H40" s="18"/>
      <c r="I40" s="18"/>
      <c r="J40" s="1"/>
      <c r="K40" s="19"/>
      <c r="L40" s="20"/>
      <c r="M40" s="9"/>
      <c r="N40" s="1"/>
      <c r="O40" s="1"/>
      <c r="P40" s="1"/>
      <c r="Q40" s="9"/>
      <c r="R40" s="5"/>
      <c r="S40" s="1"/>
      <c r="T40" s="13"/>
      <c r="U40" s="13"/>
      <c r="V40" s="1"/>
      <c r="W40" s="13"/>
      <c r="X40" s="13"/>
      <c r="Y40" s="1"/>
      <c r="Z40" s="1"/>
    </row>
    <row r="41" spans="1:26" x14ac:dyDescent="0.2">
      <c r="A41" s="46" t="s">
        <v>112</v>
      </c>
      <c r="B41" s="25">
        <v>130263</v>
      </c>
      <c r="C41" s="25">
        <v>513.37161837769986</v>
      </c>
      <c r="D41" s="25">
        <v>25381.99266359277</v>
      </c>
      <c r="E41" s="25">
        <f>VLOOKUP($A41,[1]Programs!$D$13:$V$48,19,FALSE)</f>
        <v>70326.124572205459</v>
      </c>
      <c r="F41" s="25">
        <f>VLOOKUP($A41,[1]Programs!$D$13:$Z$48,23,FALSE)</f>
        <v>171.82252166987871</v>
      </c>
      <c r="G41" s="25">
        <f>VLOOKUP($A41,[1]Programs!$D$13:$V$48,15,FALSE)</f>
        <v>10886.678644005411</v>
      </c>
      <c r="H41" s="18"/>
      <c r="I41" s="18"/>
      <c r="J41" s="1"/>
      <c r="K41" s="19"/>
      <c r="L41" s="20"/>
      <c r="M41" s="9"/>
      <c r="N41" s="1"/>
      <c r="O41" s="1"/>
      <c r="P41" s="1"/>
      <c r="Q41" s="9"/>
      <c r="R41" s="5"/>
      <c r="S41" s="1"/>
      <c r="T41" s="13"/>
      <c r="U41" s="13"/>
      <c r="V41" s="1"/>
      <c r="W41" s="13"/>
      <c r="X41" s="13"/>
      <c r="Y41" s="1"/>
      <c r="Z41" s="1"/>
    </row>
    <row r="42" spans="1:26" s="1" customFormat="1" x14ac:dyDescent="0.2">
      <c r="A42" s="24" t="s">
        <v>121</v>
      </c>
      <c r="B42" s="25">
        <v>7997</v>
      </c>
      <c r="C42" s="25">
        <v>6.0553353214549445E-4</v>
      </c>
      <c r="D42" s="25">
        <v>-799.68467674465387</v>
      </c>
      <c r="E42" s="25">
        <f>VLOOKUP($A42,[1]Programs!$D$13:$V$48,19,FALSE)</f>
        <v>3829.5285648010376</v>
      </c>
      <c r="F42" s="25">
        <f>VLOOKUP($A42,[1]Programs!$D$13:$Z$48,23,FALSE)</f>
        <v>0</v>
      </c>
      <c r="G42" s="25">
        <f>VLOOKUP($A42,[1]Programs!$D$13:$V$48,15,FALSE)</f>
        <v>-382.95285648010378</v>
      </c>
      <c r="H42" s="20"/>
      <c r="I42" s="20"/>
      <c r="K42" s="19"/>
      <c r="L42" s="20"/>
      <c r="M42" s="9"/>
      <c r="Q42" s="9"/>
      <c r="R42" s="5"/>
      <c r="T42" s="13"/>
      <c r="U42" s="13"/>
      <c r="W42" s="13"/>
      <c r="X42" s="13"/>
    </row>
    <row r="43" spans="1:26" x14ac:dyDescent="0.2">
      <c r="A43" s="46" t="s">
        <v>113</v>
      </c>
      <c r="B43" s="25">
        <v>1349145</v>
      </c>
      <c r="C43" s="25">
        <v>7708.3641108013499</v>
      </c>
      <c r="D43" s="25">
        <v>290570.3640653856</v>
      </c>
      <c r="E43" s="25">
        <f>VLOOKUP($A43,[1]Programs!$D$13:$V$48,19,FALSE)</f>
        <v>717011.96679433913</v>
      </c>
      <c r="F43" s="25">
        <f>VLOOKUP($A43,[1]Programs!$D$13:$Z$48,23,FALSE)</f>
        <v>5116.8804097749744</v>
      </c>
      <c r="G43" s="25">
        <f>VLOOKUP($A43,[1]Programs!$D$13:$V$48,15,FALSE)</f>
        <v>273302.44785598712</v>
      </c>
      <c r="H43" s="18"/>
      <c r="I43" s="18"/>
      <c r="J43" s="1"/>
      <c r="K43" s="19"/>
      <c r="L43" s="20"/>
      <c r="M43" s="9"/>
      <c r="N43" s="1"/>
      <c r="O43" s="1"/>
      <c r="P43" s="1"/>
      <c r="Q43" s="9"/>
      <c r="R43" s="5"/>
      <c r="S43" s="1"/>
      <c r="T43" s="13"/>
      <c r="U43" s="13"/>
      <c r="V43" s="1"/>
      <c r="W43" s="13"/>
      <c r="X43" s="13"/>
      <c r="Y43" s="1"/>
      <c r="Z43" s="1"/>
    </row>
    <row r="44" spans="1:26" x14ac:dyDescent="0.2">
      <c r="A44" s="1" t="s">
        <v>114</v>
      </c>
      <c r="B44" s="25">
        <v>13754</v>
      </c>
      <c r="C44" s="25">
        <v>1.3554608809692542E-5</v>
      </c>
      <c r="D44" s="25">
        <v>-1287.4440906349307</v>
      </c>
      <c r="E44" s="25">
        <f>VLOOKUP($A44,[1]Programs!$D$13:$V$48,19,FALSE)</f>
        <v>13720.414923480086</v>
      </c>
      <c r="F44" s="25">
        <f>VLOOKUP($A44,[1]Programs!$D$13:$Z$48,23,FALSE)</f>
        <v>0</v>
      </c>
      <c r="G44" s="25">
        <f>VLOOKUP($A44,[1]Programs!$D$13:$V$48,15,FALSE)</f>
        <v>2561.9109066884748</v>
      </c>
      <c r="H44" s="20"/>
      <c r="I44" s="20"/>
      <c r="J44" s="1"/>
      <c r="K44" s="19"/>
      <c r="L44" s="20"/>
      <c r="M44" s="9"/>
      <c r="N44" s="1"/>
      <c r="O44" s="1"/>
      <c r="P44" s="1"/>
      <c r="Q44" s="9"/>
      <c r="R44" s="5"/>
      <c r="S44" s="1"/>
      <c r="T44" s="13"/>
      <c r="U44" s="13"/>
      <c r="V44" s="1"/>
      <c r="W44" s="13"/>
      <c r="X44" s="13"/>
      <c r="Y44" s="1"/>
      <c r="Z44" s="1"/>
    </row>
    <row r="45" spans="1:26" s="1" customFormat="1" x14ac:dyDescent="0.2">
      <c r="A45" s="24" t="s">
        <v>115</v>
      </c>
      <c r="B45" s="25">
        <v>7116</v>
      </c>
      <c r="C45" s="25">
        <v>4.6086808435210173E-6</v>
      </c>
      <c r="D45" s="25">
        <v>-711.62468618695436</v>
      </c>
      <c r="E45" s="25">
        <f>VLOOKUP($A45,[1]Programs!$D$13:$V$48,19,FALSE)</f>
        <v>2506.9759235085908</v>
      </c>
      <c r="F45" s="25">
        <f>VLOOKUP($A45,[1]Programs!$D$13:$Z$48,23,FALSE)</f>
        <v>0</v>
      </c>
      <c r="G45" s="25">
        <f>VLOOKUP($A45,[1]Programs!$D$13:$V$48,15,FALSE)</f>
        <v>-250.69759235085908</v>
      </c>
      <c r="H45" s="20"/>
      <c r="I45" s="20"/>
      <c r="K45" s="19"/>
      <c r="L45" s="20"/>
      <c r="M45" s="9"/>
      <c r="Q45" s="9"/>
      <c r="R45" s="5"/>
      <c r="T45" s="13"/>
      <c r="U45" s="13"/>
      <c r="W45" s="13"/>
      <c r="X45" s="13"/>
    </row>
    <row r="46" spans="1:26" x14ac:dyDescent="0.2">
      <c r="A46" s="46" t="s">
        <v>135</v>
      </c>
      <c r="B46" s="60">
        <v>180181</v>
      </c>
      <c r="C46" s="60">
        <v>244</v>
      </c>
      <c r="D46" s="60">
        <v>-7458.038181378186</v>
      </c>
      <c r="E46" s="25">
        <f>VLOOKUP($A46,[1]Programs!$D$13:$V$48,19,FALSE)</f>
        <v>2722.9001164544788</v>
      </c>
      <c r="F46" s="25">
        <f>VLOOKUP($A46,[1]Programs!$D$13:$Z$48,23,FALSE)</f>
        <v>0</v>
      </c>
      <c r="G46" s="25">
        <f>VLOOKUP($A46,[1]Programs!$D$13:$V$48,15,FALSE)</f>
        <v>536.2220616689882</v>
      </c>
      <c r="H46" s="20"/>
      <c r="I46" s="20"/>
      <c r="J46" s="1"/>
      <c r="K46" s="1"/>
      <c r="L46" s="1"/>
      <c r="M46" s="13"/>
      <c r="N46" s="1"/>
      <c r="O46" s="13"/>
      <c r="P46" s="1"/>
      <c r="Q46" s="13"/>
      <c r="R46" s="13"/>
      <c r="S46" s="1"/>
      <c r="T46" s="13"/>
      <c r="U46" s="13"/>
      <c r="V46" s="1"/>
      <c r="W46" s="13"/>
      <c r="X46" s="13"/>
      <c r="Y46" s="1"/>
      <c r="Z46" s="1"/>
    </row>
    <row r="47" spans="1:26" x14ac:dyDescent="0.2">
      <c r="A47" s="38" t="s">
        <v>33</v>
      </c>
      <c r="B47" s="35">
        <f t="shared" ref="B47:G47" si="1">SUM(B37:B46)</f>
        <v>4371431</v>
      </c>
      <c r="C47" s="35">
        <f t="shared" si="1"/>
        <v>222814.26392411572</v>
      </c>
      <c r="D47" s="35">
        <f t="shared" si="1"/>
        <v>881421.71410914464</v>
      </c>
      <c r="E47" s="35">
        <f t="shared" si="1"/>
        <v>2540624.70688604</v>
      </c>
      <c r="F47" s="35">
        <f t="shared" si="1"/>
        <v>21325.957655464976</v>
      </c>
      <c r="G47" s="35">
        <f t="shared" si="1"/>
        <v>922548.37324414391</v>
      </c>
      <c r="H47" s="35">
        <v>6022795.2179879369</v>
      </c>
      <c r="I47" s="35">
        <v>9166515.546782</v>
      </c>
      <c r="J47" s="81">
        <f>E47+F47+G47+H47-I47</f>
        <v>340778.7089915853</v>
      </c>
    </row>
    <row r="48" spans="1:26" x14ac:dyDescent="0.2">
      <c r="A48" s="8"/>
      <c r="B48" s="67"/>
      <c r="C48" s="8"/>
      <c r="D48" s="8"/>
      <c r="E48" s="8"/>
      <c r="F48" s="67"/>
      <c r="G48" s="67"/>
      <c r="H48" s="33"/>
      <c r="I48" s="8"/>
      <c r="J48" s="8"/>
    </row>
    <row r="49" spans="1:26" x14ac:dyDescent="0.2">
      <c r="A49" s="24" t="s">
        <v>134</v>
      </c>
      <c r="B49" s="60">
        <v>923717</v>
      </c>
      <c r="C49" s="60">
        <v>0</v>
      </c>
      <c r="D49" s="60">
        <v>93854.299656440053</v>
      </c>
      <c r="E49" s="25">
        <f>VLOOKUP($A49,[1]Programs!$D$13:$V$48,19,FALSE)</f>
        <v>593292.30082561518</v>
      </c>
      <c r="F49" s="25">
        <f>VLOOKUP($A49,[2]Programs!$D$13:$Z$48,23,FALSE)</f>
        <v>0</v>
      </c>
      <c r="G49" s="25">
        <f>VLOOKUP($A49,[2]Programs!$D$13:$V$48,15,FALSE)</f>
        <v>157386.65029762857</v>
      </c>
      <c r="H49" s="101">
        <v>565254.67905858974</v>
      </c>
      <c r="I49" s="5">
        <v>1011563.9921629999</v>
      </c>
      <c r="J49" s="82">
        <f>E49+F49+G49+H49-I49</f>
        <v>304369.63801883371</v>
      </c>
      <c r="K49" s="19"/>
      <c r="L49" s="20"/>
      <c r="M49" s="9"/>
      <c r="N49" s="1"/>
      <c r="O49" s="1"/>
      <c r="P49" s="1"/>
      <c r="Q49" s="9"/>
      <c r="R49" s="5"/>
      <c r="S49" s="1"/>
      <c r="T49" s="13"/>
      <c r="U49" s="13"/>
      <c r="V49" s="1"/>
      <c r="W49" s="13"/>
      <c r="X49" s="13"/>
      <c r="Y49" s="1"/>
      <c r="Z49" s="1"/>
    </row>
    <row r="50" spans="1:26" x14ac:dyDescent="0.2">
      <c r="A50" s="24"/>
      <c r="B50" s="37"/>
      <c r="C50" s="37"/>
      <c r="D50" s="37"/>
      <c r="E50" s="9"/>
      <c r="F50" s="9"/>
      <c r="G50" s="9"/>
      <c r="H50" s="20"/>
      <c r="I50" s="20"/>
      <c r="J50" s="1"/>
      <c r="K50" s="19"/>
      <c r="L50" s="20"/>
      <c r="M50" s="9"/>
      <c r="N50" s="1"/>
      <c r="O50" s="1"/>
      <c r="P50" s="1"/>
      <c r="Q50" s="9"/>
      <c r="R50" s="5"/>
      <c r="S50" s="1"/>
      <c r="T50" s="13"/>
      <c r="U50" s="13"/>
      <c r="V50" s="1"/>
      <c r="W50" s="13"/>
      <c r="X50" s="13"/>
      <c r="Y50" s="1"/>
      <c r="Z50" s="1"/>
    </row>
    <row r="51" spans="1:26" x14ac:dyDescent="0.2">
      <c r="A51" s="47" t="str">
        <f>A23</f>
        <v>(A) Amounts identified in report filed in Case No. 2017-00427</v>
      </c>
      <c r="E51" s="3"/>
      <c r="F51" s="3"/>
      <c r="G51" s="3"/>
    </row>
    <row r="52" spans="1:26" x14ac:dyDescent="0.2">
      <c r="A52" s="46" t="str">
        <f>A24</f>
        <v>(B) Actual program expenditures, lost revenues (for this period and from prior period DSM measure installations), and shared savings for the period July 1, 2018 through June 30, 2019.</v>
      </c>
      <c r="F52" s="3"/>
      <c r="G52" s="3"/>
      <c r="H52" s="26"/>
      <c r="I52" s="2"/>
    </row>
    <row r="53" spans="1:26" x14ac:dyDescent="0.2">
      <c r="A53" s="47" t="s">
        <v>131</v>
      </c>
      <c r="F53" s="3"/>
      <c r="G53" s="3"/>
      <c r="I53" s="2"/>
    </row>
    <row r="54" spans="1:26" x14ac:dyDescent="0.2">
      <c r="A54" s="47" t="str">
        <f>"(D) "&amp;RIGHT(A28,LEN(A28)-4)</f>
        <v>(D) Revenues collected through the DSM Rider between July 1, 2018 and June 30, 2019.</v>
      </c>
      <c r="F54" s="3"/>
      <c r="G54" s="3"/>
      <c r="I54" s="2"/>
    </row>
    <row r="55" spans="1:26" x14ac:dyDescent="0.2">
      <c r="A55" s="47" t="s">
        <v>74</v>
      </c>
    </row>
    <row r="56" spans="1:26" x14ac:dyDescent="0.2">
      <c r="A56" s="52"/>
    </row>
    <row r="57" spans="1:26" x14ac:dyDescent="0.2">
      <c r="A57" s="29"/>
    </row>
  </sheetData>
  <phoneticPr fontId="2" type="noConversion"/>
  <pageMargins left="0.2" right="0.2" top="0.7" bottom="0.2" header="0.2" footer="0.2"/>
  <pageSetup paperSize="17" scale="72" orientation="landscape" r:id="rId1"/>
  <headerFooter alignWithMargins="0">
    <oddHeader>&amp;R&amp;"Times New Roman,Bold"KyPSC Case No. 2019-00406
STAFF-DR-01-005 Attachment
Appendix B
Page &amp;P of &amp;N</oddHeader>
  </headerFooter>
  <ignoredErrors>
    <ignoredError sqref="B7:C7 M8:M9 L8:L9 D7:O7 B34:J34" numberStoredAsText="1"/>
    <ignoredError sqref="E3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0"/>
  <sheetViews>
    <sheetView view="pageLayout" topLeftCell="A13" zoomScaleNormal="85" workbookViewId="0">
      <selection activeCell="L13" sqref="L13"/>
    </sheetView>
  </sheetViews>
  <sheetFormatPr defaultColWidth="9.140625" defaultRowHeight="12.75" x14ac:dyDescent="0.2"/>
  <cols>
    <col min="1" max="1" width="56.5703125" style="52" customWidth="1"/>
    <col min="2" max="2" width="14" style="52" bestFit="1" customWidth="1"/>
    <col min="3" max="4" width="12.28515625" style="52" bestFit="1" customWidth="1"/>
    <col min="5" max="5" width="14" style="52" bestFit="1" customWidth="1"/>
    <col min="6" max="7" width="9.140625" style="52"/>
    <col min="8" max="8" width="14.5703125" style="52" bestFit="1" customWidth="1"/>
    <col min="9" max="9" width="13" style="52" customWidth="1"/>
    <col min="10" max="10" width="13.140625" style="52" customWidth="1"/>
    <col min="11" max="11" width="13.85546875" style="52" customWidth="1"/>
    <col min="12" max="12" width="9.140625" style="52"/>
    <col min="13" max="13" width="11.5703125" style="52" bestFit="1" customWidth="1"/>
    <col min="14" max="14" width="9.140625" style="52"/>
    <col min="15" max="15" width="14.5703125" style="54" customWidth="1"/>
    <col min="16" max="16" width="9.140625" style="52"/>
    <col min="17" max="17" width="13" style="52" bestFit="1" customWidth="1"/>
    <col min="18" max="16384" width="9.140625" style="52"/>
  </cols>
  <sheetData>
    <row r="1" spans="1:15" x14ac:dyDescent="0.2">
      <c r="B1" s="52" t="s">
        <v>0</v>
      </c>
      <c r="K1" s="53"/>
    </row>
    <row r="3" spans="1:15" x14ac:dyDescent="0.2">
      <c r="B3" s="55" t="s">
        <v>154</v>
      </c>
    </row>
    <row r="6" spans="1:15" x14ac:dyDescent="0.2">
      <c r="B6" s="70" t="s">
        <v>137</v>
      </c>
    </row>
    <row r="8" spans="1:15" s="56" customFormat="1" ht="26.25" customHeight="1" x14ac:dyDescent="0.2">
      <c r="C8" s="56" t="s">
        <v>28</v>
      </c>
      <c r="D8" s="56" t="s">
        <v>29</v>
      </c>
      <c r="G8" s="71" t="s">
        <v>128</v>
      </c>
      <c r="H8" s="57"/>
      <c r="J8" s="129" t="s">
        <v>77</v>
      </c>
      <c r="K8" s="129"/>
    </row>
    <row r="9" spans="1:15" s="56" customFormat="1" ht="15" x14ac:dyDescent="0.35">
      <c r="B9" s="58" t="s">
        <v>30</v>
      </c>
      <c r="C9" s="58" t="s">
        <v>31</v>
      </c>
      <c r="D9" s="58" t="s">
        <v>32</v>
      </c>
      <c r="E9" s="58" t="s">
        <v>33</v>
      </c>
      <c r="G9" s="59" t="s">
        <v>17</v>
      </c>
      <c r="H9" s="59" t="s">
        <v>16</v>
      </c>
      <c r="I9" s="59" t="s">
        <v>61</v>
      </c>
      <c r="J9" s="59" t="s">
        <v>17</v>
      </c>
      <c r="K9" s="59" t="s">
        <v>62</v>
      </c>
    </row>
    <row r="10" spans="1:15" x14ac:dyDescent="0.2">
      <c r="B10" s="60"/>
      <c r="C10" s="60"/>
      <c r="D10" s="60"/>
      <c r="E10" s="60"/>
      <c r="O10" s="52"/>
    </row>
    <row r="11" spans="1:15" x14ac:dyDescent="0.2">
      <c r="A11" s="52" t="s">
        <v>107</v>
      </c>
      <c r="B11" s="60">
        <v>306300.34000878432</v>
      </c>
      <c r="C11" s="60">
        <v>3758.4919417499996</v>
      </c>
      <c r="D11" s="60">
        <v>-10253.789703817209</v>
      </c>
      <c r="E11" s="60">
        <f t="shared" ref="E11:E16" si="0">SUM(B11:D11)</f>
        <v>299805.04224671709</v>
      </c>
      <c r="F11" s="61"/>
      <c r="G11" s="68">
        <v>1</v>
      </c>
      <c r="H11" s="68">
        <f>VLOOKUP($A11,'Page 7'!$A$7:$H$13,8,FALSE)</f>
        <v>0</v>
      </c>
      <c r="I11" s="62">
        <f t="shared" ref="I11:I16" si="1">G11*B11</f>
        <v>306300.34000878432</v>
      </c>
      <c r="J11" s="61">
        <f t="shared" ref="J11:J16" si="2">I11+D11+C11</f>
        <v>299805.04224671709</v>
      </c>
      <c r="K11" s="62">
        <f t="shared" ref="K11:K16" si="3">H11*B11</f>
        <v>0</v>
      </c>
      <c r="M11" s="63"/>
      <c r="N11" s="61"/>
      <c r="O11" s="52"/>
    </row>
    <row r="12" spans="1:15" x14ac:dyDescent="0.2">
      <c r="A12" s="52" t="s">
        <v>108</v>
      </c>
      <c r="B12" s="60">
        <v>450263.03727309493</v>
      </c>
      <c r="C12" s="60">
        <v>1661.8171870022186</v>
      </c>
      <c r="D12" s="60">
        <v>-18999.09805756266</v>
      </c>
      <c r="E12" s="60">
        <f t="shared" si="0"/>
        <v>432925.75640253449</v>
      </c>
      <c r="F12" s="61"/>
      <c r="G12" s="68">
        <f>VLOOKUP($A12,'Page 7'!$A$7:$H$13,7,FALSE)</f>
        <v>0.73208153807017606</v>
      </c>
      <c r="H12" s="68">
        <f>VLOOKUP($A12,'Page 7'!$A$7:$H$13,8,FALSE)</f>
        <v>0.26791846192982399</v>
      </c>
      <c r="I12" s="62">
        <f t="shared" si="1"/>
        <v>329629.25686303637</v>
      </c>
      <c r="J12" s="61">
        <f t="shared" si="2"/>
        <v>312291.97599247593</v>
      </c>
      <c r="K12" s="62">
        <f t="shared" si="3"/>
        <v>120633.78041005861</v>
      </c>
      <c r="M12" s="63"/>
      <c r="N12" s="61"/>
      <c r="O12" s="52"/>
    </row>
    <row r="13" spans="1:15" x14ac:dyDescent="0.2">
      <c r="A13" s="52" t="s">
        <v>106</v>
      </c>
      <c r="B13" s="60">
        <v>171457.10082482256</v>
      </c>
      <c r="C13" s="60">
        <v>90.693290613496913</v>
      </c>
      <c r="D13" s="60">
        <v>6071.1741385618316</v>
      </c>
      <c r="E13" s="60">
        <f>SUM(B13:D13)</f>
        <v>177618.96825399788</v>
      </c>
      <c r="F13" s="61"/>
      <c r="G13" s="68">
        <v>1</v>
      </c>
      <c r="H13" s="68">
        <f>VLOOKUP($A13,'Page 7'!$A$7:$H$13,8,FALSE)</f>
        <v>0</v>
      </c>
      <c r="I13" s="62">
        <f>G13*B13</f>
        <v>171457.10082482256</v>
      </c>
      <c r="J13" s="61">
        <f>I13+D13+C13</f>
        <v>177618.96825399788</v>
      </c>
      <c r="K13" s="62">
        <f t="shared" si="3"/>
        <v>0</v>
      </c>
      <c r="M13" s="63"/>
      <c r="N13" s="61"/>
      <c r="O13" s="52"/>
    </row>
    <row r="14" spans="1:15" x14ac:dyDescent="0.2">
      <c r="A14" s="52" t="s">
        <v>109</v>
      </c>
      <c r="B14" s="60">
        <v>251868.62991844816</v>
      </c>
      <c r="C14" s="60">
        <v>2944.9395380362016</v>
      </c>
      <c r="D14" s="60">
        <v>9982.1677355779102</v>
      </c>
      <c r="E14" s="60">
        <f t="shared" si="0"/>
        <v>264795.73719206231</v>
      </c>
      <c r="F14" s="61"/>
      <c r="G14" s="68">
        <v>1</v>
      </c>
      <c r="H14" s="68">
        <f>VLOOKUP($A14,'Page 7'!$A$7:$H$13,8,FALSE)</f>
        <v>0</v>
      </c>
      <c r="I14" s="62">
        <f t="shared" si="1"/>
        <v>251868.62991844816</v>
      </c>
      <c r="J14" s="61">
        <f t="shared" si="2"/>
        <v>264795.73719206225</v>
      </c>
      <c r="K14" s="62">
        <f t="shared" si="3"/>
        <v>0</v>
      </c>
      <c r="M14" s="63"/>
      <c r="N14" s="61"/>
      <c r="O14" s="52"/>
    </row>
    <row r="15" spans="1:15" x14ac:dyDescent="0.2">
      <c r="A15" s="52" t="s">
        <v>104</v>
      </c>
      <c r="B15" s="60">
        <v>905354.24959137873</v>
      </c>
      <c r="C15" s="60">
        <v>10948.840372943509</v>
      </c>
      <c r="D15" s="60">
        <v>62074.233406334213</v>
      </c>
      <c r="E15" s="60">
        <f t="shared" si="0"/>
        <v>978377.32337065646</v>
      </c>
      <c r="F15" s="61"/>
      <c r="G15" s="68">
        <v>1</v>
      </c>
      <c r="H15" s="68">
        <f>VLOOKUP($A15,'Page 7'!$A$7:$H$13,8,FALSE)</f>
        <v>0</v>
      </c>
      <c r="I15" s="62">
        <f t="shared" si="1"/>
        <v>905354.24959137873</v>
      </c>
      <c r="J15" s="61">
        <f t="shared" si="2"/>
        <v>978377.32337065646</v>
      </c>
      <c r="K15" s="62">
        <f t="shared" si="3"/>
        <v>0</v>
      </c>
      <c r="M15" s="63"/>
      <c r="N15" s="61"/>
      <c r="O15" s="52"/>
    </row>
    <row r="16" spans="1:15" x14ac:dyDescent="0.2">
      <c r="A16" s="52" t="s">
        <v>132</v>
      </c>
      <c r="B16" s="60">
        <v>585261.16475798469</v>
      </c>
      <c r="C16" s="60">
        <v>0</v>
      </c>
      <c r="D16" s="60">
        <v>131900.08668014753</v>
      </c>
      <c r="E16" s="60">
        <f t="shared" si="0"/>
        <v>717161.25143813225</v>
      </c>
      <c r="G16" s="68">
        <v>1</v>
      </c>
      <c r="H16" s="68">
        <f>VLOOKUP($A16,'Page 7'!$A$7:$H$13,8,FALSE)</f>
        <v>0</v>
      </c>
      <c r="I16" s="62">
        <f t="shared" si="1"/>
        <v>585261.16475798469</v>
      </c>
      <c r="J16" s="61">
        <f t="shared" si="2"/>
        <v>717161.25143813225</v>
      </c>
      <c r="K16" s="62">
        <f t="shared" si="3"/>
        <v>0</v>
      </c>
      <c r="M16" s="63"/>
      <c r="N16" s="61"/>
      <c r="O16" s="52"/>
    </row>
    <row r="17" spans="1:15" x14ac:dyDescent="0.2">
      <c r="B17" s="60"/>
      <c r="C17" s="60"/>
      <c r="D17" s="63"/>
      <c r="E17" s="60"/>
      <c r="F17" s="61"/>
      <c r="G17" s="64"/>
      <c r="H17" s="64"/>
      <c r="I17" s="62"/>
      <c r="J17" s="61"/>
      <c r="K17" s="62"/>
      <c r="O17" s="52"/>
    </row>
    <row r="18" spans="1:15" x14ac:dyDescent="0.2">
      <c r="A18" s="52" t="s">
        <v>34</v>
      </c>
      <c r="B18" s="60">
        <f>SUM(B11:B16)</f>
        <v>2670504.5223745136</v>
      </c>
      <c r="C18" s="60">
        <f>SUM(C11:C16)</f>
        <v>19404.782330345428</v>
      </c>
      <c r="D18" s="60">
        <f>SUM(D11:D16)</f>
        <v>180774.77419924163</v>
      </c>
      <c r="E18" s="60">
        <f>SUM(E11:E16)</f>
        <v>2870684.0789041007</v>
      </c>
      <c r="I18" s="60">
        <f>SUM(I11:I16)</f>
        <v>2549870.7419644548</v>
      </c>
      <c r="J18" s="60">
        <f>SUM(J11:J16)</f>
        <v>2750050.2984940419</v>
      </c>
      <c r="K18" s="60">
        <f>SUM(K11:K16)</f>
        <v>120633.78041005861</v>
      </c>
      <c r="O18" s="52"/>
    </row>
    <row r="19" spans="1:15" x14ac:dyDescent="0.2">
      <c r="B19" s="60"/>
      <c r="C19" s="60"/>
      <c r="D19" s="60"/>
      <c r="E19" s="60"/>
      <c r="I19" s="62"/>
      <c r="J19" s="61"/>
      <c r="K19" s="61"/>
      <c r="O19" s="52"/>
    </row>
    <row r="20" spans="1:15" x14ac:dyDescent="0.2">
      <c r="A20" s="52" t="s">
        <v>117</v>
      </c>
      <c r="B20" s="60">
        <f>'Page 5'!H39</f>
        <v>263294.40000000002</v>
      </c>
      <c r="C20" s="60"/>
      <c r="D20" s="60"/>
      <c r="E20" s="60"/>
      <c r="I20" s="62"/>
      <c r="J20" s="61">
        <f>'Page 5'!H34</f>
        <v>152851.20000000001</v>
      </c>
      <c r="K20" s="61">
        <f>'Page 5'!H37</f>
        <v>110443.20000000001</v>
      </c>
      <c r="O20" s="52"/>
    </row>
    <row r="21" spans="1:15" x14ac:dyDescent="0.2">
      <c r="B21" s="60"/>
      <c r="C21" s="60"/>
      <c r="D21" s="60"/>
      <c r="E21" s="60"/>
      <c r="I21" s="62"/>
      <c r="J21" s="61"/>
      <c r="K21" s="61"/>
      <c r="O21" s="52"/>
    </row>
    <row r="22" spans="1:15" x14ac:dyDescent="0.2">
      <c r="B22" s="69" t="s">
        <v>138</v>
      </c>
      <c r="C22" s="55"/>
      <c r="D22" s="55"/>
      <c r="E22" s="55"/>
      <c r="I22" s="62"/>
      <c r="O22" s="52"/>
    </row>
    <row r="23" spans="1:15" x14ac:dyDescent="0.2">
      <c r="B23" s="55"/>
      <c r="C23" s="55"/>
      <c r="D23" s="55"/>
      <c r="E23" s="55"/>
      <c r="I23" s="62"/>
      <c r="O23" s="52"/>
    </row>
    <row r="24" spans="1:15" ht="29.25" customHeight="1" x14ac:dyDescent="0.2">
      <c r="B24" s="55"/>
      <c r="C24" s="65" t="s">
        <v>28</v>
      </c>
      <c r="D24" s="65" t="s">
        <v>29</v>
      </c>
      <c r="E24" s="55"/>
      <c r="G24" s="71" t="s">
        <v>128</v>
      </c>
      <c r="H24" s="57"/>
      <c r="I24" s="56"/>
      <c r="J24" s="129" t="s">
        <v>77</v>
      </c>
      <c r="K24" s="129"/>
      <c r="O24" s="52"/>
    </row>
    <row r="25" spans="1:15" ht="15" x14ac:dyDescent="0.35">
      <c r="B25" s="59" t="s">
        <v>30</v>
      </c>
      <c r="C25" s="59" t="s">
        <v>31</v>
      </c>
      <c r="D25" s="59" t="s">
        <v>32</v>
      </c>
      <c r="E25" s="59" t="s">
        <v>33</v>
      </c>
      <c r="G25" s="59" t="s">
        <v>17</v>
      </c>
      <c r="H25" s="59" t="s">
        <v>16</v>
      </c>
      <c r="I25" s="45" t="str">
        <f>I9</f>
        <v>Electric Costs</v>
      </c>
      <c r="J25" s="59" t="s">
        <v>17</v>
      </c>
      <c r="K25" s="59" t="s">
        <v>16</v>
      </c>
      <c r="O25" s="52"/>
    </row>
    <row r="26" spans="1:15" x14ac:dyDescent="0.2">
      <c r="B26" s="60"/>
      <c r="C26" s="60"/>
      <c r="D26" s="60"/>
      <c r="E26" s="60"/>
      <c r="G26" s="64"/>
      <c r="H26" s="64"/>
      <c r="I26" s="62"/>
      <c r="J26" s="61"/>
      <c r="K26" s="56"/>
    </row>
    <row r="27" spans="1:15" x14ac:dyDescent="0.2">
      <c r="A27" s="55" t="s">
        <v>129</v>
      </c>
      <c r="B27" s="60">
        <v>763523.9359670484</v>
      </c>
      <c r="C27" s="60">
        <v>4824.73992</v>
      </c>
      <c r="D27" s="60">
        <v>123223.70327086955</v>
      </c>
      <c r="E27" s="60">
        <f>SUM(B27:D27)</f>
        <v>891572.37915791792</v>
      </c>
      <c r="G27" s="64">
        <v>1</v>
      </c>
      <c r="H27" s="64">
        <v>0</v>
      </c>
      <c r="I27" s="62">
        <f>G27*B27</f>
        <v>763523.9359670484</v>
      </c>
      <c r="J27" s="61">
        <f>I27+D27+C27</f>
        <v>891572.37915791792</v>
      </c>
      <c r="K27" s="56" t="s">
        <v>20</v>
      </c>
      <c r="O27" s="52"/>
    </row>
    <row r="28" spans="1:15" x14ac:dyDescent="0.2">
      <c r="A28" s="52" t="s">
        <v>110</v>
      </c>
      <c r="B28" s="60">
        <v>707157.96677855798</v>
      </c>
      <c r="C28" s="60">
        <v>8175.9127355954861</v>
      </c>
      <c r="D28" s="60">
        <v>241184.36477615463</v>
      </c>
      <c r="E28" s="60">
        <f>SUM(B28:D28)</f>
        <v>956518.2442903081</v>
      </c>
      <c r="G28" s="64">
        <f>1-H28</f>
        <v>1</v>
      </c>
      <c r="H28" s="64">
        <v>0</v>
      </c>
      <c r="I28" s="62">
        <f>G28*B28</f>
        <v>707157.96677855798</v>
      </c>
      <c r="J28" s="61">
        <f t="shared" ref="J28:J30" si="4">I28+D28+C28</f>
        <v>956518.2442903081</v>
      </c>
      <c r="K28" s="56" t="s">
        <v>20</v>
      </c>
    </row>
    <row r="29" spans="1:15" x14ac:dyDescent="0.2">
      <c r="A29" s="55" t="s">
        <v>143</v>
      </c>
      <c r="B29" s="60">
        <f>548785</f>
        <v>548785</v>
      </c>
      <c r="C29" s="60">
        <v>6818</v>
      </c>
      <c r="D29" s="60">
        <v>85745</v>
      </c>
      <c r="E29" s="60">
        <f t="shared" ref="E29" si="5">SUM(B29:D29)</f>
        <v>641348</v>
      </c>
      <c r="G29" s="64">
        <f>1-H29</f>
        <v>1</v>
      </c>
      <c r="H29" s="64">
        <v>0</v>
      </c>
      <c r="I29" s="62">
        <f t="shared" ref="I29:I30" si="6">G29*B29</f>
        <v>548785</v>
      </c>
      <c r="J29" s="61">
        <f t="shared" si="4"/>
        <v>641348</v>
      </c>
      <c r="K29" s="56" t="s">
        <v>20</v>
      </c>
    </row>
    <row r="30" spans="1:15" x14ac:dyDescent="0.2">
      <c r="A30" s="52" t="s">
        <v>134</v>
      </c>
      <c r="B30" s="60">
        <v>904512.18625470682</v>
      </c>
      <c r="C30" s="60">
        <v>0</v>
      </c>
      <c r="D30" s="60">
        <v>147510.16111010787</v>
      </c>
      <c r="E30" s="60">
        <f>SUM(B30:D30)</f>
        <v>1052022.3473648147</v>
      </c>
      <c r="G30" s="64">
        <v>1</v>
      </c>
      <c r="H30" s="64">
        <v>0</v>
      </c>
      <c r="I30" s="62">
        <f t="shared" si="6"/>
        <v>904512.18625470682</v>
      </c>
      <c r="J30" s="61">
        <f t="shared" si="4"/>
        <v>1052022.3473648147</v>
      </c>
      <c r="K30" s="56" t="s">
        <v>20</v>
      </c>
      <c r="O30" s="52"/>
    </row>
    <row r="31" spans="1:15" x14ac:dyDescent="0.2">
      <c r="B31" s="60"/>
      <c r="C31" s="60"/>
      <c r="D31" s="60"/>
      <c r="E31" s="60"/>
      <c r="I31" s="61"/>
      <c r="O31" s="52"/>
    </row>
    <row r="32" spans="1:15" x14ac:dyDescent="0.2">
      <c r="A32" s="55" t="s">
        <v>34</v>
      </c>
      <c r="B32" s="60">
        <f>SUM(B27:B30)</f>
        <v>2923979.0890003131</v>
      </c>
      <c r="C32" s="60">
        <f>SUM(C27:C30)</f>
        <v>19818.652655595484</v>
      </c>
      <c r="D32" s="60">
        <f>SUM(D27:D30)</f>
        <v>597663.2291571321</v>
      </c>
      <c r="E32" s="60">
        <f>SUM(E27:E30)</f>
        <v>3541460.9708130406</v>
      </c>
      <c r="I32" s="60">
        <f>SUM(I27:I30)</f>
        <v>2923979.0890003131</v>
      </c>
      <c r="J32" s="60">
        <f>SUM(J27:J30)</f>
        <v>3541460.9708130406</v>
      </c>
      <c r="K32" s="56" t="s">
        <v>20</v>
      </c>
      <c r="O32" s="52"/>
    </row>
    <row r="33" spans="1:15" x14ac:dyDescent="0.2">
      <c r="B33" s="60"/>
      <c r="C33" s="60"/>
      <c r="D33" s="60"/>
      <c r="E33" s="60"/>
      <c r="I33" s="61"/>
      <c r="J33" s="61"/>
      <c r="O33" s="52"/>
    </row>
    <row r="34" spans="1:15" x14ac:dyDescent="0.2">
      <c r="A34" s="66" t="s">
        <v>93</v>
      </c>
      <c r="B34" s="63">
        <f>SUM(B18,B32)</f>
        <v>5594483.6113748271</v>
      </c>
      <c r="C34" s="63">
        <f>SUM(C18,C32)</f>
        <v>39223.434985940912</v>
      </c>
      <c r="D34" s="63">
        <f>SUM(D18,D32)</f>
        <v>778438.00335637375</v>
      </c>
      <c r="E34" s="63">
        <f>SUM(E18,E32)</f>
        <v>6412145.0497171413</v>
      </c>
      <c r="O34" s="52"/>
    </row>
    <row r="35" spans="1:15" x14ac:dyDescent="0.2">
      <c r="C35" s="61"/>
      <c r="D35" s="61"/>
      <c r="O35" s="52"/>
    </row>
    <row r="37" spans="1:15" x14ac:dyDescent="0.2">
      <c r="B37" s="55"/>
      <c r="C37" s="55"/>
      <c r="D37" s="55"/>
      <c r="E37" s="55"/>
      <c r="O37" s="52"/>
    </row>
    <row r="38" spans="1:15" x14ac:dyDescent="0.2">
      <c r="A38" s="55" t="s">
        <v>144</v>
      </c>
      <c r="O38" s="52"/>
    </row>
    <row r="39" spans="1:15" x14ac:dyDescent="0.2">
      <c r="A39" s="55" t="s">
        <v>153</v>
      </c>
      <c r="O39" s="52"/>
    </row>
    <row r="40" spans="1:15" x14ac:dyDescent="0.2">
      <c r="A40" s="52" t="s">
        <v>142</v>
      </c>
    </row>
  </sheetData>
  <mergeCells count="2">
    <mergeCell ref="J8:K8"/>
    <mergeCell ref="J24:K24"/>
  </mergeCells>
  <phoneticPr fontId="2" type="noConversion"/>
  <pageMargins left="0.2" right="0.2" top="0.7" bottom="0.2" header="0.2" footer="0.2"/>
  <pageSetup scale="74" fitToHeight="0" orientation="landscape" r:id="rId1"/>
  <headerFooter alignWithMargins="0">
    <oddHeader>&amp;R&amp;"Times New Roman,Bold"KyPSC Case No. 2019-00406
STAFF-DR-01-005 Attachment
Appendix B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27"/>
  <sheetViews>
    <sheetView view="pageLayout" zoomScaleNormal="80" workbookViewId="0">
      <selection activeCell="A23" sqref="A23"/>
    </sheetView>
  </sheetViews>
  <sheetFormatPr defaultColWidth="9.140625" defaultRowHeight="12.75" x14ac:dyDescent="0.2"/>
  <cols>
    <col min="1" max="1" width="9.140625" style="4"/>
    <col min="2" max="2" width="28.5703125" style="4" customWidth="1"/>
    <col min="3" max="3" width="17.5703125" style="4" customWidth="1"/>
    <col min="4" max="5" width="14.140625" style="4" customWidth="1"/>
    <col min="6" max="7" width="9.140625" style="4"/>
    <col min="8" max="8" width="10.28515625" style="4" customWidth="1"/>
    <col min="9" max="11" width="9.140625" style="4"/>
    <col min="12" max="12" width="10.7109375" style="4" customWidth="1"/>
    <col min="13" max="13" width="9.140625" style="4"/>
    <col min="14" max="14" width="11.28515625" style="4" bestFit="1" customWidth="1"/>
    <col min="15" max="16384" width="9.140625" style="4"/>
  </cols>
  <sheetData>
    <row r="1" spans="1:14" x14ac:dyDescent="0.2">
      <c r="A1" s="46"/>
      <c r="B1" s="46" t="str">
        <f>'Page 1'!E3</f>
        <v xml:space="preserve">                      Kentucky DSM Rider</v>
      </c>
      <c r="C1" s="46"/>
      <c r="D1" s="32"/>
      <c r="E1" s="46"/>
      <c r="F1" s="46"/>
      <c r="G1" s="46"/>
      <c r="H1" s="46"/>
    </row>
    <row r="2" spans="1:14" x14ac:dyDescent="0.2">
      <c r="A2" s="46"/>
      <c r="B2" s="46"/>
      <c r="C2" s="46"/>
      <c r="D2" s="46"/>
      <c r="E2" s="46"/>
      <c r="F2" s="46"/>
      <c r="G2" s="46"/>
      <c r="H2" s="46"/>
    </row>
    <row r="3" spans="1:14" x14ac:dyDescent="0.2">
      <c r="A3" s="46"/>
      <c r="B3" s="46" t="s">
        <v>86</v>
      </c>
      <c r="C3" s="46"/>
      <c r="D3" s="46"/>
      <c r="E3" s="46"/>
      <c r="F3" s="46"/>
      <c r="G3" s="46"/>
      <c r="H3" s="46"/>
    </row>
    <row r="4" spans="1:14" x14ac:dyDescent="0.2">
      <c r="A4" s="46"/>
      <c r="B4" s="47" t="s">
        <v>75</v>
      </c>
      <c r="C4" s="46"/>
      <c r="D4" s="46"/>
      <c r="E4" s="46"/>
      <c r="F4" s="46"/>
      <c r="G4" s="46"/>
      <c r="H4" s="46"/>
    </row>
    <row r="5" spans="1:14" x14ac:dyDescent="0.2">
      <c r="A5" s="46"/>
      <c r="B5" s="46" t="s">
        <v>100</v>
      </c>
      <c r="C5" s="46"/>
      <c r="D5" s="46"/>
      <c r="E5" s="46"/>
      <c r="F5" s="46"/>
      <c r="G5" s="46"/>
      <c r="H5" s="46"/>
    </row>
    <row r="6" spans="1:14" x14ac:dyDescent="0.2">
      <c r="A6" s="46"/>
      <c r="B6" s="46"/>
      <c r="C6" s="46"/>
      <c r="D6" s="46"/>
      <c r="E6" s="46"/>
      <c r="F6" s="46"/>
      <c r="G6" s="46"/>
      <c r="H6" s="46"/>
    </row>
    <row r="7" spans="1:14" s="46" customFormat="1" x14ac:dyDescent="0.2">
      <c r="B7" s="47" t="s">
        <v>141</v>
      </c>
    </row>
    <row r="8" spans="1:14" x14ac:dyDescent="0.2">
      <c r="A8" s="46"/>
      <c r="B8" s="46"/>
      <c r="C8" s="46"/>
      <c r="D8" s="46"/>
      <c r="E8" s="46"/>
      <c r="F8" s="46"/>
      <c r="G8" s="46"/>
      <c r="H8" s="46"/>
    </row>
    <row r="9" spans="1:14" x14ac:dyDescent="0.2">
      <c r="A9" s="46"/>
      <c r="B9" s="46"/>
      <c r="C9" s="46"/>
      <c r="D9" s="46"/>
      <c r="E9" s="46"/>
      <c r="F9" s="46"/>
      <c r="G9" s="46"/>
      <c r="H9" s="46"/>
    </row>
    <row r="10" spans="1:14" x14ac:dyDescent="0.2">
      <c r="A10" s="46"/>
      <c r="B10" s="46"/>
      <c r="C10" s="46"/>
      <c r="D10" s="46" t="s">
        <v>35</v>
      </c>
      <c r="E10" s="46"/>
      <c r="F10" s="46"/>
      <c r="G10" s="46"/>
      <c r="H10" s="46"/>
    </row>
    <row r="11" spans="1:14" x14ac:dyDescent="0.2">
      <c r="A11" s="46"/>
      <c r="B11" s="46"/>
      <c r="C11" s="46"/>
      <c r="D11" s="46" t="s">
        <v>36</v>
      </c>
      <c r="E11" s="46"/>
      <c r="F11" s="46"/>
      <c r="G11" s="46"/>
      <c r="H11" s="46"/>
    </row>
    <row r="12" spans="1:14" x14ac:dyDescent="0.2">
      <c r="A12" s="46"/>
      <c r="B12" s="27" t="s">
        <v>37</v>
      </c>
      <c r="C12" s="46"/>
      <c r="D12" s="46"/>
      <c r="E12" s="46"/>
      <c r="F12" s="46"/>
      <c r="G12" s="46"/>
      <c r="H12" s="46"/>
    </row>
    <row r="13" spans="1:14" x14ac:dyDescent="0.2">
      <c r="A13" s="46"/>
      <c r="B13" s="46"/>
      <c r="C13" s="46"/>
      <c r="D13" s="46"/>
      <c r="E13" s="46"/>
      <c r="F13" s="46"/>
      <c r="G13" s="46"/>
      <c r="H13" s="46"/>
    </row>
    <row r="14" spans="1:14" x14ac:dyDescent="0.2">
      <c r="A14" s="46"/>
      <c r="B14" s="46" t="s">
        <v>38</v>
      </c>
      <c r="C14" s="46"/>
      <c r="D14" s="21">
        <f>'Page 2'!J18</f>
        <v>2750050.2984940419</v>
      </c>
      <c r="E14" s="46"/>
      <c r="F14" s="46"/>
      <c r="G14" s="46"/>
      <c r="H14" s="46"/>
    </row>
    <row r="15" spans="1:14" x14ac:dyDescent="0.2">
      <c r="A15" s="46"/>
      <c r="B15" s="46"/>
      <c r="C15" s="46"/>
      <c r="D15" s="2"/>
      <c r="E15" s="46"/>
      <c r="F15" s="46"/>
      <c r="G15" s="46"/>
      <c r="H15" s="46"/>
    </row>
    <row r="16" spans="1:14" x14ac:dyDescent="0.2">
      <c r="A16" s="46"/>
      <c r="B16" s="46" t="s">
        <v>89</v>
      </c>
      <c r="C16" s="46"/>
      <c r="D16" s="2"/>
      <c r="E16" s="46"/>
      <c r="F16" s="46"/>
      <c r="G16" s="46"/>
      <c r="H16" s="6"/>
      <c r="I16" s="6"/>
      <c r="J16" s="6"/>
      <c r="K16" s="6"/>
      <c r="L16" s="7"/>
      <c r="N16" s="6"/>
    </row>
    <row r="17" spans="1:14" x14ac:dyDescent="0.2">
      <c r="A17" s="46"/>
      <c r="B17" s="46" t="s">
        <v>39</v>
      </c>
      <c r="C17" s="46"/>
      <c r="D17" s="2">
        <f>'Page 2'!J32-'Page 2'!J30</f>
        <v>2489438.6234482257</v>
      </c>
      <c r="E17" s="46"/>
      <c r="F17" s="46"/>
      <c r="G17" s="46"/>
      <c r="H17" s="46"/>
      <c r="N17" s="7"/>
    </row>
    <row r="18" spans="1:14" x14ac:dyDescent="0.2">
      <c r="A18" s="46"/>
      <c r="B18" s="46"/>
      <c r="C18" s="46"/>
      <c r="D18" s="2"/>
      <c r="E18" s="46"/>
      <c r="F18" s="46"/>
      <c r="G18" s="46"/>
      <c r="H18" s="46"/>
    </row>
    <row r="19" spans="1:14" x14ac:dyDescent="0.2">
      <c r="A19" s="46"/>
      <c r="B19" s="46" t="s">
        <v>91</v>
      </c>
      <c r="C19" s="46"/>
      <c r="D19" s="2"/>
      <c r="E19" s="46"/>
      <c r="F19" s="46"/>
      <c r="G19" s="46"/>
      <c r="H19" s="6"/>
    </row>
    <row r="20" spans="1:14" x14ac:dyDescent="0.2">
      <c r="A20" s="46"/>
      <c r="B20" s="46" t="s">
        <v>90</v>
      </c>
      <c r="C20" s="46"/>
      <c r="D20" s="2">
        <f>'Page 2'!J30</f>
        <v>1052022.3473648147</v>
      </c>
      <c r="E20" s="46"/>
      <c r="F20" s="46"/>
      <c r="G20" s="46"/>
      <c r="H20" s="46"/>
    </row>
    <row r="21" spans="1:14" x14ac:dyDescent="0.2">
      <c r="A21" s="46"/>
      <c r="B21" s="46"/>
      <c r="C21" s="46"/>
      <c r="D21" s="2"/>
      <c r="E21" s="46"/>
      <c r="F21" s="46"/>
      <c r="G21" s="46"/>
      <c r="H21" s="46"/>
    </row>
    <row r="22" spans="1:14" x14ac:dyDescent="0.2">
      <c r="A22" s="46"/>
      <c r="B22" s="27" t="s">
        <v>40</v>
      </c>
      <c r="C22" s="46"/>
      <c r="D22" s="2"/>
      <c r="E22" s="46"/>
      <c r="F22" s="46"/>
      <c r="G22" s="46"/>
      <c r="H22" s="46"/>
    </row>
    <row r="23" spans="1:14" x14ac:dyDescent="0.2">
      <c r="A23" s="46"/>
      <c r="B23" s="46" t="s">
        <v>38</v>
      </c>
      <c r="C23" s="46"/>
      <c r="D23" s="2">
        <f>'Page 2'!K18</f>
        <v>120633.78041005861</v>
      </c>
      <c r="E23" s="46"/>
      <c r="F23" s="46"/>
      <c r="G23" s="46"/>
      <c r="H23" s="46"/>
    </row>
    <row r="24" spans="1:14" x14ac:dyDescent="0.2">
      <c r="A24" s="46"/>
      <c r="B24" s="46"/>
      <c r="C24" s="46"/>
      <c r="D24" s="46"/>
      <c r="E24" s="46"/>
      <c r="F24" s="46"/>
      <c r="G24" s="46"/>
      <c r="H24" s="46"/>
    </row>
    <row r="25" spans="1:14" x14ac:dyDescent="0.2">
      <c r="A25" s="46"/>
      <c r="B25" s="46"/>
      <c r="C25" s="46"/>
      <c r="D25" s="46"/>
      <c r="E25" s="46"/>
      <c r="F25" s="46"/>
      <c r="G25" s="46"/>
      <c r="H25" s="46"/>
    </row>
    <row r="26" spans="1:14" x14ac:dyDescent="0.2">
      <c r="A26" s="46"/>
      <c r="B26" s="47" t="s">
        <v>157</v>
      </c>
      <c r="C26" s="46"/>
      <c r="D26" s="46"/>
      <c r="E26" s="46"/>
      <c r="F26" s="46"/>
      <c r="G26" s="46"/>
      <c r="H26" s="46"/>
    </row>
    <row r="27" spans="1:14" x14ac:dyDescent="0.2">
      <c r="A27" s="46"/>
      <c r="B27" s="46"/>
      <c r="C27" s="46"/>
      <c r="D27" s="46"/>
      <c r="E27" s="46"/>
      <c r="F27" s="46"/>
      <c r="G27" s="46"/>
      <c r="H27" s="46"/>
    </row>
  </sheetData>
  <phoneticPr fontId="2" type="noConversion"/>
  <pageMargins left="0.2" right="0.2" top="0.7" bottom="0.2" header="0.2" footer="0.2"/>
  <pageSetup orientation="portrait" r:id="rId1"/>
  <headerFooter alignWithMargins="0">
    <oddHeader>&amp;R&amp;"Times New Roman,Bold"KyPSC Case No. 2019-00406
STAFF-DR-01-005 Attachment
Appendix B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26"/>
  <sheetViews>
    <sheetView view="pageLayout" zoomScaleNormal="80" workbookViewId="0">
      <selection activeCell="A23" sqref="A23"/>
    </sheetView>
  </sheetViews>
  <sheetFormatPr defaultColWidth="9.140625" defaultRowHeight="12.75" x14ac:dyDescent="0.2"/>
  <cols>
    <col min="1" max="1" width="9.140625" style="4"/>
    <col min="2" max="2" width="30.85546875" style="4" customWidth="1"/>
    <col min="3" max="3" width="16.28515625" style="4" customWidth="1"/>
    <col min="4" max="4" width="12.85546875" style="4" bestFit="1" customWidth="1"/>
    <col min="5" max="5" width="15.140625" style="4" bestFit="1" customWidth="1"/>
    <col min="6" max="6" width="10.42578125" style="4" customWidth="1"/>
    <col min="7" max="7" width="11.42578125" style="4" customWidth="1"/>
    <col min="8" max="10" width="9.140625" style="4"/>
    <col min="11" max="11" width="11.28515625" style="4" customWidth="1"/>
    <col min="12" max="16384" width="9.140625" style="4"/>
  </cols>
  <sheetData>
    <row r="1" spans="1:14" x14ac:dyDescent="0.2">
      <c r="A1" s="46"/>
      <c r="B1" s="46" t="str">
        <f>'Page 1'!E3</f>
        <v xml:space="preserve">                      Kentucky DSM Rider</v>
      </c>
      <c r="C1" s="32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x14ac:dyDescent="0.2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x14ac:dyDescent="0.2">
      <c r="A3" s="46"/>
      <c r="B3" s="46" t="str">
        <f>'Page 3'!B3</f>
        <v>Duke Energy Kentucky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x14ac:dyDescent="0.2">
      <c r="A4" s="46"/>
      <c r="B4" s="47" t="s">
        <v>75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x14ac:dyDescent="0.2">
      <c r="A5" s="46"/>
      <c r="B5" s="46" t="s">
        <v>41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x14ac:dyDescent="0.2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4" x14ac:dyDescent="0.2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</row>
    <row r="8" spans="1:14" x14ac:dyDescent="0.2">
      <c r="A8" s="46"/>
      <c r="B8" s="46" t="s">
        <v>42</v>
      </c>
      <c r="C8" s="46">
        <v>2020</v>
      </c>
      <c r="D8" s="46"/>
      <c r="E8" s="47"/>
      <c r="F8" s="46"/>
      <c r="G8" s="46"/>
      <c r="H8" s="46"/>
      <c r="I8" s="46"/>
      <c r="J8" s="46"/>
      <c r="K8" s="46"/>
      <c r="L8" s="46"/>
      <c r="M8" s="46"/>
      <c r="N8" s="46"/>
    </row>
    <row r="9" spans="1:14" x14ac:dyDescent="0.2">
      <c r="A9" s="46"/>
      <c r="B9" s="46"/>
      <c r="C9" s="46"/>
      <c r="D9" s="46"/>
      <c r="E9" s="47"/>
      <c r="F9" s="46"/>
      <c r="G9" s="46"/>
      <c r="H9" s="46"/>
      <c r="I9" s="46"/>
      <c r="J9" s="46"/>
      <c r="K9" s="46"/>
      <c r="L9" s="46"/>
      <c r="M9" s="46"/>
      <c r="N9" s="46"/>
    </row>
    <row r="10" spans="1:14" x14ac:dyDescent="0.2">
      <c r="A10" s="46"/>
      <c r="B10" s="46" t="s">
        <v>95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</row>
    <row r="11" spans="1:14" x14ac:dyDescent="0.2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</row>
    <row r="12" spans="1:14" x14ac:dyDescent="0.2">
      <c r="A12" s="46"/>
      <c r="B12" s="46" t="s">
        <v>45</v>
      </c>
      <c r="C12" s="6">
        <v>1475582438.48</v>
      </c>
      <c r="D12" s="46"/>
      <c r="E12" s="6"/>
      <c r="F12" s="47"/>
      <c r="G12" s="6"/>
      <c r="H12" s="6"/>
      <c r="I12" s="6"/>
      <c r="J12" s="6"/>
      <c r="K12" s="7"/>
      <c r="L12" s="46"/>
      <c r="M12" s="6"/>
      <c r="N12" s="46"/>
    </row>
    <row r="13" spans="1:14" x14ac:dyDescent="0.2">
      <c r="A13" s="46"/>
      <c r="B13" s="46"/>
      <c r="C13" s="6"/>
      <c r="D13" s="46"/>
      <c r="E13" s="46"/>
      <c r="F13" s="46"/>
      <c r="G13" s="46"/>
      <c r="H13" s="46"/>
      <c r="I13" s="46"/>
      <c r="J13" s="46"/>
      <c r="K13" s="46"/>
      <c r="L13" s="46"/>
      <c r="M13" s="7"/>
      <c r="N13" s="46"/>
    </row>
    <row r="14" spans="1:14" x14ac:dyDescent="0.2">
      <c r="A14" s="46"/>
      <c r="B14" s="46" t="s">
        <v>43</v>
      </c>
      <c r="C14" s="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</row>
    <row r="15" spans="1:14" x14ac:dyDescent="0.2">
      <c r="A15" s="46"/>
      <c r="B15" s="46" t="s">
        <v>44</v>
      </c>
      <c r="C15" s="7">
        <v>2305428301.1100001</v>
      </c>
      <c r="D15" s="46"/>
      <c r="E15" s="46"/>
      <c r="F15" s="47"/>
      <c r="G15" s="6"/>
      <c r="H15" s="46"/>
      <c r="I15" s="46"/>
      <c r="J15" s="46"/>
      <c r="K15" s="46"/>
      <c r="L15" s="46"/>
      <c r="M15" s="46"/>
      <c r="N15" s="46"/>
    </row>
    <row r="16" spans="1:14" x14ac:dyDescent="0.2">
      <c r="A16" s="46"/>
      <c r="B16" s="46"/>
      <c r="C16" s="7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</row>
    <row r="17" spans="1:14" x14ac:dyDescent="0.2">
      <c r="A17" s="46"/>
      <c r="B17" s="46" t="s">
        <v>43</v>
      </c>
      <c r="C17" s="7"/>
      <c r="D17" s="46"/>
      <c r="E17" s="46"/>
      <c r="F17" s="7"/>
      <c r="G17" s="46"/>
      <c r="H17" s="46"/>
      <c r="I17" s="46"/>
      <c r="J17" s="46"/>
      <c r="K17" s="46"/>
      <c r="L17" s="46"/>
      <c r="M17" s="46"/>
      <c r="N17" s="46"/>
    </row>
    <row r="18" spans="1:14" x14ac:dyDescent="0.2">
      <c r="A18" s="46"/>
      <c r="B18" s="46" t="s">
        <v>87</v>
      </c>
      <c r="C18" s="7">
        <v>2541311301.1100001</v>
      </c>
      <c r="D18" s="46"/>
      <c r="E18" s="46"/>
      <c r="F18" s="7"/>
      <c r="G18" s="46"/>
      <c r="H18" s="46"/>
      <c r="I18" s="46"/>
      <c r="J18" s="46"/>
      <c r="K18" s="46"/>
      <c r="L18" s="46"/>
      <c r="M18" s="46"/>
      <c r="N18" s="46"/>
    </row>
    <row r="19" spans="1:14" x14ac:dyDescent="0.2">
      <c r="A19" s="46"/>
      <c r="B19" s="46"/>
      <c r="C19" s="6"/>
      <c r="D19" s="28"/>
      <c r="E19" s="46"/>
      <c r="F19" s="46"/>
      <c r="G19" s="46"/>
      <c r="H19" s="46"/>
      <c r="I19" s="46"/>
      <c r="J19" s="46"/>
      <c r="K19" s="46"/>
      <c r="L19" s="46"/>
      <c r="M19" s="46"/>
      <c r="N19" s="46"/>
    </row>
    <row r="20" spans="1:14" x14ac:dyDescent="0.2">
      <c r="A20" s="46"/>
      <c r="B20" s="46" t="s">
        <v>96</v>
      </c>
      <c r="C20" s="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</row>
    <row r="21" spans="1:14" x14ac:dyDescent="0.2">
      <c r="A21" s="46"/>
      <c r="B21" s="46"/>
      <c r="C21" s="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</row>
    <row r="22" spans="1:14" x14ac:dyDescent="0.2">
      <c r="A22" s="46"/>
      <c r="B22" s="46" t="s">
        <v>45</v>
      </c>
      <c r="C22" s="6">
        <v>62137848</v>
      </c>
      <c r="D22" s="46"/>
      <c r="E22" s="6"/>
      <c r="F22" s="47"/>
      <c r="G22" s="46"/>
      <c r="H22" s="46"/>
      <c r="I22" s="46"/>
      <c r="J22" s="46"/>
      <c r="K22" s="46"/>
      <c r="L22" s="46"/>
      <c r="M22" s="46"/>
      <c r="N22" s="46"/>
    </row>
    <row r="23" spans="1:14" x14ac:dyDescent="0.2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</row>
    <row r="24" spans="1:14" x14ac:dyDescent="0.2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</row>
    <row r="25" spans="1:14" x14ac:dyDescent="0.2">
      <c r="C25" s="46"/>
    </row>
    <row r="26" spans="1:14" x14ac:dyDescent="0.2">
      <c r="C26" s="46"/>
    </row>
  </sheetData>
  <phoneticPr fontId="2" type="noConversion"/>
  <pageMargins left="0.2" right="0.2" top="0.7" bottom="0.2" header="0.2" footer="0.2"/>
  <pageSetup orientation="portrait" r:id="rId1"/>
  <headerFooter alignWithMargins="0">
    <oddHeader>&amp;R&amp;"Times New Roman,Bold"KyPSC Case No. 2019-00406
STAFF-DR-01-005 Attachment
Appendix B
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Q45"/>
  <sheetViews>
    <sheetView view="pageLayout" topLeftCell="B1" zoomScaleNormal="80" workbookViewId="0">
      <selection activeCell="A23" sqref="A23"/>
    </sheetView>
  </sheetViews>
  <sheetFormatPr defaultColWidth="9.140625" defaultRowHeight="12.75" x14ac:dyDescent="0.2"/>
  <cols>
    <col min="1" max="1" width="13.5703125" style="46" customWidth="1"/>
    <col min="2" max="2" width="11.7109375" style="46" customWidth="1"/>
    <col min="3" max="3" width="16.7109375" style="46" customWidth="1"/>
    <col min="4" max="4" width="15.85546875" style="46" customWidth="1"/>
    <col min="5" max="5" width="1.28515625" style="46" customWidth="1"/>
    <col min="6" max="6" width="13.5703125" style="46" customWidth="1"/>
    <col min="7" max="7" width="13.140625" style="46" customWidth="1"/>
    <col min="8" max="8" width="18.28515625" style="46" customWidth="1"/>
    <col min="9" max="9" width="14.5703125" style="46" customWidth="1"/>
    <col min="10" max="10" width="6.140625" style="46" customWidth="1"/>
    <col min="11" max="11" width="22" style="46" customWidth="1"/>
    <col min="12" max="12" width="8.5703125" style="46" bestFit="1" customWidth="1"/>
    <col min="13" max="13" width="12.140625" style="46" customWidth="1"/>
    <col min="14" max="14" width="21.42578125" style="46" customWidth="1"/>
    <col min="15" max="15" width="9.140625" style="46"/>
    <col min="16" max="16" width="25" style="46" customWidth="1"/>
    <col min="17" max="17" width="9.28515625" style="46" bestFit="1" customWidth="1"/>
    <col min="18" max="16384" width="9.140625" style="46"/>
  </cols>
  <sheetData>
    <row r="1" spans="2:13" x14ac:dyDescent="0.2">
      <c r="B1" s="46" t="str">
        <f>'Page 1'!E3</f>
        <v xml:space="preserve">                      Kentucky DSM Rider</v>
      </c>
      <c r="M1" s="26"/>
    </row>
    <row r="3" spans="2:13" x14ac:dyDescent="0.2">
      <c r="B3" s="46" t="str">
        <f>'Page 4'!B3</f>
        <v>Duke Energy Kentucky</v>
      </c>
    </row>
    <row r="4" spans="2:13" x14ac:dyDescent="0.2">
      <c r="B4" s="47" t="s">
        <v>75</v>
      </c>
    </row>
    <row r="5" spans="2:13" x14ac:dyDescent="0.2">
      <c r="B5" s="46" t="s">
        <v>46</v>
      </c>
    </row>
    <row r="7" spans="2:13" x14ac:dyDescent="0.2">
      <c r="B7" s="47" t="s">
        <v>146</v>
      </c>
    </row>
    <row r="9" spans="2:13" x14ac:dyDescent="0.2"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1" spans="2:13" x14ac:dyDescent="0.2">
      <c r="G11" s="44" t="s">
        <v>47</v>
      </c>
      <c r="H11" s="44" t="s">
        <v>48</v>
      </c>
      <c r="I11" s="44" t="s">
        <v>49</v>
      </c>
    </row>
    <row r="12" spans="2:13" x14ac:dyDescent="0.2">
      <c r="B12" s="46" t="s">
        <v>50</v>
      </c>
      <c r="F12" s="44" t="s">
        <v>51</v>
      </c>
      <c r="G12" s="44" t="s">
        <v>35</v>
      </c>
      <c r="H12" s="44" t="s">
        <v>52</v>
      </c>
      <c r="I12" s="44" t="s">
        <v>53</v>
      </c>
      <c r="K12" s="46" t="s">
        <v>54</v>
      </c>
    </row>
    <row r="13" spans="2:13" x14ac:dyDescent="0.2">
      <c r="B13" s="46" t="s">
        <v>83</v>
      </c>
      <c r="F13" s="44" t="s">
        <v>58</v>
      </c>
      <c r="G13" s="44" t="s">
        <v>59</v>
      </c>
      <c r="H13" s="44" t="s">
        <v>55</v>
      </c>
      <c r="I13" s="44" t="s">
        <v>60</v>
      </c>
      <c r="K13" s="46" t="s">
        <v>76</v>
      </c>
    </row>
    <row r="14" spans="2:13" x14ac:dyDescent="0.2">
      <c r="B14" s="27" t="s">
        <v>37</v>
      </c>
      <c r="C14" s="27"/>
    </row>
    <row r="15" spans="2:13" x14ac:dyDescent="0.2">
      <c r="B15" s="46" t="s">
        <v>38</v>
      </c>
      <c r="D15" s="22"/>
      <c r="F15" s="2">
        <f>'Page 1'!O21*Q43</f>
        <v>-7387397.6138612218</v>
      </c>
      <c r="G15" s="21">
        <f>'Page 2'!J18</f>
        <v>2750050.2984940419</v>
      </c>
      <c r="H15" s="3">
        <f>SUM(D15:G15)</f>
        <v>-4637347.3153671799</v>
      </c>
      <c r="I15" s="6">
        <f>'Page 4'!C12</f>
        <v>1475582438.48</v>
      </c>
      <c r="J15" s="22" t="s">
        <v>97</v>
      </c>
      <c r="K15" s="50">
        <f>H15/(I15)</f>
        <v>-3.1427233033107381E-3</v>
      </c>
      <c r="L15" s="46" t="s">
        <v>56</v>
      </c>
    </row>
    <row r="16" spans="2:13" x14ac:dyDescent="0.2">
      <c r="F16" s="6"/>
      <c r="J16" s="22"/>
    </row>
    <row r="17" spans="2:12" x14ac:dyDescent="0.2">
      <c r="B17" s="46" t="s">
        <v>89</v>
      </c>
      <c r="F17" s="6"/>
      <c r="J17" s="22"/>
    </row>
    <row r="18" spans="2:12" x14ac:dyDescent="0.2">
      <c r="B18" s="46" t="s">
        <v>39</v>
      </c>
      <c r="D18" s="2"/>
      <c r="F18" s="21">
        <f>'Page 1'!J47*Q43</f>
        <v>349025.55374918168</v>
      </c>
      <c r="G18" s="2">
        <f>'Page 2'!J32-'Page 2'!J30</f>
        <v>2489438.6234482257</v>
      </c>
      <c r="H18" s="3">
        <f>SUM(D18:G18)</f>
        <v>2838464.1771974075</v>
      </c>
      <c r="I18" s="6">
        <f>'Page 4'!C15</f>
        <v>2305428301.1100001</v>
      </c>
      <c r="J18" s="22" t="s">
        <v>97</v>
      </c>
      <c r="K18" s="51">
        <f>H18/(I18)</f>
        <v>1.2312090451178921E-3</v>
      </c>
      <c r="L18" s="46" t="s">
        <v>56</v>
      </c>
    </row>
    <row r="19" spans="2:12" x14ac:dyDescent="0.2">
      <c r="D19" s="2"/>
      <c r="F19" s="2"/>
      <c r="G19" s="2"/>
      <c r="H19" s="3"/>
      <c r="I19" s="6"/>
      <c r="J19" s="22"/>
      <c r="K19" s="22"/>
    </row>
    <row r="20" spans="2:12" x14ac:dyDescent="0.2">
      <c r="B20" s="46" t="s">
        <v>91</v>
      </c>
      <c r="G20" s="2"/>
      <c r="H20" s="3"/>
      <c r="I20" s="6"/>
      <c r="J20" s="22"/>
      <c r="K20" s="22"/>
    </row>
    <row r="21" spans="2:12" x14ac:dyDescent="0.2">
      <c r="B21" s="46" t="s">
        <v>90</v>
      </c>
      <c r="F21" s="2"/>
      <c r="G21" s="2"/>
      <c r="H21" s="3"/>
      <c r="I21" s="6"/>
      <c r="J21" s="22"/>
      <c r="K21" s="22"/>
    </row>
    <row r="22" spans="2:12" x14ac:dyDescent="0.2">
      <c r="B22" s="46" t="s">
        <v>88</v>
      </c>
      <c r="D22" s="2"/>
      <c r="F22" s="21">
        <f>'Page 1'!J49*Q43</f>
        <v>311735.38325888949</v>
      </c>
      <c r="G22" s="2">
        <f>'Page 2'!J30</f>
        <v>1052022.3473648147</v>
      </c>
      <c r="H22" s="3">
        <f>SUM(D22:G22)</f>
        <v>1363757.7306237041</v>
      </c>
      <c r="I22" s="6">
        <f>'Page 4'!C18</f>
        <v>2541311301.1100001</v>
      </c>
      <c r="J22" s="22" t="s">
        <v>97</v>
      </c>
      <c r="K22" s="51">
        <f>H22/(I22)</f>
        <v>5.3663544880473268E-4</v>
      </c>
      <c r="L22" s="46" t="s">
        <v>56</v>
      </c>
    </row>
    <row r="23" spans="2:12" x14ac:dyDescent="0.2">
      <c r="D23" s="2"/>
      <c r="F23" s="2"/>
      <c r="G23" s="2"/>
      <c r="H23" s="3"/>
      <c r="I23" s="6"/>
      <c r="J23" s="22"/>
      <c r="K23" s="22"/>
    </row>
    <row r="24" spans="2:12" x14ac:dyDescent="0.2">
      <c r="B24" s="46" t="s">
        <v>92</v>
      </c>
      <c r="D24" s="2"/>
      <c r="F24" s="2"/>
      <c r="G24" s="2"/>
      <c r="H24" s="3"/>
      <c r="I24" s="6"/>
      <c r="J24" s="22"/>
      <c r="K24" s="22"/>
    </row>
    <row r="25" spans="2:12" x14ac:dyDescent="0.2">
      <c r="B25" s="46" t="s">
        <v>39</v>
      </c>
      <c r="D25" s="2"/>
      <c r="F25" s="2"/>
      <c r="G25" s="2"/>
      <c r="H25" s="3"/>
      <c r="I25" s="6"/>
      <c r="J25" s="22"/>
      <c r="K25" s="51">
        <f>K18+K22</f>
        <v>1.7678444939226248E-3</v>
      </c>
      <c r="L25" s="46" t="str">
        <f>L22</f>
        <v>$/kWh</v>
      </c>
    </row>
    <row r="26" spans="2:12" x14ac:dyDescent="0.2">
      <c r="F26" s="6"/>
    </row>
    <row r="27" spans="2:12" x14ac:dyDescent="0.2">
      <c r="B27" s="27" t="s">
        <v>40</v>
      </c>
      <c r="F27" s="6"/>
    </row>
    <row r="28" spans="2:12" x14ac:dyDescent="0.2">
      <c r="B28" s="46" t="s">
        <v>38</v>
      </c>
      <c r="D28" s="22"/>
      <c r="F28" s="2">
        <f>'Page 1'!N21*Q43</f>
        <v>1789156.7082206367</v>
      </c>
      <c r="G28" s="2">
        <f>'Page 2'!K18</f>
        <v>120633.78041005861</v>
      </c>
      <c r="H28" s="3">
        <f>SUM(D28:G28)</f>
        <v>1909790.4886306953</v>
      </c>
      <c r="I28" s="6">
        <f>'Page 4'!C22</f>
        <v>62137848</v>
      </c>
      <c r="J28" s="22" t="s">
        <v>98</v>
      </c>
      <c r="K28" s="22">
        <f>H28/(I28)</f>
        <v>3.0734738168445991E-2</v>
      </c>
      <c r="L28" s="46" t="s">
        <v>99</v>
      </c>
    </row>
    <row r="30" spans="2:12" x14ac:dyDescent="0.2">
      <c r="C30" s="46" t="s">
        <v>78</v>
      </c>
      <c r="H30" s="3">
        <f>SUM(H15:H29)</f>
        <v>1474665.081084627</v>
      </c>
    </row>
    <row r="31" spans="2:12" x14ac:dyDescent="0.2">
      <c r="H31" s="3"/>
    </row>
    <row r="32" spans="2:12" x14ac:dyDescent="0.2">
      <c r="B32" s="46" t="s">
        <v>94</v>
      </c>
      <c r="H32" s="3"/>
    </row>
    <row r="33" spans="2:17" x14ac:dyDescent="0.2">
      <c r="B33" s="29" t="s">
        <v>79</v>
      </c>
      <c r="H33" s="3" t="s">
        <v>82</v>
      </c>
      <c r="I33" s="46" t="s">
        <v>81</v>
      </c>
      <c r="K33" s="46" t="s">
        <v>85</v>
      </c>
    </row>
    <row r="34" spans="2:17" x14ac:dyDescent="0.2">
      <c r="B34" s="46" t="s">
        <v>38</v>
      </c>
      <c r="G34" s="2"/>
      <c r="H34" s="3">
        <f>I34*K34*12</f>
        <v>152851.20000000001</v>
      </c>
      <c r="I34" s="41">
        <v>127376</v>
      </c>
      <c r="K34" s="23">
        <v>0.1</v>
      </c>
    </row>
    <row r="35" spans="2:17" x14ac:dyDescent="0.2">
      <c r="H35" s="3"/>
      <c r="I35" s="41"/>
    </row>
    <row r="36" spans="2:17" x14ac:dyDescent="0.2">
      <c r="B36" s="29" t="s">
        <v>80</v>
      </c>
      <c r="C36" s="29"/>
      <c r="H36" s="3"/>
      <c r="I36" s="41"/>
    </row>
    <row r="37" spans="2:17" x14ac:dyDescent="0.2">
      <c r="B37" s="46" t="s">
        <v>38</v>
      </c>
      <c r="G37" s="2"/>
      <c r="H37" s="3">
        <f>I37*K37*12</f>
        <v>110443.20000000001</v>
      </c>
      <c r="I37" s="41">
        <v>92036</v>
      </c>
      <c r="K37" s="23">
        <v>0.1</v>
      </c>
    </row>
    <row r="39" spans="2:17" x14ac:dyDescent="0.2">
      <c r="C39" s="46" t="s">
        <v>84</v>
      </c>
      <c r="H39" s="3">
        <f>H34+H37</f>
        <v>263294.40000000002</v>
      </c>
    </row>
    <row r="41" spans="2:17" x14ac:dyDescent="0.2">
      <c r="B41" s="46" t="s">
        <v>57</v>
      </c>
      <c r="H41" s="3">
        <f>H30+H39</f>
        <v>1737959.4810846271</v>
      </c>
    </row>
    <row r="43" spans="2:17" x14ac:dyDescent="0.2">
      <c r="B43" s="30" t="s">
        <v>158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1"/>
      <c r="Q43" s="95">
        <v>1.0242</v>
      </c>
    </row>
    <row r="44" spans="2:17" x14ac:dyDescent="0.2">
      <c r="B44" s="47" t="s">
        <v>101</v>
      </c>
    </row>
    <row r="45" spans="2:17" x14ac:dyDescent="0.2">
      <c r="B45" s="47" t="s">
        <v>102</v>
      </c>
    </row>
  </sheetData>
  <phoneticPr fontId="2" type="noConversion"/>
  <pageMargins left="0.2" right="0.2" top="0.7" bottom="0.2" header="0.2" footer="0.2"/>
  <pageSetup scale="59" orientation="landscape" r:id="rId1"/>
  <headerFooter alignWithMargins="0">
    <oddHeader>&amp;R&amp;"Times New Roman,Bold"KyPSC Case No. 2019-00406
STAFF-DR-01-005 Attachment
Appendix B
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21"/>
  <sheetViews>
    <sheetView view="pageLayout" topLeftCell="A4" zoomScaleNormal="80" workbookViewId="0">
      <selection activeCell="A23" sqref="A23"/>
    </sheetView>
  </sheetViews>
  <sheetFormatPr defaultColWidth="9.140625" defaultRowHeight="12.75" x14ac:dyDescent="0.2"/>
  <cols>
    <col min="1" max="1" width="44.28515625" style="73" bestFit="1" customWidth="1"/>
    <col min="2" max="2" width="18.42578125" style="73" customWidth="1"/>
    <col min="3" max="3" width="14.7109375" style="73" customWidth="1"/>
    <col min="4" max="4" width="12.28515625" style="73" customWidth="1"/>
    <col min="5" max="5" width="13" style="73" customWidth="1"/>
    <col min="6" max="6" width="1.28515625" style="73" customWidth="1"/>
    <col min="7" max="8" width="17.140625" style="73" customWidth="1"/>
    <col min="9" max="9" width="9.42578125" style="73" customWidth="1"/>
    <col min="10" max="16384" width="9.140625" style="73"/>
  </cols>
  <sheetData>
    <row r="1" spans="1:8" x14ac:dyDescent="0.2">
      <c r="A1" s="72"/>
    </row>
    <row r="3" spans="1:8" x14ac:dyDescent="0.2">
      <c r="A3" s="74"/>
      <c r="B3" s="72"/>
      <c r="C3" s="72"/>
      <c r="D3" s="72"/>
      <c r="E3" s="72"/>
      <c r="F3" s="74"/>
      <c r="G3" s="72"/>
      <c r="H3" s="72"/>
    </row>
    <row r="4" spans="1:8" ht="44.25" customHeight="1" x14ac:dyDescent="0.2">
      <c r="A4" s="83" t="s">
        <v>160</v>
      </c>
      <c r="B4" s="84"/>
      <c r="C4" s="84"/>
      <c r="D4" s="84"/>
      <c r="E4" s="84"/>
      <c r="F4" s="72"/>
      <c r="G4" s="130" t="s">
        <v>147</v>
      </c>
      <c r="H4" s="130"/>
    </row>
    <row r="5" spans="1:8" x14ac:dyDescent="0.2">
      <c r="A5" s="85"/>
      <c r="B5" s="84"/>
      <c r="C5" s="84"/>
      <c r="D5" s="84"/>
      <c r="E5" s="84"/>
      <c r="F5" s="72"/>
      <c r="G5" s="48"/>
      <c r="H5" s="48"/>
    </row>
    <row r="6" spans="1:8" ht="25.5" x14ac:dyDescent="0.2">
      <c r="A6" s="85" t="s">
        <v>21</v>
      </c>
      <c r="B6" s="86" t="s">
        <v>97</v>
      </c>
      <c r="C6" s="49" t="s">
        <v>124</v>
      </c>
      <c r="D6" s="87" t="s">
        <v>122</v>
      </c>
      <c r="E6" s="49" t="s">
        <v>124</v>
      </c>
      <c r="F6" s="72"/>
      <c r="G6" s="49" t="s">
        <v>126</v>
      </c>
      <c r="H6" s="49" t="s">
        <v>127</v>
      </c>
    </row>
    <row r="7" spans="1:8" x14ac:dyDescent="0.2">
      <c r="A7" s="74" t="s">
        <v>105</v>
      </c>
      <c r="B7" s="96">
        <v>1669.9757542400523</v>
      </c>
      <c r="C7" s="97">
        <f t="shared" ref="C7:C15" si="0">B7/B$17</f>
        <v>1.0977415033815976E-6</v>
      </c>
      <c r="D7" s="98">
        <v>4214.1999999999434</v>
      </c>
      <c r="E7" s="76">
        <f t="shared" ref="E7:E13" si="1">D7/D$17</f>
        <v>6.604188016164642E-5</v>
      </c>
      <c r="F7" s="72"/>
      <c r="G7" s="88">
        <f t="shared" ref="G7:G12" si="2">C7/SUM($C7,$E7)</f>
        <v>1.6350129419233739E-2</v>
      </c>
      <c r="H7" s="88">
        <f t="shared" ref="H7:H14" si="3">1-G7</f>
        <v>0.98364987058076625</v>
      </c>
    </row>
    <row r="8" spans="1:8" x14ac:dyDescent="0.2">
      <c r="A8" s="74" t="s">
        <v>107</v>
      </c>
      <c r="B8" s="96">
        <v>227394.77853936519</v>
      </c>
      <c r="C8" s="97">
        <f t="shared" si="0"/>
        <v>1.4947563485346639E-4</v>
      </c>
      <c r="D8" s="98">
        <v>0</v>
      </c>
      <c r="E8" s="76">
        <f t="shared" si="1"/>
        <v>0</v>
      </c>
      <c r="F8" s="72"/>
      <c r="G8" s="88">
        <f t="shared" si="2"/>
        <v>1</v>
      </c>
      <c r="H8" s="88">
        <f t="shared" si="3"/>
        <v>0</v>
      </c>
    </row>
    <row r="9" spans="1:8" x14ac:dyDescent="0.2">
      <c r="A9" s="74" t="s">
        <v>108</v>
      </c>
      <c r="B9" s="96">
        <v>207829.98259339697</v>
      </c>
      <c r="C9" s="97">
        <f t="shared" si="0"/>
        <v>1.3661491609120221E-4</v>
      </c>
      <c r="D9" s="98">
        <v>6548.527333333328</v>
      </c>
      <c r="E9" s="76">
        <f t="shared" si="1"/>
        <v>1.0262376189627247E-4</v>
      </c>
      <c r="F9" s="72"/>
      <c r="G9" s="114">
        <f t="shared" si="2"/>
        <v>0.57104025670278402</v>
      </c>
      <c r="H9" s="114">
        <f t="shared" si="3"/>
        <v>0.42895974329721598</v>
      </c>
    </row>
    <row r="10" spans="1:8" x14ac:dyDescent="0.2">
      <c r="A10" s="74" t="s">
        <v>106</v>
      </c>
      <c r="B10" s="96">
        <v>38733.468317954226</v>
      </c>
      <c r="C10" s="97">
        <f t="shared" si="0"/>
        <v>2.546104973954165E-5</v>
      </c>
      <c r="D10" s="98">
        <v>0</v>
      </c>
      <c r="E10" s="76">
        <f t="shared" si="1"/>
        <v>0</v>
      </c>
      <c r="F10" s="72"/>
      <c r="G10" s="88">
        <f t="shared" si="2"/>
        <v>1</v>
      </c>
      <c r="H10" s="88">
        <f t="shared" si="3"/>
        <v>0</v>
      </c>
    </row>
    <row r="11" spans="1:8" x14ac:dyDescent="0.2">
      <c r="A11" s="74" t="s">
        <v>109</v>
      </c>
      <c r="B11" s="96">
        <v>386924.9423966434</v>
      </c>
      <c r="C11" s="97">
        <f t="shared" si="0"/>
        <v>2.5434115847724711E-4</v>
      </c>
      <c r="D11" s="98">
        <v>0</v>
      </c>
      <c r="E11" s="76">
        <f t="shared" si="1"/>
        <v>0</v>
      </c>
      <c r="F11" s="72"/>
      <c r="G11" s="88">
        <f t="shared" si="2"/>
        <v>1</v>
      </c>
      <c r="H11" s="88">
        <f t="shared" si="3"/>
        <v>0</v>
      </c>
    </row>
    <row r="12" spans="1:8" x14ac:dyDescent="0.2">
      <c r="A12" s="74" t="s">
        <v>104</v>
      </c>
      <c r="B12" s="96">
        <v>5735203.4110060781</v>
      </c>
      <c r="C12" s="97">
        <f t="shared" si="0"/>
        <v>3.7699773775829843E-3</v>
      </c>
      <c r="D12" s="98">
        <v>0</v>
      </c>
      <c r="E12" s="76">
        <f t="shared" si="1"/>
        <v>0</v>
      </c>
      <c r="F12" s="72"/>
      <c r="G12" s="88">
        <f t="shared" si="2"/>
        <v>1</v>
      </c>
      <c r="H12" s="88">
        <f t="shared" si="3"/>
        <v>0</v>
      </c>
    </row>
    <row r="13" spans="1:8" x14ac:dyDescent="0.2">
      <c r="A13" s="74" t="s">
        <v>132</v>
      </c>
      <c r="B13" s="96">
        <v>0</v>
      </c>
      <c r="C13" s="97">
        <f t="shared" si="0"/>
        <v>0</v>
      </c>
      <c r="D13" s="98">
        <v>0</v>
      </c>
      <c r="E13" s="76">
        <f t="shared" si="1"/>
        <v>0</v>
      </c>
      <c r="F13" s="72"/>
      <c r="G13" s="88">
        <v>1</v>
      </c>
      <c r="H13" s="88">
        <f t="shared" si="3"/>
        <v>0</v>
      </c>
    </row>
    <row r="14" spans="1:8" x14ac:dyDescent="0.2">
      <c r="A14" s="74" t="s">
        <v>133</v>
      </c>
      <c r="B14" s="96">
        <v>0</v>
      </c>
      <c r="C14" s="97">
        <f t="shared" si="0"/>
        <v>0</v>
      </c>
      <c r="D14" s="98">
        <v>0</v>
      </c>
      <c r="E14" s="76"/>
      <c r="F14" s="72"/>
      <c r="G14" s="88">
        <v>1</v>
      </c>
      <c r="H14" s="88">
        <f t="shared" si="3"/>
        <v>0</v>
      </c>
    </row>
    <row r="15" spans="1:8" x14ac:dyDescent="0.2">
      <c r="A15" s="89" t="s">
        <v>123</v>
      </c>
      <c r="B15" s="90">
        <f>SUM(B7:B14)</f>
        <v>6597756.5586076779</v>
      </c>
      <c r="C15" s="99">
        <f t="shared" si="0"/>
        <v>4.3369678782478232E-3</v>
      </c>
      <c r="D15" s="90">
        <f>SUM(D7:D14)</f>
        <v>10762.727333333271</v>
      </c>
      <c r="E15" s="77">
        <f>D15/D$17</f>
        <v>1.6866564205791887E-4</v>
      </c>
      <c r="F15" s="72"/>
      <c r="G15" s="72"/>
      <c r="H15" s="72"/>
    </row>
    <row r="16" spans="1:8" x14ac:dyDescent="0.2">
      <c r="A16" s="85"/>
      <c r="B16" s="91"/>
      <c r="C16" s="92"/>
      <c r="D16" s="91"/>
      <c r="E16" s="75"/>
      <c r="F16" s="72"/>
      <c r="G16" s="72"/>
      <c r="H16" s="72"/>
    </row>
    <row r="17" spans="1:8" x14ac:dyDescent="0.2">
      <c r="A17" s="85" t="s">
        <v>125</v>
      </c>
      <c r="B17" s="124">
        <v>1521283243</v>
      </c>
      <c r="C17" s="92">
        <v>1</v>
      </c>
      <c r="D17" s="124">
        <v>63811024</v>
      </c>
      <c r="E17" s="78">
        <v>1</v>
      </c>
      <c r="F17" s="72"/>
      <c r="G17" s="72"/>
      <c r="H17" s="72"/>
    </row>
    <row r="18" spans="1:8" x14ac:dyDescent="0.2">
      <c r="A18" s="74" t="s">
        <v>150</v>
      </c>
      <c r="B18" s="72"/>
      <c r="C18" s="72"/>
      <c r="D18" s="72"/>
      <c r="E18" s="74"/>
      <c r="F18" s="72"/>
      <c r="G18" s="72"/>
      <c r="H18" s="72"/>
    </row>
    <row r="20" spans="1:8" x14ac:dyDescent="0.2">
      <c r="A20" s="73" t="s">
        <v>161</v>
      </c>
    </row>
    <row r="21" spans="1:8" x14ac:dyDescent="0.2">
      <c r="A21" s="72"/>
    </row>
  </sheetData>
  <mergeCells count="1">
    <mergeCell ref="G4:H4"/>
  </mergeCells>
  <pageMargins left="0.2" right="0.2" top="0.7" bottom="0.2" header="0.2" footer="0.2"/>
  <pageSetup scale="97" orientation="landscape" r:id="rId1"/>
  <headerFooter alignWithMargins="0">
    <oddHeader>&amp;R&amp;"Times New Roman,Bold"KyPSC Case No. 2019-00406
STAFF-DR-01-005 Attachment
Appendix B
Page &amp;P of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30"/>
  <sheetViews>
    <sheetView view="pageLayout" zoomScaleNormal="81" workbookViewId="0">
      <selection activeCell="A23" sqref="A23"/>
    </sheetView>
  </sheetViews>
  <sheetFormatPr defaultColWidth="9.140625" defaultRowHeight="12.75" x14ac:dyDescent="0.2"/>
  <cols>
    <col min="1" max="1" width="44.28515625" style="103" bestFit="1" customWidth="1"/>
    <col min="2" max="2" width="18.42578125" style="103" customWidth="1"/>
    <col min="3" max="3" width="14.7109375" style="103" customWidth="1"/>
    <col min="4" max="4" width="12.28515625" style="103" customWidth="1"/>
    <col min="5" max="5" width="13" style="103" customWidth="1"/>
    <col min="6" max="6" width="1.28515625" style="121" customWidth="1"/>
    <col min="7" max="8" width="17.140625" style="121" customWidth="1"/>
    <col min="9" max="9" width="9.42578125" style="103" customWidth="1"/>
    <col min="10" max="16384" width="9.140625" style="103"/>
  </cols>
  <sheetData>
    <row r="1" spans="1:8" x14ac:dyDescent="0.2">
      <c r="A1" s="102"/>
      <c r="B1" s="102"/>
      <c r="C1" s="102"/>
      <c r="D1" s="102"/>
      <c r="E1" s="102"/>
      <c r="F1" s="73"/>
      <c r="G1" s="73"/>
      <c r="H1" s="73"/>
    </row>
    <row r="2" spans="1:8" x14ac:dyDescent="0.2">
      <c r="A2" s="102"/>
      <c r="B2" s="102"/>
      <c r="C2" s="102"/>
      <c r="D2" s="102"/>
      <c r="E2" s="102"/>
      <c r="F2" s="73"/>
      <c r="G2" s="73"/>
      <c r="H2" s="73"/>
    </row>
    <row r="3" spans="1:8" x14ac:dyDescent="0.2">
      <c r="A3" s="102"/>
      <c r="B3" s="104"/>
      <c r="C3" s="104"/>
      <c r="D3" s="104"/>
      <c r="E3" s="104"/>
      <c r="F3" s="72"/>
      <c r="G3" s="131"/>
      <c r="H3" s="131"/>
    </row>
    <row r="4" spans="1:8" ht="30.75" customHeight="1" x14ac:dyDescent="0.2">
      <c r="A4" s="105" t="s">
        <v>159</v>
      </c>
      <c r="E4" s="106"/>
      <c r="F4" s="75"/>
      <c r="G4" s="130" t="s">
        <v>162</v>
      </c>
      <c r="H4" s="130"/>
    </row>
    <row r="5" spans="1:8" x14ac:dyDescent="0.2">
      <c r="A5" s="106"/>
      <c r="B5" s="107"/>
      <c r="C5" s="108"/>
      <c r="D5" s="108"/>
      <c r="E5" s="108"/>
      <c r="F5" s="75"/>
      <c r="G5" s="49"/>
      <c r="H5" s="49"/>
    </row>
    <row r="6" spans="1:8" ht="25.5" x14ac:dyDescent="0.2">
      <c r="A6" s="127" t="s">
        <v>21</v>
      </c>
      <c r="B6" s="110" t="s">
        <v>97</v>
      </c>
      <c r="C6" s="110" t="s">
        <v>124</v>
      </c>
      <c r="D6" s="111" t="s">
        <v>122</v>
      </c>
      <c r="E6" s="109" t="s">
        <v>124</v>
      </c>
      <c r="F6" s="75"/>
      <c r="G6" s="112" t="s">
        <v>126</v>
      </c>
      <c r="H6" s="112" t="s">
        <v>127</v>
      </c>
    </row>
    <row r="7" spans="1:8" ht="18" hidden="1" customHeight="1" x14ac:dyDescent="0.2">
      <c r="A7" s="120"/>
      <c r="B7" s="125"/>
      <c r="C7" s="76"/>
      <c r="D7" s="113"/>
      <c r="E7" s="76"/>
      <c r="F7" s="75"/>
      <c r="G7" s="114"/>
      <c r="H7" s="114"/>
    </row>
    <row r="8" spans="1:8" x14ac:dyDescent="0.2">
      <c r="A8" s="120" t="s">
        <v>107</v>
      </c>
      <c r="B8" s="125">
        <v>224406.00000000003</v>
      </c>
      <c r="C8" s="76">
        <v>1.4751099181074725E-4</v>
      </c>
      <c r="D8" s="113">
        <v>0</v>
      </c>
      <c r="E8" s="76">
        <v>0</v>
      </c>
      <c r="F8" s="75"/>
      <c r="G8" s="114">
        <f t="shared" ref="G8:G12" si="0">C8/SUM($C8,$E8)</f>
        <v>1</v>
      </c>
      <c r="H8" s="114">
        <v>0</v>
      </c>
    </row>
    <row r="9" spans="1:8" x14ac:dyDescent="0.2">
      <c r="A9" s="120" t="s">
        <v>108</v>
      </c>
      <c r="B9" s="125">
        <v>255140.00075519999</v>
      </c>
      <c r="C9" s="76">
        <v>1.6771367326183056E-4</v>
      </c>
      <c r="D9" s="113">
        <v>3916.5833333333298</v>
      </c>
      <c r="E9" s="76">
        <v>6.1377848024086397E-5</v>
      </c>
      <c r="F9" s="75"/>
      <c r="G9" s="114">
        <f t="shared" si="0"/>
        <v>0.73208153807017606</v>
      </c>
      <c r="H9" s="114">
        <f t="shared" ref="H9" si="1">E9/SUM($C9,$E9)</f>
        <v>0.26791846192982399</v>
      </c>
    </row>
    <row r="10" spans="1:8" x14ac:dyDescent="0.2">
      <c r="A10" s="120" t="s">
        <v>106</v>
      </c>
      <c r="B10" s="125">
        <v>1534686.9938650152</v>
      </c>
      <c r="C10" s="76">
        <v>1.00881081871288E-3</v>
      </c>
      <c r="D10" s="113">
        <v>0</v>
      </c>
      <c r="E10" s="76">
        <v>0</v>
      </c>
      <c r="F10" s="75"/>
      <c r="G10" s="114">
        <f t="shared" si="0"/>
        <v>1</v>
      </c>
      <c r="H10" s="114">
        <v>0</v>
      </c>
    </row>
    <row r="11" spans="1:8" x14ac:dyDescent="0.2">
      <c r="A11" s="120" t="s">
        <v>109</v>
      </c>
      <c r="B11" s="125">
        <v>442890.95360306115</v>
      </c>
      <c r="C11" s="76">
        <v>2.9112984425547976E-4</v>
      </c>
      <c r="D11" s="113">
        <v>0</v>
      </c>
      <c r="E11" s="76">
        <v>0</v>
      </c>
      <c r="F11" s="75"/>
      <c r="G11" s="114">
        <f t="shared" si="0"/>
        <v>1</v>
      </c>
      <c r="H11" s="114">
        <v>0</v>
      </c>
    </row>
    <row r="12" spans="1:8" x14ac:dyDescent="0.2">
      <c r="A12" s="115" t="s">
        <v>104</v>
      </c>
      <c r="B12" s="125">
        <v>2260896.5404428728</v>
      </c>
      <c r="C12" s="76">
        <v>1.4861772459836874E-3</v>
      </c>
      <c r="D12" s="113">
        <v>0</v>
      </c>
      <c r="E12" s="76">
        <v>0</v>
      </c>
      <c r="F12" s="75"/>
      <c r="G12" s="114">
        <f t="shared" si="0"/>
        <v>1</v>
      </c>
      <c r="H12" s="114">
        <v>0</v>
      </c>
    </row>
    <row r="13" spans="1:8" x14ac:dyDescent="0.2">
      <c r="A13" s="120" t="s">
        <v>132</v>
      </c>
      <c r="B13" s="125">
        <v>0</v>
      </c>
      <c r="C13" s="76">
        <v>0</v>
      </c>
      <c r="D13" s="113">
        <v>0</v>
      </c>
      <c r="E13" s="76">
        <v>0</v>
      </c>
      <c r="F13" s="75"/>
      <c r="G13" s="114">
        <v>1</v>
      </c>
      <c r="H13" s="116">
        <v>0</v>
      </c>
    </row>
    <row r="14" spans="1:8" x14ac:dyDescent="0.2">
      <c r="A14" s="128" t="s">
        <v>123</v>
      </c>
      <c r="B14" s="126">
        <f>SUM(B7:B13)</f>
        <v>4718020.4886661489</v>
      </c>
      <c r="C14" s="77">
        <f>SUM(C7:C13)</f>
        <v>3.1013425740246247E-3</v>
      </c>
      <c r="D14" s="117">
        <f>SUM(D7:D13)</f>
        <v>3916.5833333333298</v>
      </c>
      <c r="E14" s="77">
        <f>SUM(E7:E13)</f>
        <v>6.1377848024086397E-5</v>
      </c>
      <c r="F14" s="75"/>
      <c r="G14" s="75"/>
      <c r="H14" s="75"/>
    </row>
    <row r="15" spans="1:8" x14ac:dyDescent="0.2">
      <c r="A15" s="120"/>
      <c r="B15" s="118"/>
      <c r="C15" s="78"/>
      <c r="D15" s="118"/>
      <c r="E15" s="119"/>
      <c r="F15" s="75"/>
      <c r="G15" s="75"/>
      <c r="H15" s="75"/>
    </row>
    <row r="16" spans="1:8" x14ac:dyDescent="0.2">
      <c r="A16" s="120" t="s">
        <v>125</v>
      </c>
      <c r="B16" s="124">
        <f>'Page 4'!C12</f>
        <v>1475582438.48</v>
      </c>
      <c r="C16" s="78">
        <f>B16/$B$16</f>
        <v>1</v>
      </c>
      <c r="D16" s="124">
        <f>'Page 4'!C22</f>
        <v>62137848</v>
      </c>
      <c r="E16" s="78">
        <f>D16/$D$16</f>
        <v>1</v>
      </c>
      <c r="F16" s="75"/>
      <c r="G16" s="75"/>
      <c r="H16" s="75"/>
    </row>
    <row r="17" spans="1:5" x14ac:dyDescent="0.2">
      <c r="A17" s="120" t="s">
        <v>152</v>
      </c>
      <c r="B17" s="119"/>
      <c r="C17" s="119"/>
      <c r="D17" s="120"/>
      <c r="E17" s="119"/>
    </row>
    <row r="19" spans="1:5" x14ac:dyDescent="0.2">
      <c r="A19" s="122" t="s">
        <v>161</v>
      </c>
    </row>
    <row r="20" spans="1:5" ht="15" x14ac:dyDescent="0.25">
      <c r="A20" s="123"/>
    </row>
    <row r="21" spans="1:5" customFormat="1" x14ac:dyDescent="0.2"/>
    <row r="22" spans="1:5" customFormat="1" x14ac:dyDescent="0.2"/>
    <row r="23" spans="1:5" customFormat="1" x14ac:dyDescent="0.2"/>
    <row r="24" spans="1:5" customFormat="1" x14ac:dyDescent="0.2"/>
    <row r="25" spans="1:5" customFormat="1" x14ac:dyDescent="0.2"/>
    <row r="26" spans="1:5" customFormat="1" x14ac:dyDescent="0.2"/>
    <row r="27" spans="1:5" customFormat="1" x14ac:dyDescent="0.2"/>
    <row r="28" spans="1:5" customFormat="1" x14ac:dyDescent="0.2"/>
    <row r="29" spans="1:5" customFormat="1" x14ac:dyDescent="0.2"/>
    <row r="30" spans="1:5" customFormat="1" x14ac:dyDescent="0.2"/>
  </sheetData>
  <mergeCells count="2">
    <mergeCell ref="G3:H3"/>
    <mergeCell ref="G4:H4"/>
  </mergeCells>
  <pageMargins left="0.2" right="0.2" top="0.7" bottom="0.2" header="0.2" footer="0.2"/>
  <pageSetup scale="97" orientation="landscape" r:id="rId1"/>
  <headerFooter alignWithMargins="0">
    <oddHeader>&amp;R&amp;"Times New Roman,Bold"KyPSC Case No. 2019-00406
STAFF-DR-01-005 Attachment
Appendix B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3aaf9fd6-6918-436a-a425-d77e7b71092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9172412CEAAA44B108CC6515A6D65A" ma:contentTypeVersion="3" ma:contentTypeDescription="Create a new document." ma:contentTypeScope="" ma:versionID="24a7e789889557565792a74cb26adf04">
  <xsd:schema xmlns:xsd="http://www.w3.org/2001/XMLSchema" xmlns:xs="http://www.w3.org/2001/XMLSchema" xmlns:p="http://schemas.microsoft.com/office/2006/metadata/properties" xmlns:ns2="3c9d8c27-8a6d-4d9e-a15e-ef5d28c114af" xmlns:ns3="3aaf9fd6-6918-436a-a425-d77e7b71092e" targetNamespace="http://schemas.microsoft.com/office/2006/metadata/properties" ma:root="true" ma:fieldsID="84ef4022529409159dc5bd30dd5a4efd" ns2:_="" ns3:_="">
    <xsd:import namespace="3c9d8c27-8a6d-4d9e-a15e-ef5d28c114af"/>
    <xsd:import namespace="3aaf9fd6-6918-436a-a425-d77e7b71092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d8c27-8a6d-4d9e-a15e-ef5d28c114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af9fd6-6918-436a-a425-d77e7b71092e" elementFormDefault="qualified">
    <xsd:import namespace="http://schemas.microsoft.com/office/2006/documentManagement/types"/>
    <xsd:import namespace="http://schemas.microsoft.com/office/infopath/2007/PartnerControls"/>
    <xsd:element name="Witness" ma:index="10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9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F176305-C948-4C65-B478-1CBD169A75AD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3c9d8c27-8a6d-4d9e-a15e-ef5d28c114af"/>
    <ds:schemaRef ds:uri="3aaf9fd6-6918-436a-a425-d77e7b71092e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999BAC0-8032-4ACF-9532-AE5CFCE587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5B3820-28DE-4E08-AC11-F282DD0794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9d8c27-8a6d-4d9e-a15e-ef5d28c114af"/>
    <ds:schemaRef ds:uri="3aaf9fd6-6918-436a-a425-d77e7b7109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B56FA78-8CAC-46E4-A06E-6CC39F53FDD5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Page 1</vt:lpstr>
      <vt:lpstr>Page 2</vt:lpstr>
      <vt:lpstr>Page 3</vt:lpstr>
      <vt:lpstr>Page 4</vt:lpstr>
      <vt:lpstr>Page 5</vt:lpstr>
      <vt:lpstr>Page 6</vt:lpstr>
      <vt:lpstr>Page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Appendix B - Provide as Excel</dc:subject>
  <dc:creator/>
  <cp:lastModifiedBy/>
  <dcterms:created xsi:type="dcterms:W3CDTF">2016-10-28T20:40:02Z</dcterms:created>
  <dcterms:modified xsi:type="dcterms:W3CDTF">2020-01-08T14:48:12Z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0x0101009C9172412CEAAA44B108CC6515A6D65A</vt:lpwstr>
  </property>
</Properties>
</file>