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STRICT PROJECTS\SIMPSON\Fritz Winter Capacity Improvements_43339\Funding Agencies\PSC\Electronic CCN Submittal\Final E Submittal\PSC Fritz &amp; WL\Additional Discovery\"/>
    </mc:Choice>
  </mc:AlternateContent>
  <xr:revisionPtr revIDLastSave="0" documentId="13_ncr:1_{8F90C217-A3BE-46F1-BF20-7C3BED0733B8}" xr6:coauthVersionLast="45" xr6:coauthVersionMax="45" xr10:uidLastSave="{00000000-0000-0000-0000-000000000000}"/>
  <bookViews>
    <workbookView xWindow="-108" yWindow="-108" windowWidth="23256" windowHeight="12576" tabRatio="871" activeTab="4" xr2:uid="{00000000-000D-0000-FFFF-FFFF00000000}"/>
  </bookViews>
  <sheets>
    <sheet name="Water Loss" sheetId="3" r:id="rId1"/>
    <sheet name="Test Per. Cust" sheetId="4" r:id="rId2"/>
    <sheet name="Test Per. Reven" sheetId="5" r:id="rId3"/>
    <sheet name="Rate Structure" sheetId="6" r:id="rId4"/>
    <sheet name="Act. Water Usag" sheetId="7" r:id="rId5"/>
    <sheet name="Wtr Use Forcast" sheetId="9" r:id="rId6"/>
  </sheets>
  <externalReferences>
    <externalReference r:id="rId7"/>
  </externalReferences>
  <definedNames>
    <definedName name="\E">[1]A!$B$120</definedName>
    <definedName name="EXCUST">[1]A!$B$89</definedName>
    <definedName name="EXMAINS">[1]A!$B$96</definedName>
    <definedName name="EXPUMPS">[1]A!$B$106</definedName>
    <definedName name="EXPURCH">[1]A!$B$91</definedName>
    <definedName name="EXSL">[1]A!$B$98</definedName>
    <definedName name="EXTANKS">[1]A!$B$104</definedName>
    <definedName name="EXWTP">[1]A!$B$94</definedName>
    <definedName name="GRANT">[1]A!$B$101</definedName>
    <definedName name="INTRATE">[1]A!$B$102</definedName>
    <definedName name="NUCUST">[1]A!$B$88</definedName>
    <definedName name="NUMAINS">[1]A!$B$95</definedName>
    <definedName name="NUPUMPS">[1]A!$B$107</definedName>
    <definedName name="NUPURCH">[1]A!$B$90</definedName>
    <definedName name="NUSL">[1]A!$B$97</definedName>
    <definedName name="NUTANKS">[1]A!$B$105</definedName>
    <definedName name="NUWTP">[1]A!$B$93</definedName>
    <definedName name="OLDWATRATE">[1]A!$B$86</definedName>
    <definedName name="P10PURCH">[1]A!$B$92</definedName>
    <definedName name="_xlnm.Print_Area">[1]A!$A$1:$H$84</definedName>
    <definedName name="PROJCOST">[1]A!$B$99</definedName>
    <definedName name="REVEX">[1]A!$A$10:$H$67</definedName>
    <definedName name="TAPFEES">[1]A!$B$100</definedName>
    <definedName name="TITLE">[1]A!$A$1:$H$6</definedName>
    <definedName name="WATRATE">[1]A!$B$87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7" l="1"/>
  <c r="F12" i="7"/>
  <c r="F26" i="7"/>
  <c r="F25" i="7"/>
  <c r="F13" i="7"/>
  <c r="I18" i="7"/>
  <c r="I170" i="7"/>
  <c r="I11" i="7"/>
  <c r="I13" i="7"/>
  <c r="I62" i="7"/>
  <c r="I174" i="7"/>
  <c r="I196" i="7"/>
  <c r="I201" i="7"/>
  <c r="I200" i="7"/>
  <c r="I48" i="7"/>
  <c r="Q260" i="7" l="1"/>
  <c r="D5" i="6"/>
  <c r="D9" i="4" l="1"/>
  <c r="B9" i="4"/>
  <c r="D5" i="3"/>
  <c r="D6" i="3"/>
  <c r="D7" i="3"/>
  <c r="D8" i="3"/>
  <c r="D19" i="6" l="1"/>
  <c r="J170" i="7" l="1"/>
  <c r="J171" i="7"/>
  <c r="J172" i="7"/>
  <c r="J173" i="7"/>
  <c r="J174" i="7"/>
  <c r="J175" i="7"/>
  <c r="J176" i="7"/>
  <c r="J177" i="7"/>
  <c r="J178" i="7"/>
  <c r="J179" i="7"/>
  <c r="J180" i="7"/>
  <c r="J181" i="7"/>
  <c r="I248" i="7"/>
  <c r="F248" i="7"/>
  <c r="J246" i="7"/>
  <c r="G246" i="7"/>
  <c r="J245" i="7"/>
  <c r="G245" i="7"/>
  <c r="J244" i="7"/>
  <c r="G244" i="7"/>
  <c r="J243" i="7"/>
  <c r="G243" i="7"/>
  <c r="J242" i="7"/>
  <c r="G242" i="7"/>
  <c r="J241" i="7"/>
  <c r="G241" i="7"/>
  <c r="J240" i="7"/>
  <c r="G240" i="7"/>
  <c r="J239" i="7"/>
  <c r="G239" i="7"/>
  <c r="J238" i="7"/>
  <c r="G238" i="7"/>
  <c r="J237" i="7"/>
  <c r="G237" i="7"/>
  <c r="J236" i="7"/>
  <c r="G236" i="7"/>
  <c r="J235" i="7"/>
  <c r="G235" i="7"/>
  <c r="J234" i="7"/>
  <c r="G234" i="7"/>
  <c r="H234" i="7"/>
  <c r="O233" i="7"/>
  <c r="O234" i="7" s="1"/>
  <c r="O235" i="7" s="1"/>
  <c r="J233" i="7"/>
  <c r="G233" i="7"/>
  <c r="K233" i="7"/>
  <c r="J232" i="7"/>
  <c r="G232" i="7"/>
  <c r="I226" i="7"/>
  <c r="F226" i="7"/>
  <c r="K224" i="7"/>
  <c r="J224" i="7"/>
  <c r="H224" i="7"/>
  <c r="G224" i="7"/>
  <c r="K223" i="7"/>
  <c r="J223" i="7"/>
  <c r="H223" i="7"/>
  <c r="G223" i="7"/>
  <c r="K222" i="7"/>
  <c r="J222" i="7"/>
  <c r="H222" i="7"/>
  <c r="G222" i="7"/>
  <c r="J221" i="7"/>
  <c r="G221" i="7"/>
  <c r="J220" i="7"/>
  <c r="G220" i="7"/>
  <c r="J219" i="7"/>
  <c r="G219" i="7"/>
  <c r="J218" i="7"/>
  <c r="G218" i="7"/>
  <c r="J217" i="7"/>
  <c r="G217" i="7"/>
  <c r="J216" i="7"/>
  <c r="G216" i="7"/>
  <c r="J215" i="7"/>
  <c r="G215" i="7"/>
  <c r="O214" i="7"/>
  <c r="O215" i="7" s="1"/>
  <c r="J214" i="7"/>
  <c r="G214" i="7"/>
  <c r="H214" i="7"/>
  <c r="J213" i="7"/>
  <c r="G213" i="7"/>
  <c r="G226" i="7" l="1"/>
  <c r="G248" i="7"/>
  <c r="H233" i="7"/>
  <c r="J248" i="7"/>
  <c r="O236" i="7"/>
  <c r="K234" i="7"/>
  <c r="J226" i="7"/>
  <c r="O216" i="7"/>
  <c r="K214" i="7"/>
  <c r="O237" i="7" l="1"/>
  <c r="H235" i="7"/>
  <c r="K235" i="7"/>
  <c r="O217" i="7"/>
  <c r="H215" i="7"/>
  <c r="K215" i="7"/>
  <c r="H236" i="7" l="1"/>
  <c r="K236" i="7"/>
  <c r="O238" i="7"/>
  <c r="H216" i="7"/>
  <c r="K216" i="7"/>
  <c r="O218" i="7"/>
  <c r="H237" i="7" l="1"/>
  <c r="K237" i="7"/>
  <c r="O239" i="7"/>
  <c r="H217" i="7"/>
  <c r="K217" i="7"/>
  <c r="O219" i="7"/>
  <c r="K238" i="7" l="1"/>
  <c r="H238" i="7"/>
  <c r="O240" i="7"/>
  <c r="H218" i="7"/>
  <c r="K218" i="7"/>
  <c r="O220" i="7"/>
  <c r="H239" i="7" l="1"/>
  <c r="K239" i="7"/>
  <c r="O241" i="7"/>
  <c r="O221" i="7"/>
  <c r="H219" i="7"/>
  <c r="K219" i="7"/>
  <c r="O242" i="7" l="1"/>
  <c r="K240" i="7"/>
  <c r="H240" i="7"/>
  <c r="H220" i="7"/>
  <c r="K220" i="7"/>
  <c r="O222" i="7"/>
  <c r="O223" i="7" s="1"/>
  <c r="O224" i="7" s="1"/>
  <c r="H241" i="7" l="1"/>
  <c r="K241" i="7"/>
  <c r="O243" i="7"/>
  <c r="H221" i="7"/>
  <c r="K221" i="7"/>
  <c r="K242" i="7" l="1"/>
  <c r="H242" i="7"/>
  <c r="O244" i="7"/>
  <c r="O245" i="7" l="1"/>
  <c r="K243" i="7"/>
  <c r="H243" i="7"/>
  <c r="O246" i="7" l="1"/>
  <c r="K244" i="7"/>
  <c r="H244" i="7"/>
  <c r="K245" i="7" l="1"/>
  <c r="H245" i="7"/>
  <c r="H246" i="7"/>
  <c r="K246" i="7"/>
  <c r="O152" i="7" l="1"/>
  <c r="O171" i="7"/>
  <c r="O193" i="7"/>
  <c r="I207" i="7"/>
  <c r="F207" i="7"/>
  <c r="J205" i="7"/>
  <c r="G205" i="7"/>
  <c r="J204" i="7"/>
  <c r="G204" i="7"/>
  <c r="J203" i="7"/>
  <c r="G203" i="7"/>
  <c r="J202" i="7"/>
  <c r="G202" i="7"/>
  <c r="J201" i="7"/>
  <c r="G201" i="7"/>
  <c r="J200" i="7"/>
  <c r="G200" i="7"/>
  <c r="J199" i="7"/>
  <c r="G199" i="7"/>
  <c r="J198" i="7"/>
  <c r="G198" i="7"/>
  <c r="J197" i="7"/>
  <c r="G197" i="7"/>
  <c r="J196" i="7"/>
  <c r="G196" i="7"/>
  <c r="J195" i="7"/>
  <c r="G195" i="7"/>
  <c r="J194" i="7"/>
  <c r="G194" i="7"/>
  <c r="J193" i="7"/>
  <c r="G193" i="7"/>
  <c r="J192" i="7"/>
  <c r="G192" i="7"/>
  <c r="G207" i="7" l="1"/>
  <c r="J207" i="7"/>
  <c r="D26" i="6"/>
  <c r="D25" i="6"/>
  <c r="D24" i="6"/>
  <c r="D23" i="6"/>
  <c r="D22" i="6"/>
  <c r="D21" i="6"/>
  <c r="D20" i="6"/>
  <c r="P232" i="7" l="1"/>
  <c r="E232" i="7" s="1"/>
  <c r="P224" i="7"/>
  <c r="P223" i="7"/>
  <c r="P222" i="7"/>
  <c r="P221" i="7"/>
  <c r="P220" i="7"/>
  <c r="P219" i="7"/>
  <c r="P218" i="7"/>
  <c r="P217" i="7"/>
  <c r="P216" i="7"/>
  <c r="P215" i="7"/>
  <c r="P214" i="7"/>
  <c r="P213" i="7"/>
  <c r="E213" i="7" s="1"/>
  <c r="O194" i="7" l="1"/>
  <c r="O195" i="7" l="1"/>
  <c r="K193" i="7"/>
  <c r="H193" i="7"/>
  <c r="O196" i="7" l="1"/>
  <c r="O197" i="7" l="1"/>
  <c r="O198" i="7" l="1"/>
  <c r="O199" i="7" l="1"/>
  <c r="D53" i="5"/>
  <c r="C53" i="5"/>
  <c r="B53" i="5"/>
  <c r="E51" i="5"/>
  <c r="G51" i="5" s="1"/>
  <c r="E50" i="5"/>
  <c r="G50" i="5" s="1"/>
  <c r="F145" i="7"/>
  <c r="I145" i="7"/>
  <c r="F164" i="7"/>
  <c r="G82" i="7"/>
  <c r="J11" i="7"/>
  <c r="G12" i="7"/>
  <c r="J12" i="7"/>
  <c r="O12" i="7"/>
  <c r="O13" i="7" s="1"/>
  <c r="J13" i="7"/>
  <c r="J14" i="7"/>
  <c r="J15" i="7"/>
  <c r="G16" i="7"/>
  <c r="J16" i="7"/>
  <c r="J17" i="7"/>
  <c r="J18" i="7"/>
  <c r="J19" i="7"/>
  <c r="G20" i="7"/>
  <c r="J20" i="7"/>
  <c r="G21" i="7"/>
  <c r="J21" i="7"/>
  <c r="G22" i="7"/>
  <c r="J22" i="7"/>
  <c r="J23" i="7"/>
  <c r="G24" i="7"/>
  <c r="J24" i="7"/>
  <c r="G25" i="7"/>
  <c r="J25" i="7"/>
  <c r="J26" i="7"/>
  <c r="G27" i="7"/>
  <c r="J27" i="7"/>
  <c r="J28" i="7"/>
  <c r="G29" i="7"/>
  <c r="J29" i="7"/>
  <c r="J30" i="7"/>
  <c r="G31" i="7"/>
  <c r="J31" i="7"/>
  <c r="G32" i="7"/>
  <c r="J32" i="7"/>
  <c r="J33" i="7"/>
  <c r="J34" i="7"/>
  <c r="G35" i="7"/>
  <c r="J35" i="7"/>
  <c r="G36" i="7"/>
  <c r="H36" i="7"/>
  <c r="J36" i="7"/>
  <c r="K36" i="7"/>
  <c r="J37" i="7"/>
  <c r="I39" i="7"/>
  <c r="G48" i="7"/>
  <c r="J48" i="7"/>
  <c r="G49" i="7"/>
  <c r="J49" i="7"/>
  <c r="O49" i="7"/>
  <c r="O50" i="7" s="1"/>
  <c r="O51" i="7" s="1"/>
  <c r="O52" i="7" s="1"/>
  <c r="G50" i="7"/>
  <c r="J50" i="7"/>
  <c r="G51" i="7"/>
  <c r="J51" i="7"/>
  <c r="G52" i="7"/>
  <c r="J52" i="7"/>
  <c r="G53" i="7"/>
  <c r="J53" i="7"/>
  <c r="G54" i="7"/>
  <c r="J54" i="7"/>
  <c r="G55" i="7"/>
  <c r="J55" i="7"/>
  <c r="G56" i="7"/>
  <c r="J56" i="7"/>
  <c r="G57" i="7"/>
  <c r="J57" i="7"/>
  <c r="G58" i="7"/>
  <c r="J58" i="7"/>
  <c r="G59" i="7"/>
  <c r="J59" i="7"/>
  <c r="G60" i="7"/>
  <c r="J60" i="7"/>
  <c r="G61" i="7"/>
  <c r="J61" i="7"/>
  <c r="G62" i="7"/>
  <c r="J62" i="7"/>
  <c r="G63" i="7"/>
  <c r="J63" i="7"/>
  <c r="G64" i="7"/>
  <c r="J64" i="7"/>
  <c r="G65" i="7"/>
  <c r="J65" i="7"/>
  <c r="G66" i="7"/>
  <c r="J66" i="7"/>
  <c r="G67" i="7"/>
  <c r="J67" i="7"/>
  <c r="G68" i="7"/>
  <c r="J68" i="7"/>
  <c r="G69" i="7"/>
  <c r="J69" i="7"/>
  <c r="G70" i="7"/>
  <c r="J70" i="7"/>
  <c r="G71" i="7"/>
  <c r="J71" i="7"/>
  <c r="I73" i="7"/>
  <c r="X76" i="7"/>
  <c r="J79" i="7"/>
  <c r="G80" i="7"/>
  <c r="J80" i="7"/>
  <c r="O80" i="7"/>
  <c r="O81" i="7" s="1"/>
  <c r="O82" i="7" s="1"/>
  <c r="O83" i="7" s="1"/>
  <c r="O84" i="7" s="1"/>
  <c r="G81" i="7"/>
  <c r="J81" i="7"/>
  <c r="J82" i="7"/>
  <c r="G83" i="7"/>
  <c r="J83" i="7"/>
  <c r="G84" i="7"/>
  <c r="J84" i="7"/>
  <c r="G85" i="7"/>
  <c r="J85" i="7"/>
  <c r="G86" i="7"/>
  <c r="J86" i="7"/>
  <c r="G87" i="7"/>
  <c r="J87" i="7"/>
  <c r="G88" i="7"/>
  <c r="J88" i="7"/>
  <c r="G89" i="7"/>
  <c r="J89" i="7"/>
  <c r="G90" i="7"/>
  <c r="J90" i="7"/>
  <c r="G91" i="7"/>
  <c r="J91" i="7"/>
  <c r="G92" i="7"/>
  <c r="J92" i="7"/>
  <c r="G93" i="7"/>
  <c r="J93" i="7"/>
  <c r="G94" i="7"/>
  <c r="J94" i="7"/>
  <c r="G95" i="7"/>
  <c r="J95" i="7"/>
  <c r="G96" i="7"/>
  <c r="J96" i="7"/>
  <c r="G97" i="7"/>
  <c r="H97" i="7"/>
  <c r="J97" i="7"/>
  <c r="K97" i="7"/>
  <c r="F99" i="7"/>
  <c r="I99" i="7"/>
  <c r="G105" i="7"/>
  <c r="J105" i="7"/>
  <c r="G106" i="7"/>
  <c r="J106" i="7"/>
  <c r="O106" i="7"/>
  <c r="O107" i="7" s="1"/>
  <c r="O108" i="7" s="1"/>
  <c r="O109" i="7" s="1"/>
  <c r="O110" i="7" s="1"/>
  <c r="G107" i="7"/>
  <c r="J107" i="7"/>
  <c r="G108" i="7"/>
  <c r="J108" i="7"/>
  <c r="G109" i="7"/>
  <c r="J109" i="7"/>
  <c r="G110" i="7"/>
  <c r="J110" i="7"/>
  <c r="G111" i="7"/>
  <c r="J111" i="7"/>
  <c r="G112" i="7"/>
  <c r="J112" i="7"/>
  <c r="G113" i="7"/>
  <c r="J113" i="7"/>
  <c r="G114" i="7"/>
  <c r="J114" i="7"/>
  <c r="G115" i="7"/>
  <c r="J115" i="7"/>
  <c r="G116" i="7"/>
  <c r="J116" i="7"/>
  <c r="G117" i="7"/>
  <c r="J117" i="7"/>
  <c r="G118" i="7"/>
  <c r="J118" i="7"/>
  <c r="G119" i="7"/>
  <c r="J119" i="7"/>
  <c r="G120" i="7"/>
  <c r="J120" i="7"/>
  <c r="G121" i="7"/>
  <c r="J121" i="7"/>
  <c r="G122" i="7"/>
  <c r="J122" i="7"/>
  <c r="F124" i="7"/>
  <c r="I124" i="7"/>
  <c r="G130" i="7"/>
  <c r="J130" i="7"/>
  <c r="G131" i="7"/>
  <c r="H131" i="7"/>
  <c r="J131" i="7"/>
  <c r="K131" i="7"/>
  <c r="O131" i="7"/>
  <c r="O132" i="7" s="1"/>
  <c r="O133" i="7" s="1"/>
  <c r="O134" i="7" s="1"/>
  <c r="O135" i="7" s="1"/>
  <c r="O136" i="7" s="1"/>
  <c r="O137" i="7" s="1"/>
  <c r="O138" i="7" s="1"/>
  <c r="O139" i="7" s="1"/>
  <c r="O140" i="7" s="1"/>
  <c r="O141" i="7" s="1"/>
  <c r="O142" i="7" s="1"/>
  <c r="O143" i="7" s="1"/>
  <c r="G132" i="7"/>
  <c r="H132" i="7"/>
  <c r="J132" i="7"/>
  <c r="K132" i="7"/>
  <c r="G133" i="7"/>
  <c r="J133" i="7"/>
  <c r="G134" i="7"/>
  <c r="J134" i="7"/>
  <c r="G135" i="7"/>
  <c r="J135" i="7"/>
  <c r="G136" i="7"/>
  <c r="J136" i="7"/>
  <c r="G137" i="7"/>
  <c r="J137" i="7"/>
  <c r="G138" i="7"/>
  <c r="J138" i="7"/>
  <c r="G139" i="7"/>
  <c r="J139" i="7"/>
  <c r="G140" i="7"/>
  <c r="J140" i="7"/>
  <c r="G141" i="7"/>
  <c r="H141" i="7"/>
  <c r="J141" i="7"/>
  <c r="K141" i="7"/>
  <c r="G142" i="7"/>
  <c r="H142" i="7"/>
  <c r="J142" i="7"/>
  <c r="K142" i="7"/>
  <c r="G143" i="7"/>
  <c r="H143" i="7"/>
  <c r="J143" i="7"/>
  <c r="K143" i="7"/>
  <c r="G151" i="7"/>
  <c r="J151" i="7"/>
  <c r="G152" i="7"/>
  <c r="J152" i="7"/>
  <c r="G153" i="7"/>
  <c r="J153" i="7"/>
  <c r="G154" i="7"/>
  <c r="J154" i="7"/>
  <c r="G155" i="7"/>
  <c r="J155" i="7"/>
  <c r="G156" i="7"/>
  <c r="J156" i="7"/>
  <c r="G157" i="7"/>
  <c r="J157" i="7"/>
  <c r="G158" i="7"/>
  <c r="J158" i="7"/>
  <c r="G159" i="7"/>
  <c r="J159" i="7"/>
  <c r="G160" i="7"/>
  <c r="J160" i="7"/>
  <c r="G161" i="7"/>
  <c r="J161" i="7"/>
  <c r="G162" i="7"/>
  <c r="J162" i="7"/>
  <c r="I164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J182" i="7"/>
  <c r="G183" i="7"/>
  <c r="J183" i="7"/>
  <c r="G184" i="7"/>
  <c r="J184" i="7"/>
  <c r="F186" i="7"/>
  <c r="I186" i="7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M253" i="7"/>
  <c r="M252" i="7"/>
  <c r="E14" i="5"/>
  <c r="G14" i="5" s="1"/>
  <c r="E15" i="5"/>
  <c r="G15" i="5" s="1"/>
  <c r="E16" i="5"/>
  <c r="G16" i="5" s="1"/>
  <c r="E17" i="5"/>
  <c r="G17" i="5" s="1"/>
  <c r="E18" i="5"/>
  <c r="G18" i="5" s="1"/>
  <c r="E19" i="5"/>
  <c r="G19" i="5" s="1"/>
  <c r="B21" i="5"/>
  <c r="C21" i="5"/>
  <c r="D21" i="5"/>
  <c r="F21" i="5"/>
  <c r="E24" i="5"/>
  <c r="G24" i="5" s="1"/>
  <c r="E25" i="5"/>
  <c r="G25" i="5" s="1"/>
  <c r="E26" i="5"/>
  <c r="G26" i="5" s="1"/>
  <c r="E27" i="5"/>
  <c r="G27" i="5" s="1"/>
  <c r="E28" i="5"/>
  <c r="G28" i="5" s="1"/>
  <c r="E29" i="5"/>
  <c r="G29" i="5" s="1"/>
  <c r="E30" i="5"/>
  <c r="G30" i="5" s="1"/>
  <c r="E31" i="5"/>
  <c r="G31" i="5" s="1"/>
  <c r="E32" i="5"/>
  <c r="G32" i="5" s="1"/>
  <c r="E33" i="5"/>
  <c r="G33" i="5" s="1"/>
  <c r="E34" i="5"/>
  <c r="G34" i="5" s="1"/>
  <c r="E35" i="5"/>
  <c r="G35" i="5" s="1"/>
  <c r="E36" i="5"/>
  <c r="G36" i="5" s="1"/>
  <c r="E37" i="5"/>
  <c r="G37" i="5" s="1"/>
  <c r="E38" i="5"/>
  <c r="G38" i="5" s="1"/>
  <c r="E39" i="5"/>
  <c r="G39" i="5" s="1"/>
  <c r="E40" i="5"/>
  <c r="G40" i="5" s="1"/>
  <c r="E41" i="5"/>
  <c r="G41" i="5" s="1"/>
  <c r="B44" i="5"/>
  <c r="C44" i="5"/>
  <c r="D44" i="5"/>
  <c r="F44" i="5"/>
  <c r="E47" i="5"/>
  <c r="G47" i="5" s="1"/>
  <c r="E48" i="5"/>
  <c r="G48" i="5" s="1"/>
  <c r="E49" i="5"/>
  <c r="G49" i="5" s="1"/>
  <c r="F53" i="5"/>
  <c r="E56" i="5"/>
  <c r="G56" i="5" s="1"/>
  <c r="E57" i="5"/>
  <c r="G57" i="5" s="1"/>
  <c r="E58" i="5"/>
  <c r="G58" i="5"/>
  <c r="E59" i="5"/>
  <c r="G59" i="5" s="1"/>
  <c r="E60" i="5"/>
  <c r="G60" i="5"/>
  <c r="E61" i="5"/>
  <c r="G61" i="5" s="1"/>
  <c r="B63" i="5"/>
  <c r="C63" i="5"/>
  <c r="D63" i="5"/>
  <c r="F63" i="5"/>
  <c r="B8" i="3"/>
  <c r="C8" i="3"/>
  <c r="E14" i="9"/>
  <c r="M14" i="9" s="1"/>
  <c r="A15" i="9"/>
  <c r="E15" i="9"/>
  <c r="M15" i="9" s="1"/>
  <c r="S15" i="9"/>
  <c r="S16" i="9" s="1"/>
  <c r="S17" i="9" s="1"/>
  <c r="S18" i="9" s="1"/>
  <c r="A16" i="9"/>
  <c r="E16" i="9"/>
  <c r="A17" i="9"/>
  <c r="E17" i="9"/>
  <c r="M17" i="9" s="1"/>
  <c r="A18" i="9"/>
  <c r="M18" i="9"/>
  <c r="A19" i="9"/>
  <c r="M19" i="9"/>
  <c r="N19" i="9"/>
  <c r="A20" i="9"/>
  <c r="M20" i="9"/>
  <c r="N20" i="9"/>
  <c r="A21" i="9"/>
  <c r="M21" i="9"/>
  <c r="N21" i="9"/>
  <c r="A22" i="9"/>
  <c r="M22" i="9"/>
  <c r="N22" i="9"/>
  <c r="A23" i="9"/>
  <c r="M23" i="9"/>
  <c r="N23" i="9"/>
  <c r="A24" i="9"/>
  <c r="M24" i="9"/>
  <c r="N24" i="9"/>
  <c r="A25" i="9"/>
  <c r="M25" i="9"/>
  <c r="N25" i="9"/>
  <c r="A26" i="9"/>
  <c r="M26" i="9"/>
  <c r="N26" i="9"/>
  <c r="A27" i="9"/>
  <c r="M27" i="9"/>
  <c r="N27" i="9"/>
  <c r="A28" i="9"/>
  <c r="I28" i="9"/>
  <c r="J28" i="9"/>
  <c r="M28" i="9"/>
  <c r="N28" i="9"/>
  <c r="A29" i="9"/>
  <c r="I29" i="9"/>
  <c r="J29" i="9"/>
  <c r="M29" i="9"/>
  <c r="N29" i="9"/>
  <c r="A30" i="9"/>
  <c r="I30" i="9"/>
  <c r="J30" i="9"/>
  <c r="M30" i="9"/>
  <c r="N30" i="9"/>
  <c r="A31" i="9"/>
  <c r="I31" i="9"/>
  <c r="J31" i="9"/>
  <c r="M31" i="9"/>
  <c r="N31" i="9"/>
  <c r="A32" i="9"/>
  <c r="I32" i="9"/>
  <c r="J32" i="9"/>
  <c r="M32" i="9"/>
  <c r="N32" i="9"/>
  <c r="A33" i="9"/>
  <c r="H33" i="9"/>
  <c r="J33" i="9" s="1"/>
  <c r="M33" i="9"/>
  <c r="N33" i="9"/>
  <c r="A34" i="9"/>
  <c r="H34" i="9"/>
  <c r="M34" i="9"/>
  <c r="N34" i="9"/>
  <c r="A35" i="9"/>
  <c r="M35" i="9"/>
  <c r="N35" i="9"/>
  <c r="L38" i="9"/>
  <c r="G63" i="5" l="1"/>
  <c r="F66" i="5"/>
  <c r="F69" i="5" s="1"/>
  <c r="E63" i="5"/>
  <c r="V21" i="9"/>
  <c r="R232" i="7"/>
  <c r="S232" i="7"/>
  <c r="Q232" i="7"/>
  <c r="R205" i="7"/>
  <c r="R204" i="7"/>
  <c r="R203" i="7"/>
  <c r="R202" i="7"/>
  <c r="R201" i="7"/>
  <c r="R200" i="7"/>
  <c r="R199" i="7"/>
  <c r="R198" i="7"/>
  <c r="R197" i="7"/>
  <c r="R196" i="7"/>
  <c r="E196" i="7" s="1"/>
  <c r="R195" i="7"/>
  <c r="E195" i="7" s="1"/>
  <c r="R194" i="7"/>
  <c r="E194" i="7" s="1"/>
  <c r="R193" i="7"/>
  <c r="R192" i="7"/>
  <c r="Q205" i="7"/>
  <c r="Q202" i="7"/>
  <c r="Q200" i="7"/>
  <c r="Q199" i="7"/>
  <c r="Q198" i="7"/>
  <c r="Q197" i="7"/>
  <c r="Q195" i="7"/>
  <c r="Q193" i="7"/>
  <c r="P205" i="7"/>
  <c r="P203" i="7"/>
  <c r="P201" i="7"/>
  <c r="P198" i="7"/>
  <c r="P196" i="7"/>
  <c r="P195" i="7"/>
  <c r="P194" i="7"/>
  <c r="P193" i="7"/>
  <c r="S205" i="7"/>
  <c r="S204" i="7"/>
  <c r="S203" i="7"/>
  <c r="S202" i="7"/>
  <c r="S201" i="7"/>
  <c r="E201" i="7" s="1"/>
  <c r="S200" i="7"/>
  <c r="S199" i="7"/>
  <c r="E199" i="7" s="1"/>
  <c r="S198" i="7"/>
  <c r="E198" i="7" s="1"/>
  <c r="S197" i="7"/>
  <c r="E197" i="7" s="1"/>
  <c r="S196" i="7"/>
  <c r="S195" i="7"/>
  <c r="S194" i="7"/>
  <c r="S193" i="7"/>
  <c r="S192" i="7"/>
  <c r="Q204" i="7"/>
  <c r="Q203" i="7"/>
  <c r="Q201" i="7"/>
  <c r="Q196" i="7"/>
  <c r="Q194" i="7"/>
  <c r="Q192" i="7"/>
  <c r="P204" i="7"/>
  <c r="P202" i="7"/>
  <c r="P200" i="7"/>
  <c r="P199" i="7"/>
  <c r="P197" i="7"/>
  <c r="P192" i="7"/>
  <c r="E192" i="7" s="1"/>
  <c r="R224" i="7"/>
  <c r="R219" i="7"/>
  <c r="Q224" i="7"/>
  <c r="Q218" i="7"/>
  <c r="S224" i="7"/>
  <c r="S220" i="7"/>
  <c r="S216" i="7"/>
  <c r="R221" i="7"/>
  <c r="Q221" i="7"/>
  <c r="Q223" i="7"/>
  <c r="S223" i="7"/>
  <c r="S219" i="7"/>
  <c r="S215" i="7"/>
  <c r="R218" i="7"/>
  <c r="Q219" i="7"/>
  <c r="R215" i="7"/>
  <c r="Q214" i="7"/>
  <c r="S214" i="7"/>
  <c r="R220" i="7"/>
  <c r="R213" i="7"/>
  <c r="Q220" i="7"/>
  <c r="Q213" i="7"/>
  <c r="S221" i="7"/>
  <c r="S217" i="7"/>
  <c r="S213" i="7"/>
  <c r="R214" i="7"/>
  <c r="Q215" i="7"/>
  <c r="R223" i="7"/>
  <c r="R217" i="7"/>
  <c r="Q216" i="7"/>
  <c r="R222" i="7"/>
  <c r="Q222" i="7"/>
  <c r="S222" i="7"/>
  <c r="S218" i="7"/>
  <c r="R216" i="7"/>
  <c r="Q217" i="7"/>
  <c r="Q170" i="7"/>
  <c r="P246" i="7"/>
  <c r="R245" i="7"/>
  <c r="P244" i="7"/>
  <c r="R243" i="7"/>
  <c r="P242" i="7"/>
  <c r="R241" i="7"/>
  <c r="P240" i="7"/>
  <c r="R239" i="7"/>
  <c r="P238" i="7"/>
  <c r="R237" i="7"/>
  <c r="P236" i="7"/>
  <c r="R235" i="7"/>
  <c r="P234" i="7"/>
  <c r="S233" i="7"/>
  <c r="R170" i="7"/>
  <c r="S246" i="7"/>
  <c r="Q245" i="7"/>
  <c r="S244" i="7"/>
  <c r="Q243" i="7"/>
  <c r="S242" i="7"/>
  <c r="Q241" i="7"/>
  <c r="S240" i="7"/>
  <c r="Q239" i="7"/>
  <c r="S238" i="7"/>
  <c r="Q237" i="7"/>
  <c r="S236" i="7"/>
  <c r="Q235" i="7"/>
  <c r="S234" i="7"/>
  <c r="R233" i="7"/>
  <c r="S170" i="7"/>
  <c r="R246" i="7"/>
  <c r="P245" i="7"/>
  <c r="R244" i="7"/>
  <c r="P243" i="7"/>
  <c r="R242" i="7"/>
  <c r="P241" i="7"/>
  <c r="R240" i="7"/>
  <c r="P239" i="7"/>
  <c r="R238" i="7"/>
  <c r="P237" i="7"/>
  <c r="R236" i="7"/>
  <c r="P235" i="7"/>
  <c r="R234" i="7"/>
  <c r="Q233" i="7"/>
  <c r="P170" i="7"/>
  <c r="Q246" i="7"/>
  <c r="S245" i="7"/>
  <c r="Q244" i="7"/>
  <c r="S243" i="7"/>
  <c r="Q242" i="7"/>
  <c r="S241" i="7"/>
  <c r="Q240" i="7"/>
  <c r="S239" i="7"/>
  <c r="Q238" i="7"/>
  <c r="S237" i="7"/>
  <c r="Q236" i="7"/>
  <c r="S235" i="7"/>
  <c r="Q234" i="7"/>
  <c r="P233" i="7"/>
  <c r="S183" i="7"/>
  <c r="R182" i="7"/>
  <c r="Q181" i="7"/>
  <c r="S179" i="7"/>
  <c r="E179" i="7" s="1"/>
  <c r="R178" i="7"/>
  <c r="Q177" i="7"/>
  <c r="S175" i="7"/>
  <c r="R174" i="7"/>
  <c r="Q173" i="7"/>
  <c r="R183" i="7"/>
  <c r="Q182" i="7"/>
  <c r="R179" i="7"/>
  <c r="Q178" i="7"/>
  <c r="Q174" i="7"/>
  <c r="R171" i="7"/>
  <c r="R184" i="7"/>
  <c r="Q183" i="7"/>
  <c r="Q179" i="7"/>
  <c r="R172" i="7"/>
  <c r="Q184" i="7"/>
  <c r="S182" i="7"/>
  <c r="R181" i="7"/>
  <c r="Q180" i="7"/>
  <c r="S178" i="7"/>
  <c r="E178" i="7" s="1"/>
  <c r="R177" i="7"/>
  <c r="Q176" i="7"/>
  <c r="S174" i="7"/>
  <c r="R173" i="7"/>
  <c r="Q172" i="7"/>
  <c r="S171" i="7"/>
  <c r="S184" i="7"/>
  <c r="S180" i="7"/>
  <c r="E180" i="7" s="1"/>
  <c r="S176" i="7"/>
  <c r="E176" i="7" s="1"/>
  <c r="R175" i="7"/>
  <c r="S172" i="7"/>
  <c r="S181" i="7"/>
  <c r="R180" i="7"/>
  <c r="S177" i="7"/>
  <c r="R176" i="7"/>
  <c r="Q175" i="7"/>
  <c r="S173" i="7"/>
  <c r="Q171" i="7"/>
  <c r="T34" i="9"/>
  <c r="I252" i="7"/>
  <c r="O252" i="7" s="1"/>
  <c r="D66" i="5"/>
  <c r="D69" i="5" s="1"/>
  <c r="G53" i="5"/>
  <c r="E53" i="5"/>
  <c r="O200" i="7"/>
  <c r="P141" i="7"/>
  <c r="P138" i="7"/>
  <c r="P140" i="7"/>
  <c r="P143" i="7"/>
  <c r="P142" i="7"/>
  <c r="P139" i="7"/>
  <c r="Q139" i="7"/>
  <c r="S140" i="7"/>
  <c r="Q143" i="7"/>
  <c r="Q142" i="7"/>
  <c r="Q141" i="7"/>
  <c r="Q140" i="7"/>
  <c r="R139" i="7"/>
  <c r="E139" i="7" s="1"/>
  <c r="R138" i="7"/>
  <c r="E138" i="7" s="1"/>
  <c r="Q138" i="7"/>
  <c r="S143" i="7"/>
  <c r="S142" i="7"/>
  <c r="S141" i="7"/>
  <c r="R143" i="7"/>
  <c r="R142" i="7"/>
  <c r="R141" i="7"/>
  <c r="R140" i="7"/>
  <c r="E140" i="7" s="1"/>
  <c r="S139" i="7"/>
  <c r="S138" i="7"/>
  <c r="U29" i="9"/>
  <c r="W23" i="9"/>
  <c r="T20" i="9"/>
  <c r="T16" i="9"/>
  <c r="V38" i="9"/>
  <c r="T27" i="9"/>
  <c r="T17" i="9"/>
  <c r="U38" i="9"/>
  <c r="V28" i="9"/>
  <c r="U25" i="9"/>
  <c r="X36" i="9"/>
  <c r="W35" i="9"/>
  <c r="T30" i="9"/>
  <c r="V22" i="9"/>
  <c r="V40" i="9"/>
  <c r="V37" i="9"/>
  <c r="W27" i="9"/>
  <c r="X23" i="9"/>
  <c r="V35" i="9"/>
  <c r="W32" i="9"/>
  <c r="V25" i="9"/>
  <c r="J145" i="7"/>
  <c r="V15" i="9"/>
  <c r="W14" i="9"/>
  <c r="U14" i="9"/>
  <c r="V14" i="9"/>
  <c r="B11" i="4"/>
  <c r="D11" i="4"/>
  <c r="B66" i="5"/>
  <c r="B69" i="5" s="1"/>
  <c r="E44" i="5"/>
  <c r="E21" i="5"/>
  <c r="G21" i="5" s="1"/>
  <c r="G164" i="7"/>
  <c r="G124" i="7"/>
  <c r="V18" i="9"/>
  <c r="G145" i="7"/>
  <c r="G79" i="7"/>
  <c r="G99" i="7" s="1"/>
  <c r="F73" i="7"/>
  <c r="J186" i="7"/>
  <c r="J124" i="7"/>
  <c r="W18" i="9"/>
  <c r="J39" i="7"/>
  <c r="X31" i="9"/>
  <c r="X19" i="9"/>
  <c r="W39" i="9"/>
  <c r="X34" i="9"/>
  <c r="V33" i="9"/>
  <c r="V32" i="9"/>
  <c r="W31" i="9"/>
  <c r="X30" i="9"/>
  <c r="W26" i="9"/>
  <c r="U24" i="9"/>
  <c r="T23" i="9"/>
  <c r="U21" i="9"/>
  <c r="W19" i="9"/>
  <c r="U15" i="9"/>
  <c r="F15" i="9" s="1"/>
  <c r="N15" i="9" s="1"/>
  <c r="W40" i="9"/>
  <c r="T39" i="9"/>
  <c r="W37" i="9"/>
  <c r="T36" i="9"/>
  <c r="U34" i="9"/>
  <c r="U33" i="9"/>
  <c r="T31" i="9"/>
  <c r="U30" i="9"/>
  <c r="V29" i="9"/>
  <c r="W28" i="9"/>
  <c r="X27" i="9"/>
  <c r="V26" i="9"/>
  <c r="T24" i="9"/>
  <c r="W22" i="9"/>
  <c r="U20" i="9"/>
  <c r="T19" i="9"/>
  <c r="W17" i="9"/>
  <c r="R154" i="7"/>
  <c r="X39" i="9"/>
  <c r="U36" i="9"/>
  <c r="X17" i="9"/>
  <c r="S19" i="9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S35" i="9" s="1"/>
  <c r="S36" i="9" s="1"/>
  <c r="S37" i="9" s="1"/>
  <c r="S38" i="9" s="1"/>
  <c r="S39" i="9" s="1"/>
  <c r="S40" i="9" s="1"/>
  <c r="I34" i="9"/>
  <c r="J34" i="9"/>
  <c r="M16" i="9"/>
  <c r="M38" i="9" s="1"/>
  <c r="X16" i="9"/>
  <c r="G44" i="5"/>
  <c r="U16" i="9"/>
  <c r="F16" i="9" s="1"/>
  <c r="N16" i="9" s="1"/>
  <c r="I33" i="9"/>
  <c r="C66" i="5"/>
  <c r="C69" i="5" s="1"/>
  <c r="X24" i="9"/>
  <c r="X20" i="9"/>
  <c r="S130" i="7"/>
  <c r="R131" i="7"/>
  <c r="Q132" i="7"/>
  <c r="P133" i="7"/>
  <c r="S134" i="7"/>
  <c r="R135" i="7"/>
  <c r="Q136" i="7"/>
  <c r="E136" i="7" s="1"/>
  <c r="P137" i="7"/>
  <c r="Q130" i="7"/>
  <c r="Q131" i="7"/>
  <c r="R132" i="7"/>
  <c r="R133" i="7"/>
  <c r="R134" i="7"/>
  <c r="S135" i="7"/>
  <c r="S136" i="7"/>
  <c r="S137" i="7"/>
  <c r="R130" i="7"/>
  <c r="S131" i="7"/>
  <c r="S132" i="7"/>
  <c r="S133" i="7"/>
  <c r="P134" i="7"/>
  <c r="P135" i="7"/>
  <c r="P136" i="7"/>
  <c r="Q137" i="7"/>
  <c r="P130" i="7"/>
  <c r="P131" i="7"/>
  <c r="P132" i="7"/>
  <c r="Q133" i="7"/>
  <c r="Q134" i="7"/>
  <c r="E134" i="7" s="1"/>
  <c r="Q135" i="7"/>
  <c r="E135" i="7" s="1"/>
  <c r="R136" i="7"/>
  <c r="R137" i="7"/>
  <c r="G186" i="7"/>
  <c r="S156" i="7"/>
  <c r="J164" i="7"/>
  <c r="Q152" i="7"/>
  <c r="R155" i="7"/>
  <c r="P105" i="7"/>
  <c r="E105" i="7" s="1"/>
  <c r="Q105" i="7"/>
  <c r="S106" i="7"/>
  <c r="Q107" i="7"/>
  <c r="E107" i="7" s="1"/>
  <c r="R108" i="7"/>
  <c r="S109" i="7"/>
  <c r="P110" i="7"/>
  <c r="Q111" i="7"/>
  <c r="R112" i="7"/>
  <c r="S113" i="7"/>
  <c r="P114" i="7"/>
  <c r="Q115" i="7"/>
  <c r="R116" i="7"/>
  <c r="P117" i="7"/>
  <c r="S118" i="7"/>
  <c r="R119" i="7"/>
  <c r="Q120" i="7"/>
  <c r="P121" i="7"/>
  <c r="S122" i="7"/>
  <c r="P106" i="7"/>
  <c r="R109" i="7"/>
  <c r="R110" i="7"/>
  <c r="P111" i="7"/>
  <c r="P112" i="7"/>
  <c r="S114" i="7"/>
  <c r="R115" i="7"/>
  <c r="Q116" i="7"/>
  <c r="Q117" i="7"/>
  <c r="Q118" i="7"/>
  <c r="Q119" i="7"/>
  <c r="R120" i="7"/>
  <c r="R121" i="7"/>
  <c r="R122" i="7"/>
  <c r="R105" i="7"/>
  <c r="Q106" i="7"/>
  <c r="E106" i="7" s="1"/>
  <c r="P107" i="7"/>
  <c r="P108" i="7"/>
  <c r="S110" i="7"/>
  <c r="R111" i="7"/>
  <c r="Q112" i="7"/>
  <c r="P113" i="7"/>
  <c r="S115" i="7"/>
  <c r="S116" i="7"/>
  <c r="R117" i="7"/>
  <c r="R118" i="7"/>
  <c r="S119" i="7"/>
  <c r="E119" i="7" s="1"/>
  <c r="S120" i="7"/>
  <c r="E120" i="7" s="1"/>
  <c r="S121" i="7"/>
  <c r="E121" i="7" s="1"/>
  <c r="S105" i="7"/>
  <c r="R106" i="7"/>
  <c r="R107" i="7"/>
  <c r="Q108" i="7"/>
  <c r="E108" i="7" s="1"/>
  <c r="P109" i="7"/>
  <c r="S111" i="7"/>
  <c r="S112" i="7"/>
  <c r="Q113" i="7"/>
  <c r="Q114" i="7"/>
  <c r="S117" i="7"/>
  <c r="P122" i="7"/>
  <c r="S107" i="7"/>
  <c r="S108" i="7"/>
  <c r="Q109" i="7"/>
  <c r="E109" i="7" s="1"/>
  <c r="Q110" i="7"/>
  <c r="E110" i="7" s="1"/>
  <c r="R113" i="7"/>
  <c r="R114" i="7"/>
  <c r="P115" i="7"/>
  <c r="P116" i="7"/>
  <c r="P118" i="7"/>
  <c r="P119" i="7"/>
  <c r="P120" i="7"/>
  <c r="Q121" i="7"/>
  <c r="Q122" i="7"/>
  <c r="U40" i="9"/>
  <c r="V39" i="9"/>
  <c r="X38" i="9"/>
  <c r="T38" i="9"/>
  <c r="U37" i="9"/>
  <c r="W36" i="9"/>
  <c r="U35" i="9"/>
  <c r="W34" i="9"/>
  <c r="X33" i="9"/>
  <c r="T33" i="9"/>
  <c r="U32" i="9"/>
  <c r="V31" i="9"/>
  <c r="W30" i="9"/>
  <c r="X29" i="9"/>
  <c r="T29" i="9"/>
  <c r="U28" i="9"/>
  <c r="V27" i="9"/>
  <c r="U26" i="9"/>
  <c r="X25" i="9"/>
  <c r="T25" i="9"/>
  <c r="W24" i="9"/>
  <c r="V23" i="9"/>
  <c r="U22" i="9"/>
  <c r="X21" i="9"/>
  <c r="T21" i="9"/>
  <c r="W20" i="9"/>
  <c r="V19" i="9"/>
  <c r="U18" i="9"/>
  <c r="N18" i="9" s="1"/>
  <c r="V17" i="9"/>
  <c r="W16" i="9"/>
  <c r="X15" i="9"/>
  <c r="T15" i="9"/>
  <c r="P172" i="7"/>
  <c r="P177" i="7"/>
  <c r="P178" i="7"/>
  <c r="P179" i="7"/>
  <c r="P180" i="7"/>
  <c r="P181" i="7"/>
  <c r="P182" i="7"/>
  <c r="P183" i="7"/>
  <c r="P184" i="7"/>
  <c r="P171" i="7"/>
  <c r="P176" i="7"/>
  <c r="P173" i="7"/>
  <c r="P174" i="7"/>
  <c r="Q79" i="7"/>
  <c r="P80" i="7"/>
  <c r="S81" i="7"/>
  <c r="Q82" i="7"/>
  <c r="E82" i="7" s="1"/>
  <c r="S83" i="7"/>
  <c r="P81" i="7"/>
  <c r="Q84" i="7"/>
  <c r="E84" i="7" s="1"/>
  <c r="R85" i="7"/>
  <c r="S86" i="7"/>
  <c r="P87" i="7"/>
  <c r="Q88" i="7"/>
  <c r="R89" i="7"/>
  <c r="S90" i="7"/>
  <c r="P91" i="7"/>
  <c r="Q92" i="7"/>
  <c r="P93" i="7"/>
  <c r="S94" i="7"/>
  <c r="R95" i="7"/>
  <c r="Q96" i="7"/>
  <c r="P97" i="7"/>
  <c r="P79" i="7"/>
  <c r="E79" i="7" s="1"/>
  <c r="Q80" i="7"/>
  <c r="Q81" i="7"/>
  <c r="E81" i="7" s="1"/>
  <c r="P82" i="7"/>
  <c r="P83" i="7"/>
  <c r="R84" i="7"/>
  <c r="S85" i="7"/>
  <c r="P86" i="7"/>
  <c r="Q87" i="7"/>
  <c r="R88" i="7"/>
  <c r="S89" i="7"/>
  <c r="P90" i="7"/>
  <c r="Q91" i="7"/>
  <c r="R92" i="7"/>
  <c r="Q93" i="7"/>
  <c r="P94" i="7"/>
  <c r="S95" i="7"/>
  <c r="R96" i="7"/>
  <c r="Q97" i="7"/>
  <c r="Q83" i="7"/>
  <c r="E83" i="7" s="1"/>
  <c r="P85" i="7"/>
  <c r="R86" i="7"/>
  <c r="P88" i="7"/>
  <c r="R91" i="7"/>
  <c r="R94" i="7"/>
  <c r="P96" i="7"/>
  <c r="S97" i="7"/>
  <c r="R80" i="7"/>
  <c r="R83" i="7"/>
  <c r="Q85" i="7"/>
  <c r="E85" i="7" s="1"/>
  <c r="S88" i="7"/>
  <c r="Q90" i="7"/>
  <c r="S91" i="7"/>
  <c r="R93" i="7"/>
  <c r="P95" i="7"/>
  <c r="S96" i="7"/>
  <c r="R79" i="7"/>
  <c r="S80" i="7"/>
  <c r="R82" i="7"/>
  <c r="P84" i="7"/>
  <c r="R87" i="7"/>
  <c r="P89" i="7"/>
  <c r="R90" i="7"/>
  <c r="P92" i="7"/>
  <c r="S93" i="7"/>
  <c r="Q95" i="7"/>
  <c r="S79" i="7"/>
  <c r="R81" i="7"/>
  <c r="S82" i="7"/>
  <c r="S84" i="7"/>
  <c r="Q86" i="7"/>
  <c r="E86" i="7" s="1"/>
  <c r="S87" i="7"/>
  <c r="Q89" i="7"/>
  <c r="S92" i="7"/>
  <c r="Q94" i="7"/>
  <c r="R97" i="7"/>
  <c r="S158" i="7"/>
  <c r="P11" i="7"/>
  <c r="E11" i="7" s="1"/>
  <c r="K11" i="7" s="1"/>
  <c r="T11" i="7"/>
  <c r="P12" i="7"/>
  <c r="T12" i="7"/>
  <c r="P13" i="7"/>
  <c r="T13" i="7"/>
  <c r="S14" i="7"/>
  <c r="R15" i="7"/>
  <c r="R16" i="7"/>
  <c r="Q17" i="7"/>
  <c r="P18" i="7"/>
  <c r="T18" i="7"/>
  <c r="P19" i="7"/>
  <c r="T19" i="7"/>
  <c r="S20" i="7"/>
  <c r="R21" i="7"/>
  <c r="Q22" i="7"/>
  <c r="P23" i="7"/>
  <c r="T23" i="7"/>
  <c r="P24" i="7"/>
  <c r="T24" i="7"/>
  <c r="P25" i="7"/>
  <c r="T25" i="7"/>
  <c r="P26" i="7"/>
  <c r="T26" i="7"/>
  <c r="P27" i="7"/>
  <c r="T27" i="7"/>
  <c r="P28" i="7"/>
  <c r="T28" i="7"/>
  <c r="P29" i="7"/>
  <c r="T29" i="7"/>
  <c r="P30" i="7"/>
  <c r="T30" i="7"/>
  <c r="P31" i="7"/>
  <c r="T31" i="7"/>
  <c r="P32" i="7"/>
  <c r="T32" i="7"/>
  <c r="P33" i="7"/>
  <c r="T33" i="7"/>
  <c r="S34" i="7"/>
  <c r="S35" i="7"/>
  <c r="S36" i="7"/>
  <c r="S37" i="7"/>
  <c r="Q11" i="7"/>
  <c r="Q12" i="7"/>
  <c r="E12" i="7" s="1"/>
  <c r="Q13" i="7"/>
  <c r="E13" i="7" s="1"/>
  <c r="K13" i="7" s="1"/>
  <c r="P14" i="7"/>
  <c r="R11" i="7"/>
  <c r="S11" i="7"/>
  <c r="R12" i="7"/>
  <c r="S13" i="7"/>
  <c r="S15" i="7"/>
  <c r="P16" i="7"/>
  <c r="P17" i="7"/>
  <c r="R13" i="7"/>
  <c r="T14" i="7"/>
  <c r="Q15" i="7"/>
  <c r="T16" i="7"/>
  <c r="T17" i="7"/>
  <c r="R18" i="7"/>
  <c r="Q19" i="7"/>
  <c r="T20" i="7"/>
  <c r="Q21" i="7"/>
  <c r="R22" i="7"/>
  <c r="S24" i="7"/>
  <c r="R25" i="7"/>
  <c r="Q26" i="7"/>
  <c r="S28" i="7"/>
  <c r="R29" i="7"/>
  <c r="Q30" i="7"/>
  <c r="S32" i="7"/>
  <c r="R33" i="7"/>
  <c r="P34" i="7"/>
  <c r="T35" i="7"/>
  <c r="R36" i="7"/>
  <c r="Q37" i="7"/>
  <c r="T49" i="7"/>
  <c r="T50" i="7"/>
  <c r="T51" i="7"/>
  <c r="T52" i="7"/>
  <c r="T53" i="7"/>
  <c r="T54" i="7"/>
  <c r="T55" i="7"/>
  <c r="T56" i="7"/>
  <c r="T57" i="7"/>
  <c r="T58" i="7"/>
  <c r="S12" i="7"/>
  <c r="Q14" i="7"/>
  <c r="S17" i="7"/>
  <c r="S18" i="7"/>
  <c r="P22" i="7"/>
  <c r="R23" i="7"/>
  <c r="Q27" i="7"/>
  <c r="R28" i="7"/>
  <c r="S29" i="7"/>
  <c r="Q32" i="7"/>
  <c r="Q33" i="7"/>
  <c r="R34" i="7"/>
  <c r="P37" i="7"/>
  <c r="R14" i="7"/>
  <c r="Q16" i="7"/>
  <c r="P20" i="7"/>
  <c r="P21" i="7"/>
  <c r="S22" i="7"/>
  <c r="S23" i="7"/>
  <c r="R26" i="7"/>
  <c r="R27" i="7"/>
  <c r="Q31" i="7"/>
  <c r="R32" i="7"/>
  <c r="S33" i="7"/>
  <c r="T34" i="7"/>
  <c r="P35" i="7"/>
  <c r="P36" i="7"/>
  <c r="R37" i="7"/>
  <c r="T59" i="7"/>
  <c r="T71" i="7"/>
  <c r="S16" i="7"/>
  <c r="Q20" i="7"/>
  <c r="Q34" i="7"/>
  <c r="Q35" i="7"/>
  <c r="T61" i="7"/>
  <c r="T63" i="7"/>
  <c r="T65" i="7"/>
  <c r="T67" i="7"/>
  <c r="R17" i="7"/>
  <c r="R20" i="7"/>
  <c r="S21" i="7"/>
  <c r="T22" i="7"/>
  <c r="Q23" i="7"/>
  <c r="Q24" i="7"/>
  <c r="S27" i="7"/>
  <c r="Q28" i="7"/>
  <c r="R30" i="7"/>
  <c r="R35" i="7"/>
  <c r="R24" i="7"/>
  <c r="Q25" i="7"/>
  <c r="P15" i="7"/>
  <c r="R19" i="7"/>
  <c r="S25" i="7"/>
  <c r="S26" i="7"/>
  <c r="S30" i="7"/>
  <c r="R31" i="7"/>
  <c r="Q36" i="7"/>
  <c r="T70" i="7"/>
  <c r="T15" i="7"/>
  <c r="Q18" i="7"/>
  <c r="S19" i="7"/>
  <c r="T21" i="7"/>
  <c r="Q29" i="7"/>
  <c r="S31" i="7"/>
  <c r="T36" i="7"/>
  <c r="T37" i="7"/>
  <c r="T60" i="7"/>
  <c r="T62" i="7"/>
  <c r="T64" i="7"/>
  <c r="T66" i="7"/>
  <c r="T68" i="7"/>
  <c r="T48" i="7"/>
  <c r="T69" i="7"/>
  <c r="X40" i="9"/>
  <c r="T40" i="9"/>
  <c r="U39" i="9"/>
  <c r="W38" i="9"/>
  <c r="X37" i="9"/>
  <c r="T37" i="9"/>
  <c r="V36" i="9"/>
  <c r="X35" i="9"/>
  <c r="T35" i="9"/>
  <c r="V34" i="9"/>
  <c r="W33" i="9"/>
  <c r="X32" i="9"/>
  <c r="T32" i="9"/>
  <c r="U31" i="9"/>
  <c r="V30" i="9"/>
  <c r="W29" i="9"/>
  <c r="X28" i="9"/>
  <c r="T28" i="9"/>
  <c r="U27" i="9"/>
  <c r="X26" i="9"/>
  <c r="T26" i="9"/>
  <c r="W25" i="9"/>
  <c r="V24" i="9"/>
  <c r="U23" i="9"/>
  <c r="X22" i="9"/>
  <c r="T22" i="9"/>
  <c r="W21" i="9"/>
  <c r="V20" i="9"/>
  <c r="U19" i="9"/>
  <c r="X18" i="9"/>
  <c r="T18" i="9"/>
  <c r="U17" i="9"/>
  <c r="F17" i="9" s="1"/>
  <c r="N17" i="9" s="1"/>
  <c r="V16" i="9"/>
  <c r="W15" i="9"/>
  <c r="X14" i="9"/>
  <c r="T14" i="9"/>
  <c r="F14" i="9" s="1"/>
  <c r="N14" i="9" s="1"/>
  <c r="R151" i="7"/>
  <c r="R152" i="7"/>
  <c r="Q153" i="7"/>
  <c r="P154" i="7"/>
  <c r="S155" i="7"/>
  <c r="R156" i="7"/>
  <c r="Q157" i="7"/>
  <c r="P158" i="7"/>
  <c r="S159" i="7"/>
  <c r="R160" i="7"/>
  <c r="Q161" i="7"/>
  <c r="P162" i="7"/>
  <c r="S151" i="7"/>
  <c r="P155" i="7"/>
  <c r="P156" i="7"/>
  <c r="P157" i="7"/>
  <c r="Q158" i="7"/>
  <c r="Q159" i="7"/>
  <c r="Q160" i="7"/>
  <c r="R161" i="7"/>
  <c r="R162" i="7"/>
  <c r="P152" i="7"/>
  <c r="P153" i="7"/>
  <c r="Q154" i="7"/>
  <c r="Q155" i="7"/>
  <c r="Q156" i="7"/>
  <c r="R157" i="7"/>
  <c r="R158" i="7"/>
  <c r="R159" i="7"/>
  <c r="S160" i="7"/>
  <c r="E160" i="7" s="1"/>
  <c r="S161" i="7"/>
  <c r="E161" i="7" s="1"/>
  <c r="S162" i="7"/>
  <c r="E162" i="7" s="1"/>
  <c r="P151" i="7"/>
  <c r="Q151" i="7"/>
  <c r="S152" i="7"/>
  <c r="S153" i="7"/>
  <c r="S154" i="7"/>
  <c r="P159" i="7"/>
  <c r="P160" i="7"/>
  <c r="P161" i="7"/>
  <c r="Q162" i="7"/>
  <c r="S48" i="7"/>
  <c r="R49" i="7"/>
  <c r="R48" i="7"/>
  <c r="P50" i="7"/>
  <c r="P51" i="7"/>
  <c r="P52" i="7"/>
  <c r="P53" i="7"/>
  <c r="P54" i="7"/>
  <c r="P55" i="7"/>
  <c r="P56" i="7"/>
  <c r="P57" i="7"/>
  <c r="P58" i="7"/>
  <c r="Q59" i="7"/>
  <c r="Q49" i="7"/>
  <c r="E49" i="7" s="1"/>
  <c r="Q50" i="7"/>
  <c r="S52" i="7"/>
  <c r="R53" i="7"/>
  <c r="Q54" i="7"/>
  <c r="S56" i="7"/>
  <c r="R57" i="7"/>
  <c r="Q58" i="7"/>
  <c r="Q60" i="7"/>
  <c r="Q61" i="7"/>
  <c r="Q62" i="7"/>
  <c r="Q63" i="7"/>
  <c r="Q64" i="7"/>
  <c r="Q65" i="7"/>
  <c r="Q66" i="7"/>
  <c r="Q67" i="7"/>
  <c r="Q68" i="7"/>
  <c r="R69" i="7"/>
  <c r="S70" i="7"/>
  <c r="P71" i="7"/>
  <c r="R51" i="7"/>
  <c r="Q55" i="7"/>
  <c r="R56" i="7"/>
  <c r="S57" i="7"/>
  <c r="S58" i="7"/>
  <c r="S59" i="7"/>
  <c r="R60" i="7"/>
  <c r="R62" i="7"/>
  <c r="R64" i="7"/>
  <c r="R66" i="7"/>
  <c r="R68" i="7"/>
  <c r="Q69" i="7"/>
  <c r="P70" i="7"/>
  <c r="P48" i="7"/>
  <c r="E48" i="7" s="1"/>
  <c r="P49" i="7"/>
  <c r="R50" i="7"/>
  <c r="S51" i="7"/>
  <c r="R55" i="7"/>
  <c r="S60" i="7"/>
  <c r="P61" i="7"/>
  <c r="S62" i="7"/>
  <c r="P63" i="7"/>
  <c r="S64" i="7"/>
  <c r="P65" i="7"/>
  <c r="S66" i="7"/>
  <c r="P67" i="7"/>
  <c r="S68" i="7"/>
  <c r="S69" i="7"/>
  <c r="Q70" i="7"/>
  <c r="Q71" i="7"/>
  <c r="S49" i="7"/>
  <c r="R52" i="7"/>
  <c r="S53" i="7"/>
  <c r="S54" i="7"/>
  <c r="S55" i="7"/>
  <c r="R59" i="7"/>
  <c r="S61" i="7"/>
  <c r="S63" i="7"/>
  <c r="S65" i="7"/>
  <c r="S67" i="7"/>
  <c r="R70" i="7"/>
  <c r="Q56" i="7"/>
  <c r="P60" i="7"/>
  <c r="P62" i="7"/>
  <c r="P64" i="7"/>
  <c r="P66" i="7"/>
  <c r="P68" i="7"/>
  <c r="R71" i="7"/>
  <c r="Q48" i="7"/>
  <c r="S50" i="7"/>
  <c r="Q57" i="7"/>
  <c r="P69" i="7"/>
  <c r="S71" i="7"/>
  <c r="Q51" i="7"/>
  <c r="Q52" i="7"/>
  <c r="Q53" i="7"/>
  <c r="R54" i="7"/>
  <c r="R58" i="7"/>
  <c r="P59" i="7"/>
  <c r="R61" i="7"/>
  <c r="R63" i="7"/>
  <c r="R65" i="7"/>
  <c r="R67" i="7"/>
  <c r="P175" i="7"/>
  <c r="S157" i="7"/>
  <c r="R153" i="7"/>
  <c r="O153" i="7"/>
  <c r="O154" i="7" s="1"/>
  <c r="O155" i="7" s="1"/>
  <c r="O156" i="7" s="1"/>
  <c r="O157" i="7" s="1"/>
  <c r="O158" i="7" s="1"/>
  <c r="O159" i="7" s="1"/>
  <c r="O160" i="7" s="1"/>
  <c r="O161" i="7" s="1"/>
  <c r="O162" i="7" s="1"/>
  <c r="O111" i="7"/>
  <c r="G34" i="7"/>
  <c r="G30" i="7"/>
  <c r="G23" i="7"/>
  <c r="G18" i="7"/>
  <c r="G15" i="7"/>
  <c r="J73" i="7"/>
  <c r="O85" i="7"/>
  <c r="J99" i="7"/>
  <c r="O53" i="7"/>
  <c r="G28" i="7"/>
  <c r="G73" i="7"/>
  <c r="G14" i="7"/>
  <c r="G37" i="7"/>
  <c r="G33" i="7"/>
  <c r="G19" i="7"/>
  <c r="G26" i="7"/>
  <c r="G13" i="7"/>
  <c r="G11" i="7"/>
  <c r="F39" i="7"/>
  <c r="G17" i="7"/>
  <c r="O14" i="7"/>
  <c r="H162" i="7" l="1"/>
  <c r="K162" i="7"/>
  <c r="K140" i="7"/>
  <c r="H140" i="7"/>
  <c r="H161" i="7"/>
  <c r="K161" i="7"/>
  <c r="K160" i="7"/>
  <c r="H160" i="7"/>
  <c r="E80" i="7"/>
  <c r="H80" i="7" s="1"/>
  <c r="K134" i="7"/>
  <c r="H134" i="7"/>
  <c r="E200" i="7"/>
  <c r="E111" i="7"/>
  <c r="F252" i="7"/>
  <c r="H83" i="7"/>
  <c r="H82" i="7"/>
  <c r="H198" i="7"/>
  <c r="K81" i="7"/>
  <c r="H81" i="7"/>
  <c r="K107" i="7"/>
  <c r="H107" i="7"/>
  <c r="H194" i="7"/>
  <c r="K194" i="7"/>
  <c r="K195" i="7"/>
  <c r="H195" i="7"/>
  <c r="H196" i="7"/>
  <c r="K196" i="7"/>
  <c r="E152" i="7"/>
  <c r="H152" i="7" s="1"/>
  <c r="J41" i="7"/>
  <c r="J252" i="7"/>
  <c r="E151" i="7"/>
  <c r="K151" i="7" s="1"/>
  <c r="H232" i="7"/>
  <c r="H248" i="7" s="1"/>
  <c r="K232" i="7"/>
  <c r="K248" i="7" s="1"/>
  <c r="G66" i="5"/>
  <c r="G69" i="5" s="1"/>
  <c r="E66" i="5"/>
  <c r="E69" i="5" s="1"/>
  <c r="K139" i="7"/>
  <c r="K198" i="7"/>
  <c r="H197" i="7"/>
  <c r="K197" i="7"/>
  <c r="E52" i="7"/>
  <c r="H52" i="7" s="1"/>
  <c r="E50" i="7"/>
  <c r="H50" i="7" s="1"/>
  <c r="E159" i="7"/>
  <c r="H159" i="7" s="1"/>
  <c r="E155" i="7"/>
  <c r="K155" i="7" s="1"/>
  <c r="E153" i="7"/>
  <c r="H153" i="7" s="1"/>
  <c r="E157" i="7"/>
  <c r="H157" i="7" s="1"/>
  <c r="E170" i="7"/>
  <c r="O201" i="7"/>
  <c r="K199" i="7"/>
  <c r="H199" i="7"/>
  <c r="K137" i="7"/>
  <c r="K133" i="7"/>
  <c r="H138" i="7"/>
  <c r="E154" i="7"/>
  <c r="K154" i="7" s="1"/>
  <c r="E158" i="7"/>
  <c r="K158" i="7" s="1"/>
  <c r="E156" i="7"/>
  <c r="K156" i="7" s="1"/>
  <c r="K135" i="7"/>
  <c r="E51" i="7"/>
  <c r="K51" i="7" s="1"/>
  <c r="H136" i="7"/>
  <c r="K136" i="7"/>
  <c r="H106" i="7"/>
  <c r="K106" i="7"/>
  <c r="I253" i="7"/>
  <c r="H110" i="7"/>
  <c r="K110" i="7"/>
  <c r="K12" i="7"/>
  <c r="H12" i="7"/>
  <c r="K84" i="7"/>
  <c r="H84" i="7"/>
  <c r="I17" i="9"/>
  <c r="J17" i="9"/>
  <c r="I27" i="9"/>
  <c r="J27" i="9"/>
  <c r="E14" i="7"/>
  <c r="O15" i="7"/>
  <c r="H13" i="7"/>
  <c r="I19" i="9"/>
  <c r="J19" i="9"/>
  <c r="K108" i="7"/>
  <c r="H108" i="7"/>
  <c r="O86" i="7"/>
  <c r="H105" i="7"/>
  <c r="K105" i="7"/>
  <c r="H79" i="7"/>
  <c r="K79" i="7"/>
  <c r="J24" i="9"/>
  <c r="I24" i="9"/>
  <c r="N39" i="7"/>
  <c r="N40" i="7" s="1"/>
  <c r="O112" i="7"/>
  <c r="E112" i="7" s="1"/>
  <c r="K109" i="7"/>
  <c r="H109" i="7"/>
  <c r="H11" i="7"/>
  <c r="E53" i="7"/>
  <c r="O54" i="7"/>
  <c r="K48" i="7"/>
  <c r="H48" i="7"/>
  <c r="N38" i="9"/>
  <c r="K130" i="7"/>
  <c r="H130" i="7"/>
  <c r="G39" i="7"/>
  <c r="G252" i="7" s="1"/>
  <c r="K49" i="7"/>
  <c r="H49" i="7"/>
  <c r="E171" i="7"/>
  <c r="K80" i="7" l="1"/>
  <c r="O253" i="7"/>
  <c r="F253" i="7"/>
  <c r="K82" i="7"/>
  <c r="K83" i="7"/>
  <c r="K152" i="7"/>
  <c r="H170" i="7"/>
  <c r="K170" i="7"/>
  <c r="H139" i="7"/>
  <c r="H154" i="7"/>
  <c r="H151" i="7"/>
  <c r="K50" i="7"/>
  <c r="H133" i="7"/>
  <c r="K213" i="7"/>
  <c r="K226" i="7" s="1"/>
  <c r="H213" i="7"/>
  <c r="H226" i="7" s="1"/>
  <c r="K159" i="7"/>
  <c r="H135" i="7"/>
  <c r="K157" i="7"/>
  <c r="K52" i="7"/>
  <c r="K153" i="7"/>
  <c r="H155" i="7"/>
  <c r="K138" i="7"/>
  <c r="K145" i="7" s="1"/>
  <c r="H156" i="7"/>
  <c r="K192" i="7"/>
  <c r="H192" i="7"/>
  <c r="H51" i="7"/>
  <c r="H137" i="7"/>
  <c r="H158" i="7"/>
  <c r="H200" i="7"/>
  <c r="K200" i="7"/>
  <c r="O202" i="7"/>
  <c r="G19" i="9"/>
  <c r="G17" i="9"/>
  <c r="O172" i="7"/>
  <c r="O55" i="7"/>
  <c r="E54" i="7"/>
  <c r="J22" i="9"/>
  <c r="I22" i="9"/>
  <c r="H53" i="7"/>
  <c r="K53" i="7"/>
  <c r="H111" i="7"/>
  <c r="K111" i="7"/>
  <c r="J20" i="9"/>
  <c r="I20" i="9"/>
  <c r="E15" i="7"/>
  <c r="O16" i="7"/>
  <c r="I23" i="9"/>
  <c r="J23" i="9"/>
  <c r="G41" i="7"/>
  <c r="J254" i="7"/>
  <c r="J256" i="7"/>
  <c r="J257" i="7" s="1"/>
  <c r="G24" i="9"/>
  <c r="J16" i="9"/>
  <c r="I16" i="9"/>
  <c r="K85" i="7"/>
  <c r="H85" i="7"/>
  <c r="I25" i="9"/>
  <c r="J25" i="9"/>
  <c r="I26" i="9"/>
  <c r="J26" i="9"/>
  <c r="K14" i="7"/>
  <c r="H14" i="7"/>
  <c r="O87" i="7"/>
  <c r="E87" i="7" s="1"/>
  <c r="I35" i="9"/>
  <c r="J35" i="9"/>
  <c r="I15" i="9"/>
  <c r="J15" i="9"/>
  <c r="I21" i="9"/>
  <c r="J21" i="9"/>
  <c r="G27" i="9"/>
  <c r="O113" i="7"/>
  <c r="E113" i="7" s="1"/>
  <c r="J18" i="9"/>
  <c r="I18" i="9"/>
  <c r="K164" i="7" l="1"/>
  <c r="H164" i="7"/>
  <c r="H145" i="7"/>
  <c r="O173" i="7"/>
  <c r="E173" i="7" s="1"/>
  <c r="E172" i="7"/>
  <c r="O203" i="7"/>
  <c r="K201" i="7"/>
  <c r="H201" i="7"/>
  <c r="G20" i="9"/>
  <c r="G18" i="9"/>
  <c r="G22" i="9"/>
  <c r="G21" i="9"/>
  <c r="G23" i="9"/>
  <c r="G25" i="9"/>
  <c r="G256" i="7"/>
  <c r="G257" i="7" s="1"/>
  <c r="G254" i="7"/>
  <c r="K15" i="7"/>
  <c r="H15" i="7"/>
  <c r="E55" i="7"/>
  <c r="O56" i="7"/>
  <c r="K112" i="7"/>
  <c r="H112" i="7"/>
  <c r="G16" i="9"/>
  <c r="I14" i="9"/>
  <c r="I38" i="9" s="1"/>
  <c r="H38" i="9"/>
  <c r="J14" i="9"/>
  <c r="K171" i="7"/>
  <c r="H171" i="7"/>
  <c r="O114" i="7"/>
  <c r="E114" i="7" s="1"/>
  <c r="G26" i="9"/>
  <c r="O88" i="7"/>
  <c r="E88" i="7" s="1"/>
  <c r="G15" i="9"/>
  <c r="H86" i="7"/>
  <c r="K86" i="7"/>
  <c r="O17" i="7"/>
  <c r="E16" i="7"/>
  <c r="H54" i="7"/>
  <c r="K54" i="7"/>
  <c r="O174" i="7" l="1"/>
  <c r="E174" i="7" s="1"/>
  <c r="H172" i="7"/>
  <c r="K172" i="7"/>
  <c r="H202" i="7"/>
  <c r="K202" i="7"/>
  <c r="O204" i="7"/>
  <c r="O115" i="7"/>
  <c r="E115" i="7" s="1"/>
  <c r="F40" i="9"/>
  <c r="I41" i="9"/>
  <c r="I47" i="9"/>
  <c r="K16" i="7"/>
  <c r="H16" i="7"/>
  <c r="K173" i="7"/>
  <c r="H173" i="7"/>
  <c r="E56" i="7"/>
  <c r="O57" i="7"/>
  <c r="E17" i="7"/>
  <c r="O18" i="7"/>
  <c r="O89" i="7"/>
  <c r="E89" i="7" s="1"/>
  <c r="K113" i="7"/>
  <c r="H113" i="7"/>
  <c r="G14" i="9"/>
  <c r="J38" i="9"/>
  <c r="H55" i="7"/>
  <c r="K55" i="7"/>
  <c r="G260" i="7"/>
  <c r="G261" i="7"/>
  <c r="H87" i="7"/>
  <c r="K87" i="7"/>
  <c r="O175" i="7" l="1"/>
  <c r="O176" i="7" s="1"/>
  <c r="O205" i="7"/>
  <c r="K203" i="7"/>
  <c r="H203" i="7"/>
  <c r="O90" i="7"/>
  <c r="E90" i="7" s="1"/>
  <c r="E57" i="7"/>
  <c r="O58" i="7"/>
  <c r="K174" i="7"/>
  <c r="H174" i="7"/>
  <c r="K88" i="7"/>
  <c r="H88" i="7"/>
  <c r="H56" i="7"/>
  <c r="K56" i="7"/>
  <c r="E18" i="7"/>
  <c r="O19" i="7"/>
  <c r="O116" i="7"/>
  <c r="E116" i="7" s="1"/>
  <c r="K17" i="7"/>
  <c r="H17" i="7"/>
  <c r="H114" i="7"/>
  <c r="K114" i="7"/>
  <c r="E175" i="7" l="1"/>
  <c r="H175" i="7" s="1"/>
  <c r="O177" i="7"/>
  <c r="H204" i="7"/>
  <c r="K204" i="7"/>
  <c r="K205" i="7"/>
  <c r="H205" i="7"/>
  <c r="K89" i="7"/>
  <c r="H89" i="7"/>
  <c r="O91" i="7"/>
  <c r="E91" i="7" s="1"/>
  <c r="O117" i="7"/>
  <c r="E117" i="7" s="1"/>
  <c r="O20" i="7"/>
  <c r="E19" i="7"/>
  <c r="O59" i="7"/>
  <c r="E58" i="7"/>
  <c r="K115" i="7"/>
  <c r="H115" i="7"/>
  <c r="K18" i="7"/>
  <c r="H18" i="7"/>
  <c r="H57" i="7"/>
  <c r="K57" i="7"/>
  <c r="K175" i="7" l="1"/>
  <c r="K176" i="7"/>
  <c r="H176" i="7"/>
  <c r="O118" i="7"/>
  <c r="O178" i="7"/>
  <c r="H207" i="7"/>
  <c r="K207" i="7"/>
  <c r="K116" i="7"/>
  <c r="H116" i="7"/>
  <c r="H58" i="7"/>
  <c r="K58" i="7"/>
  <c r="K19" i="7"/>
  <c r="H19" i="7"/>
  <c r="O92" i="7"/>
  <c r="E92" i="7" s="1"/>
  <c r="E59" i="7"/>
  <c r="O60" i="7"/>
  <c r="E20" i="7"/>
  <c r="O21" i="7"/>
  <c r="H90" i="7"/>
  <c r="K90" i="7"/>
  <c r="O119" i="7" l="1"/>
  <c r="K177" i="7"/>
  <c r="H177" i="7"/>
  <c r="O179" i="7"/>
  <c r="K117" i="7"/>
  <c r="H117" i="7"/>
  <c r="E21" i="7"/>
  <c r="O22" i="7"/>
  <c r="K20" i="7"/>
  <c r="H20" i="7"/>
  <c r="E60" i="7"/>
  <c r="O61" i="7"/>
  <c r="O93" i="7"/>
  <c r="E93" i="7" s="1"/>
  <c r="K59" i="7"/>
  <c r="H59" i="7"/>
  <c r="H91" i="7"/>
  <c r="K91" i="7"/>
  <c r="K178" i="7" l="1"/>
  <c r="H178" i="7"/>
  <c r="K118" i="7"/>
  <c r="H118" i="7"/>
  <c r="O180" i="7"/>
  <c r="O120" i="7"/>
  <c r="O94" i="7"/>
  <c r="E94" i="7" s="1"/>
  <c r="E61" i="7"/>
  <c r="O62" i="7"/>
  <c r="K60" i="7"/>
  <c r="H60" i="7"/>
  <c r="O23" i="7"/>
  <c r="E22" i="7"/>
  <c r="K92" i="7"/>
  <c r="H92" i="7"/>
  <c r="K21" i="7"/>
  <c r="H21" i="7"/>
  <c r="H93" i="7" l="1"/>
  <c r="K93" i="7"/>
  <c r="H179" i="7"/>
  <c r="K179" i="7"/>
  <c r="O95" i="7"/>
  <c r="O181" i="7"/>
  <c r="K119" i="7"/>
  <c r="H119" i="7"/>
  <c r="O121" i="7"/>
  <c r="K22" i="7"/>
  <c r="H22" i="7"/>
  <c r="E23" i="7"/>
  <c r="O24" i="7"/>
  <c r="E62" i="7"/>
  <c r="O63" i="7"/>
  <c r="H61" i="7"/>
  <c r="K61" i="7"/>
  <c r="O122" i="7" l="1"/>
  <c r="O96" i="7"/>
  <c r="O97" i="7" s="1"/>
  <c r="E95" i="7"/>
  <c r="O182" i="7"/>
  <c r="H120" i="7"/>
  <c r="K120" i="7"/>
  <c r="K94" i="7"/>
  <c r="H94" i="7"/>
  <c r="H180" i="7"/>
  <c r="K180" i="7"/>
  <c r="K23" i="7"/>
  <c r="H23" i="7"/>
  <c r="E63" i="7"/>
  <c r="O64" i="7"/>
  <c r="K62" i="7"/>
  <c r="H62" i="7"/>
  <c r="E24" i="7"/>
  <c r="O25" i="7"/>
  <c r="H95" i="7" l="1"/>
  <c r="K95" i="7"/>
  <c r="H121" i="7"/>
  <c r="K121" i="7"/>
  <c r="K122" i="7"/>
  <c r="H122" i="7"/>
  <c r="H181" i="7"/>
  <c r="K181" i="7"/>
  <c r="H96" i="7"/>
  <c r="K96" i="7"/>
  <c r="O183" i="7"/>
  <c r="E25" i="7"/>
  <c r="O26" i="7"/>
  <c r="E64" i="7"/>
  <c r="O65" i="7"/>
  <c r="K24" i="7"/>
  <c r="H24" i="7"/>
  <c r="H63" i="7"/>
  <c r="K63" i="7"/>
  <c r="H99" i="7" l="1"/>
  <c r="H124" i="7"/>
  <c r="K99" i="7"/>
  <c r="K124" i="7"/>
  <c r="K182" i="7"/>
  <c r="H182" i="7"/>
  <c r="O184" i="7"/>
  <c r="K64" i="7"/>
  <c r="H64" i="7"/>
  <c r="O27" i="7"/>
  <c r="E26" i="7"/>
  <c r="K25" i="7"/>
  <c r="H25" i="7"/>
  <c r="E65" i="7"/>
  <c r="O66" i="7"/>
  <c r="H183" i="7" l="1"/>
  <c r="K183" i="7"/>
  <c r="H184" i="7"/>
  <c r="K184" i="7"/>
  <c r="E66" i="7"/>
  <c r="O67" i="7"/>
  <c r="K26" i="7"/>
  <c r="H26" i="7"/>
  <c r="H65" i="7"/>
  <c r="K65" i="7"/>
  <c r="E27" i="7"/>
  <c r="O28" i="7"/>
  <c r="K186" i="7" l="1"/>
  <c r="H186" i="7"/>
  <c r="K27" i="7"/>
  <c r="H27" i="7"/>
  <c r="E67" i="7"/>
  <c r="O68" i="7"/>
  <c r="E28" i="7"/>
  <c r="O29" i="7"/>
  <c r="K66" i="7"/>
  <c r="H66" i="7"/>
  <c r="K28" i="7" l="1"/>
  <c r="H28" i="7"/>
  <c r="E68" i="7"/>
  <c r="O69" i="7"/>
  <c r="H67" i="7"/>
  <c r="K67" i="7"/>
  <c r="E29" i="7"/>
  <c r="O30" i="7"/>
  <c r="K29" i="7" l="1"/>
  <c r="H29" i="7"/>
  <c r="K68" i="7"/>
  <c r="H68" i="7"/>
  <c r="O31" i="7"/>
  <c r="E30" i="7"/>
  <c r="E69" i="7"/>
  <c r="O70" i="7"/>
  <c r="O71" i="7" l="1"/>
  <c r="K69" i="7"/>
  <c r="H69" i="7"/>
  <c r="K30" i="7"/>
  <c r="H30" i="7"/>
  <c r="E31" i="7"/>
  <c r="O32" i="7"/>
  <c r="E32" i="7" l="1"/>
  <c r="O33" i="7"/>
  <c r="H70" i="7"/>
  <c r="K70" i="7"/>
  <c r="K31" i="7"/>
  <c r="H31" i="7"/>
  <c r="H71" i="7"/>
  <c r="K71" i="7"/>
  <c r="H73" i="7" l="1"/>
  <c r="K73" i="7"/>
  <c r="O34" i="7"/>
  <c r="E33" i="7"/>
  <c r="K32" i="7"/>
  <c r="H32" i="7"/>
  <c r="O35" i="7" l="1"/>
  <c r="E34" i="7"/>
  <c r="K33" i="7"/>
  <c r="H33" i="7"/>
  <c r="O36" i="7" l="1"/>
  <c r="O37" i="7" s="1"/>
  <c r="E37" i="7" s="1"/>
  <c r="E35" i="7"/>
  <c r="K35" i="7" s="1"/>
  <c r="K34" i="7"/>
  <c r="H34" i="7"/>
  <c r="H35" i="7" l="1"/>
  <c r="K37" i="7"/>
  <c r="K39" i="7" s="1"/>
  <c r="K252" i="7" s="1"/>
  <c r="K258" i="7" s="1"/>
  <c r="R258" i="7" s="1"/>
  <c r="H37" i="7"/>
  <c r="H39" i="7" s="1"/>
  <c r="H252" i="7" l="1"/>
  <c r="H258" i="7" s="1"/>
  <c r="R257" i="7" s="1"/>
  <c r="G40" i="7"/>
  <c r="G262" i="7" l="1"/>
</calcChain>
</file>

<file path=xl/sharedStrings.xml><?xml version="1.0" encoding="utf-8"?>
<sst xmlns="http://schemas.openxmlformats.org/spreadsheetml/2006/main" count="635" uniqueCount="224">
  <si>
    <t>OPERATING REVENUE:</t>
  </si>
  <si>
    <t xml:space="preserve"> METERED &amp; OTHER</t>
  </si>
  <si>
    <t xml:space="preserve">   Meter Sales Revenue</t>
  </si>
  <si>
    <t xml:space="preserve">   Forfeited Discounts</t>
  </si>
  <si>
    <t xml:space="preserve">   Misc. Service Revenue</t>
  </si>
  <si>
    <t xml:space="preserve">   Other Water Revenue</t>
  </si>
  <si>
    <t xml:space="preserve">   Income-Interest</t>
  </si>
  <si>
    <t>TOTAL OPERATING REVENUE</t>
  </si>
  <si>
    <t>OPERATING EXPENSE:</t>
  </si>
  <si>
    <t xml:space="preserve">   Salaries and Wages</t>
  </si>
  <si>
    <t xml:space="preserve">   Commissioner Fees</t>
  </si>
  <si>
    <t xml:space="preserve">   Employee Overhead</t>
  </si>
  <si>
    <t xml:space="preserve">   Purchased Water</t>
  </si>
  <si>
    <t xml:space="preserve">   Purchased Power</t>
  </si>
  <si>
    <t xml:space="preserve">   Chemicals</t>
  </si>
  <si>
    <t xml:space="preserve">   Materials &amp; Supplies</t>
  </si>
  <si>
    <t xml:space="preserve">   Cont. Services-Engr</t>
  </si>
  <si>
    <t xml:space="preserve">   Cont. Services-Accounting</t>
  </si>
  <si>
    <t xml:space="preserve">   Cont. Services-Legal</t>
  </si>
  <si>
    <t xml:space="preserve">   Cont. Services-Other</t>
  </si>
  <si>
    <t xml:space="preserve">   Rental of Building &amp; Utilities</t>
  </si>
  <si>
    <t xml:space="preserve">   Equipment Expense</t>
  </si>
  <si>
    <t xml:space="preserve">   Insurance-Gen'l Liability</t>
  </si>
  <si>
    <t xml:space="preserve">   Insurance-Other</t>
  </si>
  <si>
    <t xml:space="preserve">   Regulatory Expense</t>
  </si>
  <si>
    <t xml:space="preserve">   Bad Debt Expense</t>
  </si>
  <si>
    <t xml:space="preserve">   Misc. Expense</t>
  </si>
  <si>
    <t>TOTAL OPERATING EXPENSE</t>
  </si>
  <si>
    <t>OTHER EXPENSES</t>
  </si>
  <si>
    <t xml:space="preserve">   Depreciation</t>
  </si>
  <si>
    <t xml:space="preserve">   Misc. Non-Operating Income</t>
  </si>
  <si>
    <t xml:space="preserve">   Misc. Non Operating Expense</t>
  </si>
  <si>
    <t xml:space="preserve">   Unamortized Debt Expense</t>
  </si>
  <si>
    <t>TOTAL OTHER EXPENSES</t>
  </si>
  <si>
    <t xml:space="preserve"> </t>
  </si>
  <si>
    <t>PRINCIPAL &amp; INTEREST EXPENSE:</t>
  </si>
  <si>
    <t xml:space="preserve">   Existing Principal - Other</t>
  </si>
  <si>
    <t xml:space="preserve">   Existing Interest - Other</t>
  </si>
  <si>
    <t xml:space="preserve">   Existing Principal - RDA</t>
  </si>
  <si>
    <t xml:space="preserve">   Existing Interest - RDA</t>
  </si>
  <si>
    <t xml:space="preserve">   New Principal - RDA</t>
  </si>
  <si>
    <t xml:space="preserve">   New Interest - RDA</t>
  </si>
  <si>
    <t>TOTAL PRINCIPAL &amp; INTEREST</t>
  </si>
  <si>
    <t>TOTAL EXPENSES</t>
  </si>
  <si>
    <t>NET UTILITY OPERATING INCOME</t>
  </si>
  <si>
    <t>\E</t>
  </si>
  <si>
    <t>(1)</t>
  </si>
  <si>
    <t>CUSTOMERS</t>
  </si>
  <si>
    <t>TEST PERIOD 'WATER LOSS</t>
  </si>
  <si>
    <t>LOSS CALCULATION</t>
  </si>
  <si>
    <t>BASELINE PERIOD</t>
  </si>
  <si>
    <t>PRODUCE AND</t>
  </si>
  <si>
    <t>PURCHASED</t>
  </si>
  <si>
    <t>SOLD</t>
  </si>
  <si>
    <t>LOSS</t>
  </si>
  <si>
    <t>TEST PERIOD CUSTOMERS</t>
  </si>
  <si>
    <t>TOTAL BILLS</t>
  </si>
  <si>
    <t>RESIDENTIAL</t>
  </si>
  <si>
    <t>BILLS</t>
  </si>
  <si>
    <t>COMMERCIAL</t>
  </si>
  <si>
    <t>TEST PERIOD REVENUE - EXISTING SYSTEM</t>
  </si>
  <si>
    <t>SUBTOTAL</t>
  </si>
  <si>
    <t>AND</t>
  </si>
  <si>
    <t>CITY</t>
  </si>
  <si>
    <t>RATE</t>
  </si>
  <si>
    <t>ADJUST.</t>
  </si>
  <si>
    <t>12 MONTHS</t>
  </si>
  <si>
    <t>RETAIL RATE STRUCTURE</t>
  </si>
  <si>
    <t>PROPOSED 'INCREASE</t>
  </si>
  <si>
    <t>BASELINE</t>
  </si>
  <si>
    <t>RATES</t>
  </si>
  <si>
    <t>NEW</t>
  </si>
  <si>
    <t>MIN5/8</t>
  </si>
  <si>
    <t>MIN3/4</t>
  </si>
  <si>
    <t>MIN1</t>
  </si>
  <si>
    <t>MIN15</t>
  </si>
  <si>
    <t>MIN2</t>
  </si>
  <si>
    <t>MIN3</t>
  </si>
  <si>
    <t>MIN4</t>
  </si>
  <si>
    <t>MIN6</t>
  </si>
  <si>
    <t>MIN8</t>
  </si>
  <si>
    <t>MIN10</t>
  </si>
  <si>
    <t>NEXT4000</t>
  </si>
  <si>
    <t>OVER100000</t>
  </si>
  <si>
    <t>ANALYSIS OF ACTUAL WATER USAGE AND</t>
  </si>
  <si>
    <t>FORECAST OF WATER USAGE INCOME</t>
  </si>
  <si>
    <t xml:space="preserve">  5/8" METERS:</t>
  </si>
  <si>
    <t xml:space="preserve">   USAGE/MON</t>
  </si>
  <si>
    <t xml:space="preserve">  1" METERS</t>
  </si>
  <si>
    <t xml:space="preserve">  1 1/2" METERS:</t>
  </si>
  <si>
    <t xml:space="preserve">  2" METERS:</t>
  </si>
  <si>
    <t xml:space="preserve">1.0 </t>
  </si>
  <si>
    <t>1.5</t>
  </si>
  <si>
    <t xml:space="preserve">  3" METERS:</t>
  </si>
  <si>
    <t xml:space="preserve">  4" METERS:</t>
  </si>
  <si>
    <t xml:space="preserve">  6" METERS:</t>
  </si>
  <si>
    <t>1.0</t>
  </si>
  <si>
    <t>2.0</t>
  </si>
  <si>
    <t>2.5</t>
  </si>
  <si>
    <t>3.0</t>
  </si>
  <si>
    <t>4.0</t>
  </si>
  <si>
    <t>5.0</t>
  </si>
  <si>
    <t>TOTAL ANNUAL WATER SOLD</t>
  </si>
  <si>
    <t>TOTAL ANNUAL WATER PURCH. OR PROD.</t>
  </si>
  <si>
    <t>TOTAL ANNUAL REVENUE</t>
  </si>
  <si>
    <t>TO</t>
  </si>
  <si>
    <t xml:space="preserve">TOTALS </t>
  </si>
  <si>
    <t>TOTAL CUSTOMERS</t>
  </si>
  <si>
    <t>AVG. CONSUMPTION PER MONTH</t>
  </si>
  <si>
    <t>ANNUAL WATER SOLD</t>
  </si>
  <si>
    <t>ANNUAL WATER PURCH. OR PROD.</t>
  </si>
  <si>
    <t>ANNUAL REVENUE</t>
  </si>
  <si>
    <t>ABOVE</t>
  </si>
  <si>
    <t xml:space="preserve">   SUBTOTALS</t>
  </si>
  <si>
    <t xml:space="preserve">    SUBTOTALS</t>
  </si>
  <si>
    <t>1.0 M</t>
  </si>
  <si>
    <t>1.5 M</t>
  </si>
  <si>
    <t>2.0 M</t>
  </si>
  <si>
    <t>2.5 M</t>
  </si>
  <si>
    <t>3.0 M</t>
  </si>
  <si>
    <t>4.0 M</t>
  </si>
  <si>
    <t>5.0 M</t>
  </si>
  <si>
    <t>AVG</t>
  </si>
  <si>
    <t>AVG. RATE</t>
  </si>
  <si>
    <t>AVG. USAGE</t>
  </si>
  <si>
    <t>BILL</t>
  </si>
  <si>
    <t>NO. BILLS</t>
  </si>
  <si>
    <t>USAGE</t>
  </si>
  <si>
    <t>INCOME</t>
  </si>
  <si>
    <t>comm</t>
  </si>
  <si>
    <t>res</t>
  </si>
  <si>
    <t>5/8" METER</t>
  </si>
  <si>
    <t>1" METER</t>
  </si>
  <si>
    <t>1.5" METER</t>
  </si>
  <si>
    <t>2" METER</t>
  </si>
  <si>
    <t>3" METER</t>
  </si>
  <si>
    <t>4" METER</t>
  </si>
  <si>
    <t>6" METER</t>
  </si>
  <si>
    <t>ATITL</t>
  </si>
  <si>
    <t>BOTLIN</t>
  </si>
  <si>
    <t>LOOP</t>
  </si>
  <si>
    <t>LOOP2</t>
  </si>
  <si>
    <t>MACROS</t>
  </si>
  <si>
    <t>PF.75</t>
  </si>
  <si>
    <t>PF1</t>
  </si>
  <si>
    <t>PF1.5</t>
  </si>
  <si>
    <t>PF2</t>
  </si>
  <si>
    <t>PF3</t>
  </si>
  <si>
    <t>PF4</t>
  </si>
  <si>
    <t>PF6</t>
  </si>
  <si>
    <t>TAB1</t>
  </si>
  <si>
    <t>TAB5/8</t>
  </si>
  <si>
    <t>WABILL</t>
  </si>
  <si>
    <t>\B</t>
  </si>
  <si>
    <t>A15..K15</t>
  </si>
  <si>
    <t>A213..K217</t>
  </si>
  <si>
    <t>W24</t>
  </si>
  <si>
    <t>W23</t>
  </si>
  <si>
    <t>ERR</t>
  </si>
  <si>
    <t>Q4</t>
  </si>
  <si>
    <t>Q5</t>
  </si>
  <si>
    <t>Q6</t>
  </si>
  <si>
    <t>Q7</t>
  </si>
  <si>
    <t>Q8</t>
  </si>
  <si>
    <t>Q3</t>
  </si>
  <si>
    <t>Q10</t>
  </si>
  <si>
    <t>Q13</t>
  </si>
  <si>
    <t>A50..K81</t>
  </si>
  <si>
    <t>A114..K138</t>
  </si>
  <si>
    <t>A140..K160</t>
  </si>
  <si>
    <t>A163..K186</t>
  </si>
  <si>
    <t>K215</t>
  </si>
  <si>
    <t>P54..T78</t>
  </si>
  <si>
    <t>P16..T43</t>
  </si>
  <si>
    <t>V12..AD39</t>
  </si>
  <si>
    <t>W14</t>
  </si>
  <si>
    <t>W9</t>
  </si>
  <si>
    <t>FORECAST OF  WATER USAGE - INCOME - NEW USERS  - EXTENSIONS ONLY</t>
  </si>
  <si>
    <t>5/8 X 3/4 INCH METER</t>
  </si>
  <si>
    <t>MONTHLY WATER USAGE</t>
  </si>
  <si>
    <t xml:space="preserve"> - </t>
  </si>
  <si>
    <t xml:space="preserve"> &amp;</t>
  </si>
  <si>
    <t>ANNUAL TOTALS</t>
  </si>
  <si>
    <t>ANNUAL WATER PURCH. AND PROD.</t>
  </si>
  <si>
    <t>Gal.</t>
  </si>
  <si>
    <t>Average</t>
  </si>
  <si>
    <t>Bill</t>
  </si>
  <si>
    <t>Rate</t>
  </si>
  <si>
    <t>Residential/</t>
  </si>
  <si>
    <t>Farmer</t>
  </si>
  <si>
    <t>No. of</t>
  </si>
  <si>
    <t>Users</t>
  </si>
  <si>
    <t>Usage</t>
  </si>
  <si>
    <t>Income</t>
  </si>
  <si>
    <t>Non-Residential/</t>
  </si>
  <si>
    <t>Commercial</t>
  </si>
  <si>
    <t xml:space="preserve">   OPED Expense</t>
  </si>
  <si>
    <t>check data for calibration</t>
  </si>
  <si>
    <t>Test period</t>
  </si>
  <si>
    <t>Difference</t>
  </si>
  <si>
    <t>Fire 1.5</t>
  </si>
  <si>
    <t>Fire 2</t>
  </si>
  <si>
    <t>Fire 3</t>
  </si>
  <si>
    <t>Fire 4</t>
  </si>
  <si>
    <t>Fire 6</t>
  </si>
  <si>
    <t>Fire 8</t>
  </si>
  <si>
    <t>Fire 10</t>
  </si>
  <si>
    <t>NEXT8000</t>
  </si>
  <si>
    <t>NEXT190000</t>
  </si>
  <si>
    <t>NEXT400000</t>
  </si>
  <si>
    <t>OVER600000</t>
  </si>
  <si>
    <t xml:space="preserve">  8" METERS:</t>
  </si>
  <si>
    <t>8" METER</t>
  </si>
  <si>
    <t xml:space="preserve">   Renta Income-Utility Prop.</t>
  </si>
  <si>
    <t xml:space="preserve">  4" FIRE SERVICE METERS:</t>
  </si>
  <si>
    <t xml:space="preserve">  6" FIRE SERVICE METERS:</t>
  </si>
  <si>
    <t>Fire 1</t>
  </si>
  <si>
    <t>YTD Aug 2019</t>
  </si>
  <si>
    <t>(INCLUDES 9.75% RATE INCREASE AS PROPOSED)</t>
  </si>
  <si>
    <t>PROJ 2017</t>
  </si>
  <si>
    <t>YTD Aug 2018</t>
  </si>
  <si>
    <t>YTD Dec 2018</t>
  </si>
  <si>
    <t>YTD  Aug 2018</t>
  </si>
  <si>
    <t>(1) DOES NOT INCLUDE NEW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</si>
</sst>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$-409]#,##0"/>
    <numFmt numFmtId="165" formatCode="[$$-409]#,##0.00"/>
    <numFmt numFmtId="171" formatCode="0.0%"/>
    <numFmt numFmtId="172" formatCode=";;;"/>
    <numFmt numFmtId="176" formatCode="_(&quot;$&quot;* #,##0_);_(&quot;$&quot;* \(#,##0\);_(&quot;$&quot;* &quot;-&quot;??_);_(@_)"/>
  </numFmts>
  <fonts count="8">
    <font>
      <sz val="12"/>
      <name val="Arial"/>
    </font>
    <font>
      <sz val="12"/>
      <name val="Arial MT"/>
    </font>
    <font>
      <sz val="12"/>
      <name val="Arial MT"/>
    </font>
    <font>
      <sz val="12"/>
      <name val="Arial MT"/>
    </font>
    <font>
      <u/>
      <sz val="12"/>
      <name val="Arial MT"/>
    </font>
    <font>
      <sz val="14"/>
      <name val="Arial MT"/>
    </font>
    <font>
      <b/>
      <u/>
      <sz val="14"/>
      <name val="Arial MT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7">
    <xf numFmtId="0" fontId="0" fillId="0" borderId="0" xfId="0"/>
    <xf numFmtId="4" fontId="1" fillId="0" borderId="0" xfId="0" applyNumberFormat="1" applyFont="1" applyAlignment="1"/>
    <xf numFmtId="4" fontId="2" fillId="0" borderId="0" xfId="0" applyNumberFormat="1" applyFont="1" applyAlignment="1">
      <alignment horizontal="centerContinuous"/>
    </xf>
    <xf numFmtId="4" fontId="1" fillId="0" borderId="0" xfId="0" applyNumberFormat="1" applyFo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164" fontId="2" fillId="0" borderId="0" xfId="0" applyNumberFormat="1" applyFont="1" applyAlignment="1"/>
    <xf numFmtId="3" fontId="1" fillId="0" borderId="0" xfId="0" applyNumberFormat="1" applyFont="1"/>
    <xf numFmtId="3" fontId="4" fillId="0" borderId="0" xfId="0" applyNumberFormat="1" applyFont="1" applyAlignment="1"/>
    <xf numFmtId="4" fontId="2" fillId="0" borderId="0" xfId="0" applyNumberFormat="1" applyFont="1" applyAlignment="1">
      <alignment horizontal="left"/>
    </xf>
    <xf numFmtId="165" fontId="2" fillId="0" borderId="0" xfId="0" applyNumberFormat="1" applyFont="1" applyAlignment="1"/>
    <xf numFmtId="3" fontId="2" fillId="0" borderId="0" xfId="0" applyNumberFormat="1" applyFont="1" applyAlignment="1"/>
    <xf numFmtId="2" fontId="1" fillId="0" borderId="0" xfId="0" applyNumberFormat="1" applyFont="1"/>
    <xf numFmtId="10" fontId="1" fillId="0" borderId="0" xfId="0" applyNumberFormat="1" applyFont="1"/>
    <xf numFmtId="4" fontId="2" fillId="0" borderId="0" xfId="0" applyNumberFormat="1" applyFont="1" applyAlignment="1">
      <alignment horizontal="right"/>
    </xf>
    <xf numFmtId="1" fontId="1" fillId="0" borderId="0" xfId="0" applyNumberFormat="1" applyFont="1"/>
    <xf numFmtId="0" fontId="1" fillId="0" borderId="0" xfId="0" applyNumberFormat="1" applyFont="1" applyAlignment="1"/>
    <xf numFmtId="164" fontId="1" fillId="0" borderId="0" xfId="0" applyNumberFormat="1" applyFont="1"/>
    <xf numFmtId="4" fontId="4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/>
    <xf numFmtId="172" fontId="1" fillId="0" borderId="0" xfId="0" applyNumberFormat="1" applyFont="1" applyProtection="1">
      <protection hidden="1"/>
    </xf>
    <xf numFmtId="4" fontId="5" fillId="0" borderId="0" xfId="0" applyNumberFormat="1" applyFont="1" applyAlignment="1"/>
    <xf numFmtId="4" fontId="6" fillId="0" borderId="0" xfId="0" applyNumberFormat="1" applyFont="1" applyAlignment="1"/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2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/>
    <xf numFmtId="164" fontId="2" fillId="0" borderId="0" xfId="0" applyNumberFormat="1" applyFont="1" applyFill="1" applyAlignment="1"/>
    <xf numFmtId="3" fontId="1" fillId="0" borderId="0" xfId="0" applyNumberFormat="1" applyFont="1" applyFill="1"/>
    <xf numFmtId="3" fontId="4" fillId="0" borderId="0" xfId="0" applyNumberFormat="1" applyFont="1" applyFill="1" applyAlignment="1"/>
    <xf numFmtId="4" fontId="2" fillId="0" borderId="0" xfId="0" applyNumberFormat="1" applyFont="1" applyFill="1" applyAlignment="1">
      <alignment horizontal="centerContinuous"/>
    </xf>
    <xf numFmtId="4" fontId="4" fillId="0" borderId="0" xfId="0" applyNumberFormat="1" applyFont="1" applyFill="1" applyAlignment="1">
      <alignment horizontal="centerContinuous"/>
    </xf>
    <xf numFmtId="4" fontId="4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4" fillId="0" borderId="0" xfId="0" applyNumberFormat="1" applyFont="1" applyFill="1" applyAlignment="1"/>
    <xf numFmtId="4" fontId="2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3" fontId="5" fillId="0" borderId="0" xfId="0" applyNumberFormat="1" applyFont="1" applyFill="1" applyAlignment="1"/>
    <xf numFmtId="3" fontId="2" fillId="0" borderId="0" xfId="0" applyNumberFormat="1" applyFont="1" applyFill="1" applyAlignment="1"/>
    <xf numFmtId="3" fontId="1" fillId="0" borderId="1" xfId="0" applyNumberFormat="1" applyFont="1" applyFill="1" applyBorder="1"/>
    <xf numFmtId="164" fontId="2" fillId="0" borderId="1" xfId="0" applyNumberFormat="1" applyFont="1" applyFill="1" applyBorder="1" applyAlignment="1"/>
    <xf numFmtId="49" fontId="1" fillId="0" borderId="0" xfId="0" applyNumberFormat="1" applyFont="1" applyFill="1" applyAlignment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/>
    <xf numFmtId="4" fontId="1" fillId="0" borderId="0" xfId="0" applyNumberFormat="1" applyFont="1" applyFill="1" applyAlignment="1"/>
    <xf numFmtId="171" fontId="1" fillId="0" borderId="0" xfId="0" applyNumberFormat="1" applyFont="1" applyFill="1"/>
    <xf numFmtId="10" fontId="1" fillId="0" borderId="0" xfId="0" applyNumberFormat="1" applyFont="1" applyFill="1"/>
    <xf numFmtId="10" fontId="1" fillId="0" borderId="0" xfId="0" applyNumberFormat="1" applyFont="1" applyFill="1" applyAlignment="1"/>
    <xf numFmtId="165" fontId="2" fillId="0" borderId="0" xfId="0" applyNumberFormat="1" applyFont="1" applyFill="1" applyAlignment="1"/>
    <xf numFmtId="1" fontId="1" fillId="0" borderId="0" xfId="0" applyNumberFormat="1" applyFont="1" applyFill="1"/>
    <xf numFmtId="3" fontId="1" fillId="0" borderId="0" xfId="0" applyNumberFormat="1" applyFont="1" applyFill="1" applyAlignment="1"/>
    <xf numFmtId="176" fontId="1" fillId="0" borderId="0" xfId="1" applyNumberFormat="1" applyFont="1" applyFill="1" applyAlignment="1"/>
    <xf numFmtId="164" fontId="1" fillId="0" borderId="0" xfId="0" applyNumberFormat="1" applyFont="1" applyFill="1" applyAlignment="1"/>
    <xf numFmtId="4" fontId="5" fillId="0" borderId="0" xfId="0" applyNumberFormat="1" applyFont="1" applyFill="1" applyAlignment="1"/>
    <xf numFmtId="176" fontId="1" fillId="0" borderId="0" xfId="0" applyNumberFormat="1" applyFont="1" applyFill="1" applyAlignment="1"/>
    <xf numFmtId="1" fontId="2" fillId="0" borderId="0" xfId="0" applyNumberFormat="1" applyFont="1" applyFill="1" applyAlignment="1"/>
    <xf numFmtId="4" fontId="1" fillId="0" borderId="0" xfId="0" applyNumberFormat="1" applyFont="1" applyFill="1" applyAlignment="1">
      <alignment horizontal="centerContinuous"/>
    </xf>
    <xf numFmtId="10" fontId="2" fillId="0" borderId="0" xfId="0" applyNumberFormat="1" applyFont="1" applyFill="1" applyAlignment="1">
      <alignment horizontal="centerContinuous"/>
    </xf>
    <xf numFmtId="4" fontId="4" fillId="0" borderId="0" xfId="0" applyNumberFormat="1" applyFont="1" applyFill="1" applyAlignment="1"/>
    <xf numFmtId="4" fontId="3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\BC10\BC10FER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9"/>
  <sheetViews>
    <sheetView zoomScale="87" zoomScaleNormal="87" workbookViewId="0">
      <selection activeCell="B11" sqref="B11"/>
    </sheetView>
  </sheetViews>
  <sheetFormatPr defaultRowHeight="15"/>
  <cols>
    <col min="1" max="1" width="18.6328125" style="18" customWidth="1"/>
    <col min="2" max="2" width="14.6328125" style="18" customWidth="1"/>
    <col min="3" max="3" width="15.6328125" style="18" customWidth="1"/>
    <col min="4" max="4" width="14.6328125" style="18" customWidth="1"/>
    <col min="5" max="256" width="9.6328125" style="18" customWidth="1"/>
  </cols>
  <sheetData>
    <row r="1" spans="1:5">
      <c r="A1" s="4" t="s">
        <v>48</v>
      </c>
    </row>
    <row r="2" spans="1:5">
      <c r="A2" s="33"/>
      <c r="B2" s="49" t="s">
        <v>51</v>
      </c>
      <c r="C2" s="33"/>
      <c r="D2" s="33"/>
      <c r="E2" s="33"/>
    </row>
    <row r="3" spans="1:5">
      <c r="A3" s="50" t="s">
        <v>49</v>
      </c>
      <c r="B3" s="49" t="s">
        <v>52</v>
      </c>
      <c r="C3" s="49" t="s">
        <v>53</v>
      </c>
      <c r="D3" s="49" t="s">
        <v>54</v>
      </c>
      <c r="E3" s="33"/>
    </row>
    <row r="4" spans="1:5">
      <c r="A4" s="33"/>
      <c r="B4" s="33"/>
      <c r="C4" s="33"/>
      <c r="D4" s="33"/>
      <c r="E4" s="33"/>
    </row>
    <row r="5" spans="1:5">
      <c r="A5" s="51" t="s">
        <v>220</v>
      </c>
      <c r="B5" s="35">
        <v>274108390</v>
      </c>
      <c r="C5" s="35">
        <v>224961930</v>
      </c>
      <c r="D5" s="52">
        <f>(B5/C5)-1</f>
        <v>0.21846567550340623</v>
      </c>
      <c r="E5" s="33"/>
    </row>
    <row r="6" spans="1:5">
      <c r="A6" s="51" t="s">
        <v>221</v>
      </c>
      <c r="B6" s="35">
        <v>423023900</v>
      </c>
      <c r="C6" s="35">
        <v>340580610</v>
      </c>
      <c r="D6" s="52">
        <f>(B6/C6)-1</f>
        <v>0.24206689276879279</v>
      </c>
      <c r="E6" s="33"/>
    </row>
    <row r="7" spans="1:5">
      <c r="A7" s="51" t="s">
        <v>217</v>
      </c>
      <c r="B7" s="35">
        <v>279858380</v>
      </c>
      <c r="C7" s="35">
        <v>221288531</v>
      </c>
      <c r="D7" s="52">
        <f>(B7/C7)-1</f>
        <v>0.26467638758919687</v>
      </c>
      <c r="E7" s="33"/>
    </row>
    <row r="8" spans="1:5">
      <c r="A8" s="50" t="s">
        <v>50</v>
      </c>
      <c r="B8" s="35">
        <f>B7+B6-B5</f>
        <v>428773890</v>
      </c>
      <c r="C8" s="35">
        <f>C7+C6-C5</f>
        <v>336907211</v>
      </c>
      <c r="D8" s="52">
        <f>(B8/C8)-1</f>
        <v>0.27267649964310192</v>
      </c>
      <c r="E8" s="33"/>
    </row>
    <row r="9" spans="1:5">
      <c r="A9" s="33"/>
      <c r="B9" s="33"/>
      <c r="C9" s="33"/>
      <c r="D9" s="33"/>
      <c r="E9" s="33"/>
    </row>
  </sheetData>
  <printOptions horizontalCentered="1"/>
  <pageMargins left="0.65" right="0.5" top="0.2" bottom="0.25277777777777777" header="0" footer="0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3"/>
  <sheetViews>
    <sheetView zoomScale="87" zoomScaleNormal="87" workbookViewId="0">
      <selection activeCell="A3" sqref="A3"/>
    </sheetView>
  </sheetViews>
  <sheetFormatPr defaultRowHeight="15"/>
  <cols>
    <col min="1" max="1" width="16.6328125" style="18" customWidth="1"/>
    <col min="2" max="2" width="11.6328125" style="18" customWidth="1"/>
    <col min="3" max="3" width="9.6328125" style="18" customWidth="1"/>
    <col min="4" max="4" width="11.6328125" style="18" customWidth="1"/>
    <col min="5" max="256" width="9.6328125" style="18" customWidth="1"/>
  </cols>
  <sheetData>
    <row r="1" spans="1:6">
      <c r="A1" s="4" t="s">
        <v>55</v>
      </c>
    </row>
    <row r="2" spans="1:6">
      <c r="A2" s="33"/>
      <c r="B2" s="33"/>
      <c r="C2" s="33"/>
      <c r="D2" s="33"/>
      <c r="E2" s="33"/>
      <c r="F2" s="33"/>
    </row>
    <row r="3" spans="1:6">
      <c r="A3" s="33"/>
      <c r="B3" s="50" t="s">
        <v>57</v>
      </c>
      <c r="C3" s="33"/>
      <c r="D3" s="50" t="s">
        <v>59</v>
      </c>
      <c r="E3" s="33"/>
      <c r="F3" s="33"/>
    </row>
    <row r="4" spans="1:6">
      <c r="A4" s="33"/>
      <c r="B4" s="42" t="s">
        <v>58</v>
      </c>
      <c r="C4" s="33"/>
      <c r="D4" s="42" t="s">
        <v>58</v>
      </c>
      <c r="E4" s="33"/>
      <c r="F4" s="33"/>
    </row>
    <row r="5" spans="1:6">
      <c r="A5" s="51" t="s">
        <v>222</v>
      </c>
      <c r="B5" s="35">
        <v>24412</v>
      </c>
      <c r="C5" s="33"/>
      <c r="D5" s="35">
        <v>2955</v>
      </c>
      <c r="E5" s="33"/>
      <c r="F5" s="33"/>
    </row>
    <row r="6" spans="1:6">
      <c r="A6" s="51" t="s">
        <v>221</v>
      </c>
      <c r="B6" s="35">
        <v>36701</v>
      </c>
      <c r="C6" s="33"/>
      <c r="D6" s="35">
        <v>4444</v>
      </c>
      <c r="E6" s="33"/>
      <c r="F6" s="33"/>
    </row>
    <row r="7" spans="1:6">
      <c r="A7" s="51" t="s">
        <v>217</v>
      </c>
      <c r="B7" s="33">
        <v>24657</v>
      </c>
      <c r="C7" s="33"/>
      <c r="D7" s="33">
        <v>2994</v>
      </c>
      <c r="E7" s="33"/>
      <c r="F7" s="33"/>
    </row>
    <row r="8" spans="1:6">
      <c r="A8" s="33"/>
      <c r="B8" s="33"/>
      <c r="C8" s="33"/>
      <c r="D8" s="33"/>
      <c r="E8" s="33"/>
      <c r="F8" s="33"/>
    </row>
    <row r="9" spans="1:6">
      <c r="A9" s="50" t="s">
        <v>56</v>
      </c>
      <c r="B9" s="35">
        <f>B7+B6-B5</f>
        <v>36946</v>
      </c>
      <c r="C9" s="33"/>
      <c r="D9" s="35">
        <f>D7+D6-D5</f>
        <v>4483</v>
      </c>
      <c r="E9" s="33"/>
      <c r="F9" s="33"/>
    </row>
    <row r="10" spans="1:6">
      <c r="A10" s="50"/>
      <c r="B10" s="35">
        <v>0</v>
      </c>
      <c r="C10" s="33"/>
      <c r="D10" s="35">
        <v>0</v>
      </c>
      <c r="E10" s="33"/>
      <c r="F10" s="33"/>
    </row>
    <row r="11" spans="1:6">
      <c r="A11" s="50" t="s">
        <v>47</v>
      </c>
      <c r="B11" s="35">
        <f>B9/12+B10</f>
        <v>3078.8333333333335</v>
      </c>
      <c r="C11" s="33"/>
      <c r="D11" s="35">
        <f>D9/12+D10</f>
        <v>373.58333333333331</v>
      </c>
      <c r="E11" s="33"/>
      <c r="F11" s="33"/>
    </row>
    <row r="12" spans="1:6">
      <c r="A12" s="33"/>
      <c r="B12" s="33"/>
      <c r="C12" s="33"/>
      <c r="D12" s="33"/>
      <c r="E12" s="33"/>
      <c r="F12" s="33"/>
    </row>
    <row r="13" spans="1:6">
      <c r="A13" s="33"/>
      <c r="B13" s="33"/>
      <c r="C13" s="33"/>
      <c r="D13" s="33"/>
      <c r="E13" s="33"/>
      <c r="F13" s="33"/>
    </row>
  </sheetData>
  <printOptions horizontalCentered="1"/>
  <pageMargins left="0.65" right="0.5" top="0.2" bottom="0.25277777777777777" header="0" footer="0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IV115"/>
  <sheetViews>
    <sheetView topLeftCell="A67" zoomScale="87" zoomScaleNormal="87" workbookViewId="0">
      <selection activeCell="A6" sqref="A6"/>
    </sheetView>
  </sheetViews>
  <sheetFormatPr defaultRowHeight="15"/>
  <cols>
    <col min="1" max="1" width="34.6328125" style="18" customWidth="1"/>
    <col min="2" max="4" width="12.6328125" style="18" customWidth="1"/>
    <col min="5" max="5" width="11.6328125" style="18" customWidth="1"/>
    <col min="6" max="6" width="12.6328125" style="18" customWidth="1"/>
    <col min="7" max="7" width="13.6328125" style="18" customWidth="1"/>
    <col min="8" max="10" width="9.6328125" style="18" customWidth="1"/>
    <col min="11" max="11" width="2.6328125" style="18" customWidth="1"/>
    <col min="12" max="13" width="9.6328125" style="18" customWidth="1"/>
    <col min="14" max="14" width="2.6328125" style="18" customWidth="1"/>
    <col min="15" max="15" width="11.6328125" style="18" customWidth="1"/>
    <col min="16" max="256" width="9.6328125" style="18" customWidth="1"/>
  </cols>
  <sheetData>
    <row r="8" spans="1:16">
      <c r="F8" s="32" t="s">
        <v>219</v>
      </c>
    </row>
    <row r="9" spans="1:16">
      <c r="F9" s="5" t="s">
        <v>62</v>
      </c>
    </row>
    <row r="10" spans="1:16">
      <c r="A10" s="4" t="s">
        <v>60</v>
      </c>
      <c r="F10" s="5" t="s">
        <v>63</v>
      </c>
      <c r="I10" s="4"/>
      <c r="J10" s="4"/>
      <c r="L10" s="4"/>
    </row>
    <row r="11" spans="1:16">
      <c r="F11" s="5" t="s">
        <v>64</v>
      </c>
      <c r="L11" s="4"/>
      <c r="M11" s="4"/>
      <c r="O11" s="4"/>
      <c r="P11" s="4"/>
    </row>
    <row r="12" spans="1:16">
      <c r="A12" s="4" t="s">
        <v>0</v>
      </c>
      <c r="B12" s="6" t="s">
        <v>220</v>
      </c>
      <c r="C12" s="6" t="s">
        <v>221</v>
      </c>
      <c r="D12" s="6" t="s">
        <v>217</v>
      </c>
      <c r="E12" s="6" t="s">
        <v>61</v>
      </c>
      <c r="F12" s="6" t="s">
        <v>65</v>
      </c>
      <c r="G12" s="7" t="s">
        <v>66</v>
      </c>
    </row>
    <row r="13" spans="1:16">
      <c r="A13" s="4" t="s">
        <v>1</v>
      </c>
    </row>
    <row r="14" spans="1:16">
      <c r="A14" s="4" t="s">
        <v>2</v>
      </c>
      <c r="B14" s="19">
        <v>1448041</v>
      </c>
      <c r="C14" s="19">
        <v>2183967</v>
      </c>
      <c r="D14" s="19">
        <v>1439567</v>
      </c>
      <c r="E14" s="19">
        <f t="shared" ref="E14:E19" si="0">D14+C14-B14</f>
        <v>2175493</v>
      </c>
      <c r="F14" s="19">
        <v>0</v>
      </c>
      <c r="G14" s="19">
        <f t="shared" ref="G14:G19" si="1">F14+E14</f>
        <v>2175493</v>
      </c>
    </row>
    <row r="15" spans="1:16">
      <c r="A15" s="4" t="s">
        <v>3</v>
      </c>
      <c r="B15" s="9">
        <v>19984</v>
      </c>
      <c r="C15" s="9">
        <v>29957</v>
      </c>
      <c r="D15" s="9">
        <v>21814</v>
      </c>
      <c r="E15" s="9">
        <f t="shared" si="0"/>
        <v>31787</v>
      </c>
      <c r="F15" s="9"/>
      <c r="G15" s="9">
        <f t="shared" si="1"/>
        <v>31787</v>
      </c>
    </row>
    <row r="16" spans="1:16">
      <c r="A16" s="4" t="s">
        <v>4</v>
      </c>
      <c r="B16" s="9">
        <v>16818</v>
      </c>
      <c r="C16" s="13">
        <v>25388</v>
      </c>
      <c r="D16" s="13">
        <v>16775</v>
      </c>
      <c r="E16" s="9">
        <f t="shared" si="0"/>
        <v>25345</v>
      </c>
      <c r="F16" s="9"/>
      <c r="G16" s="9">
        <f t="shared" si="1"/>
        <v>25345</v>
      </c>
    </row>
    <row r="17" spans="1:7">
      <c r="A17" s="4" t="s">
        <v>5</v>
      </c>
      <c r="B17" s="9">
        <v>1352</v>
      </c>
      <c r="C17" s="9">
        <v>2068</v>
      </c>
      <c r="D17" s="9">
        <v>1410</v>
      </c>
      <c r="E17" s="9">
        <f t="shared" si="0"/>
        <v>2126</v>
      </c>
      <c r="F17" s="9"/>
      <c r="G17" s="9">
        <f t="shared" si="1"/>
        <v>2126</v>
      </c>
    </row>
    <row r="18" spans="1:7">
      <c r="A18" s="4" t="s">
        <v>6</v>
      </c>
      <c r="B18" s="9">
        <v>11618</v>
      </c>
      <c r="C18" s="9">
        <v>18532</v>
      </c>
      <c r="D18" s="9">
        <v>14883</v>
      </c>
      <c r="E18" s="9">
        <f t="shared" si="0"/>
        <v>21797</v>
      </c>
      <c r="F18" s="9"/>
      <c r="G18" s="9">
        <f t="shared" si="1"/>
        <v>21797</v>
      </c>
    </row>
    <row r="19" spans="1:7">
      <c r="A19" s="1" t="s">
        <v>213</v>
      </c>
      <c r="B19" s="9">
        <v>21086</v>
      </c>
      <c r="C19" s="9">
        <v>35149</v>
      </c>
      <c r="D19" s="9">
        <v>23684</v>
      </c>
      <c r="E19" s="9">
        <f t="shared" si="0"/>
        <v>37747</v>
      </c>
      <c r="F19" s="9"/>
      <c r="G19" s="9">
        <f t="shared" si="1"/>
        <v>37747</v>
      </c>
    </row>
    <row r="20" spans="1:7">
      <c r="G20" s="3"/>
    </row>
    <row r="21" spans="1:7">
      <c r="A21" s="11" t="s">
        <v>7</v>
      </c>
      <c r="B21" s="19">
        <f>SUM(B14:B19)</f>
        <v>1518899</v>
      </c>
      <c r="C21" s="19">
        <f>SUM(C14:C19)</f>
        <v>2295061</v>
      </c>
      <c r="D21" s="19">
        <f>SUM(D14:D19)</f>
        <v>1518133</v>
      </c>
      <c r="E21" s="19">
        <f>SUM(E14:E19)</f>
        <v>2294295</v>
      </c>
      <c r="F21" s="19">
        <f>SUM(F14:F19)</f>
        <v>0</v>
      </c>
      <c r="G21" s="19">
        <f>F21+E21</f>
        <v>2294295</v>
      </c>
    </row>
    <row r="22" spans="1:7">
      <c r="G22" s="3"/>
    </row>
    <row r="23" spans="1:7">
      <c r="A23" s="4" t="s">
        <v>8</v>
      </c>
      <c r="G23" s="3"/>
    </row>
    <row r="24" spans="1:7">
      <c r="A24" s="4" t="s">
        <v>9</v>
      </c>
      <c r="B24" s="19">
        <v>139450</v>
      </c>
      <c r="C24" s="19">
        <v>209132</v>
      </c>
      <c r="D24" s="19">
        <v>141175</v>
      </c>
      <c r="E24" s="19">
        <f t="shared" ref="E24:E41" si="2">D24+C24-B24</f>
        <v>210857</v>
      </c>
      <c r="F24" s="19"/>
      <c r="G24" s="19">
        <f t="shared" ref="G24:G41" si="3">F24+E24</f>
        <v>210857</v>
      </c>
    </row>
    <row r="25" spans="1:7">
      <c r="A25" s="4" t="s">
        <v>10</v>
      </c>
      <c r="B25" s="9">
        <v>7200</v>
      </c>
      <c r="C25" s="9">
        <v>10800</v>
      </c>
      <c r="D25" s="9">
        <v>7200</v>
      </c>
      <c r="E25" s="9">
        <f t="shared" si="2"/>
        <v>10800</v>
      </c>
      <c r="F25" s="9"/>
      <c r="G25" s="9">
        <f t="shared" si="3"/>
        <v>10800</v>
      </c>
    </row>
    <row r="26" spans="1:7">
      <c r="A26" s="4" t="s">
        <v>11</v>
      </c>
      <c r="B26" s="9">
        <v>86923</v>
      </c>
      <c r="C26" s="9">
        <v>123937</v>
      </c>
      <c r="D26" s="9">
        <v>85049</v>
      </c>
      <c r="E26" s="9">
        <f t="shared" si="2"/>
        <v>122063</v>
      </c>
      <c r="F26" s="9"/>
      <c r="G26" s="9">
        <f t="shared" si="3"/>
        <v>122063</v>
      </c>
    </row>
    <row r="27" spans="1:7">
      <c r="A27" s="4" t="s">
        <v>12</v>
      </c>
      <c r="B27" s="9">
        <v>729179</v>
      </c>
      <c r="C27" s="9">
        <v>1103667</v>
      </c>
      <c r="D27" s="9">
        <v>745634</v>
      </c>
      <c r="E27" s="9">
        <f t="shared" si="2"/>
        <v>1120122</v>
      </c>
      <c r="F27" s="9"/>
      <c r="G27" s="9">
        <f t="shared" si="3"/>
        <v>1120122</v>
      </c>
    </row>
    <row r="28" spans="1:7">
      <c r="A28" s="4" t="s">
        <v>13</v>
      </c>
      <c r="B28" s="9">
        <v>17799</v>
      </c>
      <c r="C28" s="9">
        <v>26322</v>
      </c>
      <c r="D28" s="9">
        <v>18658</v>
      </c>
      <c r="E28" s="9">
        <f t="shared" si="2"/>
        <v>27181</v>
      </c>
      <c r="F28" s="9"/>
      <c r="G28" s="9">
        <f t="shared" si="3"/>
        <v>27181</v>
      </c>
    </row>
    <row r="29" spans="1:7">
      <c r="A29" s="4" t="s">
        <v>14</v>
      </c>
      <c r="B29" s="9">
        <v>0</v>
      </c>
      <c r="C29" s="9">
        <v>0</v>
      </c>
      <c r="D29" s="9">
        <v>0</v>
      </c>
      <c r="E29" s="9">
        <f t="shared" si="2"/>
        <v>0</v>
      </c>
      <c r="F29" s="9"/>
      <c r="G29" s="9">
        <f t="shared" si="3"/>
        <v>0</v>
      </c>
    </row>
    <row r="30" spans="1:7">
      <c r="A30" s="18" t="s">
        <v>15</v>
      </c>
      <c r="B30" s="9">
        <v>15328</v>
      </c>
      <c r="C30" s="9">
        <v>23874</v>
      </c>
      <c r="D30" s="9">
        <v>25063</v>
      </c>
      <c r="E30" s="9">
        <f t="shared" si="2"/>
        <v>33609</v>
      </c>
      <c r="F30" s="9"/>
      <c r="G30" s="9">
        <f t="shared" si="3"/>
        <v>33609</v>
      </c>
    </row>
    <row r="31" spans="1:7">
      <c r="A31" s="4" t="s">
        <v>16</v>
      </c>
      <c r="B31" s="9">
        <v>0</v>
      </c>
      <c r="C31" s="9">
        <v>0</v>
      </c>
      <c r="D31" s="9">
        <v>0</v>
      </c>
      <c r="E31" s="9">
        <f t="shared" si="2"/>
        <v>0</v>
      </c>
      <c r="F31" s="9"/>
      <c r="G31" s="9">
        <f t="shared" si="3"/>
        <v>0</v>
      </c>
    </row>
    <row r="32" spans="1:7">
      <c r="A32" s="4" t="s">
        <v>17</v>
      </c>
      <c r="B32" s="9">
        <v>6050</v>
      </c>
      <c r="C32" s="9">
        <v>9084</v>
      </c>
      <c r="D32" s="9">
        <v>5758</v>
      </c>
      <c r="E32" s="9">
        <f t="shared" si="2"/>
        <v>8792</v>
      </c>
      <c r="F32" s="9"/>
      <c r="G32" s="9">
        <f t="shared" si="3"/>
        <v>8792</v>
      </c>
    </row>
    <row r="33" spans="1:7">
      <c r="A33" s="4" t="s">
        <v>18</v>
      </c>
      <c r="B33" s="9">
        <v>717</v>
      </c>
      <c r="C33" s="9">
        <v>843</v>
      </c>
      <c r="D33" s="9">
        <v>25</v>
      </c>
      <c r="E33" s="9">
        <f t="shared" si="2"/>
        <v>151</v>
      </c>
      <c r="F33" s="9"/>
      <c r="G33" s="9">
        <f t="shared" si="3"/>
        <v>151</v>
      </c>
    </row>
    <row r="34" spans="1:7">
      <c r="A34" s="4" t="s">
        <v>19</v>
      </c>
      <c r="B34" s="9">
        <v>70567</v>
      </c>
      <c r="C34" s="9">
        <v>102361</v>
      </c>
      <c r="D34" s="9">
        <v>71015</v>
      </c>
      <c r="E34" s="9">
        <f t="shared" si="2"/>
        <v>102809</v>
      </c>
      <c r="F34" s="9"/>
      <c r="G34" s="9">
        <f t="shared" si="3"/>
        <v>102809</v>
      </c>
    </row>
    <row r="35" spans="1:7">
      <c r="A35" s="4" t="s">
        <v>20</v>
      </c>
      <c r="B35" s="9">
        <v>6608</v>
      </c>
      <c r="C35" s="9">
        <v>9912</v>
      </c>
      <c r="D35" s="9">
        <v>6927</v>
      </c>
      <c r="E35" s="9">
        <f t="shared" si="2"/>
        <v>10231</v>
      </c>
      <c r="F35" s="9"/>
      <c r="G35" s="9">
        <f t="shared" si="3"/>
        <v>10231</v>
      </c>
    </row>
    <row r="36" spans="1:7">
      <c r="A36" s="4" t="s">
        <v>21</v>
      </c>
      <c r="B36" s="9">
        <v>18126</v>
      </c>
      <c r="C36" s="9">
        <v>27447</v>
      </c>
      <c r="D36" s="9">
        <v>20580</v>
      </c>
      <c r="E36" s="9">
        <f t="shared" si="2"/>
        <v>29901</v>
      </c>
      <c r="F36" s="9"/>
      <c r="G36" s="9">
        <f t="shared" si="3"/>
        <v>29901</v>
      </c>
    </row>
    <row r="37" spans="1:7">
      <c r="A37" s="4" t="s">
        <v>22</v>
      </c>
      <c r="B37" s="9">
        <v>8787</v>
      </c>
      <c r="C37" s="9">
        <v>13175</v>
      </c>
      <c r="D37" s="9">
        <v>8736</v>
      </c>
      <c r="E37" s="9">
        <f t="shared" si="2"/>
        <v>13124</v>
      </c>
      <c r="F37" s="9"/>
      <c r="G37" s="9">
        <f t="shared" si="3"/>
        <v>13124</v>
      </c>
    </row>
    <row r="38" spans="1:7">
      <c r="A38" s="4" t="s">
        <v>23</v>
      </c>
      <c r="B38" s="9">
        <v>536</v>
      </c>
      <c r="C38" s="9">
        <v>804</v>
      </c>
      <c r="D38" s="9">
        <v>536</v>
      </c>
      <c r="E38" s="9">
        <f t="shared" si="2"/>
        <v>804</v>
      </c>
      <c r="F38" s="9"/>
      <c r="G38" s="9">
        <f t="shared" si="3"/>
        <v>804</v>
      </c>
    </row>
    <row r="39" spans="1:7">
      <c r="A39" s="4" t="s">
        <v>24</v>
      </c>
      <c r="B39" s="9">
        <v>2843</v>
      </c>
      <c r="C39" s="9">
        <v>4328</v>
      </c>
      <c r="D39" s="9">
        <v>2932</v>
      </c>
      <c r="E39" s="9">
        <f t="shared" si="2"/>
        <v>4417</v>
      </c>
      <c r="F39" s="9"/>
      <c r="G39" s="9">
        <f t="shared" si="3"/>
        <v>4417</v>
      </c>
    </row>
    <row r="40" spans="1:7">
      <c r="A40" s="4" t="s">
        <v>25</v>
      </c>
      <c r="B40" s="9">
        <v>3431</v>
      </c>
      <c r="C40" s="9">
        <v>3879</v>
      </c>
      <c r="D40" s="9">
        <v>1556</v>
      </c>
      <c r="E40" s="9">
        <f t="shared" si="2"/>
        <v>2004</v>
      </c>
      <c r="F40" s="9"/>
      <c r="G40" s="9">
        <f t="shared" si="3"/>
        <v>2004</v>
      </c>
    </row>
    <row r="41" spans="1:7">
      <c r="A41" s="4" t="s">
        <v>26</v>
      </c>
      <c r="B41" s="9">
        <v>3407</v>
      </c>
      <c r="C41" s="9">
        <v>4348</v>
      </c>
      <c r="D41" s="9">
        <v>3372</v>
      </c>
      <c r="E41" s="9">
        <f t="shared" si="2"/>
        <v>4313</v>
      </c>
      <c r="F41" s="9"/>
      <c r="G41" s="9">
        <f t="shared" si="3"/>
        <v>4313</v>
      </c>
    </row>
    <row r="42" spans="1:7">
      <c r="G42" s="3"/>
    </row>
    <row r="43" spans="1:7">
      <c r="G43" s="3"/>
    </row>
    <row r="44" spans="1:7">
      <c r="A44" s="4" t="s">
        <v>27</v>
      </c>
      <c r="B44" s="19">
        <f t="shared" ref="B44:G44" si="4">SUM(B24:B41)</f>
        <v>1116951</v>
      </c>
      <c r="C44" s="19">
        <f t="shared" si="4"/>
        <v>1673913</v>
      </c>
      <c r="D44" s="19">
        <f t="shared" si="4"/>
        <v>1144216</v>
      </c>
      <c r="E44" s="19">
        <f t="shared" si="4"/>
        <v>1701178</v>
      </c>
      <c r="F44" s="19">
        <f t="shared" si="4"/>
        <v>0</v>
      </c>
      <c r="G44" s="19">
        <f t="shared" si="4"/>
        <v>1701178</v>
      </c>
    </row>
    <row r="45" spans="1:7">
      <c r="G45" s="3"/>
    </row>
    <row r="46" spans="1:7">
      <c r="A46" s="4" t="s">
        <v>28</v>
      </c>
      <c r="G46" s="3"/>
    </row>
    <row r="47" spans="1:7">
      <c r="A47" s="4" t="s">
        <v>29</v>
      </c>
      <c r="B47" s="19">
        <v>301591</v>
      </c>
      <c r="C47" s="19">
        <v>455167</v>
      </c>
      <c r="D47" s="19">
        <v>308806</v>
      </c>
      <c r="E47" s="19">
        <f>D47+C47-B47</f>
        <v>462382</v>
      </c>
      <c r="F47" s="19"/>
      <c r="G47" s="19">
        <f>F47+E47</f>
        <v>462382</v>
      </c>
    </row>
    <row r="48" spans="1:7">
      <c r="A48" s="4" t="s">
        <v>30</v>
      </c>
      <c r="B48" s="9">
        <v>0</v>
      </c>
      <c r="C48" s="9">
        <v>0</v>
      </c>
      <c r="D48" s="9">
        <v>0</v>
      </c>
      <c r="E48" s="9">
        <f>D48+C48-B48</f>
        <v>0</v>
      </c>
      <c r="F48" s="9"/>
      <c r="G48" s="9">
        <f>F48+E48</f>
        <v>0</v>
      </c>
    </row>
    <row r="49" spans="1:7">
      <c r="A49" s="4" t="s">
        <v>31</v>
      </c>
      <c r="B49" s="9">
        <v>0</v>
      </c>
      <c r="C49" s="9">
        <v>0</v>
      </c>
      <c r="D49" s="9">
        <v>0</v>
      </c>
      <c r="E49" s="9">
        <f>D49+C49-B49</f>
        <v>0</v>
      </c>
      <c r="F49" s="9"/>
      <c r="G49" s="9">
        <f>F49+E49</f>
        <v>0</v>
      </c>
    </row>
    <row r="50" spans="1:7">
      <c r="A50" s="18" t="s">
        <v>32</v>
      </c>
      <c r="B50" s="9">
        <v>1772</v>
      </c>
      <c r="C50" s="9">
        <v>2658</v>
      </c>
      <c r="D50" s="9">
        <v>1703</v>
      </c>
      <c r="E50" s="9">
        <f>D50+C50-B50</f>
        <v>2589</v>
      </c>
      <c r="F50" s="9"/>
      <c r="G50" s="9">
        <f>F50+E50</f>
        <v>2589</v>
      </c>
    </row>
    <row r="51" spans="1:7">
      <c r="A51" s="18" t="s">
        <v>196</v>
      </c>
      <c r="B51" s="9">
        <v>3192</v>
      </c>
      <c r="C51" s="9">
        <v>4788</v>
      </c>
      <c r="D51" s="9">
        <v>3104</v>
      </c>
      <c r="E51" s="9">
        <f>D51+C51-B51</f>
        <v>4700</v>
      </c>
      <c r="F51" s="9"/>
      <c r="G51" s="9">
        <f>F51+E51</f>
        <v>4700</v>
      </c>
    </row>
    <row r="52" spans="1:7">
      <c r="G52" s="3"/>
    </row>
    <row r="53" spans="1:7">
      <c r="A53" s="18" t="s">
        <v>33</v>
      </c>
      <c r="B53" s="19">
        <f>SUM(B47:B51)</f>
        <v>306555</v>
      </c>
      <c r="C53" s="19">
        <f t="shared" ref="C53:G53" si="5">SUM(C47:C51)</f>
        <v>462613</v>
      </c>
      <c r="D53" s="19">
        <f t="shared" si="5"/>
        <v>313613</v>
      </c>
      <c r="E53" s="19">
        <f t="shared" si="5"/>
        <v>469671</v>
      </c>
      <c r="F53" s="19">
        <f>SUM(F45:F48)</f>
        <v>0</v>
      </c>
      <c r="G53" s="19">
        <f t="shared" si="5"/>
        <v>469671</v>
      </c>
    </row>
    <row r="54" spans="1:7">
      <c r="A54" s="4" t="s">
        <v>34</v>
      </c>
      <c r="G54" s="3"/>
    </row>
    <row r="55" spans="1:7">
      <c r="A55" s="4" t="s">
        <v>35</v>
      </c>
      <c r="G55" s="3"/>
    </row>
    <row r="56" spans="1:7">
      <c r="A56" s="4" t="s">
        <v>36</v>
      </c>
      <c r="E56" s="19">
        <f t="shared" ref="E56:E61" si="6">D56+C56-B56</f>
        <v>0</v>
      </c>
      <c r="G56" s="19">
        <f t="shared" ref="G56:G61" si="7">F56+E56</f>
        <v>0</v>
      </c>
    </row>
    <row r="57" spans="1:7">
      <c r="A57" s="4" t="s">
        <v>37</v>
      </c>
      <c r="B57" s="9"/>
      <c r="C57" s="9"/>
      <c r="D57" s="9"/>
      <c r="E57" s="9">
        <f t="shared" si="6"/>
        <v>0</v>
      </c>
      <c r="F57" s="9"/>
      <c r="G57" s="9">
        <f t="shared" si="7"/>
        <v>0</v>
      </c>
    </row>
    <row r="58" spans="1:7">
      <c r="A58" s="4" t="s">
        <v>38</v>
      </c>
      <c r="B58" s="9"/>
      <c r="C58" s="9"/>
      <c r="D58" s="9"/>
      <c r="E58" s="9">
        <f t="shared" si="6"/>
        <v>0</v>
      </c>
      <c r="F58" s="9"/>
      <c r="G58" s="9">
        <f t="shared" si="7"/>
        <v>0</v>
      </c>
    </row>
    <row r="59" spans="1:7">
      <c r="A59" s="4" t="s">
        <v>39</v>
      </c>
      <c r="B59" s="9"/>
      <c r="C59" s="9"/>
      <c r="D59" s="9"/>
      <c r="E59" s="9">
        <f t="shared" si="6"/>
        <v>0</v>
      </c>
      <c r="F59" s="9"/>
      <c r="G59" s="9">
        <f t="shared" si="7"/>
        <v>0</v>
      </c>
    </row>
    <row r="60" spans="1:7">
      <c r="A60" s="4" t="s">
        <v>40</v>
      </c>
      <c r="B60" s="9"/>
      <c r="C60" s="9"/>
      <c r="D60" s="9"/>
      <c r="E60" s="9">
        <f t="shared" si="6"/>
        <v>0</v>
      </c>
      <c r="F60" s="9"/>
      <c r="G60" s="9">
        <f t="shared" si="7"/>
        <v>0</v>
      </c>
    </row>
    <row r="61" spans="1:7">
      <c r="A61" s="4" t="s">
        <v>41</v>
      </c>
      <c r="B61" s="9"/>
      <c r="C61" s="9"/>
      <c r="D61" s="9"/>
      <c r="E61" s="9">
        <f t="shared" si="6"/>
        <v>0</v>
      </c>
      <c r="F61" s="9"/>
      <c r="G61" s="9">
        <f t="shared" si="7"/>
        <v>0</v>
      </c>
    </row>
    <row r="62" spans="1:7">
      <c r="G62" s="3"/>
    </row>
    <row r="63" spans="1:7">
      <c r="A63" s="18" t="s">
        <v>42</v>
      </c>
      <c r="B63" s="19">
        <f t="shared" ref="B63:G63" si="8">SUM(B56:B61)</f>
        <v>0</v>
      </c>
      <c r="C63" s="19">
        <f t="shared" si="8"/>
        <v>0</v>
      </c>
      <c r="D63" s="19">
        <f t="shared" si="8"/>
        <v>0</v>
      </c>
      <c r="E63" s="19">
        <f t="shared" si="8"/>
        <v>0</v>
      </c>
      <c r="F63" s="19">
        <f t="shared" si="8"/>
        <v>0</v>
      </c>
      <c r="G63" s="19">
        <f t="shared" si="8"/>
        <v>0</v>
      </c>
    </row>
    <row r="64" spans="1:7">
      <c r="G64" s="3"/>
    </row>
    <row r="65" spans="1:16">
      <c r="A65" s="4"/>
      <c r="G65" s="3"/>
    </row>
    <row r="66" spans="1:16">
      <c r="A66" s="4" t="s">
        <v>43</v>
      </c>
      <c r="B66" s="19">
        <f t="shared" ref="B66:G66" si="9">B63+B53+B44</f>
        <v>1423506</v>
      </c>
      <c r="C66" s="19">
        <f t="shared" si="9"/>
        <v>2136526</v>
      </c>
      <c r="D66" s="19">
        <f t="shared" si="9"/>
        <v>1457829</v>
      </c>
      <c r="E66" s="19">
        <f t="shared" si="9"/>
        <v>2170849</v>
      </c>
      <c r="F66" s="19">
        <f t="shared" si="9"/>
        <v>0</v>
      </c>
      <c r="G66" s="19">
        <f t="shared" si="9"/>
        <v>2170849</v>
      </c>
    </row>
    <row r="67" spans="1:16">
      <c r="G67" s="3"/>
    </row>
    <row r="68" spans="1:16">
      <c r="G68" s="3"/>
    </row>
    <row r="69" spans="1:16">
      <c r="A69" s="4" t="s">
        <v>44</v>
      </c>
      <c r="B69" s="19">
        <f t="shared" ref="B69:G69" si="10">B21-B66</f>
        <v>95393</v>
      </c>
      <c r="C69" s="19">
        <f t="shared" si="10"/>
        <v>158535</v>
      </c>
      <c r="D69" s="19">
        <f t="shared" si="10"/>
        <v>60304</v>
      </c>
      <c r="E69" s="19">
        <f t="shared" si="10"/>
        <v>123446</v>
      </c>
      <c r="F69" s="19">
        <f t="shared" si="10"/>
        <v>0</v>
      </c>
      <c r="G69" s="19">
        <f t="shared" si="10"/>
        <v>123446</v>
      </c>
    </row>
    <row r="70" spans="1:16">
      <c r="A70" s="4"/>
      <c r="B70" s="3"/>
      <c r="C70" s="3"/>
      <c r="D70" s="3"/>
      <c r="E70" s="3"/>
      <c r="G70" s="3"/>
    </row>
    <row r="71" spans="1:16">
      <c r="G71" s="3"/>
    </row>
    <row r="72" spans="1:16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4"/>
      <c r="G73" s="3"/>
    </row>
    <row r="74" spans="1:16">
      <c r="A74" s="4"/>
      <c r="G74" s="3"/>
    </row>
    <row r="75" spans="1:16">
      <c r="A75" s="4"/>
      <c r="G75" s="3"/>
    </row>
    <row r="76" spans="1:16">
      <c r="A76" s="4"/>
      <c r="G76" s="3"/>
    </row>
    <row r="77" spans="1:16">
      <c r="G77" s="3"/>
    </row>
    <row r="78" spans="1:16">
      <c r="A78" s="4"/>
      <c r="G78" s="3"/>
    </row>
    <row r="79" spans="1:16">
      <c r="A79" s="4"/>
      <c r="G79" s="3"/>
    </row>
    <row r="80" spans="1:16">
      <c r="A80" s="4"/>
      <c r="G80" s="3"/>
    </row>
    <row r="81" spans="1:7">
      <c r="A81" s="4"/>
      <c r="G81" s="3"/>
    </row>
    <row r="82" spans="1:7">
      <c r="A82" s="4"/>
      <c r="G82" s="3"/>
    </row>
    <row r="83" spans="1:7">
      <c r="G83" s="3"/>
    </row>
    <row r="84" spans="1:7">
      <c r="A84" s="4"/>
      <c r="G84" s="3"/>
    </row>
    <row r="85" spans="1:7">
      <c r="A85" s="4"/>
      <c r="G85" s="3"/>
    </row>
    <row r="86" spans="1:7">
      <c r="A86" s="4"/>
      <c r="G86" s="3"/>
    </row>
    <row r="87" spans="1:7">
      <c r="A87" s="4"/>
      <c r="G87" s="3"/>
    </row>
    <row r="88" spans="1:7">
      <c r="A88" s="4"/>
      <c r="G88" s="3"/>
    </row>
    <row r="89" spans="1:7">
      <c r="A89" s="4"/>
      <c r="G89" s="3"/>
    </row>
    <row r="90" spans="1:7">
      <c r="A90" s="4"/>
      <c r="G90" s="3"/>
    </row>
    <row r="91" spans="1:7">
      <c r="A91" s="4"/>
      <c r="G91" s="3"/>
    </row>
    <row r="92" spans="1:7">
      <c r="A92" s="4"/>
      <c r="G92" s="3"/>
    </row>
    <row r="93" spans="1:7">
      <c r="A93" s="4"/>
      <c r="G93" s="3"/>
    </row>
    <row r="94" spans="1:7">
      <c r="G94" s="3"/>
    </row>
    <row r="95" spans="1:7">
      <c r="A95" s="4"/>
      <c r="B95" s="3"/>
      <c r="C95" s="3"/>
      <c r="D95" s="3"/>
      <c r="E95" s="3"/>
      <c r="G95" s="3"/>
    </row>
    <row r="96" spans="1:7">
      <c r="G96" s="3"/>
    </row>
    <row r="97" spans="1:7">
      <c r="A97" s="4"/>
      <c r="G97" s="3"/>
    </row>
    <row r="98" spans="1:7">
      <c r="G98" s="3"/>
    </row>
    <row r="99" spans="1:7">
      <c r="A99" s="4"/>
      <c r="G99" s="3"/>
    </row>
    <row r="100" spans="1:7">
      <c r="A100" s="4"/>
      <c r="G100" s="3"/>
    </row>
    <row r="101" spans="1:7">
      <c r="A101" s="4"/>
      <c r="G101" s="3"/>
    </row>
    <row r="102" spans="1:7">
      <c r="A102" s="4"/>
      <c r="G102" s="3"/>
    </row>
    <row r="103" spans="1:7">
      <c r="A103" s="4"/>
      <c r="G103" s="3"/>
    </row>
    <row r="104" spans="1:7">
      <c r="A104" s="4"/>
      <c r="G104" s="3"/>
    </row>
    <row r="105" spans="1:7">
      <c r="A105" s="4"/>
      <c r="G105" s="3"/>
    </row>
    <row r="106" spans="1:7">
      <c r="G106" s="3"/>
    </row>
    <row r="107" spans="1:7">
      <c r="G107" s="3"/>
    </row>
    <row r="108" spans="1:7">
      <c r="A108" s="4"/>
      <c r="B108" s="4"/>
      <c r="G108" s="3"/>
    </row>
    <row r="109" spans="1:7">
      <c r="A109" s="4"/>
      <c r="G109" s="3"/>
    </row>
    <row r="110" spans="1:7">
      <c r="G110" s="3"/>
    </row>
    <row r="111" spans="1:7">
      <c r="G111" s="3"/>
    </row>
    <row r="112" spans="1:7">
      <c r="A112" s="4"/>
      <c r="G112" s="3"/>
    </row>
    <row r="113" spans="7:7">
      <c r="G113" s="3"/>
    </row>
    <row r="114" spans="7:7">
      <c r="G114" s="3"/>
    </row>
    <row r="115" spans="7:7">
      <c r="G115" s="3"/>
    </row>
  </sheetData>
  <printOptions horizontalCentered="1"/>
  <pageMargins left="0.65" right="0.5" top="0.2" bottom="0.25277777777777777" header="0" footer="0"/>
  <pageSetup scale="73" orientation="portrait" r:id="rId1"/>
  <headerFooter alignWithMargins="0"/>
  <rowBreaks count="1" manualBreakCount="1">
    <brk id="71" min="1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7"/>
  <sheetViews>
    <sheetView topLeftCell="A16" zoomScale="87" zoomScaleNormal="87" workbookViewId="0">
      <selection activeCell="A2" sqref="A2"/>
    </sheetView>
  </sheetViews>
  <sheetFormatPr defaultRowHeight="15"/>
  <cols>
    <col min="1" max="1" width="22.6328125" style="18" customWidth="1"/>
    <col min="2" max="256" width="9.6328125" style="18" customWidth="1"/>
  </cols>
  <sheetData>
    <row r="1" spans="1:5">
      <c r="A1" s="50" t="s">
        <v>67</v>
      </c>
      <c r="B1" s="33"/>
      <c r="C1" s="33"/>
    </row>
    <row r="2" spans="1:5">
      <c r="A2" s="33"/>
      <c r="B2" s="33"/>
      <c r="C2" s="33"/>
    </row>
    <row r="3" spans="1:5">
      <c r="A3" s="33"/>
      <c r="B3" s="33"/>
      <c r="C3" s="49" t="s">
        <v>69</v>
      </c>
      <c r="D3" s="16" t="s">
        <v>71</v>
      </c>
    </row>
    <row r="4" spans="1:5">
      <c r="A4" s="50" t="s">
        <v>68</v>
      </c>
      <c r="B4" s="53">
        <v>9.7500000000000003E-2</v>
      </c>
      <c r="C4" s="49" t="s">
        <v>70</v>
      </c>
      <c r="D4" s="16" t="s">
        <v>64</v>
      </c>
    </row>
    <row r="5" spans="1:5">
      <c r="A5" s="54">
        <v>9.7500000000000003E-2</v>
      </c>
      <c r="B5" s="33"/>
      <c r="C5" s="55">
        <v>16.11</v>
      </c>
      <c r="D5" s="12">
        <f>ROUND((1+B$4)*C5,2)</f>
        <v>17.68</v>
      </c>
      <c r="E5" s="4" t="s">
        <v>72</v>
      </c>
    </row>
    <row r="6" spans="1:5">
      <c r="A6" s="33"/>
      <c r="B6" s="33"/>
      <c r="C6" s="43">
        <v>22.42</v>
      </c>
      <c r="D6" s="14">
        <f t="shared" ref="D6:D26" si="0">ROUND((1+B$4)*C6,2)</f>
        <v>24.61</v>
      </c>
      <c r="E6" s="4" t="s">
        <v>73</v>
      </c>
    </row>
    <row r="7" spans="1:5">
      <c r="A7" s="33"/>
      <c r="B7" s="33"/>
      <c r="C7" s="43">
        <v>34.520000000000003</v>
      </c>
      <c r="D7" s="14">
        <f t="shared" si="0"/>
        <v>37.89</v>
      </c>
      <c r="E7" s="4" t="s">
        <v>74</v>
      </c>
    </row>
    <row r="8" spans="1:5">
      <c r="A8" s="33"/>
      <c r="B8" s="33"/>
      <c r="C8" s="43">
        <v>69.540000000000006</v>
      </c>
      <c r="D8" s="14">
        <f t="shared" si="0"/>
        <v>76.319999999999993</v>
      </c>
      <c r="E8" s="4" t="s">
        <v>75</v>
      </c>
    </row>
    <row r="9" spans="1:5">
      <c r="C9" s="14">
        <v>102.19</v>
      </c>
      <c r="D9" s="14">
        <f t="shared" si="0"/>
        <v>112.15</v>
      </c>
      <c r="E9" s="4" t="s">
        <v>76</v>
      </c>
    </row>
    <row r="10" spans="1:5">
      <c r="C10" s="14">
        <v>201.9</v>
      </c>
      <c r="D10" s="14">
        <f t="shared" si="0"/>
        <v>221.59</v>
      </c>
      <c r="E10" s="4" t="s">
        <v>77</v>
      </c>
    </row>
    <row r="11" spans="1:5">
      <c r="C11" s="14">
        <v>311.70999999999998</v>
      </c>
      <c r="D11" s="14">
        <f t="shared" si="0"/>
        <v>342.1</v>
      </c>
      <c r="E11" s="4" t="s">
        <v>78</v>
      </c>
    </row>
    <row r="12" spans="1:5">
      <c r="C12" s="14">
        <v>585.25</v>
      </c>
      <c r="D12" s="14">
        <f t="shared" si="0"/>
        <v>642.30999999999995</v>
      </c>
      <c r="E12" s="4" t="s">
        <v>79</v>
      </c>
    </row>
    <row r="13" spans="1:5">
      <c r="C13" s="14">
        <v>916.71</v>
      </c>
      <c r="D13" s="14">
        <f t="shared" si="0"/>
        <v>1006.09</v>
      </c>
      <c r="E13" s="4" t="s">
        <v>80</v>
      </c>
    </row>
    <row r="14" spans="1:5">
      <c r="C14" s="14">
        <v>2838.09</v>
      </c>
      <c r="D14" s="14">
        <f t="shared" si="0"/>
        <v>3114.8</v>
      </c>
      <c r="E14" s="4" t="s">
        <v>81</v>
      </c>
    </row>
    <row r="15" spans="1:5">
      <c r="C15" s="14">
        <v>5.8</v>
      </c>
      <c r="D15" s="14">
        <f t="shared" si="0"/>
        <v>6.37</v>
      </c>
      <c r="E15" s="1" t="s">
        <v>207</v>
      </c>
    </row>
    <row r="16" spans="1:5">
      <c r="C16" s="14">
        <v>5.19</v>
      </c>
      <c r="D16" s="14">
        <f t="shared" si="0"/>
        <v>5.7</v>
      </c>
      <c r="E16" s="1" t="s">
        <v>208</v>
      </c>
    </row>
    <row r="17" spans="3:5">
      <c r="C17" s="14">
        <v>4.8600000000000003</v>
      </c>
      <c r="D17" s="14">
        <f t="shared" si="0"/>
        <v>5.33</v>
      </c>
      <c r="E17" s="1" t="s">
        <v>209</v>
      </c>
    </row>
    <row r="18" spans="3:5">
      <c r="C18" s="14">
        <v>3.58</v>
      </c>
      <c r="D18" s="14">
        <f t="shared" si="0"/>
        <v>3.93</v>
      </c>
      <c r="E18" s="1" t="s">
        <v>210</v>
      </c>
    </row>
    <row r="19" spans="3:5">
      <c r="C19" s="18">
        <v>9.4499999999999993</v>
      </c>
      <c r="D19" s="18">
        <f t="shared" si="0"/>
        <v>10.37</v>
      </c>
      <c r="E19" s="18" t="s">
        <v>216</v>
      </c>
    </row>
    <row r="20" spans="3:5">
      <c r="C20" s="31">
        <v>15.91</v>
      </c>
      <c r="D20" s="14">
        <f t="shared" si="0"/>
        <v>17.46</v>
      </c>
      <c r="E20" s="18" t="s">
        <v>200</v>
      </c>
    </row>
    <row r="21" spans="3:5">
      <c r="C21" s="31">
        <v>24.63</v>
      </c>
      <c r="D21" s="14">
        <f t="shared" si="0"/>
        <v>27.03</v>
      </c>
      <c r="E21" s="18" t="s">
        <v>201</v>
      </c>
    </row>
    <row r="22" spans="3:5">
      <c r="C22" s="31">
        <v>61.83</v>
      </c>
      <c r="D22" s="14">
        <f t="shared" si="0"/>
        <v>67.86</v>
      </c>
      <c r="E22" s="18" t="s">
        <v>202</v>
      </c>
    </row>
    <row r="23" spans="3:5">
      <c r="C23" s="31">
        <v>130.26</v>
      </c>
      <c r="D23" s="14">
        <f t="shared" si="0"/>
        <v>142.96</v>
      </c>
      <c r="E23" s="18" t="s">
        <v>203</v>
      </c>
    </row>
    <row r="24" spans="3:5">
      <c r="C24" s="31">
        <v>323.99</v>
      </c>
      <c r="D24" s="14">
        <f t="shared" si="0"/>
        <v>355.58</v>
      </c>
      <c r="E24" s="18" t="s">
        <v>204</v>
      </c>
    </row>
    <row r="25" spans="3:5">
      <c r="C25" s="31">
        <v>649.74</v>
      </c>
      <c r="D25" s="14">
        <f t="shared" si="0"/>
        <v>713.09</v>
      </c>
      <c r="E25" s="18" t="s">
        <v>205</v>
      </c>
    </row>
    <row r="26" spans="3:5">
      <c r="C26" s="31">
        <v>1142.01</v>
      </c>
      <c r="D26" s="14">
        <f t="shared" si="0"/>
        <v>1253.3599999999999</v>
      </c>
      <c r="E26" s="18" t="s">
        <v>206</v>
      </c>
    </row>
    <row r="27" spans="3:5">
      <c r="C27" s="31"/>
      <c r="D27" s="14"/>
    </row>
  </sheetData>
  <printOptions horizontalCentered="1"/>
  <pageMargins left="0.65" right="0.5" top="0.2" bottom="0.25277777777777777" header="0" footer="0"/>
  <pageSetup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T275"/>
  <sheetViews>
    <sheetView showGridLines="0" tabSelected="1" zoomScale="60" zoomScaleNormal="60" workbookViewId="0">
      <selection activeCell="J2" sqref="J2"/>
    </sheetView>
  </sheetViews>
  <sheetFormatPr defaultRowHeight="15"/>
  <cols>
    <col min="1" max="1" width="6.6328125" style="18" customWidth="1"/>
    <col min="2" max="2" width="4.6328125" style="18" customWidth="1"/>
    <col min="3" max="4" width="9.6328125" style="18" customWidth="1"/>
    <col min="5" max="5" width="11.6328125" style="18" customWidth="1"/>
    <col min="6" max="6" width="9.6328125" style="33" customWidth="1"/>
    <col min="7" max="7" width="13.6328125" style="33" customWidth="1"/>
    <col min="8" max="8" width="11.6328125" style="33" customWidth="1"/>
    <col min="9" max="9" width="9.6328125" style="33" customWidth="1"/>
    <col min="10" max="10" width="12.6328125" style="18" customWidth="1"/>
    <col min="11" max="11" width="13" style="18" customWidth="1"/>
    <col min="12" max="12" width="2.6328125" style="18" customWidth="1"/>
    <col min="13" max="13" width="14.6328125" style="18" customWidth="1"/>
    <col min="14" max="14" width="13.6328125" style="18" customWidth="1"/>
    <col min="15" max="15" width="13.08984375" style="18" customWidth="1"/>
    <col min="16" max="16" width="9.6328125" style="18" customWidth="1"/>
    <col min="17" max="17" width="13.81640625" style="18" customWidth="1"/>
    <col min="18" max="254" width="9.6328125" style="18" customWidth="1"/>
    <col min="255" max="256" width="9.6328125" customWidth="1"/>
  </cols>
  <sheetData>
    <row r="1" spans="1:20">
      <c r="A1" s="37" t="s">
        <v>84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3"/>
      <c r="M1" s="33"/>
      <c r="N1" s="33"/>
    </row>
    <row r="2" spans="1:20">
      <c r="A2" s="37" t="s">
        <v>85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3"/>
      <c r="M2" s="33"/>
      <c r="N2" s="33"/>
    </row>
    <row r="3" spans="1:20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3"/>
      <c r="M3" s="33"/>
      <c r="N3" s="33"/>
    </row>
    <row r="4" spans="1:20">
      <c r="A4" s="63" t="s">
        <v>218</v>
      </c>
      <c r="B4" s="37"/>
      <c r="C4" s="37"/>
      <c r="D4" s="64"/>
      <c r="E4" s="37"/>
      <c r="F4" s="37"/>
      <c r="G4" s="37"/>
      <c r="H4" s="37"/>
      <c r="I4" s="37"/>
      <c r="J4" s="37"/>
      <c r="K4" s="37"/>
      <c r="L4" s="33"/>
      <c r="M4" s="33"/>
      <c r="N4" s="33"/>
    </row>
    <row r="5" spans="1:20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3"/>
      <c r="M5" s="33"/>
      <c r="N5" s="33"/>
    </row>
    <row r="6" spans="1:20">
      <c r="A6" s="33"/>
      <c r="B6" s="33"/>
      <c r="C6" s="33"/>
      <c r="D6" s="33"/>
      <c r="E6" s="33"/>
      <c r="J6" s="33"/>
      <c r="K6" s="33"/>
      <c r="L6" s="33"/>
      <c r="M6" s="33"/>
      <c r="N6" s="33"/>
    </row>
    <row r="7" spans="1:20">
      <c r="A7" s="65" t="s">
        <v>86</v>
      </c>
      <c r="B7" s="33"/>
      <c r="C7" s="33"/>
      <c r="D7" s="33"/>
      <c r="E7" s="33"/>
      <c r="J7" s="33"/>
      <c r="K7" s="33"/>
      <c r="L7" s="33"/>
      <c r="M7" s="33"/>
      <c r="N7" s="33"/>
    </row>
    <row r="8" spans="1:20">
      <c r="A8" s="33"/>
      <c r="B8" s="33"/>
      <c r="C8" s="33"/>
      <c r="D8" s="33"/>
      <c r="E8" s="33"/>
      <c r="F8" s="38" t="s">
        <v>57</v>
      </c>
      <c r="G8" s="37"/>
      <c r="H8" s="38"/>
      <c r="I8" s="38" t="s">
        <v>59</v>
      </c>
      <c r="J8" s="38"/>
      <c r="K8" s="37"/>
      <c r="L8" s="33"/>
      <c r="M8" s="33"/>
      <c r="N8" s="33"/>
    </row>
    <row r="9" spans="1:20">
      <c r="A9" s="33"/>
      <c r="B9" s="33"/>
      <c r="C9" s="33"/>
      <c r="D9" s="33"/>
      <c r="E9" s="42" t="s">
        <v>122</v>
      </c>
      <c r="J9" s="33"/>
      <c r="K9" s="33"/>
      <c r="L9" s="33"/>
      <c r="M9" s="33"/>
      <c r="N9" s="33"/>
      <c r="P9" s="16" t="s">
        <v>131</v>
      </c>
    </row>
    <row r="10" spans="1:20">
      <c r="A10" s="65" t="s">
        <v>87</v>
      </c>
      <c r="B10" s="65"/>
      <c r="C10" s="65"/>
      <c r="D10" s="39" t="s">
        <v>122</v>
      </c>
      <c r="E10" s="39" t="s">
        <v>125</v>
      </c>
      <c r="F10" s="39" t="s">
        <v>126</v>
      </c>
      <c r="G10" s="39" t="s">
        <v>127</v>
      </c>
      <c r="H10" s="39" t="s">
        <v>128</v>
      </c>
      <c r="I10" s="39" t="s">
        <v>126</v>
      </c>
      <c r="J10" s="39" t="s">
        <v>127</v>
      </c>
      <c r="K10" s="39" t="s">
        <v>128</v>
      </c>
      <c r="L10" s="33"/>
      <c r="M10" s="33"/>
      <c r="N10" s="33"/>
      <c r="P10" s="18">
        <v>0</v>
      </c>
      <c r="Q10" s="18">
        <v>2000</v>
      </c>
      <c r="R10" s="18">
        <v>10000</v>
      </c>
      <c r="S10" s="18">
        <v>200000</v>
      </c>
      <c r="T10" s="18">
        <v>600000</v>
      </c>
    </row>
    <row r="11" spans="1:20">
      <c r="A11" s="35">
        <v>0</v>
      </c>
      <c r="B11" s="45" t="s">
        <v>105</v>
      </c>
      <c r="C11" s="35">
        <v>2000</v>
      </c>
      <c r="D11" s="35">
        <v>849</v>
      </c>
      <c r="E11" s="43">
        <f t="shared" ref="E11:E37" si="0">HLOOKUP(D11,$P$10:$T$37,(O11)+1)</f>
        <v>17.68</v>
      </c>
      <c r="F11" s="35">
        <f>9258-1</f>
        <v>9257</v>
      </c>
      <c r="G11" s="35">
        <f t="shared" ref="G11:G37" si="1">F11*D11</f>
        <v>7859193</v>
      </c>
      <c r="H11" s="34">
        <f t="shared" ref="H11:H37" si="2">ROUND(+F11*$E11,0)</f>
        <v>163664</v>
      </c>
      <c r="I11" s="35">
        <f>1756-220</f>
        <v>1536</v>
      </c>
      <c r="J11" s="35">
        <f t="shared" ref="J11:J37" si="3">I11*D11</f>
        <v>1304064</v>
      </c>
      <c r="K11" s="34">
        <f t="shared" ref="K11:K37" si="4">ROUND(+I11*$E11,0)</f>
        <v>27156</v>
      </c>
      <c r="L11" s="33"/>
      <c r="M11" s="33"/>
      <c r="N11" s="57"/>
      <c r="O11" s="17">
        <v>1</v>
      </c>
      <c r="P11" s="14">
        <f>ROUND(+'Rate Structure'!$D$5,2)</f>
        <v>17.68</v>
      </c>
      <c r="Q11" s="14">
        <f>ROUND(+'Rate Structure'!$D$5+((+D11-Q$10)*'Rate Structure'!$D$15/1000),2)</f>
        <v>10.35</v>
      </c>
      <c r="R11" s="14">
        <f>ROUND(+'Rate Structure'!$D$5+((R$10-Q$10)*'Rate Structure'!$D$15/1000)+((D11-R$10)*'Rate Structure'!$D$16/1000),2)</f>
        <v>16.48</v>
      </c>
      <c r="S11" s="14">
        <f>ROUND(+'Rate Structure'!$D$5+((R$10-Q$10)*'Rate Structure'!$D$15/1000)+((S$10-R$10)*'Rate Structure'!$D$16/1000)+((D11-S$10)*'Rate Structure'!$D$17/1000),2)</f>
        <v>90.17</v>
      </c>
      <c r="T11" s="14">
        <f>ROUND(+'Rate Structure'!$D$5+((R$10-Q$10)*'Rate Structure'!$D$15/1000)+((S$10-R$10)*'Rate Structure'!$D$16/1000)+((T$10-S$10)*'Rate Structure'!$D$17/1000)+((D11-T$10)*'Rate Structure'!$D$18/1000),2)</f>
        <v>928.98</v>
      </c>
    </row>
    <row r="12" spans="1:20">
      <c r="A12" s="35">
        <v>2</v>
      </c>
      <c r="B12" s="45" t="s">
        <v>105</v>
      </c>
      <c r="C12" s="35">
        <v>3000</v>
      </c>
      <c r="D12" s="35">
        <v>2504</v>
      </c>
      <c r="E12" s="43">
        <f t="shared" si="0"/>
        <v>20.89</v>
      </c>
      <c r="F12" s="35">
        <f>6239+1</f>
        <v>6240</v>
      </c>
      <c r="G12" s="35">
        <f t="shared" si="1"/>
        <v>15624960</v>
      </c>
      <c r="H12" s="35">
        <f t="shared" si="2"/>
        <v>130354</v>
      </c>
      <c r="I12" s="35">
        <v>263</v>
      </c>
      <c r="J12" s="35">
        <f t="shared" si="3"/>
        <v>658552</v>
      </c>
      <c r="K12" s="35">
        <f t="shared" si="4"/>
        <v>5494</v>
      </c>
      <c r="L12" s="33"/>
      <c r="M12" s="33"/>
      <c r="N12" s="57"/>
      <c r="O12" s="17">
        <f t="shared" ref="O12:O37" si="5">O11+1</f>
        <v>2</v>
      </c>
      <c r="P12" s="14">
        <f>ROUND(+'Rate Structure'!$D$5,2)</f>
        <v>17.68</v>
      </c>
      <c r="Q12" s="14">
        <f>ROUND(+'Rate Structure'!$D$5+((+D12-Q$10)*'Rate Structure'!$D$15/1000),2)</f>
        <v>20.89</v>
      </c>
      <c r="R12" s="14">
        <f>ROUND(+'Rate Structure'!$D$5+((R$10-Q$10)*'Rate Structure'!$D$15/1000)+((D12-R$10)*'Rate Structure'!$D$16/1000),2)</f>
        <v>25.91</v>
      </c>
      <c r="S12" s="14">
        <f>ROUND(+'Rate Structure'!$D$5+((R$10-Q$10)*'Rate Structure'!$D$15/1000)+((S$10-R$10)*'Rate Structure'!$D$16/1000)+((D12-S$10)*'Rate Structure'!$D$17/1000),2)</f>
        <v>98.99</v>
      </c>
      <c r="T12" s="14">
        <f>ROUND(+'Rate Structure'!$D$5+((R$10-Q$10)*'Rate Structure'!$D$15/1000)+((S$10-R$10)*'Rate Structure'!$D$16/1000)+((T$10-S$10)*'Rate Structure'!$D$17/1000)+((D12-T$10)*'Rate Structure'!$D$18/1000),2)</f>
        <v>935.48</v>
      </c>
    </row>
    <row r="13" spans="1:20">
      <c r="A13" s="35">
        <v>3</v>
      </c>
      <c r="B13" s="45" t="s">
        <v>105</v>
      </c>
      <c r="C13" s="35">
        <v>4000</v>
      </c>
      <c r="D13" s="35">
        <v>3491</v>
      </c>
      <c r="E13" s="43">
        <f t="shared" si="0"/>
        <v>27.18</v>
      </c>
      <c r="F13" s="35">
        <f>6116-360</f>
        <v>5756</v>
      </c>
      <c r="G13" s="35">
        <f t="shared" si="1"/>
        <v>20094196</v>
      </c>
      <c r="H13" s="35">
        <f t="shared" si="2"/>
        <v>156448</v>
      </c>
      <c r="I13" s="35">
        <f>168-10</f>
        <v>158</v>
      </c>
      <c r="J13" s="35">
        <f t="shared" si="3"/>
        <v>551578</v>
      </c>
      <c r="K13" s="35">
        <f t="shared" si="4"/>
        <v>4294</v>
      </c>
      <c r="L13" s="33"/>
      <c r="M13" s="33"/>
      <c r="N13" s="57"/>
      <c r="O13" s="17">
        <f t="shared" si="5"/>
        <v>3</v>
      </c>
      <c r="P13" s="14">
        <f>ROUND(+'Rate Structure'!$D$5,2)</f>
        <v>17.68</v>
      </c>
      <c r="Q13" s="14">
        <f>ROUND(+'Rate Structure'!$D$5+((+D13-Q$10)*'Rate Structure'!$D$15/1000),2)</f>
        <v>27.18</v>
      </c>
      <c r="R13" s="14">
        <f>ROUND(+'Rate Structure'!$D$5+((R$10-Q$10)*'Rate Structure'!$D$15/1000)+((D13-R$10)*'Rate Structure'!$D$16/1000),2)</f>
        <v>31.54</v>
      </c>
      <c r="S13" s="14">
        <f>ROUND(+'Rate Structure'!$D$5+((R$10-Q$10)*'Rate Structure'!$D$15/1000)+((S$10-R$10)*'Rate Structure'!$D$16/1000)+((D13-S$10)*'Rate Structure'!$D$17/1000),2)</f>
        <v>104.25</v>
      </c>
      <c r="T13" s="14">
        <f>ROUND(+'Rate Structure'!$D$5+((R$10-Q$10)*'Rate Structure'!$D$15/1000)+((S$10-R$10)*'Rate Structure'!$D$16/1000)+((T$10-S$10)*'Rate Structure'!$D$17/1000)+((D13-T$10)*'Rate Structure'!$D$18/1000),2)</f>
        <v>939.36</v>
      </c>
    </row>
    <row r="14" spans="1:20">
      <c r="A14" s="35">
        <v>4</v>
      </c>
      <c r="B14" s="45" t="s">
        <v>105</v>
      </c>
      <c r="C14" s="35">
        <v>5000</v>
      </c>
      <c r="D14" s="35">
        <v>4470</v>
      </c>
      <c r="E14" s="43">
        <f t="shared" si="0"/>
        <v>33.409999999999997</v>
      </c>
      <c r="F14" s="35">
        <v>4633</v>
      </c>
      <c r="G14" s="35">
        <f t="shared" si="1"/>
        <v>20709510</v>
      </c>
      <c r="H14" s="35">
        <f t="shared" si="2"/>
        <v>154789</v>
      </c>
      <c r="I14" s="35">
        <v>116</v>
      </c>
      <c r="J14" s="35">
        <f t="shared" si="3"/>
        <v>518520</v>
      </c>
      <c r="K14" s="35">
        <f t="shared" si="4"/>
        <v>3876</v>
      </c>
      <c r="L14" s="33"/>
      <c r="M14" s="33"/>
      <c r="N14" s="33"/>
      <c r="O14" s="17">
        <f t="shared" si="5"/>
        <v>4</v>
      </c>
      <c r="P14" s="14">
        <f>ROUND(+'Rate Structure'!$D$5,2)</f>
        <v>17.68</v>
      </c>
      <c r="Q14" s="14">
        <f>ROUND(+'Rate Structure'!$D$5+((+D14-Q$10)*'Rate Structure'!$D$15/1000),2)</f>
        <v>33.409999999999997</v>
      </c>
      <c r="R14" s="14">
        <f>ROUND(+'Rate Structure'!$D$5+((R$10-Q$10)*'Rate Structure'!$D$15/1000)+((D14-R$10)*'Rate Structure'!$D$16/1000),2)</f>
        <v>37.119999999999997</v>
      </c>
      <c r="S14" s="14">
        <f>ROUND(+'Rate Structure'!$D$5+((R$10-Q$10)*'Rate Structure'!$D$15/1000)+((S$10-R$10)*'Rate Structure'!$D$16/1000)+((D14-S$10)*'Rate Structure'!$D$17/1000),2)</f>
        <v>109.47</v>
      </c>
      <c r="T14" s="14">
        <f>ROUND(+'Rate Structure'!$D$5+((R$10-Q$10)*'Rate Structure'!$D$15/1000)+((S$10-R$10)*'Rate Structure'!$D$16/1000)+((T$10-S$10)*'Rate Structure'!$D$17/1000)+((D14-T$10)*'Rate Structure'!$D$18/1000),2)</f>
        <v>943.21</v>
      </c>
    </row>
    <row r="15" spans="1:20">
      <c r="A15" s="35">
        <v>5</v>
      </c>
      <c r="B15" s="45" t="s">
        <v>105</v>
      </c>
      <c r="C15" s="35">
        <v>6000</v>
      </c>
      <c r="D15" s="35">
        <v>5473</v>
      </c>
      <c r="E15" s="43">
        <f t="shared" si="0"/>
        <v>39.799999999999997</v>
      </c>
      <c r="F15" s="35">
        <v>3182</v>
      </c>
      <c r="G15" s="35">
        <f t="shared" si="1"/>
        <v>17415086</v>
      </c>
      <c r="H15" s="35">
        <f t="shared" si="2"/>
        <v>126644</v>
      </c>
      <c r="I15" s="35">
        <v>87</v>
      </c>
      <c r="J15" s="35">
        <f t="shared" si="3"/>
        <v>476151</v>
      </c>
      <c r="K15" s="35">
        <f t="shared" si="4"/>
        <v>3463</v>
      </c>
      <c r="L15" s="33"/>
      <c r="M15" s="33"/>
      <c r="N15" s="33"/>
      <c r="O15" s="17">
        <f t="shared" si="5"/>
        <v>5</v>
      </c>
      <c r="P15" s="14">
        <f>ROUND(+'Rate Structure'!$D$5,2)</f>
        <v>17.68</v>
      </c>
      <c r="Q15" s="14">
        <f>ROUND(+'Rate Structure'!$D$5+((+D15-Q$10)*'Rate Structure'!$D$15/1000),2)</f>
        <v>39.799999999999997</v>
      </c>
      <c r="R15" s="14">
        <f>ROUND(+'Rate Structure'!$D$5+((R$10-Q$10)*'Rate Structure'!$D$15/1000)+((D15-R$10)*'Rate Structure'!$D$16/1000),2)</f>
        <v>42.84</v>
      </c>
      <c r="S15" s="14">
        <f>ROUND(+'Rate Structure'!$D$5+((R$10-Q$10)*'Rate Structure'!$D$15/1000)+((S$10-R$10)*'Rate Structure'!$D$16/1000)+((D15-S$10)*'Rate Structure'!$D$17/1000),2)</f>
        <v>114.81</v>
      </c>
      <c r="T15" s="14">
        <f>ROUND(+'Rate Structure'!$D$5+((R$10-Q$10)*'Rate Structure'!$D$15/1000)+((S$10-R$10)*'Rate Structure'!$D$16/1000)+((T$10-S$10)*'Rate Structure'!$D$17/1000)+((D15-T$10)*'Rate Structure'!$D$18/1000),2)</f>
        <v>947.15</v>
      </c>
    </row>
    <row r="16" spans="1:20">
      <c r="A16" s="35">
        <v>6</v>
      </c>
      <c r="B16" s="45" t="s">
        <v>105</v>
      </c>
      <c r="C16" s="35">
        <v>7000</v>
      </c>
      <c r="D16" s="35">
        <v>6469</v>
      </c>
      <c r="E16" s="43">
        <f t="shared" si="0"/>
        <v>46.15</v>
      </c>
      <c r="F16" s="35">
        <v>2134</v>
      </c>
      <c r="G16" s="35">
        <f t="shared" si="1"/>
        <v>13804846</v>
      </c>
      <c r="H16" s="35">
        <f t="shared" si="2"/>
        <v>98484</v>
      </c>
      <c r="I16" s="35">
        <v>65</v>
      </c>
      <c r="J16" s="35">
        <f t="shared" si="3"/>
        <v>420485</v>
      </c>
      <c r="K16" s="35">
        <f t="shared" si="4"/>
        <v>3000</v>
      </c>
      <c r="L16" s="33"/>
      <c r="M16" s="33"/>
      <c r="N16" s="33"/>
      <c r="O16" s="17">
        <f t="shared" si="5"/>
        <v>6</v>
      </c>
      <c r="P16" s="14">
        <f>ROUND(+'Rate Structure'!$D$5,2)</f>
        <v>17.68</v>
      </c>
      <c r="Q16" s="14">
        <f>ROUND(+'Rate Structure'!$D$5+((+D16-Q$10)*'Rate Structure'!$D$15/1000),2)</f>
        <v>46.15</v>
      </c>
      <c r="R16" s="14">
        <f>ROUND(+'Rate Structure'!$D$5+((R$10-Q$10)*'Rate Structure'!$D$15/1000)+((D16-R$10)*'Rate Structure'!$D$16/1000),2)</f>
        <v>48.51</v>
      </c>
      <c r="S16" s="14">
        <f>ROUND(+'Rate Structure'!$D$5+((R$10-Q$10)*'Rate Structure'!$D$15/1000)+((S$10-R$10)*'Rate Structure'!$D$16/1000)+((D16-S$10)*'Rate Structure'!$D$17/1000),2)</f>
        <v>120.12</v>
      </c>
      <c r="T16" s="14">
        <f>ROUND(+'Rate Structure'!$D$5+((R$10-Q$10)*'Rate Structure'!$D$15/1000)+((S$10-R$10)*'Rate Structure'!$D$16/1000)+((T$10-S$10)*'Rate Structure'!$D$17/1000)+((D16-T$10)*'Rate Structure'!$D$18/1000),2)</f>
        <v>951.06</v>
      </c>
    </row>
    <row r="17" spans="1:20">
      <c r="A17" s="35">
        <v>7</v>
      </c>
      <c r="B17" s="45" t="s">
        <v>105</v>
      </c>
      <c r="C17" s="35">
        <v>8000</v>
      </c>
      <c r="D17" s="35">
        <v>7457</v>
      </c>
      <c r="E17" s="43">
        <f t="shared" si="0"/>
        <v>52.44</v>
      </c>
      <c r="F17" s="35">
        <v>1342</v>
      </c>
      <c r="G17" s="35">
        <f t="shared" si="1"/>
        <v>10007294</v>
      </c>
      <c r="H17" s="35">
        <f t="shared" si="2"/>
        <v>70374</v>
      </c>
      <c r="I17" s="35">
        <v>63</v>
      </c>
      <c r="J17" s="35">
        <f t="shared" si="3"/>
        <v>469791</v>
      </c>
      <c r="K17" s="35">
        <f t="shared" si="4"/>
        <v>3304</v>
      </c>
      <c r="L17" s="33"/>
      <c r="M17" s="33"/>
      <c r="N17" s="33"/>
      <c r="O17" s="17">
        <f t="shared" si="5"/>
        <v>7</v>
      </c>
      <c r="P17" s="14">
        <f>ROUND(+'Rate Structure'!$D$5,2)</f>
        <v>17.68</v>
      </c>
      <c r="Q17" s="14">
        <f>ROUND(+'Rate Structure'!$D$5+((+D17-Q$10)*'Rate Structure'!$D$15/1000),2)</f>
        <v>52.44</v>
      </c>
      <c r="R17" s="14">
        <f>ROUND(+'Rate Structure'!$D$5+((R$10-Q$10)*'Rate Structure'!$D$15/1000)+((D17-R$10)*'Rate Structure'!$D$16/1000),2)</f>
        <v>54.14</v>
      </c>
      <c r="S17" s="14">
        <f>ROUND(+'Rate Structure'!$D$5+((R$10-Q$10)*'Rate Structure'!$D$15/1000)+((S$10-R$10)*'Rate Structure'!$D$16/1000)+((D17-S$10)*'Rate Structure'!$D$17/1000),2)</f>
        <v>125.39</v>
      </c>
      <c r="T17" s="14">
        <f>ROUND(+'Rate Structure'!$D$5+((R$10-Q$10)*'Rate Structure'!$D$15/1000)+((S$10-R$10)*'Rate Structure'!$D$16/1000)+((T$10-S$10)*'Rate Structure'!$D$17/1000)+((D17-T$10)*'Rate Structure'!$D$18/1000),2)</f>
        <v>954.95</v>
      </c>
    </row>
    <row r="18" spans="1:20">
      <c r="A18" s="35">
        <v>8</v>
      </c>
      <c r="B18" s="45" t="s">
        <v>105</v>
      </c>
      <c r="C18" s="35">
        <v>9000</v>
      </c>
      <c r="D18" s="35">
        <v>8468</v>
      </c>
      <c r="E18" s="43">
        <f t="shared" si="0"/>
        <v>58.88</v>
      </c>
      <c r="F18" s="35">
        <v>953</v>
      </c>
      <c r="G18" s="35">
        <f t="shared" si="1"/>
        <v>8070004</v>
      </c>
      <c r="H18" s="35">
        <f t="shared" si="2"/>
        <v>56113</v>
      </c>
      <c r="I18" s="35">
        <f>31-1</f>
        <v>30</v>
      </c>
      <c r="J18" s="35">
        <f t="shared" si="3"/>
        <v>254040</v>
      </c>
      <c r="K18" s="35">
        <f t="shared" si="4"/>
        <v>1766</v>
      </c>
      <c r="L18" s="33"/>
      <c r="M18" s="33"/>
      <c r="N18" s="33"/>
      <c r="O18" s="17">
        <f t="shared" si="5"/>
        <v>8</v>
      </c>
      <c r="P18" s="14">
        <f>ROUND(+'Rate Structure'!$D$5,2)</f>
        <v>17.68</v>
      </c>
      <c r="Q18" s="14">
        <f>ROUND(+'Rate Structure'!$D$5+((+D18-Q$10)*'Rate Structure'!$D$15/1000),2)</f>
        <v>58.88</v>
      </c>
      <c r="R18" s="14">
        <f>ROUND(+'Rate Structure'!$D$5+((R$10-Q$10)*'Rate Structure'!$D$15/1000)+((D18-R$10)*'Rate Structure'!$D$16/1000),2)</f>
        <v>59.91</v>
      </c>
      <c r="S18" s="14">
        <f>ROUND(+'Rate Structure'!$D$5+((R$10-Q$10)*'Rate Structure'!$D$15/1000)+((S$10-R$10)*'Rate Structure'!$D$16/1000)+((D18-S$10)*'Rate Structure'!$D$17/1000),2)</f>
        <v>130.77000000000001</v>
      </c>
      <c r="T18" s="14">
        <f>ROUND(+'Rate Structure'!$D$5+((R$10-Q$10)*'Rate Structure'!$D$15/1000)+((S$10-R$10)*'Rate Structure'!$D$16/1000)+((T$10-S$10)*'Rate Structure'!$D$17/1000)+((D18-T$10)*'Rate Structure'!$D$18/1000),2)</f>
        <v>958.92</v>
      </c>
    </row>
    <row r="19" spans="1:20">
      <c r="A19" s="35">
        <v>9</v>
      </c>
      <c r="B19" s="45" t="s">
        <v>105</v>
      </c>
      <c r="C19" s="35">
        <v>10000</v>
      </c>
      <c r="D19" s="35">
        <v>9479</v>
      </c>
      <c r="E19" s="43">
        <f t="shared" si="0"/>
        <v>65.319999999999993</v>
      </c>
      <c r="F19" s="35">
        <v>559</v>
      </c>
      <c r="G19" s="35">
        <f t="shared" si="1"/>
        <v>5298761</v>
      </c>
      <c r="H19" s="35">
        <f t="shared" si="2"/>
        <v>36514</v>
      </c>
      <c r="I19" s="35">
        <v>43</v>
      </c>
      <c r="J19" s="35">
        <f t="shared" si="3"/>
        <v>407597</v>
      </c>
      <c r="K19" s="35">
        <f t="shared" si="4"/>
        <v>2809</v>
      </c>
      <c r="L19" s="33"/>
      <c r="M19" s="33"/>
      <c r="N19" s="33"/>
      <c r="O19" s="17">
        <f t="shared" si="5"/>
        <v>9</v>
      </c>
      <c r="P19" s="14">
        <f>ROUND(+'Rate Structure'!$D$5,2)</f>
        <v>17.68</v>
      </c>
      <c r="Q19" s="14">
        <f>ROUND(+'Rate Structure'!$D$5+((+D19-Q$10)*'Rate Structure'!$D$15/1000),2)</f>
        <v>65.319999999999993</v>
      </c>
      <c r="R19" s="14">
        <f>ROUND(+'Rate Structure'!$D$5+((R$10-Q$10)*'Rate Structure'!$D$15/1000)+((D19-R$10)*'Rate Structure'!$D$16/1000),2)</f>
        <v>65.67</v>
      </c>
      <c r="S19" s="14">
        <f>ROUND(+'Rate Structure'!$D$5+((R$10-Q$10)*'Rate Structure'!$D$15/1000)+((S$10-R$10)*'Rate Structure'!$D$16/1000)+((D19-S$10)*'Rate Structure'!$D$17/1000),2)</f>
        <v>136.16</v>
      </c>
      <c r="T19" s="14">
        <f>ROUND(+'Rate Structure'!$D$5+((R$10-Q$10)*'Rate Structure'!$D$15/1000)+((S$10-R$10)*'Rate Structure'!$D$16/1000)+((T$10-S$10)*'Rate Structure'!$D$17/1000)+((D19-T$10)*'Rate Structure'!$D$18/1000),2)</f>
        <v>962.89</v>
      </c>
    </row>
    <row r="20" spans="1:20">
      <c r="A20" s="35">
        <v>10</v>
      </c>
      <c r="B20" s="45" t="s">
        <v>105</v>
      </c>
      <c r="C20" s="35">
        <v>11000</v>
      </c>
      <c r="D20" s="35">
        <v>10482</v>
      </c>
      <c r="E20" s="43">
        <f t="shared" si="0"/>
        <v>71.39</v>
      </c>
      <c r="F20" s="35">
        <v>479</v>
      </c>
      <c r="G20" s="35">
        <f t="shared" si="1"/>
        <v>5020878</v>
      </c>
      <c r="H20" s="35">
        <f t="shared" si="2"/>
        <v>34196</v>
      </c>
      <c r="I20" s="35">
        <v>44</v>
      </c>
      <c r="J20" s="35">
        <f t="shared" si="3"/>
        <v>461208</v>
      </c>
      <c r="K20" s="35">
        <f t="shared" si="4"/>
        <v>3141</v>
      </c>
      <c r="L20" s="33"/>
      <c r="M20" s="33"/>
      <c r="N20" s="33"/>
      <c r="O20" s="17">
        <f t="shared" si="5"/>
        <v>10</v>
      </c>
      <c r="P20" s="14">
        <f>ROUND(+'Rate Structure'!$D$5,2)</f>
        <v>17.68</v>
      </c>
      <c r="Q20" s="14">
        <f>ROUND(+'Rate Structure'!$D$5+((+D20-Q$10)*'Rate Structure'!$D$15/1000),2)</f>
        <v>71.709999999999994</v>
      </c>
      <c r="R20" s="14">
        <f>ROUND(+'Rate Structure'!$D$5+((R$10-Q$10)*'Rate Structure'!$D$15/1000)+((D20-R$10)*'Rate Structure'!$D$16/1000),2)</f>
        <v>71.39</v>
      </c>
      <c r="S20" s="14">
        <f>ROUND(+'Rate Structure'!$D$5+((R$10-Q$10)*'Rate Structure'!$D$15/1000)+((S$10-R$10)*'Rate Structure'!$D$16/1000)+((D20-S$10)*'Rate Structure'!$D$17/1000),2)</f>
        <v>141.51</v>
      </c>
      <c r="T20" s="14">
        <f>ROUND(+'Rate Structure'!$D$5+((R$10-Q$10)*'Rate Structure'!$D$15/1000)+((S$10-R$10)*'Rate Structure'!$D$16/1000)+((T$10-S$10)*'Rate Structure'!$D$17/1000)+((D20-T$10)*'Rate Structure'!$D$18/1000),2)</f>
        <v>966.83</v>
      </c>
    </row>
    <row r="21" spans="1:20">
      <c r="A21" s="35">
        <v>11</v>
      </c>
      <c r="B21" s="45" t="s">
        <v>105</v>
      </c>
      <c r="C21" s="35">
        <v>12000</v>
      </c>
      <c r="D21" s="35">
        <v>11481</v>
      </c>
      <c r="E21" s="43">
        <f t="shared" si="0"/>
        <v>77.08</v>
      </c>
      <c r="F21" s="35">
        <v>421</v>
      </c>
      <c r="G21" s="35">
        <f t="shared" si="1"/>
        <v>4833501</v>
      </c>
      <c r="H21" s="35">
        <f t="shared" si="2"/>
        <v>32451</v>
      </c>
      <c r="I21" s="35">
        <v>34</v>
      </c>
      <c r="J21" s="35">
        <f t="shared" si="3"/>
        <v>390354</v>
      </c>
      <c r="K21" s="35">
        <f t="shared" si="4"/>
        <v>2621</v>
      </c>
      <c r="L21" s="33"/>
      <c r="M21" s="33"/>
      <c r="N21" s="33"/>
      <c r="O21" s="17">
        <f t="shared" si="5"/>
        <v>11</v>
      </c>
      <c r="P21" s="14">
        <f>ROUND(+'Rate Structure'!$D$5,2)</f>
        <v>17.68</v>
      </c>
      <c r="Q21" s="14">
        <f>ROUND(+'Rate Structure'!$D$5+((+D21-Q$10)*'Rate Structure'!$D$15/1000),2)</f>
        <v>78.069999999999993</v>
      </c>
      <c r="R21" s="14">
        <f>ROUND(+'Rate Structure'!$D$5+((R$10-Q$10)*'Rate Structure'!$D$15/1000)+((D21-R$10)*'Rate Structure'!$D$16/1000),2)</f>
        <v>77.08</v>
      </c>
      <c r="S21" s="14">
        <f>ROUND(+'Rate Structure'!$D$5+((R$10-Q$10)*'Rate Structure'!$D$15/1000)+((S$10-R$10)*'Rate Structure'!$D$16/1000)+((D21-S$10)*'Rate Structure'!$D$17/1000),2)</f>
        <v>146.83000000000001</v>
      </c>
      <c r="T21" s="14">
        <f>ROUND(+'Rate Structure'!$D$5+((R$10-Q$10)*'Rate Structure'!$D$15/1000)+((S$10-R$10)*'Rate Structure'!$D$16/1000)+((T$10-S$10)*'Rate Structure'!$D$17/1000)+((D21-T$10)*'Rate Structure'!$D$18/1000),2)</f>
        <v>970.76</v>
      </c>
    </row>
    <row r="22" spans="1:20">
      <c r="A22" s="35">
        <v>12</v>
      </c>
      <c r="B22" s="45" t="s">
        <v>105</v>
      </c>
      <c r="C22" s="35">
        <v>14000</v>
      </c>
      <c r="D22" s="35">
        <v>12892</v>
      </c>
      <c r="E22" s="43">
        <f t="shared" si="0"/>
        <v>85.12</v>
      </c>
      <c r="F22" s="35">
        <v>382</v>
      </c>
      <c r="G22" s="35">
        <f t="shared" si="1"/>
        <v>4924744</v>
      </c>
      <c r="H22" s="35">
        <f t="shared" si="2"/>
        <v>32516</v>
      </c>
      <c r="I22" s="35">
        <v>32</v>
      </c>
      <c r="J22" s="35">
        <f t="shared" si="3"/>
        <v>412544</v>
      </c>
      <c r="K22" s="35">
        <f t="shared" si="4"/>
        <v>2724</v>
      </c>
      <c r="L22" s="33"/>
      <c r="M22" s="33"/>
      <c r="N22" s="33"/>
      <c r="O22" s="17">
        <f t="shared" si="5"/>
        <v>12</v>
      </c>
      <c r="P22" s="14">
        <f>ROUND(+'Rate Structure'!$D$5,2)</f>
        <v>17.68</v>
      </c>
      <c r="Q22" s="14">
        <f>ROUND(+'Rate Structure'!$D$5+((+D22-Q$10)*'Rate Structure'!$D$15/1000),2)</f>
        <v>87.06</v>
      </c>
      <c r="R22" s="14">
        <f>ROUND(+'Rate Structure'!$D$5+((R$10-Q$10)*'Rate Structure'!$D$15/1000)+((D22-R$10)*'Rate Structure'!$D$16/1000),2)</f>
        <v>85.12</v>
      </c>
      <c r="S22" s="14">
        <f>ROUND(+'Rate Structure'!$D$5+((R$10-Q$10)*'Rate Structure'!$D$15/1000)+((S$10-R$10)*'Rate Structure'!$D$16/1000)+((D22-S$10)*'Rate Structure'!$D$17/1000),2)</f>
        <v>154.35</v>
      </c>
      <c r="T22" s="14">
        <f>ROUND(+'Rate Structure'!$D$5+((R$10-Q$10)*'Rate Structure'!$D$15/1000)+((S$10-R$10)*'Rate Structure'!$D$16/1000)+((T$10-S$10)*'Rate Structure'!$D$17/1000)+((D22-T$10)*'Rate Structure'!$D$18/1000),2)</f>
        <v>976.31</v>
      </c>
    </row>
    <row r="23" spans="1:20">
      <c r="A23" s="35">
        <v>14</v>
      </c>
      <c r="B23" s="45" t="s">
        <v>105</v>
      </c>
      <c r="C23" s="35">
        <v>16000</v>
      </c>
      <c r="D23" s="35">
        <v>14938</v>
      </c>
      <c r="E23" s="43">
        <f t="shared" si="0"/>
        <v>96.79</v>
      </c>
      <c r="F23" s="35">
        <v>334</v>
      </c>
      <c r="G23" s="35">
        <f t="shared" si="1"/>
        <v>4989292</v>
      </c>
      <c r="H23" s="35">
        <f t="shared" si="2"/>
        <v>32328</v>
      </c>
      <c r="I23" s="35">
        <v>23</v>
      </c>
      <c r="J23" s="35">
        <f t="shared" si="3"/>
        <v>343574</v>
      </c>
      <c r="K23" s="35">
        <f t="shared" si="4"/>
        <v>2226</v>
      </c>
      <c r="L23" s="33"/>
      <c r="M23" s="33"/>
      <c r="N23" s="33"/>
      <c r="O23" s="17">
        <f t="shared" si="5"/>
        <v>13</v>
      </c>
      <c r="P23" s="14">
        <f>ROUND(+'Rate Structure'!$D$5,2)</f>
        <v>17.68</v>
      </c>
      <c r="Q23" s="14">
        <f>ROUND(+'Rate Structure'!$D$5+((+D23-Q$10)*'Rate Structure'!$D$15/1000),2)</f>
        <v>100.1</v>
      </c>
      <c r="R23" s="14">
        <f>ROUND(+'Rate Structure'!$D$5+((R$10-Q$10)*'Rate Structure'!$D$15/1000)+((D23-R$10)*'Rate Structure'!$D$16/1000),2)</f>
        <v>96.79</v>
      </c>
      <c r="S23" s="14">
        <f>ROUND(+'Rate Structure'!$D$5+((R$10-Q$10)*'Rate Structure'!$D$15/1000)+((S$10-R$10)*'Rate Structure'!$D$16/1000)+((D23-S$10)*'Rate Structure'!$D$17/1000),2)</f>
        <v>165.26</v>
      </c>
      <c r="T23" s="14">
        <f>ROUND(+'Rate Structure'!$D$5+((R$10-Q$10)*'Rate Structure'!$D$15/1000)+((S$10-R$10)*'Rate Structure'!$D$16/1000)+((T$10-S$10)*'Rate Structure'!$D$17/1000)+((D23-T$10)*'Rate Structure'!$D$18/1000),2)</f>
        <v>984.35</v>
      </c>
    </row>
    <row r="24" spans="1:20">
      <c r="A24" s="35">
        <v>16</v>
      </c>
      <c r="B24" s="45" t="s">
        <v>105</v>
      </c>
      <c r="C24" s="35">
        <v>18000</v>
      </c>
      <c r="D24" s="35">
        <v>16964</v>
      </c>
      <c r="E24" s="43">
        <f t="shared" si="0"/>
        <v>108.33</v>
      </c>
      <c r="F24" s="35">
        <v>189</v>
      </c>
      <c r="G24" s="35">
        <f t="shared" si="1"/>
        <v>3206196</v>
      </c>
      <c r="H24" s="35">
        <f t="shared" si="2"/>
        <v>20474</v>
      </c>
      <c r="I24" s="35">
        <v>28</v>
      </c>
      <c r="J24" s="35">
        <f t="shared" si="3"/>
        <v>474992</v>
      </c>
      <c r="K24" s="35">
        <f t="shared" si="4"/>
        <v>3033</v>
      </c>
      <c r="L24" s="33"/>
      <c r="M24" s="33"/>
      <c r="N24" s="33"/>
      <c r="O24" s="17">
        <f t="shared" si="5"/>
        <v>14</v>
      </c>
      <c r="P24" s="14">
        <f>ROUND(+'Rate Structure'!$D$5,2)</f>
        <v>17.68</v>
      </c>
      <c r="Q24" s="14">
        <f>ROUND(+'Rate Structure'!$D$5+((+D24-Q$10)*'Rate Structure'!$D$15/1000),2)</f>
        <v>113</v>
      </c>
      <c r="R24" s="14">
        <f>ROUND(+'Rate Structure'!$D$5+((R$10-Q$10)*'Rate Structure'!$D$15/1000)+((D24-R$10)*'Rate Structure'!$D$16/1000),2)</f>
        <v>108.33</v>
      </c>
      <c r="S24" s="14">
        <f>ROUND(+'Rate Structure'!$D$5+((R$10-Q$10)*'Rate Structure'!$D$15/1000)+((S$10-R$10)*'Rate Structure'!$D$16/1000)+((D24-S$10)*'Rate Structure'!$D$17/1000),2)</f>
        <v>176.06</v>
      </c>
      <c r="T24" s="14">
        <f>ROUND(+'Rate Structure'!$D$5+((R$10-Q$10)*'Rate Structure'!$D$15/1000)+((S$10-R$10)*'Rate Structure'!$D$16/1000)+((T$10-S$10)*'Rate Structure'!$D$17/1000)+((D24-T$10)*'Rate Structure'!$D$18/1000),2)</f>
        <v>992.31</v>
      </c>
    </row>
    <row r="25" spans="1:20">
      <c r="A25" s="35">
        <v>18</v>
      </c>
      <c r="B25" s="45" t="s">
        <v>105</v>
      </c>
      <c r="C25" s="35">
        <v>20000</v>
      </c>
      <c r="D25" s="35">
        <v>18937</v>
      </c>
      <c r="E25" s="43">
        <f t="shared" si="0"/>
        <v>119.58</v>
      </c>
      <c r="F25" s="35">
        <f>146-5</f>
        <v>141</v>
      </c>
      <c r="G25" s="35">
        <f t="shared" si="1"/>
        <v>2670117</v>
      </c>
      <c r="H25" s="35">
        <f t="shared" si="2"/>
        <v>16861</v>
      </c>
      <c r="I25" s="35">
        <v>17</v>
      </c>
      <c r="J25" s="35">
        <f t="shared" si="3"/>
        <v>321929</v>
      </c>
      <c r="K25" s="35">
        <f t="shared" si="4"/>
        <v>2033</v>
      </c>
      <c r="L25" s="33"/>
      <c r="M25" s="33"/>
      <c r="N25" s="33"/>
      <c r="O25" s="17">
        <f t="shared" si="5"/>
        <v>15</v>
      </c>
      <c r="P25" s="14">
        <f>ROUND(+'Rate Structure'!$D$5,2)</f>
        <v>17.68</v>
      </c>
      <c r="Q25" s="14">
        <f>ROUND(+'Rate Structure'!$D$5+((+D25-Q$10)*'Rate Structure'!$D$15/1000),2)</f>
        <v>125.57</v>
      </c>
      <c r="R25" s="14">
        <f>ROUND(+'Rate Structure'!$D$5+((R$10-Q$10)*'Rate Structure'!$D$15/1000)+((D25-R$10)*'Rate Structure'!$D$16/1000),2)</f>
        <v>119.58</v>
      </c>
      <c r="S25" s="14">
        <f>ROUND(+'Rate Structure'!$D$5+((R$10-Q$10)*'Rate Structure'!$D$15/1000)+((S$10-R$10)*'Rate Structure'!$D$16/1000)+((D25-S$10)*'Rate Structure'!$D$17/1000),2)</f>
        <v>186.57</v>
      </c>
      <c r="T25" s="14">
        <f>ROUND(+'Rate Structure'!$D$5+((R$10-Q$10)*'Rate Structure'!$D$15/1000)+((S$10-R$10)*'Rate Structure'!$D$16/1000)+((T$10-S$10)*'Rate Structure'!$D$17/1000)+((D25-T$10)*'Rate Structure'!$D$18/1000),2)</f>
        <v>1000.06</v>
      </c>
    </row>
    <row r="26" spans="1:20">
      <c r="A26" s="35">
        <v>20</v>
      </c>
      <c r="B26" s="45" t="s">
        <v>105</v>
      </c>
      <c r="C26" s="35">
        <v>25000</v>
      </c>
      <c r="D26" s="35">
        <v>22267</v>
      </c>
      <c r="E26" s="43">
        <f t="shared" si="0"/>
        <v>138.56</v>
      </c>
      <c r="F26" s="35">
        <f>176-1</f>
        <v>175</v>
      </c>
      <c r="G26" s="35">
        <f t="shared" si="1"/>
        <v>3896725</v>
      </c>
      <c r="H26" s="35">
        <f t="shared" si="2"/>
        <v>24248</v>
      </c>
      <c r="I26" s="35">
        <v>28</v>
      </c>
      <c r="J26" s="35">
        <f t="shared" si="3"/>
        <v>623476</v>
      </c>
      <c r="K26" s="35">
        <f t="shared" si="4"/>
        <v>3880</v>
      </c>
      <c r="L26" s="33"/>
      <c r="M26" s="33"/>
      <c r="N26" s="33"/>
      <c r="O26" s="17">
        <f t="shared" si="5"/>
        <v>16</v>
      </c>
      <c r="P26" s="14">
        <f>ROUND(+'Rate Structure'!$D$5,2)</f>
        <v>17.68</v>
      </c>
      <c r="Q26" s="14">
        <f>ROUND(+'Rate Structure'!$D$5+((+D26-Q$10)*'Rate Structure'!$D$15/1000),2)</f>
        <v>146.78</v>
      </c>
      <c r="R26" s="14">
        <f>ROUND(+'Rate Structure'!$D$5+((R$10-Q$10)*'Rate Structure'!$D$15/1000)+((D26-R$10)*'Rate Structure'!$D$16/1000),2)</f>
        <v>138.56</v>
      </c>
      <c r="S26" s="14">
        <f>ROUND(+'Rate Structure'!$D$5+((R$10-Q$10)*'Rate Structure'!$D$15/1000)+((S$10-R$10)*'Rate Structure'!$D$16/1000)+((D26-S$10)*'Rate Structure'!$D$17/1000),2)</f>
        <v>204.32</v>
      </c>
      <c r="T26" s="14">
        <f>ROUND(+'Rate Structure'!$D$5+((R$10-Q$10)*'Rate Structure'!$D$15/1000)+((S$10-R$10)*'Rate Structure'!$D$16/1000)+((T$10-S$10)*'Rate Structure'!$D$17/1000)+((D26-T$10)*'Rate Structure'!$D$18/1000),2)</f>
        <v>1013.15</v>
      </c>
    </row>
    <row r="27" spans="1:20">
      <c r="A27" s="35">
        <v>25</v>
      </c>
      <c r="B27" s="45" t="s">
        <v>105</v>
      </c>
      <c r="C27" s="35">
        <v>30000</v>
      </c>
      <c r="D27" s="35">
        <v>27327</v>
      </c>
      <c r="E27" s="43">
        <f t="shared" si="0"/>
        <v>167.4</v>
      </c>
      <c r="F27" s="35">
        <v>91</v>
      </c>
      <c r="G27" s="35">
        <f t="shared" si="1"/>
        <v>2486757</v>
      </c>
      <c r="H27" s="35">
        <f t="shared" si="2"/>
        <v>15233</v>
      </c>
      <c r="I27" s="35">
        <v>18</v>
      </c>
      <c r="J27" s="35">
        <f t="shared" si="3"/>
        <v>491886</v>
      </c>
      <c r="K27" s="35">
        <f t="shared" si="4"/>
        <v>3013</v>
      </c>
      <c r="L27" s="33"/>
      <c r="M27" s="33"/>
      <c r="N27" s="33"/>
      <c r="O27" s="17">
        <f t="shared" si="5"/>
        <v>17</v>
      </c>
      <c r="P27" s="14">
        <f>ROUND(+'Rate Structure'!$D$5,2)</f>
        <v>17.68</v>
      </c>
      <c r="Q27" s="14">
        <f>ROUND(+'Rate Structure'!$D$5+((+D27-Q$10)*'Rate Structure'!$D$15/1000),2)</f>
        <v>179.01</v>
      </c>
      <c r="R27" s="14">
        <f>ROUND(+'Rate Structure'!$D$5+((R$10-Q$10)*'Rate Structure'!$D$15/1000)+((D27-R$10)*'Rate Structure'!$D$16/1000),2)</f>
        <v>167.4</v>
      </c>
      <c r="S27" s="14">
        <f>ROUND(+'Rate Structure'!$D$5+((R$10-Q$10)*'Rate Structure'!$D$15/1000)+((S$10-R$10)*'Rate Structure'!$D$16/1000)+((D27-S$10)*'Rate Structure'!$D$17/1000),2)</f>
        <v>231.29</v>
      </c>
      <c r="T27" s="14">
        <f>ROUND(+'Rate Structure'!$D$5+((R$10-Q$10)*'Rate Structure'!$D$15/1000)+((S$10-R$10)*'Rate Structure'!$D$16/1000)+((T$10-S$10)*'Rate Structure'!$D$17/1000)+((D27-T$10)*'Rate Structure'!$D$18/1000),2)</f>
        <v>1033.04</v>
      </c>
    </row>
    <row r="28" spans="1:20">
      <c r="A28" s="35">
        <v>30</v>
      </c>
      <c r="B28" s="45" t="s">
        <v>105</v>
      </c>
      <c r="C28" s="35">
        <v>40000</v>
      </c>
      <c r="D28" s="35">
        <v>34341</v>
      </c>
      <c r="E28" s="43">
        <f t="shared" si="0"/>
        <v>207.38</v>
      </c>
      <c r="F28" s="35">
        <v>90</v>
      </c>
      <c r="G28" s="35">
        <f t="shared" si="1"/>
        <v>3090690</v>
      </c>
      <c r="H28" s="35">
        <f t="shared" si="2"/>
        <v>18664</v>
      </c>
      <c r="I28" s="35">
        <v>11</v>
      </c>
      <c r="J28" s="35">
        <f t="shared" si="3"/>
        <v>377751</v>
      </c>
      <c r="K28" s="35">
        <f t="shared" si="4"/>
        <v>2281</v>
      </c>
      <c r="L28" s="33"/>
      <c r="M28" s="33"/>
      <c r="N28" s="33"/>
      <c r="O28" s="17">
        <f t="shared" si="5"/>
        <v>18</v>
      </c>
      <c r="P28" s="14">
        <f>ROUND(+'Rate Structure'!$D$5,2)</f>
        <v>17.68</v>
      </c>
      <c r="Q28" s="14">
        <f>ROUND(+'Rate Structure'!$D$5+((+D28-Q$10)*'Rate Structure'!$D$15/1000),2)</f>
        <v>223.69</v>
      </c>
      <c r="R28" s="14">
        <f>ROUND(+'Rate Structure'!$D$5+((R$10-Q$10)*'Rate Structure'!$D$15/1000)+((D28-R$10)*'Rate Structure'!$D$16/1000),2)</f>
        <v>207.38</v>
      </c>
      <c r="S28" s="14">
        <f>ROUND(+'Rate Structure'!$D$5+((R$10-Q$10)*'Rate Structure'!$D$15/1000)+((S$10-R$10)*'Rate Structure'!$D$16/1000)+((D28-S$10)*'Rate Structure'!$D$17/1000),2)</f>
        <v>268.68</v>
      </c>
      <c r="T28" s="14">
        <f>ROUND(+'Rate Structure'!$D$5+((R$10-Q$10)*'Rate Structure'!$D$15/1000)+((S$10-R$10)*'Rate Structure'!$D$16/1000)+((T$10-S$10)*'Rate Structure'!$D$17/1000)+((D28-T$10)*'Rate Structure'!$D$18/1000),2)</f>
        <v>1060.5999999999999</v>
      </c>
    </row>
    <row r="29" spans="1:20">
      <c r="A29" s="35">
        <v>40</v>
      </c>
      <c r="B29" s="45" t="s">
        <v>105</v>
      </c>
      <c r="C29" s="35">
        <v>50000</v>
      </c>
      <c r="D29" s="35">
        <v>43905</v>
      </c>
      <c r="E29" s="43">
        <f t="shared" si="0"/>
        <v>261.89999999999998</v>
      </c>
      <c r="F29" s="35">
        <v>28</v>
      </c>
      <c r="G29" s="35">
        <f t="shared" si="1"/>
        <v>1229340</v>
      </c>
      <c r="H29" s="35">
        <f t="shared" si="2"/>
        <v>7333</v>
      </c>
      <c r="I29" s="35">
        <v>20</v>
      </c>
      <c r="J29" s="35">
        <f t="shared" si="3"/>
        <v>878100</v>
      </c>
      <c r="K29" s="35">
        <f t="shared" si="4"/>
        <v>5238</v>
      </c>
      <c r="L29" s="33"/>
      <c r="M29" s="33"/>
      <c r="N29" s="33"/>
      <c r="O29" s="17">
        <f t="shared" si="5"/>
        <v>19</v>
      </c>
      <c r="P29" s="14">
        <f>ROUND(+'Rate Structure'!$D$5,2)</f>
        <v>17.68</v>
      </c>
      <c r="Q29" s="14">
        <f>ROUND(+'Rate Structure'!$D$5+((+D29-Q$10)*'Rate Structure'!$D$15/1000),2)</f>
        <v>284.61</v>
      </c>
      <c r="R29" s="14">
        <f>ROUND(+'Rate Structure'!$D$5+((R$10-Q$10)*'Rate Structure'!$D$15/1000)+((D29-R$10)*'Rate Structure'!$D$16/1000),2)</f>
        <v>261.89999999999998</v>
      </c>
      <c r="S29" s="14">
        <f>ROUND(+'Rate Structure'!$D$5+((R$10-Q$10)*'Rate Structure'!$D$15/1000)+((S$10-R$10)*'Rate Structure'!$D$16/1000)+((D29-S$10)*'Rate Structure'!$D$17/1000),2)</f>
        <v>319.64999999999998</v>
      </c>
      <c r="T29" s="14">
        <f>ROUND(+'Rate Structure'!$D$5+((R$10-Q$10)*'Rate Structure'!$D$15/1000)+((S$10-R$10)*'Rate Structure'!$D$16/1000)+((T$10-S$10)*'Rate Structure'!$D$17/1000)+((D29-T$10)*'Rate Structure'!$D$18/1000),2)</f>
        <v>1098.19</v>
      </c>
    </row>
    <row r="30" spans="1:20">
      <c r="A30" s="35">
        <v>50</v>
      </c>
      <c r="B30" s="45" t="s">
        <v>105</v>
      </c>
      <c r="C30" s="35">
        <v>75000</v>
      </c>
      <c r="D30" s="35">
        <v>59673</v>
      </c>
      <c r="E30" s="43">
        <f t="shared" si="0"/>
        <v>351.78</v>
      </c>
      <c r="F30" s="35">
        <v>35</v>
      </c>
      <c r="G30" s="35">
        <f t="shared" si="1"/>
        <v>2088555</v>
      </c>
      <c r="H30" s="35">
        <f t="shared" si="2"/>
        <v>12312</v>
      </c>
      <c r="I30" s="35">
        <v>28</v>
      </c>
      <c r="J30" s="35">
        <f t="shared" si="3"/>
        <v>1670844</v>
      </c>
      <c r="K30" s="35">
        <f t="shared" si="4"/>
        <v>9850</v>
      </c>
      <c r="L30" s="33"/>
      <c r="M30" s="33"/>
      <c r="N30" s="33"/>
      <c r="O30" s="17">
        <f t="shared" si="5"/>
        <v>20</v>
      </c>
      <c r="P30" s="14">
        <f>ROUND(+'Rate Structure'!$D$5,2)</f>
        <v>17.68</v>
      </c>
      <c r="Q30" s="14">
        <f>ROUND(+'Rate Structure'!$D$5+((+D30-Q$10)*'Rate Structure'!$D$15/1000),2)</f>
        <v>385.06</v>
      </c>
      <c r="R30" s="14">
        <f>ROUND(+'Rate Structure'!$D$5+((R$10-Q$10)*'Rate Structure'!$D$15/1000)+((D30-R$10)*'Rate Structure'!$D$16/1000),2)</f>
        <v>351.78</v>
      </c>
      <c r="S30" s="14">
        <f>ROUND(+'Rate Structure'!$D$5+((R$10-Q$10)*'Rate Structure'!$D$15/1000)+((S$10-R$10)*'Rate Structure'!$D$16/1000)+((D30-S$10)*'Rate Structure'!$D$17/1000),2)</f>
        <v>403.7</v>
      </c>
      <c r="T30" s="14">
        <f>ROUND(+'Rate Structure'!$D$5+((R$10-Q$10)*'Rate Structure'!$D$15/1000)+((S$10-R$10)*'Rate Structure'!$D$16/1000)+((T$10-S$10)*'Rate Structure'!$D$17/1000)+((D30-T$10)*'Rate Structure'!$D$18/1000),2)</f>
        <v>1160.1500000000001</v>
      </c>
    </row>
    <row r="31" spans="1:20">
      <c r="A31" s="9">
        <v>75</v>
      </c>
      <c r="B31" s="13" t="s">
        <v>105</v>
      </c>
      <c r="C31" s="9">
        <v>100000</v>
      </c>
      <c r="D31" s="9">
        <v>84411</v>
      </c>
      <c r="E31" s="14">
        <f t="shared" si="0"/>
        <v>492.78</v>
      </c>
      <c r="F31" s="35">
        <v>10</v>
      </c>
      <c r="G31" s="35">
        <f t="shared" si="1"/>
        <v>844110</v>
      </c>
      <c r="H31" s="35">
        <f t="shared" si="2"/>
        <v>4928</v>
      </c>
      <c r="I31" s="35">
        <v>7</v>
      </c>
      <c r="J31" s="9">
        <f t="shared" si="3"/>
        <v>590877</v>
      </c>
      <c r="K31" s="9">
        <f t="shared" si="4"/>
        <v>3449</v>
      </c>
      <c r="O31" s="17">
        <f t="shared" si="5"/>
        <v>21</v>
      </c>
      <c r="P31" s="14">
        <f>ROUND(+'Rate Structure'!$D$5,2)</f>
        <v>17.68</v>
      </c>
      <c r="Q31" s="14">
        <f>ROUND(+'Rate Structure'!$D$5+((+D31-Q$10)*'Rate Structure'!$D$15/1000),2)</f>
        <v>542.64</v>
      </c>
      <c r="R31" s="14">
        <f>ROUND(+'Rate Structure'!$D$5+((R$10-Q$10)*'Rate Structure'!$D$15/1000)+((D31-R$10)*'Rate Structure'!$D$16/1000),2)</f>
        <v>492.78</v>
      </c>
      <c r="S31" s="14">
        <f>ROUND(+'Rate Structure'!$D$5+((R$10-Q$10)*'Rate Structure'!$D$15/1000)+((S$10-R$10)*'Rate Structure'!$D$16/1000)+((D31-S$10)*'Rate Structure'!$D$17/1000),2)</f>
        <v>535.54999999999995</v>
      </c>
      <c r="T31" s="14">
        <f>ROUND(+'Rate Structure'!$D$5+((R$10-Q$10)*'Rate Structure'!$D$15/1000)+((S$10-R$10)*'Rate Structure'!$D$16/1000)+((T$10-S$10)*'Rate Structure'!$D$17/1000)+((D31-T$10)*'Rate Structure'!$D$18/1000),2)</f>
        <v>1257.3800000000001</v>
      </c>
    </row>
    <row r="32" spans="1:20">
      <c r="A32" s="9">
        <v>100</v>
      </c>
      <c r="B32" s="13" t="s">
        <v>105</v>
      </c>
      <c r="C32" s="9">
        <v>150000</v>
      </c>
      <c r="D32" s="9">
        <v>117483</v>
      </c>
      <c r="E32" s="14">
        <f t="shared" si="0"/>
        <v>681.29</v>
      </c>
      <c r="F32" s="35">
        <v>12</v>
      </c>
      <c r="G32" s="35">
        <f t="shared" si="1"/>
        <v>1409796</v>
      </c>
      <c r="H32" s="35">
        <f t="shared" si="2"/>
        <v>8175</v>
      </c>
      <c r="I32" s="35">
        <v>8</v>
      </c>
      <c r="J32" s="9">
        <f t="shared" si="3"/>
        <v>939864</v>
      </c>
      <c r="K32" s="9">
        <f t="shared" si="4"/>
        <v>5450</v>
      </c>
      <c r="O32" s="17">
        <f t="shared" si="5"/>
        <v>22</v>
      </c>
      <c r="P32" s="14">
        <f>ROUND(+'Rate Structure'!$D$5,2)</f>
        <v>17.68</v>
      </c>
      <c r="Q32" s="14">
        <f>ROUND(+'Rate Structure'!$D$5+((+D32-Q$10)*'Rate Structure'!$D$15/1000),2)</f>
        <v>753.31</v>
      </c>
      <c r="R32" s="14">
        <f>ROUND(+'Rate Structure'!$D$5+((R$10-Q$10)*'Rate Structure'!$D$15/1000)+((D32-R$10)*'Rate Structure'!$D$16/1000),2)</f>
        <v>681.29</v>
      </c>
      <c r="S32" s="14">
        <f>ROUND(+'Rate Structure'!$D$5+((R$10-Q$10)*'Rate Structure'!$D$15/1000)+((S$10-R$10)*'Rate Structure'!$D$16/1000)+((D32-S$10)*'Rate Structure'!$D$17/1000),2)</f>
        <v>711.82</v>
      </c>
      <c r="T32" s="14">
        <f>ROUND(+'Rate Structure'!$D$5+((R$10-Q$10)*'Rate Structure'!$D$15/1000)+((S$10-R$10)*'Rate Structure'!$D$16/1000)+((T$10-S$10)*'Rate Structure'!$D$17/1000)+((D32-T$10)*'Rate Structure'!$D$18/1000),2)</f>
        <v>1387.35</v>
      </c>
    </row>
    <row r="33" spans="1:24">
      <c r="A33" s="9">
        <v>150</v>
      </c>
      <c r="B33" s="13" t="s">
        <v>105</v>
      </c>
      <c r="C33" s="9">
        <v>200000</v>
      </c>
      <c r="D33" s="9">
        <v>167554</v>
      </c>
      <c r="E33" s="14">
        <f t="shared" si="0"/>
        <v>966.7</v>
      </c>
      <c r="F33" s="35">
        <v>3</v>
      </c>
      <c r="G33" s="35">
        <f t="shared" si="1"/>
        <v>502662</v>
      </c>
      <c r="H33" s="35">
        <f t="shared" si="2"/>
        <v>2900</v>
      </c>
      <c r="I33" s="35">
        <v>2</v>
      </c>
      <c r="J33" s="9">
        <f t="shared" si="3"/>
        <v>335108</v>
      </c>
      <c r="K33" s="9">
        <f t="shared" si="4"/>
        <v>1933</v>
      </c>
      <c r="O33" s="17">
        <f t="shared" si="5"/>
        <v>23</v>
      </c>
      <c r="P33" s="14">
        <f>ROUND(+'Rate Structure'!$D$5,2)</f>
        <v>17.68</v>
      </c>
      <c r="Q33" s="14">
        <f>ROUND(+'Rate Structure'!$D$5+((+D33-Q$10)*'Rate Structure'!$D$15/1000),2)</f>
        <v>1072.26</v>
      </c>
      <c r="R33" s="14">
        <f>ROUND(+'Rate Structure'!$D$5+((R$10-Q$10)*'Rate Structure'!$D$15/1000)+((D33-R$10)*'Rate Structure'!$D$16/1000),2)</f>
        <v>966.7</v>
      </c>
      <c r="S33" s="14">
        <f>ROUND(+'Rate Structure'!$D$5+((R$10-Q$10)*'Rate Structure'!$D$15/1000)+((S$10-R$10)*'Rate Structure'!$D$16/1000)+((D33-S$10)*'Rate Structure'!$D$17/1000),2)</f>
        <v>978.7</v>
      </c>
      <c r="T33" s="14">
        <f>ROUND(+'Rate Structure'!$D$5+((R$10-Q$10)*'Rate Structure'!$D$15/1000)+((S$10-R$10)*'Rate Structure'!$D$16/1000)+((T$10-S$10)*'Rate Structure'!$D$17/1000)+((D33-T$10)*'Rate Structure'!$D$18/1000),2)</f>
        <v>1584.13</v>
      </c>
    </row>
    <row r="34" spans="1:24">
      <c r="A34" s="9">
        <v>200</v>
      </c>
      <c r="B34" s="13" t="s">
        <v>105</v>
      </c>
      <c r="C34" s="9">
        <v>300000</v>
      </c>
      <c r="D34" s="9">
        <v>252519</v>
      </c>
      <c r="E34" s="14">
        <f t="shared" si="0"/>
        <v>1431.57</v>
      </c>
      <c r="F34" s="35">
        <v>10</v>
      </c>
      <c r="G34" s="35">
        <f t="shared" si="1"/>
        <v>2525190</v>
      </c>
      <c r="H34" s="35">
        <f t="shared" si="2"/>
        <v>14316</v>
      </c>
      <c r="I34" s="35">
        <v>0</v>
      </c>
      <c r="J34" s="9">
        <f t="shared" si="3"/>
        <v>0</v>
      </c>
      <c r="K34" s="9">
        <f t="shared" si="4"/>
        <v>0</v>
      </c>
      <c r="O34" s="17">
        <f t="shared" si="5"/>
        <v>24</v>
      </c>
      <c r="P34" s="14">
        <f>ROUND(+'Rate Structure'!$D$5,2)</f>
        <v>17.68</v>
      </c>
      <c r="Q34" s="14">
        <f>ROUND(+'Rate Structure'!$D$5+((+D34-Q$10)*'Rate Structure'!$D$15/1000),2)</f>
        <v>1613.49</v>
      </c>
      <c r="R34" s="14">
        <f>ROUND(+'Rate Structure'!$D$5+((R$10-Q$10)*'Rate Structure'!$D$15/1000)+((D34-R$10)*'Rate Structure'!$D$16/1000),2)</f>
        <v>1451</v>
      </c>
      <c r="S34" s="14">
        <f>ROUND(+'Rate Structure'!$D$5+((R$10-Q$10)*'Rate Structure'!$D$15/1000)+((S$10-R$10)*'Rate Structure'!$D$16/1000)+((D34-S$10)*'Rate Structure'!$D$17/1000),2)</f>
        <v>1431.57</v>
      </c>
      <c r="T34" s="14">
        <f>ROUND(+'Rate Structure'!$D$5+((R$10-Q$10)*'Rate Structure'!$D$15/1000)+((S$10-R$10)*'Rate Structure'!$D$16/1000)+((T$10-S$10)*'Rate Structure'!$D$17/1000)+((D34-T$10)*'Rate Structure'!$D$18/1000),2)</f>
        <v>1918.04</v>
      </c>
    </row>
    <row r="35" spans="1:24">
      <c r="A35" s="9">
        <v>300</v>
      </c>
      <c r="B35" s="13" t="s">
        <v>105</v>
      </c>
      <c r="C35" s="9">
        <v>400000</v>
      </c>
      <c r="D35" s="9">
        <v>328980</v>
      </c>
      <c r="E35" s="14">
        <f t="shared" si="0"/>
        <v>1839.1</v>
      </c>
      <c r="F35" s="35">
        <v>1</v>
      </c>
      <c r="G35" s="35">
        <f t="shared" si="1"/>
        <v>328980</v>
      </c>
      <c r="H35" s="35">
        <f t="shared" si="2"/>
        <v>1839</v>
      </c>
      <c r="I35" s="35">
        <v>0</v>
      </c>
      <c r="J35" s="9">
        <f t="shared" si="3"/>
        <v>0</v>
      </c>
      <c r="K35" s="9">
        <f t="shared" si="4"/>
        <v>0</v>
      </c>
      <c r="O35" s="17">
        <f t="shared" si="5"/>
        <v>25</v>
      </c>
      <c r="P35" s="14">
        <f>ROUND(+'Rate Structure'!$D$5,2)</f>
        <v>17.68</v>
      </c>
      <c r="Q35" s="14">
        <f>ROUND(+'Rate Structure'!$D$5+((+D35-Q$10)*'Rate Structure'!$D$15/1000),2)</f>
        <v>2100.54</v>
      </c>
      <c r="R35" s="14">
        <f>ROUND(+'Rate Structure'!$D$5+((R$10-Q$10)*'Rate Structure'!$D$15/1000)+((D35-R$10)*'Rate Structure'!$D$16/1000),2)</f>
        <v>1886.83</v>
      </c>
      <c r="S35" s="14">
        <f>ROUND(+'Rate Structure'!$D$5+((R$10-Q$10)*'Rate Structure'!$D$15/1000)+((S$10-R$10)*'Rate Structure'!$D$16/1000)+((D35-S$10)*'Rate Structure'!$D$17/1000),2)</f>
        <v>1839.1</v>
      </c>
      <c r="T35" s="14">
        <f>ROUND(+'Rate Structure'!$D$5+((R$10-Q$10)*'Rate Structure'!$D$15/1000)+((S$10-R$10)*'Rate Structure'!$D$16/1000)+((T$10-S$10)*'Rate Structure'!$D$17/1000)+((D35-T$10)*'Rate Structure'!$D$18/1000),2)</f>
        <v>2218.5300000000002</v>
      </c>
    </row>
    <row r="36" spans="1:24">
      <c r="A36" s="9">
        <v>400</v>
      </c>
      <c r="B36" s="13" t="s">
        <v>105</v>
      </c>
      <c r="C36" s="9">
        <v>500000</v>
      </c>
      <c r="D36" s="9">
        <v>0</v>
      </c>
      <c r="E36" s="14">
        <v>0</v>
      </c>
      <c r="F36" s="35">
        <v>0</v>
      </c>
      <c r="G36" s="35">
        <f t="shared" si="1"/>
        <v>0</v>
      </c>
      <c r="H36" s="35">
        <f t="shared" si="2"/>
        <v>0</v>
      </c>
      <c r="I36" s="35">
        <v>0</v>
      </c>
      <c r="J36" s="9">
        <f t="shared" si="3"/>
        <v>0</v>
      </c>
      <c r="K36" s="9">
        <f t="shared" si="4"/>
        <v>0</v>
      </c>
      <c r="O36" s="17">
        <f t="shared" si="5"/>
        <v>26</v>
      </c>
      <c r="P36" s="14">
        <f>ROUND(+'Rate Structure'!$D$5,2)</f>
        <v>17.68</v>
      </c>
      <c r="Q36" s="14">
        <f>ROUND(+'Rate Structure'!$D$5+((+D36-Q$10)*'Rate Structure'!$D$15/1000),2)</f>
        <v>4.9400000000000004</v>
      </c>
      <c r="R36" s="14">
        <f>ROUND(+'Rate Structure'!$D$5+((R$10-Q$10)*'Rate Structure'!$D$15/1000)+((D36-R$10)*'Rate Structure'!$D$16/1000),2)</f>
        <v>11.64</v>
      </c>
      <c r="S36" s="14">
        <f>ROUND(+'Rate Structure'!$D$5+((R$10-Q$10)*'Rate Structure'!$D$15/1000)+((S$10-R$10)*'Rate Structure'!$D$16/1000)+((D36-S$10)*'Rate Structure'!$D$17/1000),2)</f>
        <v>85.64</v>
      </c>
      <c r="T36" s="14">
        <f>ROUND(+'Rate Structure'!$D$5+((R$10-Q$10)*'Rate Structure'!$D$15/1000)+((S$10-R$10)*'Rate Structure'!$D$16/1000)+((T$10-S$10)*'Rate Structure'!$D$17/1000)+((D36-T$10)*'Rate Structure'!$D$18/1000),2)</f>
        <v>925.64</v>
      </c>
    </row>
    <row r="37" spans="1:24">
      <c r="A37" s="9">
        <v>500</v>
      </c>
      <c r="B37" s="13" t="s">
        <v>105</v>
      </c>
      <c r="C37" s="21" t="s">
        <v>112</v>
      </c>
      <c r="D37" s="9">
        <v>0</v>
      </c>
      <c r="E37" s="14">
        <f t="shared" si="0"/>
        <v>17.68</v>
      </c>
      <c r="F37" s="36">
        <v>0</v>
      </c>
      <c r="G37" s="36">
        <f t="shared" si="1"/>
        <v>0</v>
      </c>
      <c r="H37" s="36">
        <f t="shared" si="2"/>
        <v>0</v>
      </c>
      <c r="I37" s="36">
        <v>0</v>
      </c>
      <c r="J37" s="10">
        <f t="shared" si="3"/>
        <v>0</v>
      </c>
      <c r="K37" s="10">
        <f t="shared" si="4"/>
        <v>0</v>
      </c>
      <c r="O37" s="17">
        <f t="shared" si="5"/>
        <v>27</v>
      </c>
      <c r="P37" s="14">
        <f>ROUND(+'Rate Structure'!$D$5,2)</f>
        <v>17.68</v>
      </c>
      <c r="Q37" s="14">
        <f>ROUND(+'Rate Structure'!$D$5+((+D37-Q$10)*'Rate Structure'!$D$15/1000),2)</f>
        <v>4.9400000000000004</v>
      </c>
      <c r="R37" s="14">
        <f>ROUND(+'Rate Structure'!$D$5+((R$10-Q$10)*'Rate Structure'!$D$15/1000)+((D37-R$10)*'Rate Structure'!$D$16/1000),2)</f>
        <v>11.64</v>
      </c>
      <c r="S37" s="14">
        <f>ROUND(+'Rate Structure'!$D$5+((R$10-Q$10)*'Rate Structure'!$D$15/1000)+((S$10-R$10)*'Rate Structure'!$D$16/1000)+((D37-S$10)*'Rate Structure'!$D$17/1000),2)</f>
        <v>85.64</v>
      </c>
      <c r="T37" s="14">
        <f>ROUND(+'Rate Structure'!$D$5+((R$10-Q$10)*'Rate Structure'!$D$15/1000)+((S$10-R$10)*'Rate Structure'!$D$16/1000)+((T$10-S$10)*'Rate Structure'!$D$17/1000)+((D37-T$10)*'Rate Structure'!$D$18/1000),2)</f>
        <v>925.64</v>
      </c>
    </row>
    <row r="38" spans="1:24">
      <c r="A38" s="9"/>
      <c r="B38" s="9"/>
      <c r="C38" s="9"/>
      <c r="D38" s="9"/>
      <c r="F38" s="35"/>
      <c r="H38" s="35"/>
      <c r="O38" s="17"/>
    </row>
    <row r="39" spans="1:24">
      <c r="A39" s="9"/>
      <c r="B39" s="9"/>
      <c r="C39" s="13" t="s">
        <v>113</v>
      </c>
      <c r="D39" s="9"/>
      <c r="F39" s="35">
        <f t="shared" ref="F39:K39" si="6">SUM(F11:F37)</f>
        <v>36457</v>
      </c>
      <c r="G39" s="35">
        <f t="shared" si="6"/>
        <v>162931383</v>
      </c>
      <c r="H39" s="34">
        <f t="shared" si="6"/>
        <v>1272158</v>
      </c>
      <c r="I39" s="35">
        <f t="shared" si="6"/>
        <v>2661</v>
      </c>
      <c r="J39" s="9">
        <f t="shared" si="6"/>
        <v>13373285</v>
      </c>
      <c r="K39" s="8">
        <f t="shared" si="6"/>
        <v>106034</v>
      </c>
      <c r="N39" s="18">
        <f>F39+I39</f>
        <v>39118</v>
      </c>
      <c r="O39" s="17"/>
    </row>
    <row r="40" spans="1:24">
      <c r="A40" s="9"/>
      <c r="B40" s="9"/>
      <c r="C40" s="9"/>
      <c r="D40" s="13" t="s">
        <v>123</v>
      </c>
      <c r="F40" s="35"/>
      <c r="G40" s="55">
        <f>(H39+K39)/((G39+J39)/1000)</f>
        <v>7.8171044228959383</v>
      </c>
      <c r="N40" s="18">
        <f>N39/12</f>
        <v>3259.8333333333335</v>
      </c>
      <c r="O40" s="17"/>
    </row>
    <row r="41" spans="1:24">
      <c r="A41" s="9"/>
      <c r="B41" s="9"/>
      <c r="C41" s="9"/>
      <c r="D41" s="13" t="s">
        <v>124</v>
      </c>
      <c r="F41" s="35"/>
      <c r="G41" s="35">
        <f>G39/F39</f>
        <v>4469.1385193515653</v>
      </c>
      <c r="J41" s="35">
        <f>J39/I39</f>
        <v>5025.6614054866595</v>
      </c>
      <c r="K41" s="33"/>
      <c r="L41" s="33"/>
      <c r="M41" s="33"/>
      <c r="O41" s="17"/>
    </row>
    <row r="42" spans="1:24">
      <c r="A42" s="9"/>
      <c r="B42" s="9"/>
      <c r="C42" s="9"/>
      <c r="D42" s="9"/>
      <c r="F42" s="35"/>
      <c r="G42" s="35"/>
      <c r="J42" s="35"/>
      <c r="K42" s="33"/>
      <c r="L42" s="33"/>
      <c r="M42" s="33"/>
      <c r="O42" s="17"/>
    </row>
    <row r="43" spans="1:24">
      <c r="J43" s="33"/>
      <c r="K43" s="33"/>
      <c r="L43" s="33"/>
      <c r="M43" s="33"/>
      <c r="O43" s="17"/>
    </row>
    <row r="44" spans="1:24">
      <c r="A44" s="10" t="s">
        <v>88</v>
      </c>
      <c r="B44" s="9"/>
      <c r="C44" s="9"/>
      <c r="J44" s="33"/>
      <c r="K44" s="33"/>
      <c r="L44" s="33"/>
      <c r="M44" s="33"/>
      <c r="O44" s="17"/>
    </row>
    <row r="45" spans="1:24">
      <c r="F45" s="38" t="s">
        <v>57</v>
      </c>
      <c r="G45" s="37"/>
      <c r="H45" s="38"/>
      <c r="I45" s="38" t="s">
        <v>59</v>
      </c>
      <c r="J45" s="38"/>
      <c r="K45" s="37"/>
      <c r="L45" s="33"/>
      <c r="M45" s="33"/>
      <c r="O45" s="17"/>
      <c r="X45" s="14"/>
    </row>
    <row r="46" spans="1:24">
      <c r="E46" s="5" t="s">
        <v>122</v>
      </c>
      <c r="J46" s="33"/>
      <c r="K46" s="33"/>
      <c r="L46" s="33"/>
      <c r="M46" s="33"/>
      <c r="O46" s="17"/>
      <c r="P46" s="16" t="s">
        <v>132</v>
      </c>
      <c r="X46" s="14"/>
    </row>
    <row r="47" spans="1:24">
      <c r="A47" s="7" t="s">
        <v>87</v>
      </c>
      <c r="B47" s="7"/>
      <c r="C47" s="7"/>
      <c r="D47" s="6" t="s">
        <v>122</v>
      </c>
      <c r="E47" s="6" t="s">
        <v>125</v>
      </c>
      <c r="F47" s="39" t="s">
        <v>126</v>
      </c>
      <c r="G47" s="39" t="s">
        <v>127</v>
      </c>
      <c r="H47" s="39" t="s">
        <v>128</v>
      </c>
      <c r="I47" s="39" t="s">
        <v>126</v>
      </c>
      <c r="J47" s="39" t="s">
        <v>127</v>
      </c>
      <c r="K47" s="39" t="s">
        <v>128</v>
      </c>
      <c r="L47" s="33"/>
      <c r="M47" s="33"/>
      <c r="O47" s="17"/>
      <c r="P47" s="18">
        <v>0</v>
      </c>
      <c r="Q47" s="18">
        <v>5000</v>
      </c>
      <c r="R47" s="18">
        <v>10000</v>
      </c>
      <c r="S47" s="18">
        <v>200000</v>
      </c>
      <c r="T47" s="18">
        <v>600000</v>
      </c>
      <c r="X47" s="14"/>
    </row>
    <row r="48" spans="1:24">
      <c r="A48" s="9">
        <v>0</v>
      </c>
      <c r="B48" s="13" t="s">
        <v>105</v>
      </c>
      <c r="C48" s="9">
        <v>5000</v>
      </c>
      <c r="D48" s="35">
        <v>1570</v>
      </c>
      <c r="E48" s="14">
        <f t="shared" ref="E48:E69" si="7">HLOOKUP(D48,$P$47:$T$71,(O48)+1)</f>
        <v>37.89</v>
      </c>
      <c r="F48" s="35">
        <v>232</v>
      </c>
      <c r="G48" s="35">
        <f t="shared" ref="G48:G71" si="8">F48*D48</f>
        <v>364240</v>
      </c>
      <c r="H48" s="35">
        <f t="shared" ref="H48:H71" si="9">ROUND(+F48*$E48,0)</f>
        <v>8790</v>
      </c>
      <c r="I48" s="35">
        <f>291-25</f>
        <v>266</v>
      </c>
      <c r="J48" s="35">
        <f t="shared" ref="J48:J71" si="10">I48*D48</f>
        <v>417620</v>
      </c>
      <c r="K48" s="35">
        <f t="shared" ref="K48:K71" si="11">ROUND(+I48*$E48,0)</f>
        <v>10079</v>
      </c>
      <c r="L48" s="33"/>
      <c r="M48" s="33"/>
      <c r="O48" s="17">
        <v>1</v>
      </c>
      <c r="P48" s="14">
        <f>ROUND(+'Rate Structure'!$D$7,2)</f>
        <v>37.89</v>
      </c>
      <c r="Q48" s="14">
        <f>ROUND(+'Rate Structure'!$D$7+((+D48-Q$47)*'Rate Structure'!$D$15/1000),2)</f>
        <v>16.04</v>
      </c>
      <c r="R48" s="14">
        <f>ROUND(+'Rate Structure'!$D$7+((R$47-Q$47)*'Rate Structure'!$D$15/1000)+((D48-R$47)*'Rate Structure'!$D$16/1000),2)</f>
        <v>21.69</v>
      </c>
      <c r="S48" s="14">
        <f>ROUND(+'Rate Structure'!$D$7+((R$47-Q$47)*'Rate Structure'!$D$15/1000)+((S$47-R$47)*'Rate Structure'!$D$16/1000)+((D48-S$47)*'Rate Structure'!$D$17/1000),2)</f>
        <v>95.11</v>
      </c>
      <c r="T48" s="14">
        <f>ROUND(+'Rate Structure'!$D$5+((R$47-Q$47)*'Rate Structure'!$D$15/1000)+((S$47-R$47)*'Rate Structure'!$D$16/1000)+((T$47-S$47)*'Rate Structure'!$D$17/1000)+((D48-T$47)*'Rate Structure'!$D$18/1000),2)</f>
        <v>912.7</v>
      </c>
      <c r="X48" s="14"/>
    </row>
    <row r="49" spans="1:24">
      <c r="A49" s="9">
        <v>5</v>
      </c>
      <c r="B49" s="13" t="s">
        <v>105</v>
      </c>
      <c r="C49" s="9">
        <v>6000</v>
      </c>
      <c r="D49" s="9">
        <v>5461</v>
      </c>
      <c r="E49" s="14">
        <f t="shared" si="7"/>
        <v>40.83</v>
      </c>
      <c r="F49" s="35">
        <v>36</v>
      </c>
      <c r="G49" s="35">
        <f t="shared" si="8"/>
        <v>196596</v>
      </c>
      <c r="H49" s="35">
        <f t="shared" si="9"/>
        <v>1470</v>
      </c>
      <c r="I49" s="35">
        <v>15</v>
      </c>
      <c r="J49" s="35">
        <f t="shared" si="10"/>
        <v>81915</v>
      </c>
      <c r="K49" s="35">
        <f t="shared" si="11"/>
        <v>612</v>
      </c>
      <c r="L49" s="33"/>
      <c r="M49" s="33"/>
      <c r="O49" s="17">
        <f t="shared" ref="O49:O71" si="12">O48+1</f>
        <v>2</v>
      </c>
      <c r="P49" s="14">
        <f>ROUND(+'Rate Structure'!$D$7,2)</f>
        <v>37.89</v>
      </c>
      <c r="Q49" s="14">
        <f>ROUND(+'Rate Structure'!$D$7+((+D49-Q$47)*'Rate Structure'!$D$15/1000),2)</f>
        <v>40.83</v>
      </c>
      <c r="R49" s="14">
        <f>ROUND(+'Rate Structure'!$D$7+((R$47-Q$47)*'Rate Structure'!$D$15/1000)+((D49-R$47)*'Rate Structure'!$D$16/1000),2)</f>
        <v>43.87</v>
      </c>
      <c r="S49" s="14">
        <f>ROUND(+'Rate Structure'!$D$7+((R$47-Q$47)*'Rate Structure'!$D$15/1000)+((S$47-R$47)*'Rate Structure'!$D$16/1000)+((D49-S$47)*'Rate Structure'!$D$17/1000),2)</f>
        <v>115.85</v>
      </c>
      <c r="T49" s="14">
        <f>ROUND(+'Rate Structure'!$D$5+((R$47-Q$47)*'Rate Structure'!$D$15/1000)+((S$47-R$47)*'Rate Structure'!$D$16/1000)+((T$47-S$47)*'Rate Structure'!$D$17/1000)+((D49-T$47)*'Rate Structure'!$D$18/1000),2)</f>
        <v>927.99</v>
      </c>
      <c r="X49" s="14"/>
    </row>
    <row r="50" spans="1:24">
      <c r="A50" s="9">
        <v>6</v>
      </c>
      <c r="B50" s="13" t="s">
        <v>105</v>
      </c>
      <c r="C50" s="9">
        <v>7000</v>
      </c>
      <c r="D50" s="9">
        <v>6445</v>
      </c>
      <c r="E50" s="14">
        <f t="shared" si="7"/>
        <v>47.09</v>
      </c>
      <c r="F50" s="35">
        <v>22</v>
      </c>
      <c r="G50" s="35">
        <f t="shared" si="8"/>
        <v>141790</v>
      </c>
      <c r="H50" s="35">
        <f t="shared" si="9"/>
        <v>1036</v>
      </c>
      <c r="I50" s="35">
        <v>21</v>
      </c>
      <c r="J50" s="35">
        <f t="shared" si="10"/>
        <v>135345</v>
      </c>
      <c r="K50" s="35">
        <f t="shared" si="11"/>
        <v>989</v>
      </c>
      <c r="L50" s="33"/>
      <c r="M50" s="33"/>
      <c r="O50" s="17">
        <f t="shared" si="12"/>
        <v>3</v>
      </c>
      <c r="P50" s="14">
        <f>ROUND(+'Rate Structure'!$D$7,2)</f>
        <v>37.89</v>
      </c>
      <c r="Q50" s="14">
        <f>ROUND(+'Rate Structure'!$D$7+((+D50-Q$47)*'Rate Structure'!$D$15/1000),2)</f>
        <v>47.09</v>
      </c>
      <c r="R50" s="14">
        <f>ROUND(+'Rate Structure'!$D$7+((R$47-Q$47)*'Rate Structure'!$D$15/1000)+((D50-R$47)*'Rate Structure'!$D$16/1000),2)</f>
        <v>49.48</v>
      </c>
      <c r="S50" s="14">
        <f>ROUND(+'Rate Structure'!$D$7+((R$47-Q$47)*'Rate Structure'!$D$15/1000)+((S$47-R$47)*'Rate Structure'!$D$16/1000)+((D50-S$47)*'Rate Structure'!$D$17/1000),2)</f>
        <v>121.09</v>
      </c>
      <c r="T50" s="14">
        <f>ROUND(+'Rate Structure'!$D$5+((R$47-Q$47)*'Rate Structure'!$D$15/1000)+((S$47-R$47)*'Rate Structure'!$D$16/1000)+((T$47-S$47)*'Rate Structure'!$D$17/1000)+((D50-T$47)*'Rate Structure'!$D$18/1000),2)</f>
        <v>931.86</v>
      </c>
      <c r="X50" s="14"/>
    </row>
    <row r="51" spans="1:24">
      <c r="A51" s="9">
        <v>7</v>
      </c>
      <c r="B51" s="13" t="s">
        <v>105</v>
      </c>
      <c r="C51" s="9">
        <v>8000</v>
      </c>
      <c r="D51" s="9">
        <v>7565</v>
      </c>
      <c r="E51" s="14">
        <f t="shared" si="7"/>
        <v>54.23</v>
      </c>
      <c r="F51" s="35">
        <v>14</v>
      </c>
      <c r="G51" s="35">
        <f t="shared" si="8"/>
        <v>105910</v>
      </c>
      <c r="H51" s="35">
        <f t="shared" si="9"/>
        <v>759</v>
      </c>
      <c r="I51" s="35">
        <v>14</v>
      </c>
      <c r="J51" s="35">
        <f t="shared" si="10"/>
        <v>105910</v>
      </c>
      <c r="K51" s="35">
        <f t="shared" si="11"/>
        <v>759</v>
      </c>
      <c r="L51" s="33"/>
      <c r="M51" s="33"/>
      <c r="O51" s="17">
        <f t="shared" si="12"/>
        <v>4</v>
      </c>
      <c r="P51" s="14">
        <f>ROUND(+'Rate Structure'!$D$7,2)</f>
        <v>37.89</v>
      </c>
      <c r="Q51" s="14">
        <f>ROUND(+'Rate Structure'!$D$7+((+D51-Q$47)*'Rate Structure'!$D$15/1000),2)</f>
        <v>54.23</v>
      </c>
      <c r="R51" s="14">
        <f>ROUND(+'Rate Structure'!$D$7+((R$47-Q$47)*'Rate Structure'!$D$15/1000)+((D51-R$47)*'Rate Structure'!$D$16/1000),2)</f>
        <v>55.86</v>
      </c>
      <c r="S51" s="14">
        <f>ROUND(+'Rate Structure'!$D$7+((R$47-Q$47)*'Rate Structure'!$D$15/1000)+((S$47-R$47)*'Rate Structure'!$D$16/1000)+((D51-S$47)*'Rate Structure'!$D$17/1000),2)</f>
        <v>127.06</v>
      </c>
      <c r="T51" s="14">
        <f>ROUND(+'Rate Structure'!$D$5+((R$47-Q$47)*'Rate Structure'!$D$15/1000)+((S$47-R$47)*'Rate Structure'!$D$16/1000)+((T$47-S$47)*'Rate Structure'!$D$17/1000)+((D51-T$47)*'Rate Structure'!$D$18/1000),2)</f>
        <v>936.26</v>
      </c>
      <c r="X51" s="14"/>
    </row>
    <row r="52" spans="1:24">
      <c r="A52" s="9">
        <v>8</v>
      </c>
      <c r="B52" s="13" t="s">
        <v>105</v>
      </c>
      <c r="C52" s="9">
        <v>9000</v>
      </c>
      <c r="D52" s="9">
        <v>8560</v>
      </c>
      <c r="E52" s="14">
        <f t="shared" si="7"/>
        <v>60.57</v>
      </c>
      <c r="F52" s="35">
        <v>24</v>
      </c>
      <c r="G52" s="35">
        <f t="shared" si="8"/>
        <v>205440</v>
      </c>
      <c r="H52" s="35">
        <f t="shared" si="9"/>
        <v>1454</v>
      </c>
      <c r="I52" s="35">
        <v>20</v>
      </c>
      <c r="J52" s="35">
        <f t="shared" si="10"/>
        <v>171200</v>
      </c>
      <c r="K52" s="35">
        <f t="shared" si="11"/>
        <v>1211</v>
      </c>
      <c r="L52" s="33"/>
      <c r="M52" s="33"/>
      <c r="O52" s="17">
        <f t="shared" si="12"/>
        <v>5</v>
      </c>
      <c r="P52" s="14">
        <f>ROUND(+'Rate Structure'!$D$7,2)</f>
        <v>37.89</v>
      </c>
      <c r="Q52" s="14">
        <f>ROUND(+'Rate Structure'!$D$7+((+D52-Q$47)*'Rate Structure'!$D$15/1000),2)</f>
        <v>60.57</v>
      </c>
      <c r="R52" s="14">
        <f>ROUND(+'Rate Structure'!$D$7+((R$47-Q$47)*'Rate Structure'!$D$15/1000)+((D52-R$47)*'Rate Structure'!$D$16/1000),2)</f>
        <v>61.53</v>
      </c>
      <c r="S52" s="14">
        <f>ROUND(+'Rate Structure'!$D$7+((R$47-Q$47)*'Rate Structure'!$D$15/1000)+((S$47-R$47)*'Rate Structure'!$D$16/1000)+((D52-S$47)*'Rate Structure'!$D$17/1000),2)</f>
        <v>132.36000000000001</v>
      </c>
      <c r="T52" s="14">
        <f>ROUND(+'Rate Structure'!$D$5+((R$47-Q$47)*'Rate Structure'!$D$15/1000)+((S$47-R$47)*'Rate Structure'!$D$16/1000)+((T$47-S$47)*'Rate Structure'!$D$17/1000)+((D52-T$47)*'Rate Structure'!$D$18/1000),2)</f>
        <v>940.17</v>
      </c>
    </row>
    <row r="53" spans="1:24">
      <c r="A53" s="9">
        <v>9</v>
      </c>
      <c r="B53" s="13" t="s">
        <v>105</v>
      </c>
      <c r="C53" s="9">
        <v>10000</v>
      </c>
      <c r="D53" s="9">
        <v>9513</v>
      </c>
      <c r="E53" s="14">
        <f t="shared" si="7"/>
        <v>66.64</v>
      </c>
      <c r="F53" s="35">
        <v>24</v>
      </c>
      <c r="G53" s="35">
        <f t="shared" si="8"/>
        <v>228312</v>
      </c>
      <c r="H53" s="35">
        <f t="shared" si="9"/>
        <v>1599</v>
      </c>
      <c r="I53" s="35">
        <v>22</v>
      </c>
      <c r="J53" s="35">
        <f t="shared" si="10"/>
        <v>209286</v>
      </c>
      <c r="K53" s="35">
        <f t="shared" si="11"/>
        <v>1466</v>
      </c>
      <c r="L53" s="33"/>
      <c r="M53" s="33"/>
      <c r="O53" s="17">
        <f t="shared" si="12"/>
        <v>6</v>
      </c>
      <c r="P53" s="14">
        <f>ROUND(+'Rate Structure'!$D$7,2)</f>
        <v>37.89</v>
      </c>
      <c r="Q53" s="14">
        <f>ROUND(+'Rate Structure'!$D$7+((+D53-Q$47)*'Rate Structure'!$D$15/1000),2)</f>
        <v>66.64</v>
      </c>
      <c r="R53" s="14">
        <f>ROUND(+'Rate Structure'!$D$7+((R$47-Q$47)*'Rate Structure'!$D$15/1000)+((D53-R$47)*'Rate Structure'!$D$16/1000),2)</f>
        <v>66.959999999999994</v>
      </c>
      <c r="S53" s="14">
        <f>ROUND(+'Rate Structure'!$D$7+((R$47-Q$47)*'Rate Structure'!$D$15/1000)+((S$47-R$47)*'Rate Structure'!$D$16/1000)+((D53-S$47)*'Rate Structure'!$D$17/1000),2)</f>
        <v>137.44</v>
      </c>
      <c r="T53" s="14">
        <f>ROUND(+'Rate Structure'!$D$5+((R$47-Q$47)*'Rate Structure'!$D$15/1000)+((S$47-R$47)*'Rate Structure'!$D$16/1000)+((T$47-S$47)*'Rate Structure'!$D$17/1000)+((D53-T$47)*'Rate Structure'!$D$18/1000),2)</f>
        <v>943.92</v>
      </c>
    </row>
    <row r="54" spans="1:24">
      <c r="A54" s="9">
        <v>10</v>
      </c>
      <c r="B54" s="13" t="s">
        <v>105</v>
      </c>
      <c r="C54" s="9">
        <v>11000</v>
      </c>
      <c r="D54" s="9">
        <v>10465</v>
      </c>
      <c r="E54" s="14">
        <f t="shared" si="7"/>
        <v>72.39</v>
      </c>
      <c r="F54" s="35">
        <v>22</v>
      </c>
      <c r="G54" s="35">
        <f t="shared" si="8"/>
        <v>230230</v>
      </c>
      <c r="H54" s="35">
        <f t="shared" si="9"/>
        <v>1593</v>
      </c>
      <c r="I54" s="35">
        <v>11</v>
      </c>
      <c r="J54" s="35">
        <f t="shared" si="10"/>
        <v>115115</v>
      </c>
      <c r="K54" s="35">
        <f t="shared" si="11"/>
        <v>796</v>
      </c>
      <c r="L54" s="33"/>
      <c r="M54" s="33"/>
      <c r="O54" s="17">
        <f t="shared" si="12"/>
        <v>7</v>
      </c>
      <c r="P54" s="14">
        <f>ROUND(+'Rate Structure'!$D$7,2)</f>
        <v>37.89</v>
      </c>
      <c r="Q54" s="14">
        <f>ROUND(+'Rate Structure'!$D$7+((+D54-Q$47)*'Rate Structure'!$D$15/1000),2)</f>
        <v>72.7</v>
      </c>
      <c r="R54" s="14">
        <f>ROUND(+'Rate Structure'!$D$7+((R$47-Q$47)*'Rate Structure'!$D$15/1000)+((D54-R$47)*'Rate Structure'!$D$16/1000),2)</f>
        <v>72.39</v>
      </c>
      <c r="S54" s="14">
        <f>ROUND(+'Rate Structure'!$D$7+((R$47-Q$47)*'Rate Structure'!$D$15/1000)+((S$47-R$47)*'Rate Structure'!$D$16/1000)+((D54-S$47)*'Rate Structure'!$D$17/1000),2)</f>
        <v>142.52000000000001</v>
      </c>
      <c r="T54" s="14">
        <f>ROUND(+'Rate Structure'!$D$5+((R$47-Q$47)*'Rate Structure'!$D$15/1000)+((S$47-R$47)*'Rate Structure'!$D$16/1000)+((T$47-S$47)*'Rate Structure'!$D$17/1000)+((D54-T$47)*'Rate Structure'!$D$18/1000),2)</f>
        <v>947.66</v>
      </c>
    </row>
    <row r="55" spans="1:24">
      <c r="A55" s="9">
        <v>11</v>
      </c>
      <c r="B55" s="13" t="s">
        <v>105</v>
      </c>
      <c r="C55" s="9">
        <v>12000</v>
      </c>
      <c r="D55" s="9">
        <v>11585</v>
      </c>
      <c r="E55" s="14">
        <f t="shared" si="7"/>
        <v>78.77</v>
      </c>
      <c r="F55" s="35">
        <v>15</v>
      </c>
      <c r="G55" s="35">
        <f t="shared" si="8"/>
        <v>173775</v>
      </c>
      <c r="H55" s="35">
        <f t="shared" si="9"/>
        <v>1182</v>
      </c>
      <c r="I55" s="35">
        <v>9</v>
      </c>
      <c r="J55" s="35">
        <f t="shared" si="10"/>
        <v>104265</v>
      </c>
      <c r="K55" s="35">
        <f t="shared" si="11"/>
        <v>709</v>
      </c>
      <c r="L55" s="33"/>
      <c r="M55" s="33"/>
      <c r="O55" s="17">
        <f t="shared" si="12"/>
        <v>8</v>
      </c>
      <c r="P55" s="14">
        <f>ROUND(+'Rate Structure'!$D$7,2)</f>
        <v>37.89</v>
      </c>
      <c r="Q55" s="14">
        <f>ROUND(+'Rate Structure'!$D$7+((+D55-Q$47)*'Rate Structure'!$D$15/1000),2)</f>
        <v>79.84</v>
      </c>
      <c r="R55" s="14">
        <f>ROUND(+'Rate Structure'!$D$7+((R$47-Q$47)*'Rate Structure'!$D$15/1000)+((D55-R$47)*'Rate Structure'!$D$16/1000),2)</f>
        <v>78.77</v>
      </c>
      <c r="S55" s="14">
        <f>ROUND(+'Rate Structure'!$D$7+((R$47-Q$47)*'Rate Structure'!$D$15/1000)+((S$47-R$47)*'Rate Structure'!$D$16/1000)+((D55-S$47)*'Rate Structure'!$D$17/1000),2)</f>
        <v>148.49</v>
      </c>
      <c r="T55" s="14">
        <f>ROUND(+'Rate Structure'!$D$5+((R$47-Q$47)*'Rate Structure'!$D$15/1000)+((S$47-R$47)*'Rate Structure'!$D$16/1000)+((T$47-S$47)*'Rate Structure'!$D$17/1000)+((D55-T$47)*'Rate Structure'!$D$18/1000),2)</f>
        <v>952.06</v>
      </c>
    </row>
    <row r="56" spans="1:24">
      <c r="A56" s="9">
        <v>12</v>
      </c>
      <c r="B56" s="13" t="s">
        <v>105</v>
      </c>
      <c r="C56" s="9">
        <v>14000</v>
      </c>
      <c r="D56" s="9">
        <v>12834</v>
      </c>
      <c r="E56" s="14">
        <f t="shared" si="7"/>
        <v>85.89</v>
      </c>
      <c r="F56" s="35">
        <v>19</v>
      </c>
      <c r="G56" s="35">
        <f t="shared" si="8"/>
        <v>243846</v>
      </c>
      <c r="H56" s="35">
        <f t="shared" si="9"/>
        <v>1632</v>
      </c>
      <c r="I56" s="35">
        <v>21</v>
      </c>
      <c r="J56" s="35">
        <f t="shared" si="10"/>
        <v>269514</v>
      </c>
      <c r="K56" s="35">
        <f t="shared" si="11"/>
        <v>1804</v>
      </c>
      <c r="L56" s="33"/>
      <c r="M56" s="33"/>
      <c r="O56" s="17">
        <f t="shared" si="12"/>
        <v>9</v>
      </c>
      <c r="P56" s="14">
        <f>ROUND(+'Rate Structure'!$D$7,2)</f>
        <v>37.89</v>
      </c>
      <c r="Q56" s="14">
        <f>ROUND(+'Rate Structure'!$D$7+((+D56-Q$47)*'Rate Structure'!$D$15/1000),2)</f>
        <v>87.79</v>
      </c>
      <c r="R56" s="14">
        <f>ROUND(+'Rate Structure'!$D$7+((R$47-Q$47)*'Rate Structure'!$D$15/1000)+((D56-R$47)*'Rate Structure'!$D$16/1000),2)</f>
        <v>85.89</v>
      </c>
      <c r="S56" s="14">
        <f>ROUND(+'Rate Structure'!$D$7+((R$47-Q$47)*'Rate Structure'!$D$15/1000)+((S$47-R$47)*'Rate Structure'!$D$16/1000)+((D56-S$47)*'Rate Structure'!$D$17/1000),2)</f>
        <v>155.15</v>
      </c>
      <c r="T56" s="14">
        <f>ROUND(+'Rate Structure'!$D$5+((R$47-Q$47)*'Rate Structure'!$D$15/1000)+((S$47-R$47)*'Rate Structure'!$D$16/1000)+((T$47-S$47)*'Rate Structure'!$D$17/1000)+((D56-T$47)*'Rate Structure'!$D$18/1000),2)</f>
        <v>956.97</v>
      </c>
    </row>
    <row r="57" spans="1:24">
      <c r="A57" s="9">
        <v>14</v>
      </c>
      <c r="B57" s="13" t="s">
        <v>105</v>
      </c>
      <c r="C57" s="9">
        <v>16000</v>
      </c>
      <c r="D57" s="9">
        <v>15056</v>
      </c>
      <c r="E57" s="14">
        <f t="shared" si="7"/>
        <v>98.56</v>
      </c>
      <c r="F57" s="35">
        <v>22</v>
      </c>
      <c r="G57" s="35">
        <f t="shared" si="8"/>
        <v>331232</v>
      </c>
      <c r="H57" s="35">
        <f t="shared" si="9"/>
        <v>2168</v>
      </c>
      <c r="I57" s="35">
        <v>7</v>
      </c>
      <c r="J57" s="35">
        <f t="shared" si="10"/>
        <v>105392</v>
      </c>
      <c r="K57" s="35">
        <f t="shared" si="11"/>
        <v>690</v>
      </c>
      <c r="L57" s="33"/>
      <c r="M57" s="33"/>
      <c r="O57" s="17">
        <f t="shared" si="12"/>
        <v>10</v>
      </c>
      <c r="P57" s="14">
        <f>ROUND(+'Rate Structure'!$D$7,2)</f>
        <v>37.89</v>
      </c>
      <c r="Q57" s="14">
        <f>ROUND(+'Rate Structure'!$D$7+((+D57-Q$47)*'Rate Structure'!$D$15/1000),2)</f>
        <v>101.95</v>
      </c>
      <c r="R57" s="14">
        <f>ROUND(+'Rate Structure'!$D$7+((R$47-Q$47)*'Rate Structure'!$D$15/1000)+((D57-R$47)*'Rate Structure'!$D$16/1000),2)</f>
        <v>98.56</v>
      </c>
      <c r="S57" s="14">
        <f>ROUND(+'Rate Structure'!$D$7+((R$47-Q$47)*'Rate Structure'!$D$15/1000)+((S$47-R$47)*'Rate Structure'!$D$16/1000)+((D57-S$47)*'Rate Structure'!$D$17/1000),2)</f>
        <v>166.99</v>
      </c>
      <c r="T57" s="14">
        <f>ROUND(+'Rate Structure'!$D$5+((R$47-Q$47)*'Rate Structure'!$D$15/1000)+((S$47-R$47)*'Rate Structure'!$D$16/1000)+((T$47-S$47)*'Rate Structure'!$D$17/1000)+((D57-T$47)*'Rate Structure'!$D$18/1000),2)</f>
        <v>965.7</v>
      </c>
    </row>
    <row r="58" spans="1:24">
      <c r="A58" s="9">
        <v>16</v>
      </c>
      <c r="B58" s="13" t="s">
        <v>105</v>
      </c>
      <c r="C58" s="9">
        <v>18000</v>
      </c>
      <c r="D58" s="9">
        <v>17109</v>
      </c>
      <c r="E58" s="14">
        <f t="shared" si="7"/>
        <v>110.26</v>
      </c>
      <c r="F58" s="35">
        <v>1</v>
      </c>
      <c r="G58" s="35">
        <f t="shared" si="8"/>
        <v>17109</v>
      </c>
      <c r="H58" s="35">
        <f t="shared" si="9"/>
        <v>110</v>
      </c>
      <c r="I58" s="35">
        <v>13</v>
      </c>
      <c r="J58" s="35">
        <f t="shared" si="10"/>
        <v>222417</v>
      </c>
      <c r="K58" s="35">
        <f t="shared" si="11"/>
        <v>1433</v>
      </c>
      <c r="L58" s="33"/>
      <c r="M58" s="33"/>
      <c r="O58" s="17">
        <f t="shared" si="12"/>
        <v>11</v>
      </c>
      <c r="P58" s="14">
        <f>ROUND(+'Rate Structure'!$D$7,2)</f>
        <v>37.89</v>
      </c>
      <c r="Q58" s="14">
        <f>ROUND(+'Rate Structure'!$D$7+((+D58-Q$47)*'Rate Structure'!$D$15/1000),2)</f>
        <v>115.02</v>
      </c>
      <c r="R58" s="14">
        <f>ROUND(+'Rate Structure'!$D$7+((R$47-Q$47)*'Rate Structure'!$D$15/1000)+((D58-R$47)*'Rate Structure'!$D$16/1000),2)</f>
        <v>110.26</v>
      </c>
      <c r="S58" s="14">
        <f>ROUND(+'Rate Structure'!$D$7+((R$47-Q$47)*'Rate Structure'!$D$15/1000)+((S$47-R$47)*'Rate Structure'!$D$16/1000)+((D58-S$47)*'Rate Structure'!$D$17/1000),2)</f>
        <v>177.93</v>
      </c>
      <c r="T58" s="14">
        <f>ROUND(+'Rate Structure'!$D$5+((R$47-Q$47)*'Rate Structure'!$D$15/1000)+((S$47-R$47)*'Rate Structure'!$D$16/1000)+((T$47-S$47)*'Rate Structure'!$D$17/1000)+((D58-T$47)*'Rate Structure'!$D$18/1000),2)</f>
        <v>973.77</v>
      </c>
    </row>
    <row r="59" spans="1:24">
      <c r="A59" s="9">
        <v>18</v>
      </c>
      <c r="B59" s="13" t="s">
        <v>105</v>
      </c>
      <c r="C59" s="9">
        <v>20000</v>
      </c>
      <c r="D59" s="9">
        <v>19071</v>
      </c>
      <c r="E59" s="14">
        <f t="shared" si="7"/>
        <v>121.44</v>
      </c>
      <c r="F59" s="35">
        <v>7</v>
      </c>
      <c r="G59" s="35">
        <f t="shared" si="8"/>
        <v>133497</v>
      </c>
      <c r="H59" s="35">
        <f t="shared" si="9"/>
        <v>850</v>
      </c>
      <c r="I59" s="35">
        <v>12</v>
      </c>
      <c r="J59" s="35">
        <f t="shared" si="10"/>
        <v>228852</v>
      </c>
      <c r="K59" s="35">
        <f t="shared" si="11"/>
        <v>1457</v>
      </c>
      <c r="L59" s="33"/>
      <c r="M59" s="33"/>
      <c r="O59" s="17">
        <f t="shared" si="12"/>
        <v>12</v>
      </c>
      <c r="P59" s="14">
        <f>ROUND(+'Rate Structure'!$D$7,2)</f>
        <v>37.89</v>
      </c>
      <c r="Q59" s="14">
        <f>ROUND(+'Rate Structure'!$D$7+((+D59-Q$47)*'Rate Structure'!$D$15/1000),2)</f>
        <v>127.52</v>
      </c>
      <c r="R59" s="14">
        <f>ROUND(+'Rate Structure'!$D$7+((R$47-Q$47)*'Rate Structure'!$D$15/1000)+((D59-R$47)*'Rate Structure'!$D$16/1000),2)</f>
        <v>121.44</v>
      </c>
      <c r="S59" s="14">
        <f>ROUND(+'Rate Structure'!$D$7+((R$47-Q$47)*'Rate Structure'!$D$15/1000)+((S$47-R$47)*'Rate Structure'!$D$16/1000)+((D59-S$47)*'Rate Structure'!$D$17/1000),2)</f>
        <v>188.39</v>
      </c>
      <c r="T59" s="14">
        <f>ROUND(+'Rate Structure'!$D$5+((R$47-Q$47)*'Rate Structure'!$D$15/1000)+((S$47-R$47)*'Rate Structure'!$D$16/1000)+((T$47-S$47)*'Rate Structure'!$D$17/1000)+((D59-T$47)*'Rate Structure'!$D$18/1000),2)</f>
        <v>981.48</v>
      </c>
    </row>
    <row r="60" spans="1:24">
      <c r="A60" s="9">
        <v>20</v>
      </c>
      <c r="B60" s="13" t="s">
        <v>105</v>
      </c>
      <c r="C60" s="9">
        <v>25000</v>
      </c>
      <c r="D60" s="9">
        <v>22520</v>
      </c>
      <c r="E60" s="14">
        <f t="shared" si="7"/>
        <v>141.1</v>
      </c>
      <c r="F60" s="35">
        <v>13</v>
      </c>
      <c r="G60" s="35">
        <f t="shared" si="8"/>
        <v>292760</v>
      </c>
      <c r="H60" s="35">
        <f t="shared" si="9"/>
        <v>1834</v>
      </c>
      <c r="I60" s="35">
        <v>23</v>
      </c>
      <c r="J60" s="35">
        <f t="shared" si="10"/>
        <v>517960</v>
      </c>
      <c r="K60" s="35">
        <f t="shared" si="11"/>
        <v>3245</v>
      </c>
      <c r="L60" s="33"/>
      <c r="M60" s="33"/>
      <c r="O60" s="17">
        <f t="shared" si="12"/>
        <v>13</v>
      </c>
      <c r="P60" s="14">
        <f>ROUND(+'Rate Structure'!$D$7,2)</f>
        <v>37.89</v>
      </c>
      <c r="Q60" s="14">
        <f>ROUND(+'Rate Structure'!$D$7+((+D60-Q$47)*'Rate Structure'!$D$15/1000),2)</f>
        <v>149.49</v>
      </c>
      <c r="R60" s="14">
        <f>ROUND(+'Rate Structure'!$D$7+((R$47-Q$47)*'Rate Structure'!$D$15/1000)+((D60-R$47)*'Rate Structure'!$D$16/1000),2)</f>
        <v>141.1</v>
      </c>
      <c r="S60" s="14">
        <f>ROUND(+'Rate Structure'!$D$7+((R$47-Q$47)*'Rate Structure'!$D$15/1000)+((S$47-R$47)*'Rate Structure'!$D$16/1000)+((D60-S$47)*'Rate Structure'!$D$17/1000),2)</f>
        <v>206.77</v>
      </c>
      <c r="T60" s="14">
        <f>ROUND(+'Rate Structure'!$D$5+((R$47-Q$47)*'Rate Structure'!$D$15/1000)+((S$47-R$47)*'Rate Structure'!$D$16/1000)+((T$47-S$47)*'Rate Structure'!$D$17/1000)+((D60-T$47)*'Rate Structure'!$D$18/1000),2)</f>
        <v>995.03</v>
      </c>
    </row>
    <row r="61" spans="1:24">
      <c r="A61" s="9">
        <v>25</v>
      </c>
      <c r="B61" s="13" t="s">
        <v>105</v>
      </c>
      <c r="C61" s="9">
        <v>30000</v>
      </c>
      <c r="D61" s="9">
        <v>27127</v>
      </c>
      <c r="E61" s="14">
        <f t="shared" si="7"/>
        <v>167.36</v>
      </c>
      <c r="F61" s="35">
        <v>10</v>
      </c>
      <c r="G61" s="35">
        <f t="shared" si="8"/>
        <v>271270</v>
      </c>
      <c r="H61" s="35">
        <f t="shared" si="9"/>
        <v>1674</v>
      </c>
      <c r="I61" s="35">
        <v>31</v>
      </c>
      <c r="J61" s="35">
        <f t="shared" si="10"/>
        <v>840937</v>
      </c>
      <c r="K61" s="35">
        <f t="shared" si="11"/>
        <v>5188</v>
      </c>
      <c r="L61" s="33"/>
      <c r="M61" s="33"/>
      <c r="O61" s="17">
        <f t="shared" si="12"/>
        <v>14</v>
      </c>
      <c r="P61" s="14">
        <f>ROUND(+'Rate Structure'!$D$7,2)</f>
        <v>37.89</v>
      </c>
      <c r="Q61" s="14">
        <f>ROUND(+'Rate Structure'!$D$7+((+D61-Q$47)*'Rate Structure'!$D$15/1000),2)</f>
        <v>178.84</v>
      </c>
      <c r="R61" s="14">
        <f>ROUND(+'Rate Structure'!$D$7+((R$47-Q$47)*'Rate Structure'!$D$15/1000)+((D61-R$47)*'Rate Structure'!$D$16/1000),2)</f>
        <v>167.36</v>
      </c>
      <c r="S61" s="14">
        <f>ROUND(+'Rate Structure'!$D$7+((R$47-Q$47)*'Rate Structure'!$D$15/1000)+((S$47-R$47)*'Rate Structure'!$D$16/1000)+((D61-S$47)*'Rate Structure'!$D$17/1000),2)</f>
        <v>231.33</v>
      </c>
      <c r="T61" s="14">
        <f>ROUND(+'Rate Structure'!$D$5+((R$47-Q$47)*'Rate Structure'!$D$15/1000)+((S$47-R$47)*'Rate Structure'!$D$16/1000)+((T$47-S$47)*'Rate Structure'!$D$17/1000)+((D61-T$47)*'Rate Structure'!$D$18/1000),2)</f>
        <v>1013.14</v>
      </c>
    </row>
    <row r="62" spans="1:24">
      <c r="A62" s="9">
        <v>30</v>
      </c>
      <c r="B62" s="13" t="s">
        <v>105</v>
      </c>
      <c r="C62" s="9">
        <v>40000</v>
      </c>
      <c r="D62" s="9">
        <v>34655</v>
      </c>
      <c r="E62" s="14">
        <f t="shared" si="7"/>
        <v>210.27</v>
      </c>
      <c r="F62" s="35">
        <v>14</v>
      </c>
      <c r="G62" s="35">
        <f t="shared" si="8"/>
        <v>485170</v>
      </c>
      <c r="H62" s="35">
        <f t="shared" si="9"/>
        <v>2944</v>
      </c>
      <c r="I62" s="35">
        <f>47-10</f>
        <v>37</v>
      </c>
      <c r="J62" s="35">
        <f t="shared" si="10"/>
        <v>1282235</v>
      </c>
      <c r="K62" s="35">
        <f t="shared" si="11"/>
        <v>7780</v>
      </c>
      <c r="L62" s="33"/>
      <c r="M62" s="33"/>
      <c r="O62" s="17">
        <f t="shared" si="12"/>
        <v>15</v>
      </c>
      <c r="P62" s="14">
        <f>ROUND(+'Rate Structure'!$D$7,2)</f>
        <v>37.89</v>
      </c>
      <c r="Q62" s="14">
        <f>ROUND(+'Rate Structure'!$D$7+((+D62-Q$47)*'Rate Structure'!$D$15/1000),2)</f>
        <v>226.79</v>
      </c>
      <c r="R62" s="14">
        <f>ROUND(+'Rate Structure'!$D$7+((R$47-Q$47)*'Rate Structure'!$D$15/1000)+((D62-R$47)*'Rate Structure'!$D$16/1000),2)</f>
        <v>210.27</v>
      </c>
      <c r="S62" s="14">
        <f>ROUND(+'Rate Structure'!$D$7+((R$47-Q$47)*'Rate Structure'!$D$15/1000)+((S$47-R$47)*'Rate Structure'!$D$16/1000)+((D62-S$47)*'Rate Structure'!$D$17/1000),2)</f>
        <v>271.45</v>
      </c>
      <c r="T62" s="14">
        <f>ROUND(+'Rate Structure'!$D$5+((R$47-Q$47)*'Rate Structure'!$D$15/1000)+((S$47-R$47)*'Rate Structure'!$D$16/1000)+((T$47-S$47)*'Rate Structure'!$D$17/1000)+((D62-T$47)*'Rate Structure'!$D$18/1000),2)</f>
        <v>1042.72</v>
      </c>
    </row>
    <row r="63" spans="1:24">
      <c r="A63" s="9">
        <v>40</v>
      </c>
      <c r="B63" s="13" t="s">
        <v>105</v>
      </c>
      <c r="C63" s="9">
        <v>50000</v>
      </c>
      <c r="D63" s="9">
        <v>44955</v>
      </c>
      <c r="E63" s="14">
        <f t="shared" si="7"/>
        <v>268.98</v>
      </c>
      <c r="F63" s="35">
        <v>2</v>
      </c>
      <c r="G63" s="35">
        <f t="shared" si="8"/>
        <v>89910</v>
      </c>
      <c r="H63" s="35">
        <f t="shared" si="9"/>
        <v>538</v>
      </c>
      <c r="I63" s="35">
        <v>39</v>
      </c>
      <c r="J63" s="35">
        <f t="shared" si="10"/>
        <v>1753245</v>
      </c>
      <c r="K63" s="35">
        <f t="shared" si="11"/>
        <v>10490</v>
      </c>
      <c r="L63" s="33"/>
      <c r="M63" s="33"/>
      <c r="O63" s="17">
        <f t="shared" si="12"/>
        <v>16</v>
      </c>
      <c r="P63" s="14">
        <f>ROUND(+'Rate Structure'!$D$7,2)</f>
        <v>37.89</v>
      </c>
      <c r="Q63" s="14">
        <f>ROUND(+'Rate Structure'!$D$7+((+D63-Q$47)*'Rate Structure'!$D$15/1000),2)</f>
        <v>292.39999999999998</v>
      </c>
      <c r="R63" s="14">
        <f>ROUND(+'Rate Structure'!$D$7+((R$47-Q$47)*'Rate Structure'!$D$15/1000)+((D63-R$47)*'Rate Structure'!$D$16/1000),2)</f>
        <v>268.98</v>
      </c>
      <c r="S63" s="14">
        <f>ROUND(+'Rate Structure'!$D$7+((R$47-Q$47)*'Rate Structure'!$D$15/1000)+((S$47-R$47)*'Rate Structure'!$D$16/1000)+((D63-S$47)*'Rate Structure'!$D$17/1000),2)</f>
        <v>326.35000000000002</v>
      </c>
      <c r="T63" s="14">
        <f>ROUND(+'Rate Structure'!$D$5+((R$47-Q$47)*'Rate Structure'!$D$15/1000)+((S$47-R$47)*'Rate Structure'!$D$16/1000)+((T$47-S$47)*'Rate Structure'!$D$17/1000)+((D63-T$47)*'Rate Structure'!$D$18/1000),2)</f>
        <v>1083.2</v>
      </c>
    </row>
    <row r="64" spans="1:24">
      <c r="A64" s="9">
        <v>50</v>
      </c>
      <c r="B64" s="13" t="s">
        <v>105</v>
      </c>
      <c r="C64" s="9">
        <v>75000</v>
      </c>
      <c r="D64" s="9">
        <v>57247</v>
      </c>
      <c r="E64" s="14">
        <f t="shared" si="7"/>
        <v>339.05</v>
      </c>
      <c r="F64" s="35">
        <v>0</v>
      </c>
      <c r="G64" s="35">
        <f t="shared" si="8"/>
        <v>0</v>
      </c>
      <c r="H64" s="35">
        <f t="shared" si="9"/>
        <v>0</v>
      </c>
      <c r="I64" s="35">
        <v>41</v>
      </c>
      <c r="J64" s="35">
        <f t="shared" si="10"/>
        <v>2347127</v>
      </c>
      <c r="K64" s="35">
        <f t="shared" si="11"/>
        <v>13901</v>
      </c>
      <c r="L64" s="33"/>
      <c r="M64" s="33"/>
      <c r="O64" s="17">
        <f t="shared" si="12"/>
        <v>17</v>
      </c>
      <c r="P64" s="14">
        <f>ROUND(+'Rate Structure'!$D$7,2)</f>
        <v>37.89</v>
      </c>
      <c r="Q64" s="14">
        <f>ROUND(+'Rate Structure'!$D$7+((+D64-Q$47)*'Rate Structure'!$D$15/1000),2)</f>
        <v>370.7</v>
      </c>
      <c r="R64" s="14">
        <f>ROUND(+'Rate Structure'!$D$7+((R$47-Q$47)*'Rate Structure'!$D$15/1000)+((D64-R$47)*'Rate Structure'!$D$16/1000),2)</f>
        <v>339.05</v>
      </c>
      <c r="S64" s="14">
        <f>ROUND(+'Rate Structure'!$D$7+((R$47-Q$47)*'Rate Structure'!$D$15/1000)+((S$47-R$47)*'Rate Structure'!$D$16/1000)+((D64-S$47)*'Rate Structure'!$D$17/1000),2)</f>
        <v>391.87</v>
      </c>
      <c r="T64" s="14">
        <f>ROUND(+'Rate Structure'!$D$5+((R$47-Q$47)*'Rate Structure'!$D$15/1000)+((S$47-R$47)*'Rate Structure'!$D$16/1000)+((T$47-S$47)*'Rate Structure'!$D$17/1000)+((D64-T$47)*'Rate Structure'!$D$18/1000),2)</f>
        <v>1131.51</v>
      </c>
    </row>
    <row r="65" spans="1:24">
      <c r="A65" s="9">
        <v>75</v>
      </c>
      <c r="B65" s="13" t="s">
        <v>105</v>
      </c>
      <c r="C65" s="9">
        <v>100000</v>
      </c>
      <c r="D65" s="9">
        <v>91456</v>
      </c>
      <c r="E65" s="14">
        <f t="shared" si="7"/>
        <v>534.04</v>
      </c>
      <c r="F65" s="35">
        <v>0</v>
      </c>
      <c r="G65" s="35">
        <f t="shared" si="8"/>
        <v>0</v>
      </c>
      <c r="H65" s="35">
        <f t="shared" si="9"/>
        <v>0</v>
      </c>
      <c r="I65" s="35">
        <v>10</v>
      </c>
      <c r="J65" s="35">
        <f t="shared" si="10"/>
        <v>914560</v>
      </c>
      <c r="K65" s="35">
        <f t="shared" si="11"/>
        <v>5340</v>
      </c>
      <c r="L65" s="33"/>
      <c r="M65" s="33"/>
      <c r="O65" s="17">
        <f t="shared" si="12"/>
        <v>18</v>
      </c>
      <c r="P65" s="14">
        <f>ROUND(+'Rate Structure'!$D$7,2)</f>
        <v>37.89</v>
      </c>
      <c r="Q65" s="14">
        <f>ROUND(+'Rate Structure'!$D$7+((+D65-Q$47)*'Rate Structure'!$D$15/1000),2)</f>
        <v>588.61</v>
      </c>
      <c r="R65" s="14">
        <f>ROUND(+'Rate Structure'!$D$7+((R$47-Q$47)*'Rate Structure'!$D$15/1000)+((D65-R$47)*'Rate Structure'!$D$16/1000),2)</f>
        <v>534.04</v>
      </c>
      <c r="S65" s="14">
        <f>ROUND(+'Rate Structure'!$D$7+((R$47-Q$47)*'Rate Structure'!$D$15/1000)+((S$47-R$47)*'Rate Structure'!$D$16/1000)+((D65-S$47)*'Rate Structure'!$D$17/1000),2)</f>
        <v>574.20000000000005</v>
      </c>
      <c r="T65" s="14">
        <f>ROUND(+'Rate Structure'!$D$5+((R$47-Q$47)*'Rate Structure'!$D$15/1000)+((S$47-R$47)*'Rate Structure'!$D$16/1000)+((T$47-S$47)*'Rate Structure'!$D$17/1000)+((D65-T$47)*'Rate Structure'!$D$18/1000),2)</f>
        <v>1265.95</v>
      </c>
    </row>
    <row r="66" spans="1:24">
      <c r="A66" s="9">
        <v>100</v>
      </c>
      <c r="B66" s="13" t="s">
        <v>105</v>
      </c>
      <c r="C66" s="9">
        <v>150000</v>
      </c>
      <c r="D66" s="9">
        <v>126728</v>
      </c>
      <c r="E66" s="14">
        <f t="shared" si="7"/>
        <v>735.09</v>
      </c>
      <c r="F66" s="35">
        <v>1</v>
      </c>
      <c r="G66" s="35">
        <f t="shared" si="8"/>
        <v>126728</v>
      </c>
      <c r="H66" s="35">
        <f t="shared" si="9"/>
        <v>735</v>
      </c>
      <c r="I66" s="35">
        <v>16</v>
      </c>
      <c r="J66" s="35">
        <f t="shared" si="10"/>
        <v>2027648</v>
      </c>
      <c r="K66" s="35">
        <f t="shared" si="11"/>
        <v>11761</v>
      </c>
      <c r="L66" s="33"/>
      <c r="M66" s="33"/>
      <c r="O66" s="17">
        <f t="shared" si="12"/>
        <v>19</v>
      </c>
      <c r="P66" s="14">
        <f>ROUND(+'Rate Structure'!$D$7,2)</f>
        <v>37.89</v>
      </c>
      <c r="Q66" s="14">
        <f>ROUND(+'Rate Structure'!$D$7+((+D66-Q$47)*'Rate Structure'!$D$15/1000),2)</f>
        <v>813.3</v>
      </c>
      <c r="R66" s="14">
        <f>ROUND(+'Rate Structure'!$D$7+((R$47-Q$47)*'Rate Structure'!$D$15/1000)+((D66-R$47)*'Rate Structure'!$D$16/1000),2)</f>
        <v>735.09</v>
      </c>
      <c r="S66" s="14">
        <f>ROUND(+'Rate Structure'!$D$7+((R$47-Q$47)*'Rate Structure'!$D$15/1000)+((S$47-R$47)*'Rate Structure'!$D$16/1000)+((D66-S$47)*'Rate Structure'!$D$17/1000),2)</f>
        <v>762.2</v>
      </c>
      <c r="T66" s="14">
        <f>ROUND(+'Rate Structure'!$D$5+((R$47-Q$47)*'Rate Structure'!$D$15/1000)+((S$47-R$47)*'Rate Structure'!$D$16/1000)+((T$47-S$47)*'Rate Structure'!$D$17/1000)+((D66-T$47)*'Rate Structure'!$D$18/1000),2)</f>
        <v>1404.57</v>
      </c>
    </row>
    <row r="67" spans="1:24">
      <c r="A67" s="9">
        <v>150</v>
      </c>
      <c r="B67" s="13" t="s">
        <v>105</v>
      </c>
      <c r="C67" s="9">
        <v>200000</v>
      </c>
      <c r="D67" s="9">
        <v>170254</v>
      </c>
      <c r="E67" s="14">
        <f t="shared" si="7"/>
        <v>983.19</v>
      </c>
      <c r="F67" s="35">
        <v>3</v>
      </c>
      <c r="G67" s="35">
        <f t="shared" si="8"/>
        <v>510762</v>
      </c>
      <c r="H67" s="35">
        <f t="shared" si="9"/>
        <v>2950</v>
      </c>
      <c r="I67" s="35">
        <v>6</v>
      </c>
      <c r="J67" s="35">
        <f t="shared" si="10"/>
        <v>1021524</v>
      </c>
      <c r="K67" s="35">
        <f t="shared" si="11"/>
        <v>5899</v>
      </c>
      <c r="L67" s="33"/>
      <c r="M67" s="33"/>
      <c r="O67" s="17">
        <f t="shared" si="12"/>
        <v>20</v>
      </c>
      <c r="P67" s="14">
        <f>ROUND(+'Rate Structure'!$D$7,2)</f>
        <v>37.89</v>
      </c>
      <c r="Q67" s="14">
        <f>ROUND(+'Rate Structure'!$D$7+((+D67-Q$47)*'Rate Structure'!$D$15/1000),2)</f>
        <v>1090.56</v>
      </c>
      <c r="R67" s="14">
        <f>ROUND(+'Rate Structure'!$D$7+((R$47-Q$47)*'Rate Structure'!$D$15/1000)+((D67-R$47)*'Rate Structure'!$D$16/1000),2)</f>
        <v>983.19</v>
      </c>
      <c r="S67" s="14">
        <f>ROUND(+'Rate Structure'!$D$7+((R$47-Q$47)*'Rate Structure'!$D$15/1000)+((S$47-R$47)*'Rate Structure'!$D$16/1000)+((D67-S$47)*'Rate Structure'!$D$17/1000),2)</f>
        <v>994.19</v>
      </c>
      <c r="T67" s="14">
        <f>ROUND(+'Rate Structure'!$D$5+((R$47-Q$47)*'Rate Structure'!$D$15/1000)+((S$47-R$47)*'Rate Structure'!$D$16/1000)+((T$47-S$47)*'Rate Structure'!$D$17/1000)+((D67-T$47)*'Rate Structure'!$D$18/1000),2)</f>
        <v>1575.63</v>
      </c>
    </row>
    <row r="68" spans="1:24">
      <c r="A68" s="9">
        <v>200</v>
      </c>
      <c r="B68" s="13" t="s">
        <v>105</v>
      </c>
      <c r="C68" s="9">
        <v>300000</v>
      </c>
      <c r="D68" s="9">
        <v>252763</v>
      </c>
      <c r="E68" s="14">
        <f t="shared" si="7"/>
        <v>1433.97</v>
      </c>
      <c r="F68" s="35">
        <v>5</v>
      </c>
      <c r="G68" s="35">
        <f t="shared" si="8"/>
        <v>1263815</v>
      </c>
      <c r="H68" s="35">
        <f t="shared" si="9"/>
        <v>7170</v>
      </c>
      <c r="I68" s="35">
        <v>7</v>
      </c>
      <c r="J68" s="9">
        <f t="shared" si="10"/>
        <v>1769341</v>
      </c>
      <c r="K68" s="9">
        <f t="shared" si="11"/>
        <v>10038</v>
      </c>
      <c r="O68" s="17">
        <f t="shared" si="12"/>
        <v>21</v>
      </c>
      <c r="P68" s="14">
        <f>ROUND(+'Rate Structure'!$D$7,2)</f>
        <v>37.89</v>
      </c>
      <c r="Q68" s="14">
        <f>ROUND(+'Rate Structure'!$D$7+((+D68-Q$47)*'Rate Structure'!$D$15/1000),2)</f>
        <v>1616.14</v>
      </c>
      <c r="R68" s="14">
        <f>ROUND(+'Rate Structure'!$D$7+((R$47-Q$47)*'Rate Structure'!$D$15/1000)+((D68-R$47)*'Rate Structure'!$D$16/1000),2)</f>
        <v>1453.49</v>
      </c>
      <c r="S68" s="14">
        <f>ROUND(+'Rate Structure'!$D$7+((R$47-Q$47)*'Rate Structure'!$D$15/1000)+((S$47-R$47)*'Rate Structure'!$D$16/1000)+((D68-S$47)*'Rate Structure'!$D$17/1000),2)</f>
        <v>1433.97</v>
      </c>
      <c r="T68" s="14">
        <f>ROUND(+'Rate Structure'!$D$5+((R$47-Q$47)*'Rate Structure'!$D$15/1000)+((S$47-R$47)*'Rate Structure'!$D$16/1000)+((T$47-S$47)*'Rate Structure'!$D$17/1000)+((D68-T$47)*'Rate Structure'!$D$18/1000),2)</f>
        <v>1899.89</v>
      </c>
    </row>
    <row r="69" spans="1:24">
      <c r="A69" s="9">
        <v>300</v>
      </c>
      <c r="B69" s="13" t="s">
        <v>105</v>
      </c>
      <c r="C69" s="9">
        <v>400000</v>
      </c>
      <c r="D69" s="9">
        <v>308418</v>
      </c>
      <c r="E69" s="14">
        <f t="shared" si="7"/>
        <v>1730.61</v>
      </c>
      <c r="F69" s="35">
        <v>2</v>
      </c>
      <c r="G69" s="35">
        <f t="shared" si="8"/>
        <v>616836</v>
      </c>
      <c r="H69" s="35">
        <f t="shared" si="9"/>
        <v>3461</v>
      </c>
      <c r="I69" s="35">
        <v>2</v>
      </c>
      <c r="J69" s="9">
        <f t="shared" si="10"/>
        <v>616836</v>
      </c>
      <c r="K69" s="9">
        <f t="shared" si="11"/>
        <v>3461</v>
      </c>
      <c r="O69" s="17">
        <f t="shared" si="12"/>
        <v>22</v>
      </c>
      <c r="P69" s="14">
        <f>ROUND(+'Rate Structure'!$D$7,2)</f>
        <v>37.89</v>
      </c>
      <c r="Q69" s="14">
        <f>ROUND(+'Rate Structure'!$D$7+((+D69-Q$47)*'Rate Structure'!$D$15/1000),2)</f>
        <v>1970.66</v>
      </c>
      <c r="R69" s="14">
        <f>ROUND(+'Rate Structure'!$D$7+((R$47-Q$47)*'Rate Structure'!$D$15/1000)+((D69-R$47)*'Rate Structure'!$D$16/1000),2)</f>
        <v>1770.72</v>
      </c>
      <c r="S69" s="14">
        <f>ROUND(+'Rate Structure'!$D$7+((R$47-Q$47)*'Rate Structure'!$D$15/1000)+((S$47-R$47)*'Rate Structure'!$D$16/1000)+((D69-S$47)*'Rate Structure'!$D$17/1000),2)</f>
        <v>1730.61</v>
      </c>
      <c r="T69" s="14">
        <f>ROUND(+'Rate Structure'!$D$5+((R$47-Q$47)*'Rate Structure'!$D$15/1000)+((S$47-R$47)*'Rate Structure'!$D$16/1000)+((T$47-S$47)*'Rate Structure'!$D$17/1000)+((D69-T$47)*'Rate Structure'!$D$18/1000),2)</f>
        <v>2118.61</v>
      </c>
    </row>
    <row r="70" spans="1:24">
      <c r="A70" s="9">
        <v>400</v>
      </c>
      <c r="B70" s="13" t="s">
        <v>105</v>
      </c>
      <c r="C70" s="9">
        <v>500000</v>
      </c>
      <c r="D70" s="9">
        <v>407070</v>
      </c>
      <c r="E70" s="14">
        <v>0</v>
      </c>
      <c r="F70" s="35">
        <v>1</v>
      </c>
      <c r="G70" s="35">
        <f t="shared" si="8"/>
        <v>407070</v>
      </c>
      <c r="H70" s="35">
        <f t="shared" si="9"/>
        <v>0</v>
      </c>
      <c r="I70" s="35">
        <v>0</v>
      </c>
      <c r="J70" s="9">
        <f t="shared" si="10"/>
        <v>0</v>
      </c>
      <c r="K70" s="9">
        <f t="shared" si="11"/>
        <v>0</v>
      </c>
      <c r="O70" s="17">
        <f t="shared" si="12"/>
        <v>23</v>
      </c>
      <c r="P70" s="14">
        <f>ROUND(+'Rate Structure'!$D$7,2)</f>
        <v>37.89</v>
      </c>
      <c r="Q70" s="14">
        <f>ROUND(+'Rate Structure'!$D$7+((+D70-Q$47)*'Rate Structure'!$D$15/1000),2)</f>
        <v>2599.08</v>
      </c>
      <c r="R70" s="14">
        <f>ROUND(+'Rate Structure'!$D$7+((R$47-Q$47)*'Rate Structure'!$D$15/1000)+((D70-R$47)*'Rate Structure'!$D$16/1000),2)</f>
        <v>2333.04</v>
      </c>
      <c r="S70" s="14">
        <f>ROUND(+'Rate Structure'!$D$7+((R$47-Q$47)*'Rate Structure'!$D$15/1000)+((S$47-R$47)*'Rate Structure'!$D$16/1000)+((D70-S$47)*'Rate Structure'!$D$17/1000),2)</f>
        <v>2256.42</v>
      </c>
      <c r="T70" s="14">
        <f>ROUND(+'Rate Structure'!$D$5+((R$47-Q$47)*'Rate Structure'!$D$15/1000)+((S$47-R$47)*'Rate Structure'!$D$16/1000)+((T$47-S$47)*'Rate Structure'!$D$17/1000)+((D70-T$47)*'Rate Structure'!$D$18/1000),2)</f>
        <v>2506.3200000000002</v>
      </c>
    </row>
    <row r="71" spans="1:24">
      <c r="A71" s="9">
        <v>500</v>
      </c>
      <c r="B71" s="13" t="s">
        <v>105</v>
      </c>
      <c r="C71" s="21" t="s">
        <v>112</v>
      </c>
      <c r="D71" s="9">
        <v>0</v>
      </c>
      <c r="E71" s="14">
        <v>0</v>
      </c>
      <c r="F71" s="36">
        <v>0</v>
      </c>
      <c r="G71" s="36">
        <f t="shared" si="8"/>
        <v>0</v>
      </c>
      <c r="H71" s="36">
        <f t="shared" si="9"/>
        <v>0</v>
      </c>
      <c r="I71" s="36">
        <v>0</v>
      </c>
      <c r="J71" s="10">
        <f t="shared" si="10"/>
        <v>0</v>
      </c>
      <c r="K71" s="10">
        <f t="shared" si="11"/>
        <v>0</v>
      </c>
      <c r="O71" s="17">
        <f t="shared" si="12"/>
        <v>24</v>
      </c>
      <c r="P71" s="14">
        <f>ROUND(+'Rate Structure'!$D$7,2)</f>
        <v>37.89</v>
      </c>
      <c r="Q71" s="14">
        <f>ROUND(+'Rate Structure'!$D$7+((+D71-Q$47)*'Rate Structure'!$D$15/1000),2)</f>
        <v>6.04</v>
      </c>
      <c r="R71" s="14">
        <f>ROUND(+'Rate Structure'!$D$7+((R$47-Q$47)*'Rate Structure'!$D$15/1000)+((D71-R$47)*'Rate Structure'!$D$16/1000),2)</f>
        <v>12.74</v>
      </c>
      <c r="S71" s="14">
        <f>ROUND(+'Rate Structure'!$D$7+((R$47-Q$47)*'Rate Structure'!$D$15/1000)+((S$47-R$47)*'Rate Structure'!$D$16/1000)+((D71-S$47)*'Rate Structure'!$D$17/1000),2)</f>
        <v>86.74</v>
      </c>
      <c r="T71" s="14">
        <f>ROUND(+'Rate Structure'!$D$5+((R$47-Q$47)*'Rate Structure'!$D$15/1000)+((S$47-R$47)*'Rate Structure'!$D$16/1000)+((T$47-S$47)*'Rate Structure'!$D$17/1000)+((D71-T$47)*'Rate Structure'!$D$18/1000),2)</f>
        <v>906.53</v>
      </c>
    </row>
    <row r="72" spans="1:24">
      <c r="A72" s="9"/>
      <c r="B72" s="9"/>
      <c r="C72" s="9"/>
      <c r="D72" s="9"/>
      <c r="O72" s="17"/>
    </row>
    <row r="73" spans="1:24">
      <c r="A73" s="9"/>
      <c r="B73" s="9"/>
      <c r="C73" s="13" t="s">
        <v>114</v>
      </c>
      <c r="D73" s="9"/>
      <c r="F73" s="35">
        <f t="shared" ref="F73:K73" si="13">SUM(F48:F71)</f>
        <v>489</v>
      </c>
      <c r="G73" s="35">
        <f t="shared" si="13"/>
        <v>6436298</v>
      </c>
      <c r="H73" s="34">
        <f t="shared" si="13"/>
        <v>43949</v>
      </c>
      <c r="I73" s="35">
        <f t="shared" si="13"/>
        <v>643</v>
      </c>
      <c r="J73" s="9">
        <f t="shared" si="13"/>
        <v>15258244</v>
      </c>
      <c r="K73" s="8">
        <f t="shared" si="13"/>
        <v>99108</v>
      </c>
      <c r="O73" s="17"/>
    </row>
    <row r="74" spans="1:24">
      <c r="A74" s="3"/>
      <c r="B74" s="3"/>
      <c r="C74" s="9"/>
      <c r="D74" s="9"/>
      <c r="E74" s="3"/>
      <c r="F74" s="40"/>
      <c r="G74" s="40"/>
      <c r="H74" s="40"/>
      <c r="I74" s="40"/>
      <c r="J74" s="3"/>
      <c r="K74" s="3"/>
      <c r="L74" s="3"/>
      <c r="M74" s="3"/>
      <c r="N74" s="3"/>
      <c r="O74" s="17"/>
      <c r="P74" s="3"/>
      <c r="Q74" s="3"/>
      <c r="R74" s="3"/>
      <c r="S74" s="3"/>
      <c r="T74" s="3"/>
      <c r="U74" s="3"/>
      <c r="V74" s="3"/>
      <c r="W74" s="3"/>
      <c r="X74" s="3"/>
    </row>
    <row r="75" spans="1:24">
      <c r="A75" s="10" t="s">
        <v>89</v>
      </c>
      <c r="B75" s="10"/>
      <c r="C75" s="9"/>
      <c r="D75" s="9"/>
      <c r="O75" s="17"/>
    </row>
    <row r="76" spans="1:24">
      <c r="F76" s="38" t="s">
        <v>57</v>
      </c>
      <c r="G76" s="37"/>
      <c r="H76" s="38"/>
      <c r="I76" s="38" t="s">
        <v>59</v>
      </c>
      <c r="J76" s="20"/>
      <c r="K76" s="2"/>
      <c r="O76" s="17"/>
      <c r="W76" s="18">
        <v>163875</v>
      </c>
      <c r="X76" s="14">
        <f>ROUND(100.209999999963+(W76/1000-25)*2.06999999999971,2)</f>
        <v>387.68</v>
      </c>
    </row>
    <row r="77" spans="1:24">
      <c r="D77" s="33"/>
      <c r="E77" s="42" t="s">
        <v>122</v>
      </c>
      <c r="O77" s="17"/>
      <c r="P77" s="16" t="s">
        <v>133</v>
      </c>
    </row>
    <row r="78" spans="1:24">
      <c r="A78" s="7" t="s">
        <v>87</v>
      </c>
      <c r="B78" s="7"/>
      <c r="C78" s="7"/>
      <c r="D78" s="39" t="s">
        <v>122</v>
      </c>
      <c r="E78" s="39" t="s">
        <v>125</v>
      </c>
      <c r="F78" s="39" t="s">
        <v>126</v>
      </c>
      <c r="G78" s="39" t="s">
        <v>127</v>
      </c>
      <c r="H78" s="39" t="s">
        <v>128</v>
      </c>
      <c r="I78" s="39" t="s">
        <v>126</v>
      </c>
      <c r="J78" s="6" t="s">
        <v>127</v>
      </c>
      <c r="K78" s="6" t="s">
        <v>128</v>
      </c>
      <c r="O78" s="17"/>
      <c r="P78" s="18">
        <v>0</v>
      </c>
      <c r="Q78" s="18">
        <v>10000</v>
      </c>
      <c r="R78" s="18">
        <v>200000</v>
      </c>
      <c r="S78" s="18">
        <v>600000</v>
      </c>
    </row>
    <row r="79" spans="1:24">
      <c r="A79" s="9">
        <v>0</v>
      </c>
      <c r="B79" s="13" t="s">
        <v>105</v>
      </c>
      <c r="C79" s="9">
        <v>10000</v>
      </c>
      <c r="D79" s="35">
        <v>2132</v>
      </c>
      <c r="E79" s="43">
        <f t="shared" ref="E79:E86" si="14">HLOOKUP(D79,$P$78:$S$97,(O79)+1)</f>
        <v>76.319999999999993</v>
      </c>
      <c r="F79" s="35">
        <v>0</v>
      </c>
      <c r="G79" s="35">
        <f t="shared" ref="G79:G97" si="15">F79*D79</f>
        <v>0</v>
      </c>
      <c r="H79" s="35">
        <f t="shared" ref="H79:H97" si="16">ROUND(+F79*$E79,0)</f>
        <v>0</v>
      </c>
      <c r="I79" s="35">
        <v>47</v>
      </c>
      <c r="J79" s="9">
        <f t="shared" ref="J79:J97" si="17">I79*D79</f>
        <v>100204</v>
      </c>
      <c r="K79" s="9">
        <f t="shared" ref="K79:K97" si="18">ROUND(+I79*$E79,0)</f>
        <v>3587</v>
      </c>
      <c r="O79" s="17">
        <v>1</v>
      </c>
      <c r="P79" s="14">
        <f>ROUND(+'Rate Structure'!$D$8,2)</f>
        <v>76.319999999999993</v>
      </c>
      <c r="Q79" s="14">
        <f>ROUND(+'Rate Structure'!$D$8+((D79-Q$78)*'Rate Structure'!$D$16/1000),2)</f>
        <v>31.47</v>
      </c>
      <c r="R79" s="14">
        <f>ROUND(+'Rate Structure'!$D$8+((R$78-Q$78)*'Rate Structure'!$D$16/1000)+((D79-R$78)*'Rate Structure'!$D$17/1000),2)</f>
        <v>104.68</v>
      </c>
      <c r="S79" s="14">
        <f>ROUND(+'Rate Structure'!$D$8+((R$78-Q$78)*'Rate Structure'!$D$16/1000)+((S$78-R$78)*'Rate Structure'!$D$17/1000)+((D79-S$78)*'Rate Structure'!$D$18/1000),2)</f>
        <v>941.7</v>
      </c>
    </row>
    <row r="80" spans="1:24">
      <c r="A80" s="9">
        <v>10</v>
      </c>
      <c r="B80" s="13" t="s">
        <v>105</v>
      </c>
      <c r="C80" s="9">
        <v>11000</v>
      </c>
      <c r="D80" s="35">
        <v>10700</v>
      </c>
      <c r="E80" s="43">
        <f t="shared" si="14"/>
        <v>80.31</v>
      </c>
      <c r="F80" s="35">
        <v>0</v>
      </c>
      <c r="G80" s="35">
        <f t="shared" si="15"/>
        <v>0</v>
      </c>
      <c r="H80" s="35">
        <f t="shared" si="16"/>
        <v>0</v>
      </c>
      <c r="I80" s="35">
        <v>8</v>
      </c>
      <c r="J80" s="9">
        <f t="shared" si="17"/>
        <v>85600</v>
      </c>
      <c r="K80" s="9">
        <f t="shared" si="18"/>
        <v>642</v>
      </c>
      <c r="O80" s="17">
        <f t="shared" ref="O80:O97" si="19">O79+1</f>
        <v>2</v>
      </c>
      <c r="P80" s="14">
        <f>ROUND(+'Rate Structure'!$D$8,2)</f>
        <v>76.319999999999993</v>
      </c>
      <c r="Q80" s="14">
        <f>ROUND(+'Rate Structure'!$D$8+((D80-Q$78)*'Rate Structure'!$D$16/1000),2)</f>
        <v>80.31</v>
      </c>
      <c r="R80" s="14">
        <f>ROUND(+'Rate Structure'!$D$8+((R$78-Q$78)*'Rate Structure'!$D$16/1000)+((D80-R$78)*'Rate Structure'!$D$17/1000),2)</f>
        <v>150.35</v>
      </c>
      <c r="S80" s="14">
        <f>ROUND(+'Rate Structure'!$D$8+((R$78-Q$78)*'Rate Structure'!$D$16/1000)+((S$78-R$78)*'Rate Structure'!$D$17/1000)+((D80-S$78)*'Rate Structure'!$D$18/1000),2)</f>
        <v>975.37</v>
      </c>
    </row>
    <row r="81" spans="1:24">
      <c r="A81" s="9">
        <v>11</v>
      </c>
      <c r="B81" s="13" t="s">
        <v>105</v>
      </c>
      <c r="C81" s="9">
        <v>12000</v>
      </c>
      <c r="D81" s="35">
        <v>11650</v>
      </c>
      <c r="E81" s="43">
        <f t="shared" si="14"/>
        <v>85.73</v>
      </c>
      <c r="F81" s="35">
        <v>0</v>
      </c>
      <c r="G81" s="35">
        <f t="shared" si="15"/>
        <v>0</v>
      </c>
      <c r="H81" s="35">
        <f t="shared" si="16"/>
        <v>0</v>
      </c>
      <c r="I81" s="35">
        <v>4</v>
      </c>
      <c r="J81" s="9">
        <f t="shared" si="17"/>
        <v>46600</v>
      </c>
      <c r="K81" s="9">
        <f t="shared" si="18"/>
        <v>343</v>
      </c>
      <c r="O81" s="17">
        <f t="shared" si="19"/>
        <v>3</v>
      </c>
      <c r="P81" s="14">
        <f>ROUND(+'Rate Structure'!$D$8,2)</f>
        <v>76.319999999999993</v>
      </c>
      <c r="Q81" s="14">
        <f>ROUND(+'Rate Structure'!$D$8+((D81-Q$78)*'Rate Structure'!$D$16/1000),2)</f>
        <v>85.73</v>
      </c>
      <c r="R81" s="14">
        <f>ROUND(+'Rate Structure'!$D$8+((R$78-Q$78)*'Rate Structure'!$D$16/1000)+((D81-R$78)*'Rate Structure'!$D$17/1000),2)</f>
        <v>155.41</v>
      </c>
      <c r="S81" s="14">
        <f>ROUND(+'Rate Structure'!$D$8+((R$78-Q$78)*'Rate Structure'!$D$16/1000)+((S$78-R$78)*'Rate Structure'!$D$17/1000)+((D81-S$78)*'Rate Structure'!$D$18/1000),2)</f>
        <v>979.1</v>
      </c>
    </row>
    <row r="82" spans="1:24">
      <c r="A82" s="9">
        <v>12</v>
      </c>
      <c r="B82" s="13" t="s">
        <v>105</v>
      </c>
      <c r="C82" s="9">
        <v>14000</v>
      </c>
      <c r="D82" s="35">
        <v>12700</v>
      </c>
      <c r="E82" s="43">
        <f t="shared" si="14"/>
        <v>91.71</v>
      </c>
      <c r="F82" s="35">
        <v>0</v>
      </c>
      <c r="G82" s="35">
        <f t="shared" si="15"/>
        <v>0</v>
      </c>
      <c r="H82" s="35">
        <f t="shared" si="16"/>
        <v>0</v>
      </c>
      <c r="I82" s="35">
        <v>2</v>
      </c>
      <c r="J82" s="9">
        <f t="shared" si="17"/>
        <v>25400</v>
      </c>
      <c r="K82" s="9">
        <f t="shared" si="18"/>
        <v>183</v>
      </c>
      <c r="O82" s="17">
        <f t="shared" si="19"/>
        <v>4</v>
      </c>
      <c r="P82" s="14">
        <f>ROUND(+'Rate Structure'!$D$8,2)</f>
        <v>76.319999999999993</v>
      </c>
      <c r="Q82" s="14">
        <f>ROUND(+'Rate Structure'!$D$8+((D82-Q$78)*'Rate Structure'!$D$16/1000),2)</f>
        <v>91.71</v>
      </c>
      <c r="R82" s="14">
        <f>ROUND(+'Rate Structure'!$D$8+((R$78-Q$78)*'Rate Structure'!$D$16/1000)+((D82-R$78)*'Rate Structure'!$D$17/1000),2)</f>
        <v>161.01</v>
      </c>
      <c r="S82" s="14">
        <f>ROUND(+'Rate Structure'!$D$8+((R$78-Q$78)*'Rate Structure'!$D$16/1000)+((S$78-R$78)*'Rate Structure'!$D$17/1000)+((D82-S$78)*'Rate Structure'!$D$18/1000),2)</f>
        <v>983.23</v>
      </c>
    </row>
    <row r="83" spans="1:24">
      <c r="A83" s="9">
        <v>14</v>
      </c>
      <c r="B83" s="13" t="s">
        <v>105</v>
      </c>
      <c r="C83" s="9">
        <v>16000</v>
      </c>
      <c r="D83" s="35">
        <v>15046</v>
      </c>
      <c r="E83" s="43">
        <f t="shared" si="14"/>
        <v>105.08</v>
      </c>
      <c r="F83" s="35">
        <v>0</v>
      </c>
      <c r="G83" s="35">
        <f t="shared" si="15"/>
        <v>0</v>
      </c>
      <c r="H83" s="35">
        <f t="shared" si="16"/>
        <v>0</v>
      </c>
      <c r="I83" s="35">
        <v>13</v>
      </c>
      <c r="J83" s="9">
        <f t="shared" si="17"/>
        <v>195598</v>
      </c>
      <c r="K83" s="9">
        <f t="shared" si="18"/>
        <v>1366</v>
      </c>
      <c r="O83" s="17">
        <f t="shared" si="19"/>
        <v>5</v>
      </c>
      <c r="P83" s="14">
        <f>ROUND(+'Rate Structure'!$D$8,2)</f>
        <v>76.319999999999993</v>
      </c>
      <c r="Q83" s="14">
        <f>ROUND(+'Rate Structure'!$D$8+((D83-Q$78)*'Rate Structure'!$D$16/1000),2)</f>
        <v>105.08</v>
      </c>
      <c r="R83" s="14">
        <f>ROUND(+'Rate Structure'!$D$8+((R$78-Q$78)*'Rate Structure'!$D$16/1000)+((D83-R$78)*'Rate Structure'!$D$17/1000),2)</f>
        <v>173.52</v>
      </c>
      <c r="S83" s="14">
        <f>ROUND(+'Rate Structure'!$D$8+((R$78-Q$78)*'Rate Structure'!$D$16/1000)+((S$78-R$78)*'Rate Structure'!$D$17/1000)+((D83-S$78)*'Rate Structure'!$D$18/1000),2)</f>
        <v>992.45</v>
      </c>
    </row>
    <row r="84" spans="1:24">
      <c r="A84" s="9">
        <v>16</v>
      </c>
      <c r="B84" s="13" t="s">
        <v>105</v>
      </c>
      <c r="C84" s="9">
        <v>18000</v>
      </c>
      <c r="D84" s="35">
        <v>17300</v>
      </c>
      <c r="E84" s="43">
        <f t="shared" si="14"/>
        <v>117.93</v>
      </c>
      <c r="F84" s="35">
        <v>0</v>
      </c>
      <c r="G84" s="35">
        <f t="shared" si="15"/>
        <v>0</v>
      </c>
      <c r="H84" s="35">
        <f t="shared" si="16"/>
        <v>0</v>
      </c>
      <c r="I84" s="35">
        <v>2</v>
      </c>
      <c r="J84" s="9">
        <f t="shared" si="17"/>
        <v>34600</v>
      </c>
      <c r="K84" s="9">
        <f t="shared" si="18"/>
        <v>236</v>
      </c>
      <c r="O84" s="17">
        <f t="shared" si="19"/>
        <v>6</v>
      </c>
      <c r="P84" s="14">
        <f>ROUND(+'Rate Structure'!$D$8,2)</f>
        <v>76.319999999999993</v>
      </c>
      <c r="Q84" s="14">
        <f>ROUND(+'Rate Structure'!$D$8+((D84-Q$78)*'Rate Structure'!$D$16/1000),2)</f>
        <v>117.93</v>
      </c>
      <c r="R84" s="14">
        <f>ROUND(+'Rate Structure'!$D$8+((R$78-Q$78)*'Rate Structure'!$D$16/1000)+((D84-R$78)*'Rate Structure'!$D$17/1000),2)</f>
        <v>185.53</v>
      </c>
      <c r="S84" s="14">
        <f>ROUND(+'Rate Structure'!$D$8+((R$78-Q$78)*'Rate Structure'!$D$16/1000)+((S$78-R$78)*'Rate Structure'!$D$17/1000)+((D84-S$78)*'Rate Structure'!$D$18/1000),2)</f>
        <v>1001.31</v>
      </c>
    </row>
    <row r="85" spans="1:24">
      <c r="A85" s="9">
        <v>18</v>
      </c>
      <c r="B85" s="13" t="s">
        <v>105</v>
      </c>
      <c r="C85" s="9">
        <v>20000</v>
      </c>
      <c r="D85" s="35">
        <v>19350</v>
      </c>
      <c r="E85" s="43">
        <f t="shared" si="14"/>
        <v>129.62</v>
      </c>
      <c r="F85" s="35">
        <v>0</v>
      </c>
      <c r="G85" s="35">
        <f t="shared" si="15"/>
        <v>0</v>
      </c>
      <c r="H85" s="35">
        <f t="shared" si="16"/>
        <v>0</v>
      </c>
      <c r="I85" s="35">
        <v>4</v>
      </c>
      <c r="J85" s="9">
        <f t="shared" si="17"/>
        <v>77400</v>
      </c>
      <c r="K85" s="9">
        <f t="shared" si="18"/>
        <v>518</v>
      </c>
      <c r="O85" s="17">
        <f t="shared" si="19"/>
        <v>7</v>
      </c>
      <c r="P85" s="14">
        <f>ROUND(+'Rate Structure'!$D$8,2)</f>
        <v>76.319999999999993</v>
      </c>
      <c r="Q85" s="14">
        <f>ROUND(+'Rate Structure'!$D$8+((D85-Q$78)*'Rate Structure'!$D$16/1000),2)</f>
        <v>129.62</v>
      </c>
      <c r="R85" s="14">
        <f>ROUND(+'Rate Structure'!$D$8+((R$78-Q$78)*'Rate Structure'!$D$16/1000)+((D85-R$78)*'Rate Structure'!$D$17/1000),2)</f>
        <v>196.46</v>
      </c>
      <c r="S85" s="14">
        <f>ROUND(+'Rate Structure'!$D$8+((R$78-Q$78)*'Rate Structure'!$D$16/1000)+((S$78-R$78)*'Rate Structure'!$D$17/1000)+((D85-S$78)*'Rate Structure'!$D$18/1000),2)</f>
        <v>1009.37</v>
      </c>
    </row>
    <row r="86" spans="1:24">
      <c r="A86" s="9">
        <v>20</v>
      </c>
      <c r="B86" s="13" t="s">
        <v>105</v>
      </c>
      <c r="C86" s="9">
        <v>25000</v>
      </c>
      <c r="D86" s="35">
        <v>23829</v>
      </c>
      <c r="E86" s="43">
        <f t="shared" si="14"/>
        <v>155.15</v>
      </c>
      <c r="F86" s="35">
        <v>0</v>
      </c>
      <c r="G86" s="35">
        <f t="shared" si="15"/>
        <v>0</v>
      </c>
      <c r="H86" s="35">
        <f t="shared" si="16"/>
        <v>0</v>
      </c>
      <c r="I86" s="35">
        <v>7</v>
      </c>
      <c r="J86" s="9">
        <f t="shared" si="17"/>
        <v>166803</v>
      </c>
      <c r="K86" s="9">
        <f t="shared" si="18"/>
        <v>1086</v>
      </c>
      <c r="O86" s="17">
        <f t="shared" si="19"/>
        <v>8</v>
      </c>
      <c r="P86" s="14">
        <f>ROUND(+'Rate Structure'!$D$8,2)</f>
        <v>76.319999999999993</v>
      </c>
      <c r="Q86" s="14">
        <f>ROUND(+'Rate Structure'!$D$8+((D86-Q$78)*'Rate Structure'!$D$16/1000),2)</f>
        <v>155.15</v>
      </c>
      <c r="R86" s="14">
        <f>ROUND(+'Rate Structure'!$D$8+((R$78-Q$78)*'Rate Structure'!$D$16/1000)+((D86-R$78)*'Rate Structure'!$D$17/1000),2)</f>
        <v>220.33</v>
      </c>
      <c r="S86" s="14">
        <f>ROUND(+'Rate Structure'!$D$8+((R$78-Q$78)*'Rate Structure'!$D$16/1000)+((S$78-R$78)*'Rate Structure'!$D$17/1000)+((D86-S$78)*'Rate Structure'!$D$18/1000),2)</f>
        <v>1026.97</v>
      </c>
    </row>
    <row r="87" spans="1:24">
      <c r="A87" s="9">
        <v>25</v>
      </c>
      <c r="B87" s="13" t="s">
        <v>105</v>
      </c>
      <c r="C87" s="9">
        <v>30000</v>
      </c>
      <c r="D87" s="35">
        <v>28024</v>
      </c>
      <c r="E87" s="43">
        <f t="shared" ref="E87:E95" si="20">HLOOKUP(D87,$P$78:$S$97,(O87)+1)</f>
        <v>179.06</v>
      </c>
      <c r="F87" s="35">
        <v>0</v>
      </c>
      <c r="G87" s="35">
        <f t="shared" si="15"/>
        <v>0</v>
      </c>
      <c r="H87" s="35">
        <f t="shared" si="16"/>
        <v>0</v>
      </c>
      <c r="I87" s="35">
        <v>17</v>
      </c>
      <c r="J87" s="9">
        <f t="shared" si="17"/>
        <v>476408</v>
      </c>
      <c r="K87" s="9">
        <f t="shared" si="18"/>
        <v>3044</v>
      </c>
      <c r="O87" s="17">
        <f t="shared" si="19"/>
        <v>9</v>
      </c>
      <c r="P87" s="14">
        <f>ROUND(+'Rate Structure'!$D$8,2)</f>
        <v>76.319999999999993</v>
      </c>
      <c r="Q87" s="14">
        <f>ROUND(+'Rate Structure'!$D$8+((D87-Q$78)*'Rate Structure'!$D$16/1000),2)</f>
        <v>179.06</v>
      </c>
      <c r="R87" s="14">
        <f>ROUND(+'Rate Structure'!$D$8+((R$78-Q$78)*'Rate Structure'!$D$16/1000)+((D87-R$78)*'Rate Structure'!$D$17/1000),2)</f>
        <v>242.69</v>
      </c>
      <c r="S87" s="14">
        <f>ROUND(+'Rate Structure'!$D$8+((R$78-Q$78)*'Rate Structure'!$D$16/1000)+((S$78-R$78)*'Rate Structure'!$D$17/1000)+((D87-S$78)*'Rate Structure'!$D$18/1000),2)</f>
        <v>1043.45</v>
      </c>
    </row>
    <row r="88" spans="1:24">
      <c r="A88" s="9">
        <v>30</v>
      </c>
      <c r="B88" s="13" t="s">
        <v>105</v>
      </c>
      <c r="C88" s="9">
        <v>40000</v>
      </c>
      <c r="D88" s="9">
        <v>34350</v>
      </c>
      <c r="E88" s="14">
        <f t="shared" si="20"/>
        <v>215.12</v>
      </c>
      <c r="F88" s="35">
        <v>0</v>
      </c>
      <c r="G88" s="35">
        <f t="shared" si="15"/>
        <v>0</v>
      </c>
      <c r="H88" s="35">
        <f t="shared" si="16"/>
        <v>0</v>
      </c>
      <c r="I88" s="35">
        <v>42</v>
      </c>
      <c r="J88" s="9">
        <f t="shared" si="17"/>
        <v>1442700</v>
      </c>
      <c r="K88" s="9">
        <f t="shared" si="18"/>
        <v>9035</v>
      </c>
      <c r="O88" s="17">
        <f t="shared" si="19"/>
        <v>10</v>
      </c>
      <c r="P88" s="14">
        <f>ROUND(+'Rate Structure'!$D$8,2)</f>
        <v>76.319999999999993</v>
      </c>
      <c r="Q88" s="14">
        <f>ROUND(+'Rate Structure'!$D$8+((D88-Q$78)*'Rate Structure'!$D$16/1000),2)</f>
        <v>215.12</v>
      </c>
      <c r="R88" s="14">
        <f>ROUND(+'Rate Structure'!$D$8+((R$78-Q$78)*'Rate Structure'!$D$16/1000)+((D88-R$78)*'Rate Structure'!$D$17/1000),2)</f>
        <v>276.41000000000003</v>
      </c>
      <c r="S88" s="14">
        <f>ROUND(+'Rate Structure'!$D$8+((R$78-Q$78)*'Rate Structure'!$D$16/1000)+((S$78-R$78)*'Rate Structure'!$D$17/1000)+((D88-S$78)*'Rate Structure'!$D$18/1000),2)</f>
        <v>1068.32</v>
      </c>
    </row>
    <row r="89" spans="1:24">
      <c r="A89" s="9">
        <v>40</v>
      </c>
      <c r="B89" s="13" t="s">
        <v>105</v>
      </c>
      <c r="C89" s="9">
        <v>50000</v>
      </c>
      <c r="D89" s="9">
        <v>45636</v>
      </c>
      <c r="E89" s="14">
        <f t="shared" si="20"/>
        <v>279.45</v>
      </c>
      <c r="F89" s="35">
        <v>0</v>
      </c>
      <c r="G89" s="35">
        <f t="shared" si="15"/>
        <v>0</v>
      </c>
      <c r="H89" s="35">
        <f t="shared" si="16"/>
        <v>0</v>
      </c>
      <c r="I89" s="35">
        <v>14</v>
      </c>
      <c r="J89" s="9">
        <f t="shared" si="17"/>
        <v>638904</v>
      </c>
      <c r="K89" s="9">
        <f t="shared" si="18"/>
        <v>3912</v>
      </c>
      <c r="O89" s="17">
        <f t="shared" si="19"/>
        <v>11</v>
      </c>
      <c r="P89" s="14">
        <f>ROUND(+'Rate Structure'!$D$8,2)</f>
        <v>76.319999999999993</v>
      </c>
      <c r="Q89" s="14">
        <f>ROUND(+'Rate Structure'!$D$8+((D89-Q$78)*'Rate Structure'!$D$16/1000),2)</f>
        <v>279.45</v>
      </c>
      <c r="R89" s="14">
        <f>ROUND(+'Rate Structure'!$D$8+((R$78-Q$78)*'Rate Structure'!$D$16/1000)+((D89-R$78)*'Rate Structure'!$D$17/1000),2)</f>
        <v>336.56</v>
      </c>
      <c r="S89" s="14">
        <f>ROUND(+'Rate Structure'!$D$8+((R$78-Q$78)*'Rate Structure'!$D$16/1000)+((S$78-R$78)*'Rate Structure'!$D$17/1000)+((D89-S$78)*'Rate Structure'!$D$18/1000),2)</f>
        <v>1112.67</v>
      </c>
      <c r="W89" s="4" t="s">
        <v>138</v>
      </c>
      <c r="X89" s="22" t="s">
        <v>154</v>
      </c>
    </row>
    <row r="90" spans="1:24">
      <c r="A90" s="9">
        <v>50</v>
      </c>
      <c r="B90" s="13" t="s">
        <v>105</v>
      </c>
      <c r="C90" s="9">
        <v>75000</v>
      </c>
      <c r="D90" s="9">
        <v>59900</v>
      </c>
      <c r="E90" s="14">
        <f t="shared" si="20"/>
        <v>360.75</v>
      </c>
      <c r="F90" s="35">
        <v>0</v>
      </c>
      <c r="G90" s="35">
        <f t="shared" si="15"/>
        <v>0</v>
      </c>
      <c r="H90" s="35">
        <f t="shared" si="16"/>
        <v>0</v>
      </c>
      <c r="I90" s="35">
        <v>9</v>
      </c>
      <c r="J90" s="9">
        <f t="shared" si="17"/>
        <v>539100</v>
      </c>
      <c r="K90" s="9">
        <f t="shared" si="18"/>
        <v>3247</v>
      </c>
      <c r="O90" s="17">
        <f t="shared" si="19"/>
        <v>12</v>
      </c>
      <c r="P90" s="14">
        <f>ROUND(+'Rate Structure'!$D$8,2)</f>
        <v>76.319999999999993</v>
      </c>
      <c r="Q90" s="14">
        <f>ROUND(+'Rate Structure'!$D$8+((D90-Q$78)*'Rate Structure'!$D$16/1000),2)</f>
        <v>360.75</v>
      </c>
      <c r="R90" s="14">
        <f>ROUND(+'Rate Structure'!$D$8+((R$78-Q$78)*'Rate Structure'!$D$16/1000)+((D90-R$78)*'Rate Structure'!$D$17/1000),2)</f>
        <v>412.59</v>
      </c>
      <c r="S90" s="14">
        <f>ROUND(+'Rate Structure'!$D$8+((R$78-Q$78)*'Rate Structure'!$D$16/1000)+((S$78-R$78)*'Rate Structure'!$D$17/1000)+((D90-S$78)*'Rate Structure'!$D$18/1000),2)</f>
        <v>1168.73</v>
      </c>
      <c r="W90" s="4" t="s">
        <v>139</v>
      </c>
      <c r="X90" s="22" t="s">
        <v>155</v>
      </c>
    </row>
    <row r="91" spans="1:24">
      <c r="A91" s="9">
        <v>75</v>
      </c>
      <c r="B91" s="13" t="s">
        <v>105</v>
      </c>
      <c r="C91" s="9">
        <v>100000</v>
      </c>
      <c r="D91" s="9">
        <v>85267</v>
      </c>
      <c r="E91" s="14">
        <f t="shared" si="20"/>
        <v>505.34</v>
      </c>
      <c r="F91" s="35">
        <v>0</v>
      </c>
      <c r="G91" s="35">
        <f t="shared" si="15"/>
        <v>0</v>
      </c>
      <c r="H91" s="35">
        <f t="shared" si="16"/>
        <v>0</v>
      </c>
      <c r="I91" s="35">
        <v>6</v>
      </c>
      <c r="J91" s="9">
        <f t="shared" si="17"/>
        <v>511602</v>
      </c>
      <c r="K91" s="9">
        <f t="shared" si="18"/>
        <v>3032</v>
      </c>
      <c r="O91" s="17">
        <f t="shared" si="19"/>
        <v>13</v>
      </c>
      <c r="P91" s="14">
        <f>ROUND(+'Rate Structure'!$D$8,2)</f>
        <v>76.319999999999993</v>
      </c>
      <c r="Q91" s="14">
        <f>ROUND(+'Rate Structure'!$D$8+((D91-Q$78)*'Rate Structure'!$D$16/1000),2)</f>
        <v>505.34</v>
      </c>
      <c r="R91" s="14">
        <f>ROUND(+'Rate Structure'!$D$8+((R$78-Q$78)*'Rate Structure'!$D$16/1000)+((D91-R$78)*'Rate Structure'!$D$17/1000),2)</f>
        <v>547.79</v>
      </c>
      <c r="S91" s="14">
        <f>ROUND(+'Rate Structure'!$D$8+((R$78-Q$78)*'Rate Structure'!$D$16/1000)+((S$78-R$78)*'Rate Structure'!$D$17/1000)+((D91-S$78)*'Rate Structure'!$D$18/1000),2)</f>
        <v>1268.42</v>
      </c>
      <c r="W91" s="4" t="s">
        <v>140</v>
      </c>
      <c r="X91" s="22" t="s">
        <v>156</v>
      </c>
    </row>
    <row r="92" spans="1:24">
      <c r="A92" s="9">
        <v>100</v>
      </c>
      <c r="B92" s="13" t="s">
        <v>105</v>
      </c>
      <c r="C92" s="9">
        <v>150000</v>
      </c>
      <c r="D92" s="9">
        <v>117313</v>
      </c>
      <c r="E92" s="14">
        <f t="shared" si="20"/>
        <v>688</v>
      </c>
      <c r="F92" s="35">
        <v>0</v>
      </c>
      <c r="G92" s="35">
        <f t="shared" si="15"/>
        <v>0</v>
      </c>
      <c r="H92" s="35">
        <f t="shared" si="16"/>
        <v>0</v>
      </c>
      <c r="I92" s="35">
        <v>8</v>
      </c>
      <c r="J92" s="9">
        <f t="shared" si="17"/>
        <v>938504</v>
      </c>
      <c r="K92" s="9">
        <f t="shared" si="18"/>
        <v>5504</v>
      </c>
      <c r="O92" s="17">
        <f t="shared" si="19"/>
        <v>14</v>
      </c>
      <c r="P92" s="14">
        <f>ROUND(+'Rate Structure'!$D$8,2)</f>
        <v>76.319999999999993</v>
      </c>
      <c r="Q92" s="14">
        <f>ROUND(+'Rate Structure'!$D$8+((D92-Q$78)*'Rate Structure'!$D$16/1000),2)</f>
        <v>688</v>
      </c>
      <c r="R92" s="14">
        <f>ROUND(+'Rate Structure'!$D$8+((R$78-Q$78)*'Rate Structure'!$D$16/1000)+((D92-R$78)*'Rate Structure'!$D$17/1000),2)</f>
        <v>718.6</v>
      </c>
      <c r="S92" s="14">
        <f>ROUND(+'Rate Structure'!$D$8+((R$78-Q$78)*'Rate Structure'!$D$16/1000)+((S$78-R$78)*'Rate Structure'!$D$17/1000)+((D92-S$78)*'Rate Structure'!$D$18/1000),2)</f>
        <v>1394.36</v>
      </c>
      <c r="W92" s="4" t="s">
        <v>141</v>
      </c>
      <c r="X92" s="22" t="s">
        <v>157</v>
      </c>
    </row>
    <row r="93" spans="1:24">
      <c r="A93" s="9">
        <v>150</v>
      </c>
      <c r="B93" s="13" t="s">
        <v>105</v>
      </c>
      <c r="C93" s="9">
        <v>200000</v>
      </c>
      <c r="D93" s="9">
        <v>0</v>
      </c>
      <c r="E93" s="14">
        <f t="shared" si="20"/>
        <v>76.319999999999993</v>
      </c>
      <c r="F93" s="35">
        <v>0</v>
      </c>
      <c r="G93" s="35">
        <f t="shared" si="15"/>
        <v>0</v>
      </c>
      <c r="H93" s="35">
        <f t="shared" si="16"/>
        <v>0</v>
      </c>
      <c r="I93" s="35">
        <v>0</v>
      </c>
      <c r="J93" s="9">
        <f t="shared" si="17"/>
        <v>0</v>
      </c>
      <c r="K93" s="9">
        <f t="shared" si="18"/>
        <v>0</v>
      </c>
      <c r="O93" s="17">
        <f t="shared" si="19"/>
        <v>15</v>
      </c>
      <c r="P93" s="14">
        <f>ROUND(+'Rate Structure'!$D$8,2)</f>
        <v>76.319999999999993</v>
      </c>
      <c r="Q93" s="14">
        <f>ROUND(+'Rate Structure'!$D$8+((D93-Q$78)*'Rate Structure'!$D$16/1000),2)</f>
        <v>19.32</v>
      </c>
      <c r="R93" s="14">
        <f>ROUND(+'Rate Structure'!$D$8+((R$78-Q$78)*'Rate Structure'!$D$16/1000)+((D93-R$78)*'Rate Structure'!$D$17/1000),2)</f>
        <v>93.32</v>
      </c>
      <c r="S93" s="14">
        <f>ROUND(+'Rate Structure'!$D$8+((R$78-Q$78)*'Rate Structure'!$D$16/1000)+((S$78-R$78)*'Rate Structure'!$D$17/1000)+((D93-S$78)*'Rate Structure'!$D$18/1000),2)</f>
        <v>933.32</v>
      </c>
      <c r="W93" s="4" t="s">
        <v>142</v>
      </c>
      <c r="X93" s="22" t="s">
        <v>158</v>
      </c>
    </row>
    <row r="94" spans="1:24">
      <c r="A94" s="9">
        <v>200</v>
      </c>
      <c r="B94" s="13" t="s">
        <v>105</v>
      </c>
      <c r="C94" s="9">
        <v>300000</v>
      </c>
      <c r="D94" s="9">
        <v>256989</v>
      </c>
      <c r="E94" s="14">
        <f t="shared" si="20"/>
        <v>1463.07</v>
      </c>
      <c r="F94" s="35">
        <v>0</v>
      </c>
      <c r="G94" s="35">
        <f t="shared" si="15"/>
        <v>0</v>
      </c>
      <c r="H94" s="35">
        <f t="shared" si="16"/>
        <v>0</v>
      </c>
      <c r="I94" s="35">
        <v>9</v>
      </c>
      <c r="J94" s="9">
        <f t="shared" si="17"/>
        <v>2312901</v>
      </c>
      <c r="K94" s="9">
        <f t="shared" si="18"/>
        <v>13168</v>
      </c>
      <c r="O94" s="17">
        <f t="shared" si="19"/>
        <v>16</v>
      </c>
      <c r="P94" s="14">
        <f>ROUND(+'Rate Structure'!$D$8,2)</f>
        <v>76.319999999999993</v>
      </c>
      <c r="Q94" s="14">
        <f>ROUND(+'Rate Structure'!$D$8+((D94-Q$78)*'Rate Structure'!$D$16/1000),2)</f>
        <v>1484.16</v>
      </c>
      <c r="R94" s="14">
        <f>ROUND(+'Rate Structure'!$D$8+((R$78-Q$78)*'Rate Structure'!$D$16/1000)+((D94-R$78)*'Rate Structure'!$D$17/1000),2)</f>
        <v>1463.07</v>
      </c>
      <c r="S94" s="14">
        <f>ROUND(+'Rate Structure'!$D$8+((R$78-Q$78)*'Rate Structure'!$D$16/1000)+((S$78-R$78)*'Rate Structure'!$D$17/1000)+((D94-S$78)*'Rate Structure'!$D$18/1000),2)</f>
        <v>1943.29</v>
      </c>
      <c r="W94" s="4" t="s">
        <v>74</v>
      </c>
      <c r="X94" s="4" t="s">
        <v>159</v>
      </c>
    </row>
    <row r="95" spans="1:24">
      <c r="A95" s="9">
        <v>300</v>
      </c>
      <c r="B95" s="13" t="s">
        <v>105</v>
      </c>
      <c r="C95" s="9">
        <v>400000</v>
      </c>
      <c r="D95" s="9">
        <v>347060</v>
      </c>
      <c r="E95" s="14">
        <f t="shared" si="20"/>
        <v>1943.15</v>
      </c>
      <c r="F95" s="35">
        <v>0</v>
      </c>
      <c r="G95" s="35">
        <f t="shared" si="15"/>
        <v>0</v>
      </c>
      <c r="H95" s="35">
        <f t="shared" si="16"/>
        <v>0</v>
      </c>
      <c r="I95" s="35">
        <v>5</v>
      </c>
      <c r="J95" s="9">
        <f t="shared" si="17"/>
        <v>1735300</v>
      </c>
      <c r="K95" s="9">
        <f t="shared" si="18"/>
        <v>9716</v>
      </c>
      <c r="O95" s="17">
        <f t="shared" si="19"/>
        <v>17</v>
      </c>
      <c r="P95" s="14">
        <f>ROUND(+'Rate Structure'!$D$8,2)</f>
        <v>76.319999999999993</v>
      </c>
      <c r="Q95" s="14">
        <f>ROUND(+'Rate Structure'!$D$8+((D95-Q$78)*'Rate Structure'!$D$16/1000),2)</f>
        <v>1997.56</v>
      </c>
      <c r="R95" s="14">
        <f>ROUND(+'Rate Structure'!$D$8+((R$78-Q$78)*'Rate Structure'!$D$16/1000)+((D95-R$78)*'Rate Structure'!$D$17/1000),2)</f>
        <v>1943.15</v>
      </c>
      <c r="S95" s="14">
        <f>ROUND(+'Rate Structure'!$D$8+((R$78-Q$78)*'Rate Structure'!$D$16/1000)+((S$78-R$78)*'Rate Structure'!$D$17/1000)+((D95-S$78)*'Rate Structure'!$D$18/1000),2)</f>
        <v>2297.27</v>
      </c>
      <c r="W95" s="4" t="s">
        <v>75</v>
      </c>
      <c r="X95" s="4" t="s">
        <v>160</v>
      </c>
    </row>
    <row r="96" spans="1:24">
      <c r="A96" s="9">
        <v>400</v>
      </c>
      <c r="B96" s="13" t="s">
        <v>105</v>
      </c>
      <c r="C96" s="9">
        <v>500000</v>
      </c>
      <c r="D96" s="9">
        <v>0</v>
      </c>
      <c r="E96" s="14">
        <v>0</v>
      </c>
      <c r="F96" s="35">
        <v>0</v>
      </c>
      <c r="G96" s="35">
        <f t="shared" si="15"/>
        <v>0</v>
      </c>
      <c r="H96" s="35">
        <f t="shared" si="16"/>
        <v>0</v>
      </c>
      <c r="I96" s="35">
        <v>0</v>
      </c>
      <c r="J96" s="9">
        <f t="shared" si="17"/>
        <v>0</v>
      </c>
      <c r="K96" s="9">
        <f t="shared" si="18"/>
        <v>0</v>
      </c>
      <c r="O96" s="17">
        <f t="shared" si="19"/>
        <v>18</v>
      </c>
      <c r="P96" s="14">
        <f>ROUND(+'Rate Structure'!$D$8,2)</f>
        <v>76.319999999999993</v>
      </c>
      <c r="Q96" s="14">
        <f>ROUND(+'Rate Structure'!$D$8+((D96-Q$78)*'Rate Structure'!$D$16/1000),2)</f>
        <v>19.32</v>
      </c>
      <c r="R96" s="14">
        <f>ROUND(+'Rate Structure'!$D$8+((R$78-Q$78)*'Rate Structure'!$D$16/1000)+((D96-R$78)*'Rate Structure'!$D$17/1000),2)</f>
        <v>93.32</v>
      </c>
      <c r="S96" s="14">
        <f>ROUND(+'Rate Structure'!$D$8+((R$78-Q$78)*'Rate Structure'!$D$16/1000)+((S$78-R$78)*'Rate Structure'!$D$17/1000)+((D96-S$78)*'Rate Structure'!$D$18/1000),2)</f>
        <v>933.32</v>
      </c>
      <c r="W96" s="4" t="s">
        <v>76</v>
      </c>
      <c r="X96" s="4" t="s">
        <v>161</v>
      </c>
    </row>
    <row r="97" spans="1:24">
      <c r="A97" s="9">
        <v>500</v>
      </c>
      <c r="B97" s="13" t="s">
        <v>105</v>
      </c>
      <c r="C97" s="21" t="s">
        <v>112</v>
      </c>
      <c r="D97" s="9">
        <v>0</v>
      </c>
      <c r="E97" s="14">
        <v>0</v>
      </c>
      <c r="F97" s="36">
        <v>0</v>
      </c>
      <c r="G97" s="36">
        <f t="shared" si="15"/>
        <v>0</v>
      </c>
      <c r="H97" s="36">
        <f t="shared" si="16"/>
        <v>0</v>
      </c>
      <c r="I97" s="36">
        <v>0</v>
      </c>
      <c r="J97" s="10">
        <f t="shared" si="17"/>
        <v>0</v>
      </c>
      <c r="K97" s="10">
        <f t="shared" si="18"/>
        <v>0</v>
      </c>
      <c r="O97" s="17">
        <f t="shared" si="19"/>
        <v>19</v>
      </c>
      <c r="P97" s="14">
        <f>ROUND(+'Rate Structure'!$D$8,2)</f>
        <v>76.319999999999993</v>
      </c>
      <c r="Q97" s="14">
        <f>ROUND(+'Rate Structure'!$D$8+((D97-Q$78)*'Rate Structure'!$D$16/1000),2)</f>
        <v>19.32</v>
      </c>
      <c r="R97" s="14">
        <f>ROUND(+'Rate Structure'!$D$8+((R$78-Q$78)*'Rate Structure'!$D$16/1000)+((D97-R$78)*'Rate Structure'!$D$17/1000),2)</f>
        <v>93.32</v>
      </c>
      <c r="S97" s="14">
        <f>ROUND(+'Rate Structure'!$D$8+((R$78-Q$78)*'Rate Structure'!$D$16/1000)+((S$78-R$78)*'Rate Structure'!$D$17/1000)+((D97-S$78)*'Rate Structure'!$D$18/1000),2)</f>
        <v>933.32</v>
      </c>
      <c r="W97" s="4" t="s">
        <v>77</v>
      </c>
      <c r="X97" s="4" t="s">
        <v>162</v>
      </c>
    </row>
    <row r="98" spans="1:24">
      <c r="A98" s="9"/>
      <c r="B98" s="9"/>
      <c r="C98" s="9"/>
      <c r="D98" s="9"/>
      <c r="O98" s="17"/>
      <c r="W98" s="4" t="s">
        <v>78</v>
      </c>
      <c r="X98" s="4" t="s">
        <v>163</v>
      </c>
    </row>
    <row r="99" spans="1:24">
      <c r="A99" s="9"/>
      <c r="B99" s="9"/>
      <c r="C99" s="13" t="s">
        <v>114</v>
      </c>
      <c r="D99" s="9"/>
      <c r="F99" s="35">
        <f t="shared" ref="F99:K99" si="21">SUM(F79:F97)</f>
        <v>0</v>
      </c>
      <c r="G99" s="35">
        <f t="shared" si="21"/>
        <v>0</v>
      </c>
      <c r="H99" s="34">
        <f t="shared" si="21"/>
        <v>0</v>
      </c>
      <c r="I99" s="35">
        <f t="shared" si="21"/>
        <v>197</v>
      </c>
      <c r="J99" s="9">
        <f t="shared" si="21"/>
        <v>9327624</v>
      </c>
      <c r="K99" s="8">
        <f t="shared" si="21"/>
        <v>58619</v>
      </c>
      <c r="O99" s="17"/>
      <c r="W99" s="4" t="s">
        <v>72</v>
      </c>
      <c r="X99" s="22" t="s">
        <v>164</v>
      </c>
    </row>
    <row r="100" spans="1:24">
      <c r="D100" s="9"/>
      <c r="W100" s="4" t="s">
        <v>82</v>
      </c>
      <c r="X100" s="22" t="s">
        <v>165</v>
      </c>
    </row>
    <row r="101" spans="1:24">
      <c r="A101" s="10" t="s">
        <v>90</v>
      </c>
      <c r="B101" s="9"/>
      <c r="C101" s="9"/>
      <c r="D101" s="9"/>
      <c r="O101" s="17"/>
      <c r="W101" s="4" t="s">
        <v>83</v>
      </c>
      <c r="X101" s="4" t="s">
        <v>166</v>
      </c>
    </row>
    <row r="102" spans="1:24">
      <c r="F102" s="38" t="s">
        <v>57</v>
      </c>
      <c r="G102" s="37"/>
      <c r="H102" s="38"/>
      <c r="I102" s="38" t="s">
        <v>59</v>
      </c>
      <c r="J102" s="20"/>
      <c r="K102" s="2"/>
      <c r="O102" s="17"/>
      <c r="W102" s="4" t="s">
        <v>143</v>
      </c>
      <c r="X102" s="4" t="s">
        <v>158</v>
      </c>
    </row>
    <row r="103" spans="1:24">
      <c r="D103" s="33"/>
      <c r="E103" s="5" t="s">
        <v>122</v>
      </c>
      <c r="O103" s="17"/>
      <c r="P103" s="16" t="s">
        <v>134</v>
      </c>
      <c r="W103" s="4" t="s">
        <v>144</v>
      </c>
      <c r="X103" s="22" t="s">
        <v>167</v>
      </c>
    </row>
    <row r="104" spans="1:24">
      <c r="A104" s="7" t="s">
        <v>87</v>
      </c>
      <c r="B104" s="7"/>
      <c r="C104" s="7"/>
      <c r="D104" s="39" t="s">
        <v>122</v>
      </c>
      <c r="E104" s="6" t="s">
        <v>125</v>
      </c>
      <c r="F104" s="39" t="s">
        <v>126</v>
      </c>
      <c r="G104" s="39" t="s">
        <v>127</v>
      </c>
      <c r="H104" s="39" t="s">
        <v>128</v>
      </c>
      <c r="I104" s="39" t="s">
        <v>126</v>
      </c>
      <c r="J104" s="6" t="s">
        <v>127</v>
      </c>
      <c r="K104" s="6" t="s">
        <v>128</v>
      </c>
      <c r="O104" s="17"/>
      <c r="P104" s="18">
        <v>0</v>
      </c>
      <c r="Q104" s="18">
        <v>16000</v>
      </c>
      <c r="R104" s="18">
        <v>200000</v>
      </c>
      <c r="S104" s="18">
        <v>600000</v>
      </c>
      <c r="W104" s="4" t="s">
        <v>145</v>
      </c>
      <c r="X104" s="22" t="s">
        <v>158</v>
      </c>
    </row>
    <row r="105" spans="1:24">
      <c r="A105" s="9">
        <v>0</v>
      </c>
      <c r="B105" s="13" t="s">
        <v>105</v>
      </c>
      <c r="C105" s="9">
        <v>16000</v>
      </c>
      <c r="D105" s="35">
        <v>2082</v>
      </c>
      <c r="E105" s="14">
        <f>HLOOKUP(D105,$P$104:$S$122,(O105)+1)</f>
        <v>112.15</v>
      </c>
      <c r="F105" s="35">
        <v>0</v>
      </c>
      <c r="G105" s="35">
        <f t="shared" ref="G105:G122" si="22">F105*D105</f>
        <v>0</v>
      </c>
      <c r="H105" s="35">
        <f t="shared" ref="H105:H122" si="23">ROUND(+F105*$E105,0)</f>
        <v>0</v>
      </c>
      <c r="I105" s="35">
        <v>102</v>
      </c>
      <c r="J105" s="9">
        <f t="shared" ref="J105:J122" si="24">I105*D105</f>
        <v>212364</v>
      </c>
      <c r="K105" s="9">
        <f t="shared" ref="K105:K122" si="25">ROUND(+I105*$E105,0)</f>
        <v>11439</v>
      </c>
      <c r="O105" s="17">
        <v>1</v>
      </c>
      <c r="P105" s="14">
        <f>ROUND(+'Rate Structure'!$D$9,2)</f>
        <v>112.15</v>
      </c>
      <c r="Q105" s="14">
        <f>ROUND(+'Rate Structure'!$D$9+((D105-Q$104)*'Rate Structure'!$D$16/1000),2)</f>
        <v>32.82</v>
      </c>
      <c r="R105" s="14">
        <f>ROUND(+'Rate Structure'!$D$9+((R$104-Q$104)*'Rate Structure'!$D$16/1000)+((D105-R$104)*'Rate Structure'!$D$17/1000),2)</f>
        <v>106.05</v>
      </c>
      <c r="S105" s="14">
        <f>ROUND(+'Rate Structure'!$D$9+((R$104-Q$104)*'Rate Structure'!$D$16/1000)+((S$104-R$104)*'Rate Structure'!$D$17/1000)+((D105-S$104)*'Rate Structure'!$D$18/1000),2)</f>
        <v>943.13</v>
      </c>
      <c r="W105" s="4" t="s">
        <v>146</v>
      </c>
      <c r="X105" s="22" t="s">
        <v>168</v>
      </c>
    </row>
    <row r="106" spans="1:24">
      <c r="A106" s="9">
        <v>16</v>
      </c>
      <c r="B106" s="13" t="s">
        <v>105</v>
      </c>
      <c r="C106" s="9">
        <v>18000</v>
      </c>
      <c r="D106" s="35">
        <v>17120</v>
      </c>
      <c r="E106" s="14">
        <f t="shared" ref="E106:E121" si="26">HLOOKUP(D106,$P$104:$S$122,(O106)+1)</f>
        <v>118.53</v>
      </c>
      <c r="F106" s="35">
        <v>0</v>
      </c>
      <c r="G106" s="35">
        <f t="shared" si="22"/>
        <v>0</v>
      </c>
      <c r="H106" s="35">
        <f t="shared" si="23"/>
        <v>0</v>
      </c>
      <c r="I106" s="35">
        <v>5</v>
      </c>
      <c r="J106" s="9">
        <f t="shared" si="24"/>
        <v>85600</v>
      </c>
      <c r="K106" s="9">
        <f t="shared" si="25"/>
        <v>593</v>
      </c>
      <c r="O106" s="17">
        <f t="shared" ref="O106:O122" si="27">O105+1</f>
        <v>2</v>
      </c>
      <c r="P106" s="14">
        <f>ROUND(+'Rate Structure'!$D$9,2)</f>
        <v>112.15</v>
      </c>
      <c r="Q106" s="14">
        <f>ROUND(+'Rate Structure'!$D$9+((D106-Q$104)*'Rate Structure'!$D$16/1000),2)</f>
        <v>118.53</v>
      </c>
      <c r="R106" s="14">
        <f>ROUND(+'Rate Structure'!$D$9+((R$104-Q$104)*'Rate Structure'!$D$16/1000)+((D106-R$104)*'Rate Structure'!$D$17/1000),2)</f>
        <v>186.2</v>
      </c>
      <c r="S106" s="14">
        <f>ROUND(+'Rate Structure'!$D$9+((R$104-Q$104)*'Rate Structure'!$D$16/1000)+((S$104-R$104)*'Rate Structure'!$D$17/1000)+((D106-S$104)*'Rate Structure'!$D$18/1000),2)</f>
        <v>1002.23</v>
      </c>
      <c r="W106" s="4" t="s">
        <v>147</v>
      </c>
      <c r="X106" s="22" t="s">
        <v>169</v>
      </c>
    </row>
    <row r="107" spans="1:24">
      <c r="A107" s="9">
        <v>18</v>
      </c>
      <c r="B107" s="13" t="s">
        <v>105</v>
      </c>
      <c r="C107" s="9">
        <v>20000</v>
      </c>
      <c r="D107" s="35">
        <v>18750</v>
      </c>
      <c r="E107" s="14">
        <f t="shared" si="26"/>
        <v>127.83</v>
      </c>
      <c r="F107" s="35">
        <v>0</v>
      </c>
      <c r="G107" s="35">
        <f t="shared" si="22"/>
        <v>0</v>
      </c>
      <c r="H107" s="35">
        <f t="shared" si="23"/>
        <v>0</v>
      </c>
      <c r="I107" s="35">
        <v>2</v>
      </c>
      <c r="J107" s="9">
        <f t="shared" si="24"/>
        <v>37500</v>
      </c>
      <c r="K107" s="9">
        <f t="shared" si="25"/>
        <v>256</v>
      </c>
      <c r="O107" s="17">
        <f t="shared" si="27"/>
        <v>3</v>
      </c>
      <c r="P107" s="14">
        <f>ROUND(+'Rate Structure'!$D$9,2)</f>
        <v>112.15</v>
      </c>
      <c r="Q107" s="14">
        <f>ROUND(+'Rate Structure'!$D$9+((D107-Q$104)*'Rate Structure'!$D$16/1000),2)</f>
        <v>127.83</v>
      </c>
      <c r="R107" s="14">
        <f>ROUND(+'Rate Structure'!$D$9+((R$104-Q$104)*'Rate Structure'!$D$16/1000)+((D107-R$104)*'Rate Structure'!$D$17/1000),2)</f>
        <v>194.89</v>
      </c>
      <c r="S107" s="14">
        <f>ROUND(+'Rate Structure'!$D$9+((R$104-Q$104)*'Rate Structure'!$D$16/1000)+((S$104-R$104)*'Rate Structure'!$D$17/1000)+((D107-S$104)*'Rate Structure'!$D$18/1000),2)</f>
        <v>1008.64</v>
      </c>
      <c r="W107" s="4" t="s">
        <v>148</v>
      </c>
      <c r="X107" s="4" t="s">
        <v>170</v>
      </c>
    </row>
    <row r="108" spans="1:24">
      <c r="A108" s="9">
        <v>20</v>
      </c>
      <c r="B108" s="13" t="s">
        <v>105</v>
      </c>
      <c r="C108" s="9">
        <v>25000</v>
      </c>
      <c r="D108" s="9">
        <v>23008</v>
      </c>
      <c r="E108" s="14">
        <f t="shared" si="26"/>
        <v>152.1</v>
      </c>
      <c r="F108" s="35">
        <v>0</v>
      </c>
      <c r="G108" s="35">
        <f t="shared" si="22"/>
        <v>0</v>
      </c>
      <c r="H108" s="35">
        <f t="shared" si="23"/>
        <v>0</v>
      </c>
      <c r="I108" s="35">
        <v>13</v>
      </c>
      <c r="J108" s="9">
        <f t="shared" si="24"/>
        <v>299104</v>
      </c>
      <c r="K108" s="9">
        <f t="shared" si="25"/>
        <v>1977</v>
      </c>
      <c r="O108" s="17">
        <f t="shared" si="27"/>
        <v>4</v>
      </c>
      <c r="P108" s="14">
        <f>ROUND(+'Rate Structure'!$D$9,2)</f>
        <v>112.15</v>
      </c>
      <c r="Q108" s="14">
        <f>ROUND(+'Rate Structure'!$D$9+((D108-Q$104)*'Rate Structure'!$D$16/1000),2)</f>
        <v>152.1</v>
      </c>
      <c r="R108" s="14">
        <f>ROUND(+'Rate Structure'!$D$9+((R$104-Q$104)*'Rate Structure'!$D$16/1000)+((D108-R$104)*'Rate Structure'!$D$17/1000),2)</f>
        <v>217.58</v>
      </c>
      <c r="S108" s="14">
        <f>ROUND(+'Rate Structure'!$D$9+((R$104-Q$104)*'Rate Structure'!$D$16/1000)+((S$104-R$104)*'Rate Structure'!$D$17/1000)+((D108-S$104)*'Rate Structure'!$D$18/1000),2)</f>
        <v>1025.3699999999999</v>
      </c>
      <c r="W108" s="4" t="s">
        <v>149</v>
      </c>
      <c r="X108" s="4" t="s">
        <v>171</v>
      </c>
    </row>
    <row r="109" spans="1:24">
      <c r="A109" s="9">
        <v>25</v>
      </c>
      <c r="B109" s="13" t="s">
        <v>105</v>
      </c>
      <c r="C109" s="9">
        <v>30000</v>
      </c>
      <c r="D109" s="9">
        <v>27932</v>
      </c>
      <c r="E109" s="14">
        <f t="shared" si="26"/>
        <v>180.16</v>
      </c>
      <c r="F109" s="35">
        <v>0</v>
      </c>
      <c r="G109" s="35">
        <f t="shared" si="22"/>
        <v>0</v>
      </c>
      <c r="H109" s="35">
        <f t="shared" si="23"/>
        <v>0</v>
      </c>
      <c r="I109" s="35">
        <v>25</v>
      </c>
      <c r="J109" s="9">
        <f t="shared" si="24"/>
        <v>698300</v>
      </c>
      <c r="K109" s="9">
        <f t="shared" si="25"/>
        <v>4504</v>
      </c>
      <c r="O109" s="17">
        <f t="shared" si="27"/>
        <v>5</v>
      </c>
      <c r="P109" s="14">
        <f>ROUND(+'Rate Structure'!$D$9,2)</f>
        <v>112.15</v>
      </c>
      <c r="Q109" s="14">
        <f>ROUND(+'Rate Structure'!$D$9+((D109-Q$104)*'Rate Structure'!$D$16/1000),2)</f>
        <v>180.16</v>
      </c>
      <c r="R109" s="14">
        <f>ROUND(+'Rate Structure'!$D$9+((R$104-Q$104)*'Rate Structure'!$D$16/1000)+((D109-R$104)*'Rate Structure'!$D$17/1000),2)</f>
        <v>243.83</v>
      </c>
      <c r="S109" s="14">
        <f>ROUND(+'Rate Structure'!$D$9+((R$104-Q$104)*'Rate Structure'!$D$16/1000)+((S$104-R$104)*'Rate Structure'!$D$17/1000)+((D109-S$104)*'Rate Structure'!$D$18/1000),2)</f>
        <v>1044.72</v>
      </c>
      <c r="W109" s="4" t="s">
        <v>150</v>
      </c>
      <c r="X109" s="22" t="s">
        <v>172</v>
      </c>
    </row>
    <row r="110" spans="1:24">
      <c r="A110" s="9">
        <v>30</v>
      </c>
      <c r="B110" s="13" t="s">
        <v>105</v>
      </c>
      <c r="C110" s="9">
        <v>40000</v>
      </c>
      <c r="D110" s="9">
        <v>34985</v>
      </c>
      <c r="E110" s="14">
        <f t="shared" si="26"/>
        <v>220.36</v>
      </c>
      <c r="F110" s="35">
        <v>0</v>
      </c>
      <c r="G110" s="35">
        <f t="shared" si="22"/>
        <v>0</v>
      </c>
      <c r="H110" s="35">
        <f t="shared" si="23"/>
        <v>0</v>
      </c>
      <c r="I110" s="35">
        <v>46</v>
      </c>
      <c r="J110" s="9">
        <f t="shared" si="24"/>
        <v>1609310</v>
      </c>
      <c r="K110" s="9">
        <f t="shared" si="25"/>
        <v>10137</v>
      </c>
      <c r="O110" s="17">
        <f t="shared" si="27"/>
        <v>6</v>
      </c>
      <c r="P110" s="14">
        <f>ROUND(+'Rate Structure'!$D$9,2)</f>
        <v>112.15</v>
      </c>
      <c r="Q110" s="14">
        <f>ROUND(+'Rate Structure'!$D$9+((D110-Q$104)*'Rate Structure'!$D$16/1000),2)</f>
        <v>220.36</v>
      </c>
      <c r="R110" s="14">
        <f>ROUND(+'Rate Structure'!$D$9+((R$104-Q$104)*'Rate Structure'!$D$16/1000)+((D110-R$104)*'Rate Structure'!$D$17/1000),2)</f>
        <v>281.42</v>
      </c>
      <c r="S110" s="14">
        <f>ROUND(+'Rate Structure'!$D$9+((R$104-Q$104)*'Rate Structure'!$D$16/1000)+((S$104-R$104)*'Rate Structure'!$D$17/1000)+((D110-S$104)*'Rate Structure'!$D$18/1000),2)</f>
        <v>1072.44</v>
      </c>
      <c r="W110" s="4" t="s">
        <v>151</v>
      </c>
      <c r="X110" s="4" t="s">
        <v>173</v>
      </c>
    </row>
    <row r="111" spans="1:24">
      <c r="A111" s="9">
        <v>40</v>
      </c>
      <c r="B111" s="13" t="s">
        <v>105</v>
      </c>
      <c r="C111" s="9">
        <v>50000</v>
      </c>
      <c r="D111" s="9">
        <v>44676</v>
      </c>
      <c r="E111" s="14">
        <f t="shared" si="26"/>
        <v>275.60000000000002</v>
      </c>
      <c r="F111" s="35">
        <v>0</v>
      </c>
      <c r="G111" s="35">
        <f t="shared" si="22"/>
        <v>0</v>
      </c>
      <c r="H111" s="35">
        <f t="shared" si="23"/>
        <v>0</v>
      </c>
      <c r="I111" s="35">
        <v>45</v>
      </c>
      <c r="J111" s="9">
        <f t="shared" si="24"/>
        <v>2010420</v>
      </c>
      <c r="K111" s="9">
        <f t="shared" si="25"/>
        <v>12402</v>
      </c>
      <c r="O111" s="17">
        <f t="shared" si="27"/>
        <v>7</v>
      </c>
      <c r="P111" s="14">
        <f>ROUND(+'Rate Structure'!$D$9,2)</f>
        <v>112.15</v>
      </c>
      <c r="Q111" s="14">
        <f>ROUND(+'Rate Structure'!$D$9+((D111-Q$104)*'Rate Structure'!$D$16/1000),2)</f>
        <v>275.60000000000002</v>
      </c>
      <c r="R111" s="14">
        <f>ROUND(+'Rate Structure'!$D$9+((R$104-Q$104)*'Rate Structure'!$D$16/1000)+((D111-R$104)*'Rate Structure'!$D$17/1000),2)</f>
        <v>333.07</v>
      </c>
      <c r="S111" s="14">
        <f>ROUND(+'Rate Structure'!$D$9+((R$104-Q$104)*'Rate Structure'!$D$16/1000)+((S$104-R$104)*'Rate Structure'!$D$17/1000)+((D111-S$104)*'Rate Structure'!$D$18/1000),2)</f>
        <v>1110.53</v>
      </c>
      <c r="W111" s="4" t="s">
        <v>152</v>
      </c>
      <c r="X111" s="4" t="s">
        <v>174</v>
      </c>
    </row>
    <row r="112" spans="1:24">
      <c r="A112" s="9">
        <v>50</v>
      </c>
      <c r="B112" s="13" t="s">
        <v>105</v>
      </c>
      <c r="C112" s="9">
        <v>75000</v>
      </c>
      <c r="D112" s="9">
        <v>62258</v>
      </c>
      <c r="E112" s="14">
        <f t="shared" si="26"/>
        <v>375.82</v>
      </c>
      <c r="F112" s="35">
        <v>0</v>
      </c>
      <c r="G112" s="35">
        <f t="shared" si="22"/>
        <v>0</v>
      </c>
      <c r="H112" s="35">
        <f t="shared" si="23"/>
        <v>0</v>
      </c>
      <c r="I112" s="35">
        <v>59</v>
      </c>
      <c r="J112" s="9">
        <f t="shared" si="24"/>
        <v>3673222</v>
      </c>
      <c r="K112" s="9">
        <f t="shared" si="25"/>
        <v>22173</v>
      </c>
      <c r="O112" s="17">
        <f t="shared" si="27"/>
        <v>8</v>
      </c>
      <c r="P112" s="14">
        <f>ROUND(+'Rate Structure'!$D$9,2)</f>
        <v>112.15</v>
      </c>
      <c r="Q112" s="14">
        <f>ROUND(+'Rate Structure'!$D$9+((D112-Q$104)*'Rate Structure'!$D$16/1000),2)</f>
        <v>375.82</v>
      </c>
      <c r="R112" s="14">
        <f>ROUND(+'Rate Structure'!$D$9+((R$104-Q$104)*'Rate Structure'!$D$16/1000)+((D112-R$104)*'Rate Structure'!$D$17/1000),2)</f>
        <v>426.79</v>
      </c>
      <c r="S112" s="14">
        <f>ROUND(+'Rate Structure'!$D$9+((R$104-Q$104)*'Rate Structure'!$D$16/1000)+((S$104-R$104)*'Rate Structure'!$D$17/1000)+((D112-S$104)*'Rate Structure'!$D$18/1000),2)</f>
        <v>1179.6199999999999</v>
      </c>
      <c r="W112" s="4" t="s">
        <v>153</v>
      </c>
      <c r="X112" s="4" t="s">
        <v>175</v>
      </c>
    </row>
    <row r="113" spans="1:24">
      <c r="A113" s="9">
        <v>75</v>
      </c>
      <c r="B113" s="13" t="s">
        <v>105</v>
      </c>
      <c r="C113" s="9">
        <v>100000</v>
      </c>
      <c r="D113" s="9">
        <v>87986</v>
      </c>
      <c r="E113" s="14">
        <f t="shared" si="26"/>
        <v>522.47</v>
      </c>
      <c r="F113" s="35">
        <v>0</v>
      </c>
      <c r="G113" s="35">
        <f t="shared" si="22"/>
        <v>0</v>
      </c>
      <c r="H113" s="35">
        <f t="shared" si="23"/>
        <v>0</v>
      </c>
      <c r="I113" s="35">
        <v>37</v>
      </c>
      <c r="J113" s="9">
        <f t="shared" si="24"/>
        <v>3255482</v>
      </c>
      <c r="K113" s="9">
        <f t="shared" si="25"/>
        <v>19331</v>
      </c>
      <c r="O113" s="17">
        <f t="shared" si="27"/>
        <v>9</v>
      </c>
      <c r="P113" s="14">
        <f>ROUND(+'Rate Structure'!$D$9,2)</f>
        <v>112.15</v>
      </c>
      <c r="Q113" s="14">
        <f>ROUND(+'Rate Structure'!$D$9+((D113-Q$104)*'Rate Structure'!$D$16/1000),2)</f>
        <v>522.47</v>
      </c>
      <c r="R113" s="14">
        <f>ROUND(+'Rate Structure'!$D$9+((R$104-Q$104)*'Rate Structure'!$D$16/1000)+((D113-R$104)*'Rate Structure'!$D$17/1000),2)</f>
        <v>563.91999999999996</v>
      </c>
      <c r="S113" s="14">
        <f>ROUND(+'Rate Structure'!$D$9+((R$104-Q$104)*'Rate Structure'!$D$16/1000)+((S$104-R$104)*'Rate Structure'!$D$17/1000)+((D113-S$104)*'Rate Structure'!$D$18/1000),2)</f>
        <v>1280.73</v>
      </c>
      <c r="W113" s="4" t="s">
        <v>45</v>
      </c>
      <c r="X113" s="4" t="s">
        <v>176</v>
      </c>
    </row>
    <row r="114" spans="1:24">
      <c r="A114" s="9">
        <v>100</v>
      </c>
      <c r="B114" s="13" t="s">
        <v>105</v>
      </c>
      <c r="C114" s="9">
        <v>150000</v>
      </c>
      <c r="D114" s="9">
        <v>115854</v>
      </c>
      <c r="E114" s="14">
        <f t="shared" si="26"/>
        <v>681.32</v>
      </c>
      <c r="F114" s="35">
        <v>0</v>
      </c>
      <c r="G114" s="35">
        <f t="shared" si="22"/>
        <v>0</v>
      </c>
      <c r="H114" s="35">
        <f t="shared" si="23"/>
        <v>0</v>
      </c>
      <c r="I114" s="35">
        <v>24</v>
      </c>
      <c r="J114" s="9">
        <f t="shared" si="24"/>
        <v>2780496</v>
      </c>
      <c r="K114" s="9">
        <f t="shared" si="25"/>
        <v>16352</v>
      </c>
      <c r="O114" s="17">
        <f t="shared" si="27"/>
        <v>10</v>
      </c>
      <c r="P114" s="14">
        <f>ROUND(+'Rate Structure'!$D$9,2)</f>
        <v>112.15</v>
      </c>
      <c r="Q114" s="14">
        <f>ROUND(+'Rate Structure'!$D$9+((D114-Q$104)*'Rate Structure'!$D$16/1000),2)</f>
        <v>681.32</v>
      </c>
      <c r="R114" s="14">
        <f>ROUND(+'Rate Structure'!$D$9+((R$104-Q$104)*'Rate Structure'!$D$16/1000)+((D114-R$104)*'Rate Structure'!$D$17/1000),2)</f>
        <v>712.45</v>
      </c>
      <c r="S114" s="14">
        <f>ROUND(+'Rate Structure'!$D$9+((R$104-Q$104)*'Rate Structure'!$D$16/1000)+((S$104-R$104)*'Rate Structure'!$D$17/1000)+((D114-S$104)*'Rate Structure'!$D$18/1000),2)</f>
        <v>1390.26</v>
      </c>
    </row>
    <row r="115" spans="1:24">
      <c r="A115" s="9">
        <v>150</v>
      </c>
      <c r="B115" s="13" t="s">
        <v>105</v>
      </c>
      <c r="C115" s="9">
        <v>200000</v>
      </c>
      <c r="D115" s="9">
        <v>169920</v>
      </c>
      <c r="E115" s="14">
        <f t="shared" si="26"/>
        <v>989.49</v>
      </c>
      <c r="F115" s="35">
        <v>0</v>
      </c>
      <c r="G115" s="35">
        <f t="shared" si="22"/>
        <v>0</v>
      </c>
      <c r="H115" s="35">
        <f t="shared" si="23"/>
        <v>0</v>
      </c>
      <c r="I115" s="35">
        <v>10</v>
      </c>
      <c r="J115" s="9">
        <f t="shared" si="24"/>
        <v>1699200</v>
      </c>
      <c r="K115" s="9">
        <f t="shared" si="25"/>
        <v>9895</v>
      </c>
      <c r="O115" s="17">
        <f t="shared" si="27"/>
        <v>11</v>
      </c>
      <c r="P115" s="14">
        <f>ROUND(+'Rate Structure'!$D$9,2)</f>
        <v>112.15</v>
      </c>
      <c r="Q115" s="14">
        <f>ROUND(+'Rate Structure'!$D$9+((D115-Q$104)*'Rate Structure'!$D$16/1000),2)</f>
        <v>989.49</v>
      </c>
      <c r="R115" s="14">
        <f>ROUND(+'Rate Structure'!$D$9+((R$104-Q$104)*'Rate Structure'!$D$16/1000)+((D115-R$104)*'Rate Structure'!$D$17/1000),2)</f>
        <v>1000.62</v>
      </c>
      <c r="S115" s="14">
        <f>ROUND(+'Rate Structure'!$D$9+((R$104-Q$104)*'Rate Structure'!$D$16/1000)+((S$104-R$104)*'Rate Structure'!$D$17/1000)+((D115-S$104)*'Rate Structure'!$D$18/1000),2)</f>
        <v>1602.74</v>
      </c>
    </row>
    <row r="116" spans="1:24">
      <c r="A116" s="9">
        <v>200</v>
      </c>
      <c r="B116" s="13" t="s">
        <v>105</v>
      </c>
      <c r="C116" s="9">
        <v>300000</v>
      </c>
      <c r="D116" s="9">
        <v>236346</v>
      </c>
      <c r="E116" s="14">
        <f t="shared" si="26"/>
        <v>1354.67</v>
      </c>
      <c r="F116" s="35">
        <v>0</v>
      </c>
      <c r="G116" s="35">
        <f t="shared" si="22"/>
        <v>0</v>
      </c>
      <c r="H116" s="35">
        <f t="shared" si="23"/>
        <v>0</v>
      </c>
      <c r="I116" s="35">
        <v>24</v>
      </c>
      <c r="J116" s="9">
        <f t="shared" si="24"/>
        <v>5672304</v>
      </c>
      <c r="K116" s="9">
        <f t="shared" si="25"/>
        <v>32512</v>
      </c>
      <c r="O116" s="17">
        <f t="shared" si="27"/>
        <v>12</v>
      </c>
      <c r="P116" s="14">
        <f>ROUND(+'Rate Structure'!$D$9,2)</f>
        <v>112.15</v>
      </c>
      <c r="Q116" s="14">
        <f>ROUND(+'Rate Structure'!$D$9+((D116-Q$104)*'Rate Structure'!$D$16/1000),2)</f>
        <v>1368.12</v>
      </c>
      <c r="R116" s="14">
        <f>ROUND(+'Rate Structure'!$D$9+((R$104-Q$104)*'Rate Structure'!$D$16/1000)+((D116-R$104)*'Rate Structure'!$D$17/1000),2)</f>
        <v>1354.67</v>
      </c>
      <c r="S116" s="14">
        <f>ROUND(+'Rate Structure'!$D$9+((R$104-Q$104)*'Rate Structure'!$D$16/1000)+((S$104-R$104)*'Rate Structure'!$D$17/1000)+((D116-S$104)*'Rate Structure'!$D$18/1000),2)</f>
        <v>1863.79</v>
      </c>
    </row>
    <row r="117" spans="1:24">
      <c r="A117" s="9">
        <v>300</v>
      </c>
      <c r="B117" s="13" t="s">
        <v>105</v>
      </c>
      <c r="C117" s="9">
        <v>400000</v>
      </c>
      <c r="D117" s="9">
        <v>368905</v>
      </c>
      <c r="E117" s="14">
        <f t="shared" si="26"/>
        <v>2061.21</v>
      </c>
      <c r="F117" s="35">
        <v>0</v>
      </c>
      <c r="G117" s="35">
        <f t="shared" si="22"/>
        <v>0</v>
      </c>
      <c r="H117" s="35">
        <f t="shared" si="23"/>
        <v>0</v>
      </c>
      <c r="I117" s="35">
        <v>2</v>
      </c>
      <c r="J117" s="9">
        <f t="shared" si="24"/>
        <v>737810</v>
      </c>
      <c r="K117" s="9">
        <f t="shared" si="25"/>
        <v>4122</v>
      </c>
      <c r="O117" s="17">
        <f t="shared" si="27"/>
        <v>13</v>
      </c>
      <c r="P117" s="14">
        <f>ROUND(+'Rate Structure'!$D$9,2)</f>
        <v>112.15</v>
      </c>
      <c r="Q117" s="14">
        <f>ROUND(+'Rate Structure'!$D$9+((D117-Q$104)*'Rate Structure'!$D$16/1000),2)</f>
        <v>2123.71</v>
      </c>
      <c r="R117" s="14">
        <f>ROUND(+'Rate Structure'!$D$9+((R$104-Q$104)*'Rate Structure'!$D$16/1000)+((D117-R$104)*'Rate Structure'!$D$17/1000),2)</f>
        <v>2061.21</v>
      </c>
      <c r="S117" s="14">
        <f>ROUND(+'Rate Structure'!$D$9+((R$104-Q$104)*'Rate Structure'!$D$16/1000)+((S$104-R$104)*'Rate Structure'!$D$17/1000)+((D117-S$104)*'Rate Structure'!$D$18/1000),2)</f>
        <v>2384.75</v>
      </c>
    </row>
    <row r="118" spans="1:24">
      <c r="A118" s="9">
        <v>400</v>
      </c>
      <c r="B118" s="13" t="s">
        <v>105</v>
      </c>
      <c r="C118" s="9">
        <v>500000</v>
      </c>
      <c r="D118" s="9">
        <v>0</v>
      </c>
      <c r="E118" s="14">
        <v>0</v>
      </c>
      <c r="F118" s="35">
        <v>0</v>
      </c>
      <c r="G118" s="35">
        <f t="shared" si="22"/>
        <v>0</v>
      </c>
      <c r="H118" s="35">
        <f t="shared" si="23"/>
        <v>0</v>
      </c>
      <c r="I118" s="35">
        <v>0</v>
      </c>
      <c r="J118" s="9">
        <f t="shared" si="24"/>
        <v>0</v>
      </c>
      <c r="K118" s="9">
        <f t="shared" si="25"/>
        <v>0</v>
      </c>
      <c r="O118" s="17">
        <f t="shared" si="27"/>
        <v>14</v>
      </c>
      <c r="P118" s="14">
        <f>ROUND(+'Rate Structure'!$D$9,2)</f>
        <v>112.15</v>
      </c>
      <c r="Q118" s="14">
        <f>ROUND(+'Rate Structure'!$D$9+((D118-Q$104)*'Rate Structure'!$D$16/1000),2)</f>
        <v>20.95</v>
      </c>
      <c r="R118" s="14">
        <f>ROUND(+'Rate Structure'!$D$9+((R$104-Q$104)*'Rate Structure'!$D$16/1000)+((D118-R$104)*'Rate Structure'!$D$17/1000),2)</f>
        <v>94.95</v>
      </c>
      <c r="S118" s="14">
        <f>ROUND(+'Rate Structure'!$D$9+((R$104-Q$104)*'Rate Structure'!$D$16/1000)+((S$104-R$104)*'Rate Structure'!$D$17/1000)+((D118-S$104)*'Rate Structure'!$D$18/1000),2)</f>
        <v>934.95</v>
      </c>
    </row>
    <row r="119" spans="1:24">
      <c r="A119" s="9">
        <v>500</v>
      </c>
      <c r="B119" s="13" t="s">
        <v>105</v>
      </c>
      <c r="C119" s="9">
        <v>750000</v>
      </c>
      <c r="D119" s="9">
        <v>683000</v>
      </c>
      <c r="E119" s="14">
        <f t="shared" si="26"/>
        <v>3619.14</v>
      </c>
      <c r="F119" s="35">
        <v>0</v>
      </c>
      <c r="G119" s="35">
        <f t="shared" si="22"/>
        <v>0</v>
      </c>
      <c r="H119" s="35">
        <f t="shared" si="23"/>
        <v>0</v>
      </c>
      <c r="I119" s="35">
        <v>1</v>
      </c>
      <c r="J119" s="9">
        <f t="shared" si="24"/>
        <v>683000</v>
      </c>
      <c r="K119" s="9">
        <f t="shared" si="25"/>
        <v>3619</v>
      </c>
      <c r="O119" s="17">
        <f t="shared" si="27"/>
        <v>15</v>
      </c>
      <c r="P119" s="14">
        <f>ROUND(+'Rate Structure'!$D$9,2)</f>
        <v>112.15</v>
      </c>
      <c r="Q119" s="14">
        <f>ROUND(+'Rate Structure'!$D$9+((D119-Q$104)*'Rate Structure'!$D$16/1000),2)</f>
        <v>3914.05</v>
      </c>
      <c r="R119" s="14">
        <f>ROUND(+'Rate Structure'!$D$9+((R$104-Q$104)*'Rate Structure'!$D$16/1000)+((D119-R$104)*'Rate Structure'!$D$17/1000),2)</f>
        <v>3735.34</v>
      </c>
      <c r="S119" s="14">
        <f>ROUND(+'Rate Structure'!$D$9+((R$104-Q$104)*'Rate Structure'!$D$16/1000)+((S$104-R$104)*'Rate Structure'!$D$17/1000)+((D119-S$104)*'Rate Structure'!$D$18/1000),2)</f>
        <v>3619.14</v>
      </c>
    </row>
    <row r="120" spans="1:24">
      <c r="A120" s="9">
        <v>750</v>
      </c>
      <c r="B120" s="13" t="s">
        <v>105</v>
      </c>
      <c r="C120" s="21" t="s">
        <v>115</v>
      </c>
      <c r="D120" s="9">
        <v>862800</v>
      </c>
      <c r="E120" s="14">
        <f t="shared" si="26"/>
        <v>4325.75</v>
      </c>
      <c r="F120" s="35">
        <v>0</v>
      </c>
      <c r="G120" s="35">
        <f t="shared" si="22"/>
        <v>0</v>
      </c>
      <c r="H120" s="35">
        <f t="shared" si="23"/>
        <v>0</v>
      </c>
      <c r="I120" s="35">
        <v>6</v>
      </c>
      <c r="J120" s="9">
        <f t="shared" si="24"/>
        <v>5176800</v>
      </c>
      <c r="K120" s="9">
        <f t="shared" si="25"/>
        <v>25955</v>
      </c>
      <c r="O120" s="17">
        <f t="shared" si="27"/>
        <v>16</v>
      </c>
      <c r="P120" s="14">
        <f>ROUND(+'Rate Structure'!$D$9,2)</f>
        <v>112.15</v>
      </c>
      <c r="Q120" s="14">
        <f>ROUND(+'Rate Structure'!$D$9+((D120-Q$104)*'Rate Structure'!$D$16/1000),2)</f>
        <v>4938.91</v>
      </c>
      <c r="R120" s="14">
        <f>ROUND(+'Rate Structure'!$D$9+((R$104-Q$104)*'Rate Structure'!$D$16/1000)+((D120-R$104)*'Rate Structure'!$D$17/1000),2)</f>
        <v>4693.67</v>
      </c>
      <c r="S120" s="14">
        <f>ROUND(+'Rate Structure'!$D$9+((R$104-Q$104)*'Rate Structure'!$D$16/1000)+((S$104-R$104)*'Rate Structure'!$D$17/1000)+((D120-S$104)*'Rate Structure'!$D$18/1000),2)</f>
        <v>4325.75</v>
      </c>
    </row>
    <row r="121" spans="1:24">
      <c r="A121" s="21" t="s">
        <v>91</v>
      </c>
      <c r="B121" s="13" t="s">
        <v>105</v>
      </c>
      <c r="C121" s="21" t="s">
        <v>116</v>
      </c>
      <c r="D121" s="9">
        <v>1217320</v>
      </c>
      <c r="E121" s="14">
        <f t="shared" si="26"/>
        <v>5719.02</v>
      </c>
      <c r="F121" s="35">
        <v>0</v>
      </c>
      <c r="G121" s="35">
        <f t="shared" si="22"/>
        <v>0</v>
      </c>
      <c r="H121" s="35">
        <f t="shared" si="23"/>
        <v>0</v>
      </c>
      <c r="I121" s="35">
        <v>5</v>
      </c>
      <c r="J121" s="9">
        <f t="shared" si="24"/>
        <v>6086600</v>
      </c>
      <c r="K121" s="9">
        <f t="shared" si="25"/>
        <v>28595</v>
      </c>
      <c r="O121" s="17">
        <f t="shared" si="27"/>
        <v>17</v>
      </c>
      <c r="P121" s="14">
        <f>ROUND(+'Rate Structure'!$D$9,2)</f>
        <v>112.15</v>
      </c>
      <c r="Q121" s="14">
        <f>ROUND(+'Rate Structure'!$D$9+((D121-Q$104)*'Rate Structure'!$D$16/1000),2)</f>
        <v>6959.67</v>
      </c>
      <c r="R121" s="14">
        <f>ROUND(+'Rate Structure'!$D$9+((R$104-Q$104)*'Rate Structure'!$D$16/1000)+((D121-R$104)*'Rate Structure'!$D$17/1000),2)</f>
        <v>6583.27</v>
      </c>
      <c r="S121" s="14">
        <f>ROUND(+'Rate Structure'!$D$9+((R$104-Q$104)*'Rate Structure'!$D$16/1000)+((S$104-R$104)*'Rate Structure'!$D$17/1000)+((D121-S$104)*'Rate Structure'!$D$18/1000),2)</f>
        <v>5719.02</v>
      </c>
    </row>
    <row r="122" spans="1:24">
      <c r="A122" s="21" t="s">
        <v>92</v>
      </c>
      <c r="B122" s="13" t="s">
        <v>105</v>
      </c>
      <c r="C122" s="21" t="s">
        <v>112</v>
      </c>
      <c r="D122" s="9">
        <v>0</v>
      </c>
      <c r="E122" s="14">
        <v>0</v>
      </c>
      <c r="F122" s="36">
        <v>0</v>
      </c>
      <c r="G122" s="36">
        <f t="shared" si="22"/>
        <v>0</v>
      </c>
      <c r="H122" s="36">
        <f t="shared" si="23"/>
        <v>0</v>
      </c>
      <c r="I122" s="36">
        <v>0</v>
      </c>
      <c r="J122" s="10">
        <f t="shared" si="24"/>
        <v>0</v>
      </c>
      <c r="K122" s="10">
        <f t="shared" si="25"/>
        <v>0</v>
      </c>
      <c r="O122" s="17">
        <f t="shared" si="27"/>
        <v>18</v>
      </c>
      <c r="P122" s="14">
        <f>ROUND(+'Rate Structure'!$D$9,2)</f>
        <v>112.15</v>
      </c>
      <c r="Q122" s="14">
        <f>ROUND(+'Rate Structure'!$D$9+((D122-Q$104)*'Rate Structure'!$D$16/1000),2)</f>
        <v>20.95</v>
      </c>
      <c r="R122" s="14">
        <f>ROUND(+'Rate Structure'!$D$9+((R$104-Q$104)*'Rate Structure'!$D$16/1000)+((D122-R$104)*'Rate Structure'!$D$17/1000),2)</f>
        <v>94.95</v>
      </c>
      <c r="S122" s="14">
        <f>ROUND(+'Rate Structure'!$D$9+((R$104-Q$104)*'Rate Structure'!$D$16/1000)+((S$104-R$104)*'Rate Structure'!$D$17/1000)+((D122-S$104)*'Rate Structure'!$D$18/1000),2)</f>
        <v>934.95</v>
      </c>
    </row>
    <row r="123" spans="1:24">
      <c r="A123" s="9"/>
      <c r="B123" s="9"/>
      <c r="C123" s="9"/>
      <c r="D123" s="9"/>
      <c r="I123" s="45" t="s">
        <v>34</v>
      </c>
      <c r="O123" s="17"/>
    </row>
    <row r="124" spans="1:24">
      <c r="A124" s="9"/>
      <c r="B124" s="9"/>
      <c r="C124" s="13" t="s">
        <v>114</v>
      </c>
      <c r="D124" s="9"/>
      <c r="F124" s="35">
        <f t="shared" ref="F124:K124" si="28">SUM(F105:F122)</f>
        <v>0</v>
      </c>
      <c r="G124" s="35">
        <f t="shared" si="28"/>
        <v>0</v>
      </c>
      <c r="H124" s="34">
        <f t="shared" si="28"/>
        <v>0</v>
      </c>
      <c r="I124" s="35">
        <f t="shared" si="28"/>
        <v>406</v>
      </c>
      <c r="J124" s="9">
        <f t="shared" si="28"/>
        <v>34717512</v>
      </c>
      <c r="K124" s="8">
        <f t="shared" si="28"/>
        <v>203862</v>
      </c>
      <c r="O124" s="17"/>
    </row>
    <row r="125" spans="1:24">
      <c r="B125" s="9"/>
      <c r="C125" s="9"/>
      <c r="D125" s="9"/>
      <c r="I125" s="35"/>
      <c r="O125" s="17"/>
    </row>
    <row r="126" spans="1:24">
      <c r="A126" s="10" t="s">
        <v>93</v>
      </c>
      <c r="B126" s="9"/>
      <c r="C126" s="9"/>
      <c r="D126" s="9"/>
      <c r="I126" s="35"/>
      <c r="O126" s="17"/>
    </row>
    <row r="127" spans="1:24">
      <c r="D127" s="33"/>
      <c r="F127" s="38" t="s">
        <v>57</v>
      </c>
      <c r="G127" s="37"/>
      <c r="H127" s="38"/>
      <c r="I127" s="38" t="s">
        <v>59</v>
      </c>
      <c r="J127" s="20"/>
      <c r="K127" s="2"/>
      <c r="O127" s="17"/>
    </row>
    <row r="128" spans="1:24">
      <c r="D128" s="33"/>
      <c r="E128" s="5" t="s">
        <v>122</v>
      </c>
      <c r="O128" s="17"/>
      <c r="P128" s="16" t="s">
        <v>135</v>
      </c>
    </row>
    <row r="129" spans="1:19">
      <c r="A129" s="7" t="s">
        <v>87</v>
      </c>
      <c r="B129" s="7"/>
      <c r="C129" s="7"/>
      <c r="D129" s="39" t="s">
        <v>122</v>
      </c>
      <c r="E129" s="6" t="s">
        <v>125</v>
      </c>
      <c r="F129" s="39" t="s">
        <v>126</v>
      </c>
      <c r="G129" s="39" t="s">
        <v>127</v>
      </c>
      <c r="H129" s="39" t="s">
        <v>128</v>
      </c>
      <c r="I129" s="39" t="s">
        <v>126</v>
      </c>
      <c r="J129" s="6" t="s">
        <v>127</v>
      </c>
      <c r="K129" s="6" t="s">
        <v>128</v>
      </c>
      <c r="O129" s="17"/>
      <c r="P129" s="18">
        <v>0</v>
      </c>
      <c r="Q129" s="18">
        <v>30000</v>
      </c>
      <c r="R129" s="18">
        <v>200000</v>
      </c>
      <c r="S129" s="18">
        <v>600000</v>
      </c>
    </row>
    <row r="130" spans="1:19">
      <c r="A130" s="9">
        <v>0</v>
      </c>
      <c r="B130" s="13" t="s">
        <v>105</v>
      </c>
      <c r="C130" s="9">
        <v>30000</v>
      </c>
      <c r="D130" s="35">
        <v>0</v>
      </c>
      <c r="E130" s="14">
        <v>0</v>
      </c>
      <c r="F130" s="33">
        <v>0</v>
      </c>
      <c r="G130" s="35">
        <f t="shared" ref="G130:G143" si="29">D130*F130</f>
        <v>0</v>
      </c>
      <c r="H130" s="35">
        <f t="shared" ref="H130:H143" si="30">ROUND(+F130*$E130,0)</f>
        <v>0</v>
      </c>
      <c r="I130" s="35">
        <v>0</v>
      </c>
      <c r="J130" s="9">
        <f t="shared" ref="J130:J143" si="31">D130*I130</f>
        <v>0</v>
      </c>
      <c r="K130" s="9">
        <f t="shared" ref="K130:K143" si="32">ROUND(+I130*$E130,0)</f>
        <v>0</v>
      </c>
      <c r="O130" s="17">
        <v>1</v>
      </c>
      <c r="P130" s="14">
        <f>ROUND(+'Rate Structure'!$D$10,2)</f>
        <v>221.59</v>
      </c>
      <c r="Q130" s="14">
        <f>ROUND(+'Rate Structure'!$D$10+((D130-Q$129)*'Rate Structure'!$D$16/1000),2)</f>
        <v>50.59</v>
      </c>
      <c r="R130" s="14">
        <f>ROUND(+'Rate Structure'!$D$10+((R$129-Q$129)*'Rate Structure'!$D$16/1000)+((D130-R$129)*'Rate Structure'!$D$17/1000),2)</f>
        <v>124.59</v>
      </c>
      <c r="S130" s="14">
        <f>ROUND(+'Rate Structure'!$D$10+((R$129-Q$129)*'Rate Structure'!$D$16/1000)+((S$129-R$129)*'Rate Structure'!$D$17/1000)+((D130-S$129)*'Rate Structure'!$D$18/1000),2)</f>
        <v>964.59</v>
      </c>
    </row>
    <row r="131" spans="1:19">
      <c r="A131" s="9">
        <v>30</v>
      </c>
      <c r="B131" s="13" t="s">
        <v>105</v>
      </c>
      <c r="C131" s="9">
        <v>40000</v>
      </c>
      <c r="D131" s="35">
        <v>0</v>
      </c>
      <c r="E131" s="14">
        <v>0</v>
      </c>
      <c r="F131" s="33">
        <v>0</v>
      </c>
      <c r="G131" s="35">
        <f t="shared" si="29"/>
        <v>0</v>
      </c>
      <c r="H131" s="35">
        <f t="shared" si="30"/>
        <v>0</v>
      </c>
      <c r="I131" s="35">
        <v>0</v>
      </c>
      <c r="J131" s="9">
        <f t="shared" si="31"/>
        <v>0</v>
      </c>
      <c r="K131" s="9">
        <f t="shared" si="32"/>
        <v>0</v>
      </c>
      <c r="O131" s="17">
        <f t="shared" ref="O131:O143" si="33">O130+1</f>
        <v>2</v>
      </c>
      <c r="P131" s="14">
        <f>ROUND(+'Rate Structure'!$D$10,2)</f>
        <v>221.59</v>
      </c>
      <c r="Q131" s="14">
        <f>ROUND(+'Rate Structure'!$D$10+((D131-Q$129)*'Rate Structure'!$D$16/1000),2)</f>
        <v>50.59</v>
      </c>
      <c r="R131" s="14">
        <f>ROUND(+'Rate Structure'!$D$10+((R$129-Q$129)*'Rate Structure'!$D$16/1000)+((D131-R$129)*'Rate Structure'!$D$17/1000),2)</f>
        <v>124.59</v>
      </c>
      <c r="S131" s="14">
        <f>ROUND(+'Rate Structure'!$D$10+((R$129-Q$129)*'Rate Structure'!$D$16/1000)+((S$129-R$129)*'Rate Structure'!$D$17/1000)+((D131-S$129)*'Rate Structure'!$D$18/1000),2)</f>
        <v>964.59</v>
      </c>
    </row>
    <row r="132" spans="1:19">
      <c r="A132" s="9">
        <v>40</v>
      </c>
      <c r="B132" s="13" t="s">
        <v>105</v>
      </c>
      <c r="C132" s="9">
        <v>50000</v>
      </c>
      <c r="D132" s="9">
        <v>0</v>
      </c>
      <c r="E132" s="14">
        <v>0</v>
      </c>
      <c r="F132" s="33">
        <v>0</v>
      </c>
      <c r="G132" s="35">
        <f t="shared" si="29"/>
        <v>0</v>
      </c>
      <c r="H132" s="35">
        <f t="shared" si="30"/>
        <v>0</v>
      </c>
      <c r="I132" s="35">
        <v>0</v>
      </c>
      <c r="J132" s="9">
        <f t="shared" si="31"/>
        <v>0</v>
      </c>
      <c r="K132" s="9">
        <f t="shared" si="32"/>
        <v>0</v>
      </c>
      <c r="O132" s="17">
        <f t="shared" si="33"/>
        <v>3</v>
      </c>
      <c r="P132" s="14">
        <f>ROUND(+'Rate Structure'!$D$10,2)</f>
        <v>221.59</v>
      </c>
      <c r="Q132" s="14">
        <f>ROUND(+'Rate Structure'!$D$10+((D132-Q$129)*'Rate Structure'!$D$16/1000),2)</f>
        <v>50.59</v>
      </c>
      <c r="R132" s="14">
        <f>ROUND(+'Rate Structure'!$D$10+((R$129-Q$129)*'Rate Structure'!$D$16/1000)+((D132-R$129)*'Rate Structure'!$D$17/1000),2)</f>
        <v>124.59</v>
      </c>
      <c r="S132" s="14">
        <f>ROUND(+'Rate Structure'!$D$10+((R$129-Q$129)*'Rate Structure'!$D$16/1000)+((S$129-R$129)*'Rate Structure'!$D$17/1000)+((D132-S$129)*'Rate Structure'!$D$18/1000),2)</f>
        <v>964.59</v>
      </c>
    </row>
    <row r="133" spans="1:19">
      <c r="A133" s="9">
        <v>50</v>
      </c>
      <c r="B133" s="13" t="s">
        <v>105</v>
      </c>
      <c r="C133" s="9">
        <v>75000</v>
      </c>
      <c r="D133" s="9">
        <v>0</v>
      </c>
      <c r="E133" s="14">
        <v>0</v>
      </c>
      <c r="F133" s="33">
        <v>0</v>
      </c>
      <c r="G133" s="35">
        <f t="shared" si="29"/>
        <v>0</v>
      </c>
      <c r="H133" s="35">
        <f t="shared" si="30"/>
        <v>0</v>
      </c>
      <c r="I133" s="35">
        <v>0</v>
      </c>
      <c r="J133" s="9">
        <f t="shared" si="31"/>
        <v>0</v>
      </c>
      <c r="K133" s="9">
        <f t="shared" si="32"/>
        <v>0</v>
      </c>
      <c r="O133" s="17">
        <f t="shared" si="33"/>
        <v>4</v>
      </c>
      <c r="P133" s="14">
        <f>ROUND(+'Rate Structure'!$D$10,2)</f>
        <v>221.59</v>
      </c>
      <c r="Q133" s="14">
        <f>ROUND(+'Rate Structure'!$D$10+((D133-Q$129)*'Rate Structure'!$D$16/1000),2)</f>
        <v>50.59</v>
      </c>
      <c r="R133" s="14">
        <f>ROUND(+'Rate Structure'!$D$10+((R$129-Q$129)*'Rate Structure'!$D$16/1000)+((D133-R$129)*'Rate Structure'!$D$17/1000),2)</f>
        <v>124.59</v>
      </c>
      <c r="S133" s="14">
        <f>ROUND(+'Rate Structure'!$D$10+((R$129-Q$129)*'Rate Structure'!$D$16/1000)+((S$129-R$129)*'Rate Structure'!$D$17/1000)+((D133-S$129)*'Rate Structure'!$D$18/1000),2)</f>
        <v>964.59</v>
      </c>
    </row>
    <row r="134" spans="1:19">
      <c r="A134" s="9">
        <v>75</v>
      </c>
      <c r="B134" s="13" t="s">
        <v>105</v>
      </c>
      <c r="C134" s="9">
        <v>100000</v>
      </c>
      <c r="D134" s="9">
        <v>90000</v>
      </c>
      <c r="E134" s="14">
        <f>HLOOKUP(D134,$P$129:$S$139,(O134)+1)</f>
        <v>563.59</v>
      </c>
      <c r="F134" s="33">
        <v>0</v>
      </c>
      <c r="G134" s="35">
        <f t="shared" si="29"/>
        <v>0</v>
      </c>
      <c r="H134" s="35">
        <f t="shared" si="30"/>
        <v>0</v>
      </c>
      <c r="I134" s="35">
        <v>2</v>
      </c>
      <c r="J134" s="9">
        <f t="shared" si="31"/>
        <v>180000</v>
      </c>
      <c r="K134" s="9">
        <f t="shared" si="32"/>
        <v>1127</v>
      </c>
      <c r="O134" s="17">
        <f t="shared" si="33"/>
        <v>5</v>
      </c>
      <c r="P134" s="14">
        <f>ROUND(+'Rate Structure'!$D$10,2)</f>
        <v>221.59</v>
      </c>
      <c r="Q134" s="14">
        <f>ROUND(+'Rate Structure'!$D$10+((D134-Q$129)*'Rate Structure'!$D$16/1000),2)</f>
        <v>563.59</v>
      </c>
      <c r="R134" s="14">
        <f>ROUND(+'Rate Structure'!$D$10+((R$129-Q$129)*'Rate Structure'!$D$16/1000)+((D134-R$129)*'Rate Structure'!$D$17/1000),2)</f>
        <v>604.29</v>
      </c>
      <c r="S134" s="14">
        <f>ROUND(+'Rate Structure'!$D$10+((R$129-Q$129)*'Rate Structure'!$D$16/1000)+((S$129-R$129)*'Rate Structure'!$D$17/1000)+((D134-S$129)*'Rate Structure'!$D$18/1000),2)</f>
        <v>1318.29</v>
      </c>
    </row>
    <row r="135" spans="1:19">
      <c r="A135" s="9">
        <v>100</v>
      </c>
      <c r="B135" s="13" t="s">
        <v>105</v>
      </c>
      <c r="C135" s="9">
        <v>150000</v>
      </c>
      <c r="D135" s="9">
        <v>119100</v>
      </c>
      <c r="E135" s="14">
        <f t="shared" ref="E135:E138" si="34">HLOOKUP(D135,$P$129:$S$139,(O135)+1)</f>
        <v>729.46</v>
      </c>
      <c r="F135" s="33">
        <v>0</v>
      </c>
      <c r="G135" s="35">
        <f t="shared" si="29"/>
        <v>0</v>
      </c>
      <c r="H135" s="35">
        <f t="shared" si="30"/>
        <v>0</v>
      </c>
      <c r="I135" s="35">
        <v>5</v>
      </c>
      <c r="J135" s="9">
        <f t="shared" si="31"/>
        <v>595500</v>
      </c>
      <c r="K135" s="9">
        <f t="shared" si="32"/>
        <v>3647</v>
      </c>
      <c r="O135" s="17">
        <f t="shared" si="33"/>
        <v>6</v>
      </c>
      <c r="P135" s="14">
        <f>ROUND(+'Rate Structure'!$D$10,2)</f>
        <v>221.59</v>
      </c>
      <c r="Q135" s="14">
        <f>ROUND(+'Rate Structure'!$D$10+((D135-Q$129)*'Rate Structure'!$D$16/1000),2)</f>
        <v>729.46</v>
      </c>
      <c r="R135" s="14">
        <f>ROUND(+'Rate Structure'!$D$10+((R$129-Q$129)*'Rate Structure'!$D$16/1000)+((D135-R$129)*'Rate Structure'!$D$17/1000),2)</f>
        <v>759.39</v>
      </c>
      <c r="S135" s="14">
        <f>ROUND(+'Rate Structure'!$D$10+((R$129-Q$129)*'Rate Structure'!$D$16/1000)+((S$129-R$129)*'Rate Structure'!$D$17/1000)+((D135-S$129)*'Rate Structure'!$D$18/1000),2)</f>
        <v>1432.65</v>
      </c>
    </row>
    <row r="136" spans="1:19">
      <c r="A136" s="9">
        <v>150</v>
      </c>
      <c r="B136" s="13" t="s">
        <v>105</v>
      </c>
      <c r="C136" s="9">
        <v>200000</v>
      </c>
      <c r="D136" s="9">
        <v>166900</v>
      </c>
      <c r="E136" s="14">
        <f t="shared" si="34"/>
        <v>1001.92</v>
      </c>
      <c r="F136" s="33">
        <v>0</v>
      </c>
      <c r="G136" s="35">
        <f t="shared" si="29"/>
        <v>0</v>
      </c>
      <c r="H136" s="35">
        <f t="shared" si="30"/>
        <v>0</v>
      </c>
      <c r="I136" s="35">
        <v>5</v>
      </c>
      <c r="J136" s="9">
        <f t="shared" si="31"/>
        <v>834500</v>
      </c>
      <c r="K136" s="9">
        <f t="shared" si="32"/>
        <v>5010</v>
      </c>
      <c r="O136" s="17">
        <f t="shared" si="33"/>
        <v>7</v>
      </c>
      <c r="P136" s="14">
        <f>ROUND(+'Rate Structure'!$D$10,2)</f>
        <v>221.59</v>
      </c>
      <c r="Q136" s="14">
        <f>ROUND(+'Rate Structure'!$D$10+((D136-Q$129)*'Rate Structure'!$D$16/1000),2)</f>
        <v>1001.92</v>
      </c>
      <c r="R136" s="14">
        <f>ROUND(+'Rate Structure'!$D$10+((R$129-Q$129)*'Rate Structure'!$D$16/1000)+((D136-R$129)*'Rate Structure'!$D$17/1000),2)</f>
        <v>1014.17</v>
      </c>
      <c r="S136" s="14">
        <f>ROUND(+'Rate Structure'!$D$10+((R$129-Q$129)*'Rate Structure'!$D$16/1000)+((S$129-R$129)*'Rate Structure'!$D$17/1000)+((D136-S$129)*'Rate Structure'!$D$18/1000),2)</f>
        <v>1620.51</v>
      </c>
    </row>
    <row r="137" spans="1:19">
      <c r="A137" s="9">
        <v>200</v>
      </c>
      <c r="B137" s="13" t="s">
        <v>105</v>
      </c>
      <c r="C137" s="9">
        <v>300000</v>
      </c>
      <c r="D137" s="9">
        <v>0</v>
      </c>
      <c r="E137" s="14">
        <v>0</v>
      </c>
      <c r="F137" s="33">
        <v>0</v>
      </c>
      <c r="G137" s="35">
        <f t="shared" si="29"/>
        <v>0</v>
      </c>
      <c r="H137" s="35">
        <f t="shared" si="30"/>
        <v>0</v>
      </c>
      <c r="I137" s="35">
        <v>0</v>
      </c>
      <c r="J137" s="9">
        <f t="shared" si="31"/>
        <v>0</v>
      </c>
      <c r="K137" s="9">
        <f t="shared" si="32"/>
        <v>0</v>
      </c>
      <c r="O137" s="17">
        <f t="shared" si="33"/>
        <v>8</v>
      </c>
      <c r="P137" s="14">
        <f>ROUND(+'Rate Structure'!$D$10,2)</f>
        <v>221.59</v>
      </c>
      <c r="Q137" s="14">
        <f>ROUND(+'Rate Structure'!$D$10+((D137-Q$129)*'Rate Structure'!$D$16/1000),2)</f>
        <v>50.59</v>
      </c>
      <c r="R137" s="14">
        <f>ROUND(+'Rate Structure'!$D$10+((R$129-Q$129)*'Rate Structure'!$D$16/1000)+((D137-R$129)*'Rate Structure'!$D$17/1000),2)</f>
        <v>124.59</v>
      </c>
      <c r="S137" s="14">
        <f>ROUND(+'Rate Structure'!$D$10+((R$129-Q$129)*'Rate Structure'!$D$16/1000)+((S$129-R$129)*'Rate Structure'!$D$17/1000)+((D137-S$129)*'Rate Structure'!$D$18/1000),2)</f>
        <v>964.59</v>
      </c>
    </row>
    <row r="138" spans="1:19">
      <c r="A138" s="9">
        <v>300</v>
      </c>
      <c r="B138" s="13" t="s">
        <v>105</v>
      </c>
      <c r="C138" s="9">
        <v>400000</v>
      </c>
      <c r="D138" s="9">
        <v>394200</v>
      </c>
      <c r="E138" s="14">
        <f t="shared" si="34"/>
        <v>2225.6799999999998</v>
      </c>
      <c r="F138" s="33">
        <v>0</v>
      </c>
      <c r="G138" s="35">
        <f t="shared" si="29"/>
        <v>0</v>
      </c>
      <c r="H138" s="35">
        <f t="shared" si="30"/>
        <v>0</v>
      </c>
      <c r="I138" s="35">
        <v>1</v>
      </c>
      <c r="J138" s="9">
        <f t="shared" si="31"/>
        <v>394200</v>
      </c>
      <c r="K138" s="9">
        <f t="shared" si="32"/>
        <v>2226</v>
      </c>
      <c r="O138" s="17">
        <f t="shared" si="33"/>
        <v>9</v>
      </c>
      <c r="P138" s="14">
        <f>ROUND(+'Rate Structure'!$D$10,2)</f>
        <v>221.59</v>
      </c>
      <c r="Q138" s="14">
        <f>ROUND(+'Rate Structure'!$D$10+((D138-Q$129)*'Rate Structure'!$D$16/1000),2)</f>
        <v>2297.5300000000002</v>
      </c>
      <c r="R138" s="14">
        <f>ROUND(+'Rate Structure'!$D$10+((R$129-Q$129)*'Rate Structure'!$D$16/1000)+((D138-R$129)*'Rate Structure'!$D$17/1000),2)</f>
        <v>2225.6799999999998</v>
      </c>
      <c r="S138" s="14">
        <f>ROUND(+'Rate Structure'!$D$10+((R$129-Q$129)*'Rate Structure'!$D$16/1000)+((S$129-R$129)*'Rate Structure'!$D$17/1000)+((D138-S$129)*'Rate Structure'!$D$18/1000),2)</f>
        <v>2513.8000000000002</v>
      </c>
    </row>
    <row r="139" spans="1:19">
      <c r="A139" s="9">
        <v>400</v>
      </c>
      <c r="B139" s="13" t="s">
        <v>105</v>
      </c>
      <c r="C139" s="9">
        <v>500000</v>
      </c>
      <c r="D139" s="9">
        <v>450344</v>
      </c>
      <c r="E139" s="14">
        <f>HLOOKUP(D139,$P$129:$S$139,(O139)+1)</f>
        <v>2524.92</v>
      </c>
      <c r="F139" s="33">
        <v>0</v>
      </c>
      <c r="G139" s="35">
        <f t="shared" si="29"/>
        <v>0</v>
      </c>
      <c r="H139" s="35">
        <f t="shared" si="30"/>
        <v>0</v>
      </c>
      <c r="I139" s="35">
        <v>9</v>
      </c>
      <c r="J139" s="9">
        <f t="shared" si="31"/>
        <v>4053096</v>
      </c>
      <c r="K139" s="9">
        <f t="shared" si="32"/>
        <v>22724</v>
      </c>
      <c r="O139" s="17">
        <f t="shared" si="33"/>
        <v>10</v>
      </c>
      <c r="P139" s="14">
        <f>ROUND(+'Rate Structure'!$D$10,2)</f>
        <v>221.59</v>
      </c>
      <c r="Q139" s="14">
        <f>ROUND(+'Rate Structure'!$D$10+((D139-Q$129)*'Rate Structure'!$D$16/1000),2)</f>
        <v>2617.5500000000002</v>
      </c>
      <c r="R139" s="14">
        <f>ROUND(+'Rate Structure'!$D$10+((R$129-Q$129)*'Rate Structure'!$D$16/1000)+((D139-R$129)*'Rate Structure'!$D$17/1000),2)</f>
        <v>2524.92</v>
      </c>
      <c r="S139" s="14">
        <f>ROUND(+'Rate Structure'!$D$10+((R$129-Q$129)*'Rate Structure'!$D$16/1000)+((S$129-R$129)*'Rate Structure'!$D$17/1000)+((D139-S$129)*'Rate Structure'!$D$18/1000),2)</f>
        <v>2734.44</v>
      </c>
    </row>
    <row r="140" spans="1:19">
      <c r="A140" s="9">
        <v>500</v>
      </c>
      <c r="B140" s="13" t="s">
        <v>105</v>
      </c>
      <c r="C140" s="9">
        <v>750000</v>
      </c>
      <c r="D140" s="9">
        <v>554950</v>
      </c>
      <c r="E140" s="14">
        <f>HLOOKUP(D140,$P$129:$S$140,(O140)+1)</f>
        <v>3082.47</v>
      </c>
      <c r="F140" s="33">
        <v>0</v>
      </c>
      <c r="G140" s="35">
        <f t="shared" si="29"/>
        <v>0</v>
      </c>
      <c r="H140" s="35">
        <f t="shared" si="30"/>
        <v>0</v>
      </c>
      <c r="I140" s="35">
        <v>2</v>
      </c>
      <c r="J140" s="9">
        <f t="shared" si="31"/>
        <v>1109900</v>
      </c>
      <c r="K140" s="9">
        <f t="shared" si="32"/>
        <v>6165</v>
      </c>
      <c r="O140" s="17">
        <f t="shared" si="33"/>
        <v>11</v>
      </c>
      <c r="P140" s="14">
        <f>ROUND(+'Rate Structure'!$D$10,2)</f>
        <v>221.59</v>
      </c>
      <c r="Q140" s="14">
        <f>ROUND(+'Rate Structure'!$D$10+((D140-Q$129)*'Rate Structure'!$D$16/1000),2)</f>
        <v>3213.81</v>
      </c>
      <c r="R140" s="14">
        <f>ROUND(+'Rate Structure'!$D$10+((R$129-Q$129)*'Rate Structure'!$D$16/1000)+((D140-R$129)*'Rate Structure'!$D$17/1000),2)</f>
        <v>3082.47</v>
      </c>
      <c r="S140" s="14">
        <f>ROUND(+'Rate Structure'!$D$10+((R$129-Q$129)*'Rate Structure'!$D$16/1000)+((S$129-R$129)*'Rate Structure'!$D$17/1000)+((D140-S$129)*'Rate Structure'!$D$18/1000),2)</f>
        <v>3145.54</v>
      </c>
    </row>
    <row r="141" spans="1:19">
      <c r="A141" s="9">
        <v>750</v>
      </c>
      <c r="B141" s="13" t="s">
        <v>105</v>
      </c>
      <c r="C141" s="21" t="s">
        <v>115</v>
      </c>
      <c r="D141" s="9">
        <v>0</v>
      </c>
      <c r="E141" s="14">
        <v>0</v>
      </c>
      <c r="F141" s="33">
        <v>0</v>
      </c>
      <c r="G141" s="35">
        <f t="shared" si="29"/>
        <v>0</v>
      </c>
      <c r="H141" s="35">
        <f t="shared" si="30"/>
        <v>0</v>
      </c>
      <c r="I141" s="35">
        <v>0</v>
      </c>
      <c r="J141" s="9">
        <f t="shared" si="31"/>
        <v>0</v>
      </c>
      <c r="K141" s="9">
        <f t="shared" si="32"/>
        <v>0</v>
      </c>
      <c r="O141" s="17">
        <f t="shared" si="33"/>
        <v>12</v>
      </c>
      <c r="P141" s="14">
        <f>ROUND(+'Rate Structure'!$D$10,2)</f>
        <v>221.59</v>
      </c>
      <c r="Q141" s="14">
        <f>ROUND(+'Rate Structure'!$D$10+((D141-Q$129)*'Rate Structure'!$D$16/1000),2)</f>
        <v>50.59</v>
      </c>
      <c r="R141" s="14">
        <f>ROUND(+'Rate Structure'!$D$10+((R$129-Q$129)*'Rate Structure'!$D$16/1000)+((D141-R$129)*'Rate Structure'!$D$17/1000),2)</f>
        <v>124.59</v>
      </c>
      <c r="S141" s="14">
        <f>ROUND(+'Rate Structure'!$D$10+((R$129-Q$129)*'Rate Structure'!$D$16/1000)+((S$129-R$129)*'Rate Structure'!$D$17/1000)+((D141-S$129)*'Rate Structure'!$D$18/1000),2)</f>
        <v>964.59</v>
      </c>
    </row>
    <row r="142" spans="1:19">
      <c r="A142" s="21" t="s">
        <v>91</v>
      </c>
      <c r="B142" s="13" t="s">
        <v>105</v>
      </c>
      <c r="C142" s="21" t="s">
        <v>116</v>
      </c>
      <c r="D142" s="9">
        <v>0</v>
      </c>
      <c r="E142" s="14">
        <v>0</v>
      </c>
      <c r="F142" s="33">
        <v>0</v>
      </c>
      <c r="G142" s="35">
        <f t="shared" si="29"/>
        <v>0</v>
      </c>
      <c r="H142" s="35">
        <f t="shared" si="30"/>
        <v>0</v>
      </c>
      <c r="I142" s="35">
        <v>0</v>
      </c>
      <c r="J142" s="9">
        <f t="shared" si="31"/>
        <v>0</v>
      </c>
      <c r="K142" s="9">
        <f t="shared" si="32"/>
        <v>0</v>
      </c>
      <c r="O142" s="17">
        <f t="shared" si="33"/>
        <v>13</v>
      </c>
      <c r="P142" s="14">
        <f>ROUND(+'Rate Structure'!$D$10,2)</f>
        <v>221.59</v>
      </c>
      <c r="Q142" s="14">
        <f>ROUND(+'Rate Structure'!$D$10+((D142-Q$129)*'Rate Structure'!$D$16/1000),2)</f>
        <v>50.59</v>
      </c>
      <c r="R142" s="14">
        <f>ROUND(+'Rate Structure'!$D$10+((R$129-Q$129)*'Rate Structure'!$D$16/1000)+((D142-R$129)*'Rate Structure'!$D$17/1000),2)</f>
        <v>124.59</v>
      </c>
      <c r="S142" s="14">
        <f>ROUND(+'Rate Structure'!$D$10+((R$129-Q$129)*'Rate Structure'!$D$16/1000)+((S$129-R$129)*'Rate Structure'!$D$17/1000)+((D142-S$129)*'Rate Structure'!$D$18/1000),2)</f>
        <v>964.59</v>
      </c>
    </row>
    <row r="143" spans="1:19">
      <c r="A143" s="21" t="s">
        <v>92</v>
      </c>
      <c r="B143" s="13" t="s">
        <v>105</v>
      </c>
      <c r="C143" s="21" t="s">
        <v>112</v>
      </c>
      <c r="D143" s="9">
        <v>0</v>
      </c>
      <c r="E143" s="14">
        <v>0</v>
      </c>
      <c r="F143" s="41">
        <v>0</v>
      </c>
      <c r="G143" s="36">
        <f t="shared" si="29"/>
        <v>0</v>
      </c>
      <c r="H143" s="36">
        <f t="shared" si="30"/>
        <v>0</v>
      </c>
      <c r="I143" s="36">
        <v>0</v>
      </c>
      <c r="J143" s="10">
        <f t="shared" si="31"/>
        <v>0</v>
      </c>
      <c r="K143" s="10">
        <f t="shared" si="32"/>
        <v>0</v>
      </c>
      <c r="O143" s="17">
        <f t="shared" si="33"/>
        <v>14</v>
      </c>
      <c r="P143" s="14">
        <f>ROUND(+'Rate Structure'!$D$10,2)</f>
        <v>221.59</v>
      </c>
      <c r="Q143" s="14">
        <f>ROUND(+'Rate Structure'!$D$10+((D143-Q$129)*'Rate Structure'!$D$16/1000),2)</f>
        <v>50.59</v>
      </c>
      <c r="R143" s="14">
        <f>ROUND(+'Rate Structure'!$D$10+((R$129-Q$129)*'Rate Structure'!$D$16/1000)+((D143-R$129)*'Rate Structure'!$D$17/1000),2)</f>
        <v>124.59</v>
      </c>
      <c r="S143" s="14">
        <f>ROUND(+'Rate Structure'!$D$10+((R$129-Q$129)*'Rate Structure'!$D$16/1000)+((S$129-R$129)*'Rate Structure'!$D$17/1000)+((D143-S$129)*'Rate Structure'!$D$18/1000),2)</f>
        <v>964.59</v>
      </c>
    </row>
    <row r="144" spans="1:19">
      <c r="A144" s="9"/>
      <c r="B144" s="9"/>
      <c r="C144" s="9"/>
      <c r="D144" s="9"/>
      <c r="I144" s="35"/>
      <c r="O144" s="17"/>
    </row>
    <row r="145" spans="1:24">
      <c r="A145" s="9"/>
      <c r="B145" s="9"/>
      <c r="C145" s="13" t="s">
        <v>114</v>
      </c>
      <c r="D145" s="9"/>
      <c r="F145" s="35">
        <f t="shared" ref="F145:K145" si="35">SUM(F130:F143)</f>
        <v>0</v>
      </c>
      <c r="G145" s="35">
        <f t="shared" si="35"/>
        <v>0</v>
      </c>
      <c r="H145" s="34">
        <f t="shared" si="35"/>
        <v>0</v>
      </c>
      <c r="I145" s="35">
        <f t="shared" si="35"/>
        <v>24</v>
      </c>
      <c r="J145" s="9">
        <f t="shared" si="35"/>
        <v>7167196</v>
      </c>
      <c r="K145" s="8">
        <f t="shared" si="35"/>
        <v>40899</v>
      </c>
      <c r="O145" s="17"/>
    </row>
    <row r="146" spans="1:24">
      <c r="A146" s="9"/>
      <c r="B146" s="9"/>
      <c r="C146" s="9"/>
      <c r="D146" s="9"/>
      <c r="E146" s="3"/>
      <c r="F146" s="35"/>
      <c r="G146" s="35"/>
      <c r="H146" s="34"/>
      <c r="I146" s="35"/>
      <c r="J146" s="9"/>
      <c r="K146" s="8"/>
      <c r="L146" s="3"/>
      <c r="M146" s="3"/>
      <c r="N146" s="3"/>
      <c r="O146" s="17"/>
      <c r="P146" s="3"/>
      <c r="Q146" s="3"/>
      <c r="R146" s="3"/>
      <c r="S146" s="3"/>
      <c r="T146" s="3"/>
      <c r="U146" s="3"/>
      <c r="V146" s="3"/>
      <c r="W146" s="3"/>
      <c r="X146" s="3"/>
    </row>
    <row r="147" spans="1:24">
      <c r="A147" s="10" t="s">
        <v>94</v>
      </c>
      <c r="B147" s="9"/>
      <c r="C147" s="9"/>
      <c r="D147" s="9"/>
      <c r="I147" s="35"/>
      <c r="O147" s="17"/>
    </row>
    <row r="148" spans="1:24">
      <c r="F148" s="38" t="s">
        <v>57</v>
      </c>
      <c r="G148" s="37"/>
      <c r="H148" s="38"/>
      <c r="I148" s="38" t="s">
        <v>59</v>
      </c>
      <c r="J148" s="20"/>
      <c r="K148" s="2"/>
      <c r="O148" s="17"/>
    </row>
    <row r="149" spans="1:24">
      <c r="D149" s="33"/>
      <c r="E149" s="42" t="s">
        <v>122</v>
      </c>
      <c r="O149" s="17"/>
      <c r="P149" s="16" t="s">
        <v>136</v>
      </c>
    </row>
    <row r="150" spans="1:24">
      <c r="A150" s="7" t="s">
        <v>87</v>
      </c>
      <c r="B150" s="7"/>
      <c r="C150" s="7"/>
      <c r="D150" s="39" t="s">
        <v>122</v>
      </c>
      <c r="E150" s="39" t="s">
        <v>125</v>
      </c>
      <c r="F150" s="39" t="s">
        <v>126</v>
      </c>
      <c r="G150" s="39" t="s">
        <v>127</v>
      </c>
      <c r="H150" s="39" t="s">
        <v>128</v>
      </c>
      <c r="I150" s="39" t="s">
        <v>126</v>
      </c>
      <c r="J150" s="6" t="s">
        <v>127</v>
      </c>
      <c r="K150" s="6" t="s">
        <v>128</v>
      </c>
      <c r="O150" s="17"/>
      <c r="P150" s="18">
        <v>0</v>
      </c>
      <c r="Q150" s="18">
        <v>50000</v>
      </c>
      <c r="R150" s="18">
        <v>200000</v>
      </c>
      <c r="S150" s="18">
        <v>600000</v>
      </c>
    </row>
    <row r="151" spans="1:24">
      <c r="A151" s="9">
        <v>0</v>
      </c>
      <c r="B151" s="13" t="s">
        <v>105</v>
      </c>
      <c r="C151" s="9">
        <v>50000</v>
      </c>
      <c r="D151" s="35">
        <v>9096</v>
      </c>
      <c r="E151" s="43">
        <f t="shared" ref="E151:E162" si="36">HLOOKUP(D151,$P$150:$S$162,(O151)+1)</f>
        <v>342.1</v>
      </c>
      <c r="F151" s="33">
        <v>0</v>
      </c>
      <c r="G151" s="35">
        <f t="shared" ref="G151:G162" si="37">D151*F151</f>
        <v>0</v>
      </c>
      <c r="H151" s="35">
        <f t="shared" ref="H151:H162" si="38">ROUND(+F151*$E151,0)</f>
        <v>0</v>
      </c>
      <c r="I151" s="35">
        <v>125</v>
      </c>
      <c r="J151" s="9">
        <f t="shared" ref="J151:J162" si="39">D151*I151</f>
        <v>1137000</v>
      </c>
      <c r="K151" s="9">
        <f t="shared" ref="K151:K162" si="40">ROUND(+I151*$E151,0)</f>
        <v>42763</v>
      </c>
      <c r="O151" s="17">
        <v>1</v>
      </c>
      <c r="P151" s="14">
        <f>ROUND(+'Rate Structure'!$D$11,2)</f>
        <v>342.1</v>
      </c>
      <c r="Q151" s="14">
        <f>ROUND(+'Rate Structure'!$D$11+((D151-Q$150)*'Rate Structure'!$D$16/1000),2)</f>
        <v>108.95</v>
      </c>
      <c r="R151" s="14">
        <f>ROUND(+'Rate Structure'!$D$11+((R$150-Q$150)*'Rate Structure'!$D$16/1000)+((D151-R$150)*'Rate Structure'!$D$17/1000),2)</f>
        <v>179.58</v>
      </c>
      <c r="S151" s="14">
        <f>ROUND(+'Rate Structure'!$D$11+((R$150-Q$150)*'Rate Structure'!$D$16/1000)+((S$150-R$150)*'Rate Structure'!$D$17/1000)+((D151-S$150)*'Rate Structure'!$D$18/1000),2)</f>
        <v>1006.85</v>
      </c>
    </row>
    <row r="152" spans="1:24">
      <c r="A152" s="9">
        <v>50</v>
      </c>
      <c r="B152" s="13" t="s">
        <v>105</v>
      </c>
      <c r="C152" s="9">
        <v>75000</v>
      </c>
      <c r="D152" s="35">
        <v>59009</v>
      </c>
      <c r="E152" s="43">
        <f t="shared" si="36"/>
        <v>393.45</v>
      </c>
      <c r="F152" s="33">
        <v>0</v>
      </c>
      <c r="G152" s="35">
        <f t="shared" si="37"/>
        <v>0</v>
      </c>
      <c r="H152" s="35">
        <f t="shared" si="38"/>
        <v>0</v>
      </c>
      <c r="I152" s="35">
        <v>11</v>
      </c>
      <c r="J152" s="9">
        <f t="shared" si="39"/>
        <v>649099</v>
      </c>
      <c r="K152" s="9">
        <f t="shared" si="40"/>
        <v>4328</v>
      </c>
      <c r="O152" s="17">
        <f>O151+1</f>
        <v>2</v>
      </c>
      <c r="P152" s="14">
        <f>ROUND(+'Rate Structure'!$D$11,2)</f>
        <v>342.1</v>
      </c>
      <c r="Q152" s="14">
        <f>ROUND(+'Rate Structure'!$D$11+((D152-Q$150)*'Rate Structure'!$D$16/1000),2)</f>
        <v>393.45</v>
      </c>
      <c r="R152" s="14">
        <f>ROUND(+'Rate Structure'!$D$11+((R$150-Q$150)*'Rate Structure'!$D$16/1000)+((D152-R$150)*'Rate Structure'!$D$17/1000),2)</f>
        <v>445.62</v>
      </c>
      <c r="S152" s="14">
        <f>ROUND(+'Rate Structure'!$D$11+((R$150-Q$150)*'Rate Structure'!$D$16/1000)+((S$150-R$150)*'Rate Structure'!$D$17/1000)+((D152-S$150)*'Rate Structure'!$D$18/1000),2)</f>
        <v>1203.01</v>
      </c>
    </row>
    <row r="153" spans="1:24">
      <c r="A153" s="9">
        <v>75</v>
      </c>
      <c r="B153" s="13" t="s">
        <v>105</v>
      </c>
      <c r="C153" s="9">
        <v>100000</v>
      </c>
      <c r="D153" s="35">
        <v>89071</v>
      </c>
      <c r="E153" s="43">
        <f t="shared" si="36"/>
        <v>564.79999999999995</v>
      </c>
      <c r="F153" s="33">
        <v>0</v>
      </c>
      <c r="G153" s="35">
        <f t="shared" si="37"/>
        <v>0</v>
      </c>
      <c r="H153" s="35">
        <f t="shared" si="38"/>
        <v>0</v>
      </c>
      <c r="I153" s="35">
        <v>7</v>
      </c>
      <c r="J153" s="9">
        <f t="shared" si="39"/>
        <v>623497</v>
      </c>
      <c r="K153" s="9">
        <f t="shared" si="40"/>
        <v>3954</v>
      </c>
      <c r="O153" s="17">
        <f t="shared" ref="O153:O162" si="41">O152+1</f>
        <v>3</v>
      </c>
      <c r="P153" s="14">
        <f>ROUND(+'Rate Structure'!$D$11,2)</f>
        <v>342.1</v>
      </c>
      <c r="Q153" s="14">
        <f>ROUND(+'Rate Structure'!$D$11+((D153-Q$150)*'Rate Structure'!$D$16/1000),2)</f>
        <v>564.79999999999995</v>
      </c>
      <c r="R153" s="14">
        <f>ROUND(+'Rate Structure'!$D$11+((R$150-Q$150)*'Rate Structure'!$D$16/1000)+((D153-R$150)*'Rate Structure'!$D$17/1000),2)</f>
        <v>605.85</v>
      </c>
      <c r="S153" s="14">
        <f>ROUND(+'Rate Structure'!$D$11+((R$150-Q$150)*'Rate Structure'!$D$16/1000)+((S$150-R$150)*'Rate Structure'!$D$17/1000)+((D153-S$150)*'Rate Structure'!$D$18/1000),2)</f>
        <v>1321.15</v>
      </c>
    </row>
    <row r="154" spans="1:24">
      <c r="A154" s="9">
        <v>100</v>
      </c>
      <c r="B154" s="13" t="s">
        <v>105</v>
      </c>
      <c r="C154" s="9">
        <v>150000</v>
      </c>
      <c r="D154" s="35">
        <v>136225</v>
      </c>
      <c r="E154" s="43">
        <f t="shared" si="36"/>
        <v>833.58</v>
      </c>
      <c r="F154" s="33">
        <v>0</v>
      </c>
      <c r="G154" s="35">
        <f t="shared" si="37"/>
        <v>0</v>
      </c>
      <c r="H154" s="35">
        <f t="shared" si="38"/>
        <v>0</v>
      </c>
      <c r="I154" s="35">
        <v>4</v>
      </c>
      <c r="J154" s="9">
        <f t="shared" si="39"/>
        <v>544900</v>
      </c>
      <c r="K154" s="9">
        <f t="shared" si="40"/>
        <v>3334</v>
      </c>
      <c r="O154" s="17">
        <f t="shared" si="41"/>
        <v>4</v>
      </c>
      <c r="P154" s="14">
        <f>ROUND(+'Rate Structure'!$D$11,2)</f>
        <v>342.1</v>
      </c>
      <c r="Q154" s="14">
        <f>ROUND(+'Rate Structure'!$D$11+((D154-Q$150)*'Rate Structure'!$D$16/1000),2)</f>
        <v>833.58</v>
      </c>
      <c r="R154" s="14">
        <f>ROUND(+'Rate Structure'!$D$11+((R$150-Q$150)*'Rate Structure'!$D$16/1000)+((D154-R$150)*'Rate Structure'!$D$17/1000),2)</f>
        <v>857.18</v>
      </c>
      <c r="S154" s="14">
        <f>ROUND(+'Rate Structure'!$D$11+((R$150-Q$150)*'Rate Structure'!$D$16/1000)+((S$150-R$150)*'Rate Structure'!$D$17/1000)+((D154-S$150)*'Rate Structure'!$D$18/1000),2)</f>
        <v>1506.46</v>
      </c>
    </row>
    <row r="155" spans="1:24">
      <c r="A155" s="9">
        <v>150</v>
      </c>
      <c r="B155" s="13" t="s">
        <v>105</v>
      </c>
      <c r="C155" s="9">
        <v>200000</v>
      </c>
      <c r="D155" s="35">
        <v>172100</v>
      </c>
      <c r="E155" s="43">
        <f t="shared" si="36"/>
        <v>1038.07</v>
      </c>
      <c r="F155" s="33">
        <v>0</v>
      </c>
      <c r="G155" s="35">
        <f t="shared" si="37"/>
        <v>0</v>
      </c>
      <c r="H155" s="35">
        <f t="shared" si="38"/>
        <v>0</v>
      </c>
      <c r="I155" s="35">
        <v>10</v>
      </c>
      <c r="J155" s="9">
        <f t="shared" si="39"/>
        <v>1721000</v>
      </c>
      <c r="K155" s="9">
        <f t="shared" si="40"/>
        <v>10381</v>
      </c>
      <c r="O155" s="17">
        <f t="shared" si="41"/>
        <v>5</v>
      </c>
      <c r="P155" s="14">
        <f>ROUND(+'Rate Structure'!$D$11,2)</f>
        <v>342.1</v>
      </c>
      <c r="Q155" s="14">
        <f>ROUND(+'Rate Structure'!$D$11+((D155-Q$150)*'Rate Structure'!$D$16/1000),2)</f>
        <v>1038.07</v>
      </c>
      <c r="R155" s="14">
        <f>ROUND(+'Rate Structure'!$D$11+((R$150-Q$150)*'Rate Structure'!$D$16/1000)+((D155-R$150)*'Rate Structure'!$D$17/1000),2)</f>
        <v>1048.3900000000001</v>
      </c>
      <c r="S155" s="14">
        <f>ROUND(+'Rate Structure'!$D$11+((R$150-Q$150)*'Rate Structure'!$D$16/1000)+((S$150-R$150)*'Rate Structure'!$D$17/1000)+((D155-S$150)*'Rate Structure'!$D$18/1000),2)</f>
        <v>1647.45</v>
      </c>
    </row>
    <row r="156" spans="1:24">
      <c r="A156" s="9">
        <v>200</v>
      </c>
      <c r="B156" s="13" t="s">
        <v>105</v>
      </c>
      <c r="C156" s="9">
        <v>300000</v>
      </c>
      <c r="D156" s="35">
        <v>243649</v>
      </c>
      <c r="E156" s="43">
        <f t="shared" si="36"/>
        <v>1429.75</v>
      </c>
      <c r="F156" s="33">
        <v>0</v>
      </c>
      <c r="G156" s="35">
        <f t="shared" si="37"/>
        <v>0</v>
      </c>
      <c r="H156" s="35">
        <f t="shared" si="38"/>
        <v>0</v>
      </c>
      <c r="I156" s="35">
        <v>14</v>
      </c>
      <c r="J156" s="9">
        <f t="shared" si="39"/>
        <v>3411086</v>
      </c>
      <c r="K156" s="9">
        <f t="shared" si="40"/>
        <v>20017</v>
      </c>
      <c r="O156" s="17">
        <f t="shared" si="41"/>
        <v>6</v>
      </c>
      <c r="P156" s="14">
        <f>ROUND(+'Rate Structure'!$D$11,2)</f>
        <v>342.1</v>
      </c>
      <c r="Q156" s="14">
        <f>ROUND(+'Rate Structure'!$D$11+((D156-Q$150)*'Rate Structure'!$D$16/1000),2)</f>
        <v>1445.9</v>
      </c>
      <c r="R156" s="14">
        <f>ROUND(+'Rate Structure'!$D$11+((R$150-Q$150)*'Rate Structure'!$D$16/1000)+((D156-R$150)*'Rate Structure'!$D$17/1000),2)</f>
        <v>1429.75</v>
      </c>
      <c r="S156" s="14">
        <f>ROUND(+'Rate Structure'!$D$11+((R$150-Q$150)*'Rate Structure'!$D$16/1000)+((S$150-R$150)*'Rate Structure'!$D$17/1000)+((D156-S$150)*'Rate Structure'!$D$18/1000),2)</f>
        <v>1928.64</v>
      </c>
    </row>
    <row r="157" spans="1:24">
      <c r="A157" s="9">
        <v>300</v>
      </c>
      <c r="B157" s="13" t="s">
        <v>105</v>
      </c>
      <c r="C157" s="9">
        <v>400000</v>
      </c>
      <c r="D157" s="35">
        <v>356980</v>
      </c>
      <c r="E157" s="43">
        <f t="shared" si="36"/>
        <v>2033.8</v>
      </c>
      <c r="F157" s="33">
        <v>0</v>
      </c>
      <c r="G157" s="35">
        <f t="shared" si="37"/>
        <v>0</v>
      </c>
      <c r="H157" s="35">
        <f t="shared" si="38"/>
        <v>0</v>
      </c>
      <c r="I157" s="35">
        <v>6</v>
      </c>
      <c r="J157" s="9">
        <f t="shared" si="39"/>
        <v>2141880</v>
      </c>
      <c r="K157" s="9">
        <f t="shared" si="40"/>
        <v>12203</v>
      </c>
      <c r="O157" s="17">
        <f t="shared" si="41"/>
        <v>7</v>
      </c>
      <c r="P157" s="14">
        <f>ROUND(+'Rate Structure'!$D$11,2)</f>
        <v>342.1</v>
      </c>
      <c r="Q157" s="14">
        <f>ROUND(+'Rate Structure'!$D$11+((D157-Q$150)*'Rate Structure'!$D$16/1000),2)</f>
        <v>2091.89</v>
      </c>
      <c r="R157" s="14">
        <f>ROUND(+'Rate Structure'!$D$11+((R$150-Q$150)*'Rate Structure'!$D$16/1000)+((D157-R$150)*'Rate Structure'!$D$17/1000),2)</f>
        <v>2033.8</v>
      </c>
      <c r="S157" s="14">
        <f>ROUND(+'Rate Structure'!$D$11+((R$150-Q$150)*'Rate Structure'!$D$16/1000)+((S$150-R$150)*'Rate Structure'!$D$17/1000)+((D157-S$150)*'Rate Structure'!$D$18/1000),2)</f>
        <v>2374.0300000000002</v>
      </c>
    </row>
    <row r="158" spans="1:24">
      <c r="A158" s="9">
        <v>400</v>
      </c>
      <c r="B158" s="13" t="s">
        <v>105</v>
      </c>
      <c r="C158" s="9">
        <v>500000</v>
      </c>
      <c r="D158" s="35">
        <v>455562</v>
      </c>
      <c r="E158" s="43">
        <f t="shared" si="36"/>
        <v>2559.25</v>
      </c>
      <c r="F158" s="33">
        <v>0</v>
      </c>
      <c r="G158" s="35">
        <f t="shared" si="37"/>
        <v>0</v>
      </c>
      <c r="H158" s="35">
        <f t="shared" si="38"/>
        <v>0</v>
      </c>
      <c r="I158" s="35">
        <v>9</v>
      </c>
      <c r="J158" s="9">
        <f t="shared" si="39"/>
        <v>4100058</v>
      </c>
      <c r="K158" s="9">
        <f t="shared" si="40"/>
        <v>23033</v>
      </c>
      <c r="O158" s="17">
        <f t="shared" si="41"/>
        <v>8</v>
      </c>
      <c r="P158" s="14">
        <f>ROUND(+'Rate Structure'!$D$11,2)</f>
        <v>342.1</v>
      </c>
      <c r="Q158" s="14">
        <f>ROUND(+'Rate Structure'!$D$11+((D158-Q$150)*'Rate Structure'!$D$16/1000),2)</f>
        <v>2653.8</v>
      </c>
      <c r="R158" s="14">
        <f>ROUND(+'Rate Structure'!$D$11+((R$150-Q$150)*'Rate Structure'!$D$16/1000)+((D158-R$150)*'Rate Structure'!$D$17/1000),2)</f>
        <v>2559.25</v>
      </c>
      <c r="S158" s="14">
        <f>ROUND(+'Rate Structure'!$D$11+((R$150-Q$150)*'Rate Structure'!$D$16/1000)+((S$150-R$150)*'Rate Structure'!$D$17/1000)+((D158-S$150)*'Rate Structure'!$D$18/1000),2)</f>
        <v>2761.46</v>
      </c>
    </row>
    <row r="159" spans="1:24">
      <c r="A159" s="9">
        <v>500</v>
      </c>
      <c r="B159" s="13" t="s">
        <v>105</v>
      </c>
      <c r="C159" s="9">
        <v>750000</v>
      </c>
      <c r="D159" s="35">
        <v>546649</v>
      </c>
      <c r="E159" s="43">
        <f t="shared" si="36"/>
        <v>3044.74</v>
      </c>
      <c r="F159" s="33">
        <v>0</v>
      </c>
      <c r="G159" s="35">
        <f t="shared" si="37"/>
        <v>0</v>
      </c>
      <c r="H159" s="35">
        <f t="shared" si="38"/>
        <v>0</v>
      </c>
      <c r="I159" s="35">
        <v>7</v>
      </c>
      <c r="J159" s="9">
        <f t="shared" si="39"/>
        <v>3826543</v>
      </c>
      <c r="K159" s="9">
        <f t="shared" si="40"/>
        <v>21313</v>
      </c>
      <c r="O159" s="17">
        <f t="shared" si="41"/>
        <v>9</v>
      </c>
      <c r="P159" s="14">
        <f>ROUND(+'Rate Structure'!$D$11,2)</f>
        <v>342.1</v>
      </c>
      <c r="Q159" s="14">
        <f>ROUND(+'Rate Structure'!$D$11+((D159-Q$150)*'Rate Structure'!$D$16/1000),2)</f>
        <v>3173</v>
      </c>
      <c r="R159" s="14">
        <f>ROUND(+'Rate Structure'!$D$11+((R$150-Q$150)*'Rate Structure'!$D$16/1000)+((D159-R$150)*'Rate Structure'!$D$17/1000),2)</f>
        <v>3044.74</v>
      </c>
      <c r="S159" s="14">
        <f>ROUND(+'Rate Structure'!$D$11+((R$150-Q$150)*'Rate Structure'!$D$16/1000)+((S$150-R$150)*'Rate Structure'!$D$17/1000)+((D159-S$150)*'Rate Structure'!$D$18/1000),2)</f>
        <v>3119.43</v>
      </c>
    </row>
    <row r="160" spans="1:24">
      <c r="A160" s="9">
        <v>750</v>
      </c>
      <c r="B160" s="13" t="s">
        <v>105</v>
      </c>
      <c r="C160" s="21" t="s">
        <v>115</v>
      </c>
      <c r="D160" s="35">
        <v>787200</v>
      </c>
      <c r="E160" s="43">
        <f t="shared" si="36"/>
        <v>4064.8</v>
      </c>
      <c r="F160" s="33">
        <v>0</v>
      </c>
      <c r="G160" s="35">
        <f t="shared" si="37"/>
        <v>0</v>
      </c>
      <c r="H160" s="35">
        <f t="shared" si="38"/>
        <v>0</v>
      </c>
      <c r="I160" s="35">
        <v>2</v>
      </c>
      <c r="J160" s="35">
        <f t="shared" si="39"/>
        <v>1574400</v>
      </c>
      <c r="K160" s="9">
        <f t="shared" si="40"/>
        <v>8130</v>
      </c>
      <c r="O160" s="17">
        <f t="shared" si="41"/>
        <v>10</v>
      </c>
      <c r="P160" s="14">
        <f>ROUND(+'Rate Structure'!$D$11,2)</f>
        <v>342.1</v>
      </c>
      <c r="Q160" s="14">
        <f>ROUND(+'Rate Structure'!$D$11+((D160-Q$150)*'Rate Structure'!$D$16/1000),2)</f>
        <v>4544.1400000000003</v>
      </c>
      <c r="R160" s="14">
        <f>ROUND(+'Rate Structure'!$D$11+((R$150-Q$150)*'Rate Structure'!$D$16/1000)+((D160-R$150)*'Rate Structure'!$D$17/1000),2)</f>
        <v>4326.88</v>
      </c>
      <c r="S160" s="14">
        <f>ROUND(+'Rate Structure'!$D$11+((R$150-Q$150)*'Rate Structure'!$D$16/1000)+((S$150-R$150)*'Rate Structure'!$D$17/1000)+((D160-S$150)*'Rate Structure'!$D$18/1000),2)</f>
        <v>4064.8</v>
      </c>
    </row>
    <row r="161" spans="1:19">
      <c r="A161" s="21" t="s">
        <v>91</v>
      </c>
      <c r="B161" s="13" t="s">
        <v>105</v>
      </c>
      <c r="C161" s="21" t="s">
        <v>116</v>
      </c>
      <c r="D161" s="35">
        <v>1475000</v>
      </c>
      <c r="E161" s="43">
        <f t="shared" si="36"/>
        <v>6767.85</v>
      </c>
      <c r="F161" s="33">
        <v>0</v>
      </c>
      <c r="G161" s="35">
        <f t="shared" si="37"/>
        <v>0</v>
      </c>
      <c r="H161" s="35">
        <f t="shared" si="38"/>
        <v>0</v>
      </c>
      <c r="I161" s="35">
        <v>1</v>
      </c>
      <c r="J161" s="35">
        <f t="shared" si="39"/>
        <v>1475000</v>
      </c>
      <c r="K161" s="9">
        <f t="shared" si="40"/>
        <v>6768</v>
      </c>
      <c r="O161" s="17">
        <f t="shared" si="41"/>
        <v>11</v>
      </c>
      <c r="P161" s="14">
        <f>ROUND(+'Rate Structure'!$D$11,2)</f>
        <v>342.1</v>
      </c>
      <c r="Q161" s="14">
        <f>ROUND(+'Rate Structure'!$D$11+((D161-Q$150)*'Rate Structure'!$D$16/1000),2)</f>
        <v>8464.6</v>
      </c>
      <c r="R161" s="14">
        <f>ROUND(+'Rate Structure'!$D$11+((R$150-Q$150)*'Rate Structure'!$D$16/1000)+((D161-R$150)*'Rate Structure'!$D$17/1000),2)</f>
        <v>7992.85</v>
      </c>
      <c r="S161" s="14">
        <f>ROUND(+'Rate Structure'!$D$11+((R$150-Q$150)*'Rate Structure'!$D$16/1000)+((S$150-R$150)*'Rate Structure'!$D$17/1000)+((D161-S$150)*'Rate Structure'!$D$18/1000),2)</f>
        <v>6767.85</v>
      </c>
    </row>
    <row r="162" spans="1:19">
      <c r="A162" s="21" t="s">
        <v>92</v>
      </c>
      <c r="B162" s="13" t="s">
        <v>105</v>
      </c>
      <c r="C162" s="21" t="s">
        <v>112</v>
      </c>
      <c r="D162" s="35">
        <v>2063500</v>
      </c>
      <c r="E162" s="43">
        <f t="shared" si="36"/>
        <v>9080.66</v>
      </c>
      <c r="F162" s="41">
        <v>0</v>
      </c>
      <c r="G162" s="36">
        <f t="shared" si="37"/>
        <v>0</v>
      </c>
      <c r="H162" s="36">
        <f t="shared" si="38"/>
        <v>0</v>
      </c>
      <c r="I162" s="36">
        <v>2</v>
      </c>
      <c r="J162" s="36">
        <f t="shared" si="39"/>
        <v>4127000</v>
      </c>
      <c r="K162" s="10">
        <f t="shared" si="40"/>
        <v>18161</v>
      </c>
      <c r="O162" s="17">
        <f t="shared" si="41"/>
        <v>12</v>
      </c>
      <c r="P162" s="14">
        <f>ROUND(+'Rate Structure'!$D$11,2)</f>
        <v>342.1</v>
      </c>
      <c r="Q162" s="14">
        <f>ROUND(+'Rate Structure'!$D$11+((D162-Q$150)*'Rate Structure'!$D$16/1000),2)</f>
        <v>11819.05</v>
      </c>
      <c r="R162" s="14">
        <f>ROUND(+'Rate Structure'!$D$11+((R$150-Q$150)*'Rate Structure'!$D$16/1000)+((D162-R$150)*'Rate Structure'!$D$17/1000),2)</f>
        <v>11129.56</v>
      </c>
      <c r="S162" s="14">
        <f>ROUND(+'Rate Structure'!$D$11+((R$150-Q$150)*'Rate Structure'!$D$16/1000)+((S$150-R$150)*'Rate Structure'!$D$17/1000)+((D162-S$150)*'Rate Structure'!$D$18/1000),2)</f>
        <v>9080.66</v>
      </c>
    </row>
    <row r="163" spans="1:19">
      <c r="A163" s="9"/>
      <c r="B163" s="9"/>
      <c r="C163" s="9"/>
      <c r="D163" s="35"/>
      <c r="E163" s="33"/>
      <c r="I163" s="35"/>
      <c r="J163" s="33"/>
      <c r="O163" s="17"/>
    </row>
    <row r="164" spans="1:19">
      <c r="A164" s="9"/>
      <c r="B164" s="9"/>
      <c r="C164" s="13" t="s">
        <v>114</v>
      </c>
      <c r="D164" s="35"/>
      <c r="E164" s="33"/>
      <c r="F164" s="35">
        <f t="shared" ref="F164:K164" si="42">SUM(F151:F162)</f>
        <v>0</v>
      </c>
      <c r="G164" s="35">
        <f t="shared" si="42"/>
        <v>0</v>
      </c>
      <c r="H164" s="34">
        <f t="shared" si="42"/>
        <v>0</v>
      </c>
      <c r="I164" s="35">
        <f t="shared" si="42"/>
        <v>198</v>
      </c>
      <c r="J164" s="35">
        <f t="shared" si="42"/>
        <v>25331463</v>
      </c>
      <c r="K164" s="8">
        <f t="shared" si="42"/>
        <v>174385</v>
      </c>
      <c r="O164" s="17"/>
    </row>
    <row r="165" spans="1:19">
      <c r="B165" s="9"/>
      <c r="C165" s="9"/>
      <c r="D165" s="35"/>
      <c r="E165" s="33"/>
      <c r="I165" s="35"/>
      <c r="J165" s="33"/>
      <c r="O165" s="17"/>
    </row>
    <row r="166" spans="1:19">
      <c r="A166" s="10" t="s">
        <v>95</v>
      </c>
      <c r="B166" s="9"/>
      <c r="C166" s="9"/>
      <c r="D166" s="35"/>
      <c r="E166" s="33"/>
      <c r="I166" s="35"/>
      <c r="J166" s="33"/>
      <c r="O166" s="17"/>
    </row>
    <row r="167" spans="1:19">
      <c r="D167" s="33"/>
      <c r="E167" s="33"/>
      <c r="F167" s="38" t="s">
        <v>57</v>
      </c>
      <c r="G167" s="37"/>
      <c r="H167" s="38"/>
      <c r="I167" s="38" t="s">
        <v>59</v>
      </c>
      <c r="J167" s="38"/>
      <c r="K167" s="2"/>
      <c r="O167" s="17"/>
    </row>
    <row r="168" spans="1:19">
      <c r="D168" s="33"/>
      <c r="E168" s="42" t="s">
        <v>122</v>
      </c>
      <c r="J168" s="33"/>
      <c r="O168" s="17"/>
      <c r="P168" s="16" t="s">
        <v>137</v>
      </c>
    </row>
    <row r="169" spans="1:19">
      <c r="A169" s="7" t="s">
        <v>87</v>
      </c>
      <c r="B169" s="7"/>
      <c r="C169" s="7"/>
      <c r="D169" s="39" t="s">
        <v>122</v>
      </c>
      <c r="E169" s="39" t="s">
        <v>125</v>
      </c>
      <c r="F169" s="39" t="s">
        <v>126</v>
      </c>
      <c r="G169" s="39" t="s">
        <v>127</v>
      </c>
      <c r="H169" s="39" t="s">
        <v>128</v>
      </c>
      <c r="I169" s="39" t="s">
        <v>126</v>
      </c>
      <c r="J169" s="39" t="s">
        <v>127</v>
      </c>
      <c r="K169" s="6" t="s">
        <v>128</v>
      </c>
      <c r="O169" s="17"/>
      <c r="P169" s="18">
        <v>0</v>
      </c>
      <c r="Q169" s="18">
        <v>100000</v>
      </c>
      <c r="R169" s="18">
        <v>200000</v>
      </c>
      <c r="S169" s="18">
        <v>600000</v>
      </c>
    </row>
    <row r="170" spans="1:19">
      <c r="A170" s="9">
        <v>0</v>
      </c>
      <c r="B170" s="13" t="s">
        <v>105</v>
      </c>
      <c r="C170" s="9">
        <v>100000</v>
      </c>
      <c r="D170" s="35">
        <v>11566</v>
      </c>
      <c r="E170" s="43">
        <f t="shared" ref="E170:E180" si="43">HLOOKUP(D170,$P$169:$S$184,(O170)+1)</f>
        <v>642.30999999999995</v>
      </c>
      <c r="F170" s="35">
        <v>0</v>
      </c>
      <c r="G170" s="35">
        <f t="shared" ref="G170:G184" si="44">D170*F170</f>
        <v>0</v>
      </c>
      <c r="H170" s="35">
        <f t="shared" ref="H170:H184" si="45">ROUND(+F170*$E170,0)</f>
        <v>0</v>
      </c>
      <c r="I170" s="35">
        <f>93-5</f>
        <v>88</v>
      </c>
      <c r="J170" s="35">
        <f t="shared" ref="J170:J184" si="46">D170*I170</f>
        <v>1017808</v>
      </c>
      <c r="K170" s="9">
        <f t="shared" ref="K170:K184" si="47">ROUND(+I170*$E170,0)</f>
        <v>56523</v>
      </c>
      <c r="O170" s="17">
        <v>1</v>
      </c>
      <c r="P170" s="14">
        <f>ROUND(+'Rate Structure'!$D$12,2)</f>
        <v>642.30999999999995</v>
      </c>
      <c r="Q170" s="14">
        <f>ROUND(+'Rate Structure'!$D$12+((D170-Q$169)*'Rate Structure'!$D$16/1000),2)</f>
        <v>138.24</v>
      </c>
      <c r="R170" s="14">
        <f>ROUND(+'Rate Structure'!$D$12+((R$169-Q$169)*'Rate Structure'!$D$16/1000)+((D170-R$169)*'Rate Structure'!$D$17/1000),2)</f>
        <v>207.96</v>
      </c>
      <c r="S170" s="14">
        <f>ROUND(+'Rate Structure'!$D$12+((R$169-Q$169)*'Rate Structure'!$D$16/1000)+((S$169-R$169)*'Rate Structure'!$D$17/1000)+((D170-S$169)*'Rate Structure'!$D$18/1000),2)</f>
        <v>1031.76</v>
      </c>
    </row>
    <row r="171" spans="1:19">
      <c r="A171" s="9">
        <v>100</v>
      </c>
      <c r="B171" s="13" t="s">
        <v>105</v>
      </c>
      <c r="C171" s="9">
        <v>150000</v>
      </c>
      <c r="D171" s="35">
        <v>131257</v>
      </c>
      <c r="E171" s="43">
        <f t="shared" si="43"/>
        <v>820.47</v>
      </c>
      <c r="F171" s="35">
        <v>0</v>
      </c>
      <c r="G171" s="35">
        <f t="shared" si="44"/>
        <v>0</v>
      </c>
      <c r="H171" s="35">
        <f t="shared" si="45"/>
        <v>0</v>
      </c>
      <c r="I171" s="35">
        <v>7</v>
      </c>
      <c r="J171" s="35">
        <f t="shared" si="46"/>
        <v>918799</v>
      </c>
      <c r="K171" s="9">
        <f t="shared" si="47"/>
        <v>5743</v>
      </c>
      <c r="O171" s="17">
        <f>O170+1</f>
        <v>2</v>
      </c>
      <c r="P171" s="14">
        <f>ROUND(+'Rate Structure'!$D$12,2)</f>
        <v>642.30999999999995</v>
      </c>
      <c r="Q171" s="14">
        <f>ROUND(+'Rate Structure'!$D$12+((D171-Q$169)*'Rate Structure'!$D$16/1000),2)</f>
        <v>820.47</v>
      </c>
      <c r="R171" s="14">
        <f>ROUND(+'Rate Structure'!$D$12+((R$169-Q$169)*'Rate Structure'!$D$16/1000)+((D171-R$169)*'Rate Structure'!$D$17/1000),2)</f>
        <v>845.91</v>
      </c>
      <c r="S171" s="14">
        <f>ROUND(+'Rate Structure'!$D$12+((R$169-Q$169)*'Rate Structure'!$D$16/1000)+((S$169-R$169)*'Rate Structure'!$D$17/1000)+((D171-S$169)*'Rate Structure'!$D$18/1000),2)</f>
        <v>1502.15</v>
      </c>
    </row>
    <row r="172" spans="1:19">
      <c r="A172" s="9">
        <v>150</v>
      </c>
      <c r="B172" s="13" t="s">
        <v>105</v>
      </c>
      <c r="C172" s="9">
        <v>200000</v>
      </c>
      <c r="D172" s="35">
        <v>160720</v>
      </c>
      <c r="E172" s="43">
        <f t="shared" si="43"/>
        <v>988.41</v>
      </c>
      <c r="F172" s="35">
        <v>0</v>
      </c>
      <c r="G172" s="35">
        <f t="shared" si="44"/>
        <v>0</v>
      </c>
      <c r="H172" s="35">
        <f t="shared" si="45"/>
        <v>0</v>
      </c>
      <c r="I172" s="35">
        <v>10</v>
      </c>
      <c r="J172" s="35">
        <f t="shared" si="46"/>
        <v>1607200</v>
      </c>
      <c r="K172" s="9">
        <f t="shared" si="47"/>
        <v>9884</v>
      </c>
      <c r="O172" s="17">
        <f t="shared" ref="O172:O184" si="48">O171+1</f>
        <v>3</v>
      </c>
      <c r="P172" s="14">
        <f>ROUND(+'Rate Structure'!$D$12,2)</f>
        <v>642.30999999999995</v>
      </c>
      <c r="Q172" s="14">
        <f>ROUND(+'Rate Structure'!$D$12+((D172-Q$169)*'Rate Structure'!$D$16/1000),2)</f>
        <v>988.41</v>
      </c>
      <c r="R172" s="14">
        <f>ROUND(+'Rate Structure'!$D$12+((R$169-Q$169)*'Rate Structure'!$D$16/1000)+((D172-R$169)*'Rate Structure'!$D$17/1000),2)</f>
        <v>1002.95</v>
      </c>
      <c r="S172" s="14">
        <f>ROUND(+'Rate Structure'!$D$12+((R$169-Q$169)*'Rate Structure'!$D$16/1000)+((S$169-R$169)*'Rate Structure'!$D$17/1000)+((D172-S$169)*'Rate Structure'!$D$18/1000),2)</f>
        <v>1617.94</v>
      </c>
    </row>
    <row r="173" spans="1:19">
      <c r="A173" s="9">
        <v>200</v>
      </c>
      <c r="B173" s="13" t="s">
        <v>105</v>
      </c>
      <c r="C173" s="9">
        <v>300000</v>
      </c>
      <c r="D173" s="35">
        <v>256780</v>
      </c>
      <c r="E173" s="43">
        <f t="shared" si="43"/>
        <v>1514.95</v>
      </c>
      <c r="F173" s="35">
        <v>0</v>
      </c>
      <c r="G173" s="35">
        <f t="shared" si="44"/>
        <v>0</v>
      </c>
      <c r="H173" s="35">
        <f t="shared" si="45"/>
        <v>0</v>
      </c>
      <c r="I173" s="35">
        <v>5</v>
      </c>
      <c r="J173" s="35">
        <f t="shared" si="46"/>
        <v>1283900</v>
      </c>
      <c r="K173" s="9">
        <f t="shared" si="47"/>
        <v>7575</v>
      </c>
      <c r="O173" s="17">
        <f t="shared" si="48"/>
        <v>4</v>
      </c>
      <c r="P173" s="14">
        <f>ROUND(+'Rate Structure'!$D$12,2)</f>
        <v>642.30999999999995</v>
      </c>
      <c r="Q173" s="14">
        <f>ROUND(+'Rate Structure'!$D$12+((D173-Q$169)*'Rate Structure'!$D$16/1000),2)</f>
        <v>1535.96</v>
      </c>
      <c r="R173" s="14">
        <f>ROUND(+'Rate Structure'!$D$12+((R$169-Q$169)*'Rate Structure'!$D$16/1000)+((D173-R$169)*'Rate Structure'!$D$17/1000),2)</f>
        <v>1514.95</v>
      </c>
      <c r="S173" s="14">
        <f>ROUND(+'Rate Structure'!$D$12+((R$169-Q$169)*'Rate Structure'!$D$16/1000)+((S$169-R$169)*'Rate Structure'!$D$17/1000)+((D173-S$169)*'Rate Structure'!$D$18/1000),2)</f>
        <v>1995.46</v>
      </c>
    </row>
    <row r="174" spans="1:19">
      <c r="A174" s="9">
        <v>300</v>
      </c>
      <c r="B174" s="13" t="s">
        <v>105</v>
      </c>
      <c r="C174" s="9">
        <v>400000</v>
      </c>
      <c r="D174" s="35">
        <v>347882</v>
      </c>
      <c r="E174" s="43">
        <f t="shared" si="43"/>
        <v>2000.52</v>
      </c>
      <c r="F174" s="35">
        <v>0</v>
      </c>
      <c r="G174" s="35">
        <f t="shared" si="44"/>
        <v>0</v>
      </c>
      <c r="H174" s="35">
        <f t="shared" si="45"/>
        <v>0</v>
      </c>
      <c r="I174" s="35">
        <f>11-3</f>
        <v>8</v>
      </c>
      <c r="J174" s="35">
        <f t="shared" si="46"/>
        <v>2783056</v>
      </c>
      <c r="K174" s="9">
        <f t="shared" si="47"/>
        <v>16004</v>
      </c>
      <c r="O174" s="17">
        <f t="shared" si="48"/>
        <v>5</v>
      </c>
      <c r="P174" s="14">
        <f>ROUND(+'Rate Structure'!$D$12,2)</f>
        <v>642.30999999999995</v>
      </c>
      <c r="Q174" s="14">
        <f>ROUND(+'Rate Structure'!$D$12+((D174-Q$169)*'Rate Structure'!$D$16/1000),2)</f>
        <v>2055.2399999999998</v>
      </c>
      <c r="R174" s="14">
        <f>ROUND(+'Rate Structure'!$D$12+((R$169-Q$169)*'Rate Structure'!$D$16/1000)+((D174-R$169)*'Rate Structure'!$D$17/1000),2)</f>
        <v>2000.52</v>
      </c>
      <c r="S174" s="14">
        <f>ROUND(+'Rate Structure'!$D$12+((R$169-Q$169)*'Rate Structure'!$D$16/1000)+((S$169-R$169)*'Rate Structure'!$D$17/1000)+((D174-S$169)*'Rate Structure'!$D$18/1000),2)</f>
        <v>2353.4899999999998</v>
      </c>
    </row>
    <row r="175" spans="1:19">
      <c r="A175" s="9">
        <v>400</v>
      </c>
      <c r="B175" s="13" t="s">
        <v>105</v>
      </c>
      <c r="C175" s="9">
        <v>500000</v>
      </c>
      <c r="D175" s="35">
        <v>449850</v>
      </c>
      <c r="E175" s="43">
        <f t="shared" si="43"/>
        <v>2544.0100000000002</v>
      </c>
      <c r="F175" s="35">
        <v>0</v>
      </c>
      <c r="G175" s="35">
        <f t="shared" si="44"/>
        <v>0</v>
      </c>
      <c r="H175" s="35">
        <f t="shared" si="45"/>
        <v>0</v>
      </c>
      <c r="I175" s="35">
        <v>2</v>
      </c>
      <c r="J175" s="35">
        <f t="shared" si="46"/>
        <v>899700</v>
      </c>
      <c r="K175" s="9">
        <f t="shared" si="47"/>
        <v>5088</v>
      </c>
      <c r="O175" s="17">
        <f t="shared" si="48"/>
        <v>6</v>
      </c>
      <c r="P175" s="14">
        <f>ROUND(+'Rate Structure'!$D$12,2)</f>
        <v>642.30999999999995</v>
      </c>
      <c r="Q175" s="14">
        <f>ROUND(+'Rate Structure'!$D$12+((D175-Q$169)*'Rate Structure'!$D$16/1000),2)</f>
        <v>2636.46</v>
      </c>
      <c r="R175" s="14">
        <f>ROUND(+'Rate Structure'!$D$12+((R$169-Q$169)*'Rate Structure'!$D$16/1000)+((D175-R$169)*'Rate Structure'!$D$17/1000),2)</f>
        <v>2544.0100000000002</v>
      </c>
      <c r="S175" s="14">
        <f>ROUND(+'Rate Structure'!$D$12+((R$169-Q$169)*'Rate Structure'!$D$16/1000)+((S$169-R$169)*'Rate Structure'!$D$17/1000)+((D175-S$169)*'Rate Structure'!$D$18/1000),2)</f>
        <v>2754.22</v>
      </c>
    </row>
    <row r="176" spans="1:19">
      <c r="A176" s="9">
        <v>500</v>
      </c>
      <c r="B176" s="13" t="s">
        <v>105</v>
      </c>
      <c r="C176" s="9">
        <v>750000</v>
      </c>
      <c r="D176" s="35">
        <v>617600</v>
      </c>
      <c r="E176" s="43">
        <f t="shared" si="43"/>
        <v>3413.48</v>
      </c>
      <c r="F176" s="35">
        <v>0</v>
      </c>
      <c r="G176" s="35">
        <f t="shared" si="44"/>
        <v>0</v>
      </c>
      <c r="H176" s="35">
        <f t="shared" si="45"/>
        <v>0</v>
      </c>
      <c r="I176" s="35">
        <v>2</v>
      </c>
      <c r="J176" s="35">
        <f t="shared" si="46"/>
        <v>1235200</v>
      </c>
      <c r="K176" s="9">
        <f t="shared" si="47"/>
        <v>6827</v>
      </c>
      <c r="O176" s="17">
        <f t="shared" si="48"/>
        <v>7</v>
      </c>
      <c r="P176" s="14">
        <f>ROUND(+'Rate Structure'!$D$12,2)</f>
        <v>642.30999999999995</v>
      </c>
      <c r="Q176" s="14">
        <f>ROUND(+'Rate Structure'!$D$12+((D176-Q$169)*'Rate Structure'!$D$16/1000),2)</f>
        <v>3592.63</v>
      </c>
      <c r="R176" s="14">
        <f>ROUND(+'Rate Structure'!$D$12+((R$169-Q$169)*'Rate Structure'!$D$16/1000)+((D176-R$169)*'Rate Structure'!$D$17/1000),2)</f>
        <v>3438.12</v>
      </c>
      <c r="S176" s="14">
        <f>ROUND(+'Rate Structure'!$D$12+((R$169-Q$169)*'Rate Structure'!$D$16/1000)+((S$169-R$169)*'Rate Structure'!$D$17/1000)+((D176-S$169)*'Rate Structure'!$D$18/1000),2)</f>
        <v>3413.48</v>
      </c>
    </row>
    <row r="177" spans="1:19">
      <c r="A177" s="9">
        <v>750</v>
      </c>
      <c r="B177" s="13" t="s">
        <v>105</v>
      </c>
      <c r="C177" s="21" t="s">
        <v>115</v>
      </c>
      <c r="D177" s="35">
        <v>0</v>
      </c>
      <c r="E177" s="43">
        <v>0</v>
      </c>
      <c r="F177" s="35">
        <v>0</v>
      </c>
      <c r="G177" s="35">
        <f t="shared" si="44"/>
        <v>0</v>
      </c>
      <c r="H177" s="35">
        <f t="shared" si="45"/>
        <v>0</v>
      </c>
      <c r="I177" s="35">
        <v>0</v>
      </c>
      <c r="J177" s="35">
        <f t="shared" si="46"/>
        <v>0</v>
      </c>
      <c r="K177" s="9">
        <f t="shared" si="47"/>
        <v>0</v>
      </c>
      <c r="O177" s="17">
        <f t="shared" si="48"/>
        <v>8</v>
      </c>
      <c r="P177" s="14">
        <f>ROUND(+'Rate Structure'!$D$12,2)</f>
        <v>642.30999999999995</v>
      </c>
      <c r="Q177" s="14">
        <f>ROUND(+'Rate Structure'!$D$12+((D177-Q$169)*'Rate Structure'!$D$16/1000),2)</f>
        <v>72.31</v>
      </c>
      <c r="R177" s="14">
        <f>ROUND(+'Rate Structure'!$D$12+((R$169-Q$169)*'Rate Structure'!$D$16/1000)+((D177-R$169)*'Rate Structure'!$D$17/1000),2)</f>
        <v>146.31</v>
      </c>
      <c r="S177" s="14">
        <f>ROUND(+'Rate Structure'!$D$12+((R$169-Q$169)*'Rate Structure'!$D$16/1000)+((S$169-R$169)*'Rate Structure'!$D$17/1000)+((D177-S$169)*'Rate Structure'!$D$18/1000),2)</f>
        <v>986.31</v>
      </c>
    </row>
    <row r="178" spans="1:19">
      <c r="A178" s="21" t="s">
        <v>96</v>
      </c>
      <c r="B178" s="13" t="s">
        <v>105</v>
      </c>
      <c r="C178" s="21" t="s">
        <v>116</v>
      </c>
      <c r="D178" s="35">
        <v>1194900</v>
      </c>
      <c r="E178" s="43">
        <f t="shared" si="43"/>
        <v>5682.27</v>
      </c>
      <c r="F178" s="35">
        <v>0</v>
      </c>
      <c r="G178" s="35">
        <f t="shared" si="44"/>
        <v>0</v>
      </c>
      <c r="H178" s="35">
        <f t="shared" si="45"/>
        <v>0</v>
      </c>
      <c r="I178" s="35">
        <v>4</v>
      </c>
      <c r="J178" s="35">
        <f t="shared" si="46"/>
        <v>4779600</v>
      </c>
      <c r="K178" s="9">
        <f t="shared" si="47"/>
        <v>22729</v>
      </c>
      <c r="O178" s="17">
        <f t="shared" si="48"/>
        <v>9</v>
      </c>
      <c r="P178" s="14">
        <f>ROUND(+'Rate Structure'!$D$12,2)</f>
        <v>642.30999999999995</v>
      </c>
      <c r="Q178" s="14">
        <f>ROUND(+'Rate Structure'!$D$12+((D178-Q$169)*'Rate Structure'!$D$16/1000),2)</f>
        <v>6883.24</v>
      </c>
      <c r="R178" s="14">
        <f>ROUND(+'Rate Structure'!$D$12+((R$169-Q$169)*'Rate Structure'!$D$16/1000)+((D178-R$169)*'Rate Structure'!$D$17/1000),2)</f>
        <v>6515.13</v>
      </c>
      <c r="S178" s="14">
        <f>ROUND(+'Rate Structure'!$D$12+((R$169-Q$169)*'Rate Structure'!$D$16/1000)+((S$169-R$169)*'Rate Structure'!$D$17/1000)+((D178-S$169)*'Rate Structure'!$D$18/1000),2)</f>
        <v>5682.27</v>
      </c>
    </row>
    <row r="179" spans="1:19">
      <c r="A179" s="21" t="s">
        <v>92</v>
      </c>
      <c r="B179" s="13" t="s">
        <v>105</v>
      </c>
      <c r="C179" s="21" t="s">
        <v>117</v>
      </c>
      <c r="D179" s="35">
        <v>1831700</v>
      </c>
      <c r="E179" s="43">
        <f t="shared" si="43"/>
        <v>8184.89</v>
      </c>
      <c r="F179" s="35">
        <v>0</v>
      </c>
      <c r="G179" s="35">
        <f t="shared" si="44"/>
        <v>0</v>
      </c>
      <c r="H179" s="35">
        <f t="shared" si="45"/>
        <v>0</v>
      </c>
      <c r="I179" s="35">
        <v>2</v>
      </c>
      <c r="J179" s="35">
        <f t="shared" si="46"/>
        <v>3663400</v>
      </c>
      <c r="K179" s="9">
        <f t="shared" si="47"/>
        <v>16370</v>
      </c>
      <c r="O179" s="17">
        <f t="shared" si="48"/>
        <v>10</v>
      </c>
      <c r="P179" s="14">
        <f>ROUND(+'Rate Structure'!$D$12,2)</f>
        <v>642.30999999999995</v>
      </c>
      <c r="Q179" s="14">
        <f>ROUND(+'Rate Structure'!$D$12+((D179-Q$169)*'Rate Structure'!$D$16/1000),2)</f>
        <v>10513</v>
      </c>
      <c r="R179" s="14">
        <f>ROUND(+'Rate Structure'!$D$12+((R$169-Q$169)*'Rate Structure'!$D$16/1000)+((D179-R$169)*'Rate Structure'!$D$17/1000),2)</f>
        <v>9909.27</v>
      </c>
      <c r="S179" s="14">
        <f>ROUND(+'Rate Structure'!$D$12+((R$169-Q$169)*'Rate Structure'!$D$16/1000)+((S$169-R$169)*'Rate Structure'!$D$17/1000)+((D179-S$169)*'Rate Structure'!$D$18/1000),2)</f>
        <v>8184.89</v>
      </c>
    </row>
    <row r="180" spans="1:19">
      <c r="A180" s="21" t="s">
        <v>97</v>
      </c>
      <c r="B180" s="13" t="s">
        <v>105</v>
      </c>
      <c r="C180" s="21" t="s">
        <v>118</v>
      </c>
      <c r="D180" s="35">
        <v>2075600</v>
      </c>
      <c r="E180" s="43">
        <f t="shared" si="43"/>
        <v>9143.42</v>
      </c>
      <c r="F180" s="35">
        <v>0</v>
      </c>
      <c r="G180" s="35">
        <f t="shared" si="44"/>
        <v>0</v>
      </c>
      <c r="H180" s="35">
        <f t="shared" si="45"/>
        <v>0</v>
      </c>
      <c r="I180" s="35">
        <v>1</v>
      </c>
      <c r="J180" s="35">
        <f t="shared" si="46"/>
        <v>2075600</v>
      </c>
      <c r="K180" s="9">
        <f t="shared" si="47"/>
        <v>9143</v>
      </c>
      <c r="O180" s="17">
        <f t="shared" si="48"/>
        <v>11</v>
      </c>
      <c r="P180" s="14">
        <f>ROUND(+'Rate Structure'!$D$12,2)</f>
        <v>642.30999999999995</v>
      </c>
      <c r="Q180" s="14">
        <f>ROUND(+'Rate Structure'!$D$12+((D180-Q$169)*'Rate Structure'!$D$16/1000),2)</f>
        <v>11903.23</v>
      </c>
      <c r="R180" s="14">
        <f>ROUND(+'Rate Structure'!$D$12+((R$169-Q$169)*'Rate Structure'!$D$16/1000)+((D180-R$169)*'Rate Structure'!$D$17/1000),2)</f>
        <v>11209.26</v>
      </c>
      <c r="S180" s="14">
        <f>ROUND(+'Rate Structure'!$D$12+((R$169-Q$169)*'Rate Structure'!$D$16/1000)+((S$169-R$169)*'Rate Structure'!$D$17/1000)+((D180-S$169)*'Rate Structure'!$D$18/1000),2)</f>
        <v>9143.42</v>
      </c>
    </row>
    <row r="181" spans="1:19">
      <c r="A181" s="21" t="s">
        <v>98</v>
      </c>
      <c r="B181" s="13" t="s">
        <v>105</v>
      </c>
      <c r="C181" s="21" t="s">
        <v>119</v>
      </c>
      <c r="D181" s="35">
        <v>0</v>
      </c>
      <c r="E181" s="43">
        <v>0</v>
      </c>
      <c r="F181" s="35">
        <v>0</v>
      </c>
      <c r="G181" s="35">
        <f t="shared" si="44"/>
        <v>0</v>
      </c>
      <c r="H181" s="35">
        <f t="shared" si="45"/>
        <v>0</v>
      </c>
      <c r="I181" s="35">
        <v>0</v>
      </c>
      <c r="J181" s="35">
        <f t="shared" si="46"/>
        <v>0</v>
      </c>
      <c r="K181" s="9">
        <f t="shared" si="47"/>
        <v>0</v>
      </c>
      <c r="O181" s="17">
        <f t="shared" si="48"/>
        <v>12</v>
      </c>
      <c r="P181" s="14">
        <f>ROUND(+'Rate Structure'!$D$12,2)</f>
        <v>642.30999999999995</v>
      </c>
      <c r="Q181" s="14">
        <f>ROUND(+'Rate Structure'!$D$12+((D181-Q$169)*'Rate Structure'!$D$16/1000),2)</f>
        <v>72.31</v>
      </c>
      <c r="R181" s="14">
        <f>ROUND(+'Rate Structure'!$D$12+((R$169-Q$169)*'Rate Structure'!$D$16/1000)+((D181-R$169)*'Rate Structure'!$D$17/1000),2)</f>
        <v>146.31</v>
      </c>
      <c r="S181" s="14">
        <f>ROUND(+'Rate Structure'!$D$12+((R$169-Q$169)*'Rate Structure'!$D$16/1000)+((S$169-R$169)*'Rate Structure'!$D$17/1000)+((D181-S$169)*'Rate Structure'!$D$18/1000),2)</f>
        <v>986.31</v>
      </c>
    </row>
    <row r="182" spans="1:19">
      <c r="A182" s="21" t="s">
        <v>99</v>
      </c>
      <c r="B182" s="13" t="s">
        <v>105</v>
      </c>
      <c r="C182" s="21" t="s">
        <v>120</v>
      </c>
      <c r="D182" s="35">
        <v>0</v>
      </c>
      <c r="E182" s="43">
        <v>0</v>
      </c>
      <c r="F182" s="35">
        <v>0</v>
      </c>
      <c r="G182" s="35">
        <f t="shared" si="44"/>
        <v>0</v>
      </c>
      <c r="H182" s="35">
        <f t="shared" si="45"/>
        <v>0</v>
      </c>
      <c r="I182" s="35">
        <v>0</v>
      </c>
      <c r="J182" s="35">
        <f t="shared" si="46"/>
        <v>0</v>
      </c>
      <c r="K182" s="9">
        <f t="shared" si="47"/>
        <v>0</v>
      </c>
      <c r="O182" s="17">
        <f t="shared" si="48"/>
        <v>13</v>
      </c>
      <c r="P182" s="14">
        <f>ROUND(+'Rate Structure'!$D$12,2)</f>
        <v>642.30999999999995</v>
      </c>
      <c r="Q182" s="14">
        <f>ROUND(+'Rate Structure'!$D$12+((D182-Q$169)*'Rate Structure'!$D$16/1000),2)</f>
        <v>72.31</v>
      </c>
      <c r="R182" s="14">
        <f>ROUND(+'Rate Structure'!$D$12+((R$169-Q$169)*'Rate Structure'!$D$16/1000)+((D182-R$169)*'Rate Structure'!$D$17/1000),2)</f>
        <v>146.31</v>
      </c>
      <c r="S182" s="14">
        <f>ROUND(+'Rate Structure'!$D$12+((R$169-Q$169)*'Rate Structure'!$D$16/1000)+((S$169-R$169)*'Rate Structure'!$D$17/1000)+((D182-S$169)*'Rate Structure'!$D$18/1000),2)</f>
        <v>986.31</v>
      </c>
    </row>
    <row r="183" spans="1:19">
      <c r="A183" s="21" t="s">
        <v>100</v>
      </c>
      <c r="B183" s="13" t="s">
        <v>105</v>
      </c>
      <c r="C183" s="21" t="s">
        <v>121</v>
      </c>
      <c r="D183" s="35">
        <v>0</v>
      </c>
      <c r="E183" s="43">
        <v>0</v>
      </c>
      <c r="F183" s="35">
        <v>0</v>
      </c>
      <c r="G183" s="35">
        <f t="shared" si="44"/>
        <v>0</v>
      </c>
      <c r="H183" s="35">
        <f t="shared" si="45"/>
        <v>0</v>
      </c>
      <c r="I183" s="35">
        <v>0</v>
      </c>
      <c r="J183" s="35">
        <f t="shared" si="46"/>
        <v>0</v>
      </c>
      <c r="K183" s="9">
        <f t="shared" si="47"/>
        <v>0</v>
      </c>
      <c r="O183" s="17">
        <f t="shared" si="48"/>
        <v>14</v>
      </c>
      <c r="P183" s="14">
        <f>ROUND(+'Rate Structure'!$D$12,2)</f>
        <v>642.30999999999995</v>
      </c>
      <c r="Q183" s="14">
        <f>ROUND(+'Rate Structure'!$D$12+((D183-Q$169)*'Rate Structure'!$D$16/1000),2)</f>
        <v>72.31</v>
      </c>
      <c r="R183" s="14">
        <f>ROUND(+'Rate Structure'!$D$12+((R$169-Q$169)*'Rate Structure'!$D$16/1000)+((D183-R$169)*'Rate Structure'!$D$17/1000),2)</f>
        <v>146.31</v>
      </c>
      <c r="S183" s="14">
        <f>ROUND(+'Rate Structure'!$D$12+((R$169-Q$169)*'Rate Structure'!$D$16/1000)+((S$169-R$169)*'Rate Structure'!$D$17/1000)+((D183-S$169)*'Rate Structure'!$D$18/1000),2)</f>
        <v>986.31</v>
      </c>
    </row>
    <row r="184" spans="1:19">
      <c r="A184" s="21" t="s">
        <v>101</v>
      </c>
      <c r="B184" s="13" t="s">
        <v>105</v>
      </c>
      <c r="C184" s="21" t="s">
        <v>112</v>
      </c>
      <c r="D184" s="35">
        <v>0</v>
      </c>
      <c r="E184" s="43">
        <v>0</v>
      </c>
      <c r="F184" s="36">
        <v>0</v>
      </c>
      <c r="G184" s="36">
        <f t="shared" si="44"/>
        <v>0</v>
      </c>
      <c r="H184" s="36">
        <f t="shared" si="45"/>
        <v>0</v>
      </c>
      <c r="I184" s="36">
        <v>0</v>
      </c>
      <c r="J184" s="36">
        <f t="shared" si="46"/>
        <v>0</v>
      </c>
      <c r="K184" s="10">
        <f t="shared" si="47"/>
        <v>0</v>
      </c>
      <c r="O184" s="17">
        <f t="shared" si="48"/>
        <v>15</v>
      </c>
      <c r="P184" s="14">
        <f>ROUND(+'Rate Structure'!$D$12,2)</f>
        <v>642.30999999999995</v>
      </c>
      <c r="Q184" s="14">
        <f>ROUND(+'Rate Structure'!$D$12+((D184-Q$169)*'Rate Structure'!$D$16/1000),2)</f>
        <v>72.31</v>
      </c>
      <c r="R184" s="14">
        <f>ROUND(+'Rate Structure'!$D$12+((R$169-Q$169)*'Rate Structure'!$D$16/1000)+((D184-R$169)*'Rate Structure'!$D$17/1000),2)</f>
        <v>146.31</v>
      </c>
      <c r="S184" s="14">
        <f>ROUND(+'Rate Structure'!$D$12+((R$169-Q$169)*'Rate Structure'!$D$16/1000)+((S$169-R$169)*'Rate Structure'!$D$17/1000)+((D184-S$169)*'Rate Structure'!$D$18/1000),2)</f>
        <v>986.31</v>
      </c>
    </row>
    <row r="185" spans="1:19">
      <c r="A185" s="9"/>
      <c r="B185" s="9"/>
      <c r="C185" s="9"/>
      <c r="D185" s="35"/>
      <c r="E185" s="33"/>
      <c r="I185" s="35"/>
      <c r="J185" s="33"/>
      <c r="O185" s="17"/>
    </row>
    <row r="186" spans="1:19">
      <c r="A186" s="9"/>
      <c r="B186" s="9"/>
      <c r="C186" s="13" t="s">
        <v>114</v>
      </c>
      <c r="D186" s="35"/>
      <c r="E186" s="33"/>
      <c r="F186" s="35">
        <f t="shared" ref="F186:K186" si="49">SUM(F170:F184)</f>
        <v>0</v>
      </c>
      <c r="G186" s="35">
        <f t="shared" si="49"/>
        <v>0</v>
      </c>
      <c r="H186" s="34">
        <f t="shared" si="49"/>
        <v>0</v>
      </c>
      <c r="I186" s="35">
        <f t="shared" si="49"/>
        <v>129</v>
      </c>
      <c r="J186" s="35">
        <f t="shared" si="49"/>
        <v>20264263</v>
      </c>
      <c r="K186" s="8">
        <f t="shared" si="49"/>
        <v>155886</v>
      </c>
      <c r="O186" s="17"/>
    </row>
    <row r="187" spans="1:19">
      <c r="A187" s="9"/>
      <c r="B187" s="9"/>
      <c r="C187" s="13"/>
      <c r="D187" s="35"/>
      <c r="E187" s="33"/>
      <c r="F187" s="35"/>
      <c r="G187" s="35"/>
      <c r="H187" s="34"/>
      <c r="I187" s="35"/>
      <c r="J187" s="35"/>
      <c r="K187" s="8"/>
      <c r="O187" s="17"/>
    </row>
    <row r="188" spans="1:19">
      <c r="A188" s="10" t="s">
        <v>211</v>
      </c>
      <c r="B188" s="9"/>
      <c r="C188" s="9"/>
      <c r="D188" s="35"/>
      <c r="E188" s="33"/>
      <c r="I188" s="35"/>
      <c r="J188" s="33"/>
      <c r="O188" s="17"/>
    </row>
    <row r="189" spans="1:19">
      <c r="D189" s="33"/>
      <c r="E189" s="33"/>
      <c r="F189" s="38" t="s">
        <v>57</v>
      </c>
      <c r="G189" s="37"/>
      <c r="H189" s="38"/>
      <c r="I189" s="38" t="s">
        <v>59</v>
      </c>
      <c r="J189" s="38"/>
      <c r="K189" s="2"/>
      <c r="O189" s="17"/>
    </row>
    <row r="190" spans="1:19">
      <c r="D190" s="33"/>
      <c r="E190" s="42" t="s">
        <v>122</v>
      </c>
      <c r="J190" s="33"/>
      <c r="O190" s="17"/>
      <c r="P190" s="30" t="s">
        <v>212</v>
      </c>
    </row>
    <row r="191" spans="1:19">
      <c r="A191" s="7" t="s">
        <v>87</v>
      </c>
      <c r="B191" s="7"/>
      <c r="C191" s="7"/>
      <c r="D191" s="39" t="s">
        <v>122</v>
      </c>
      <c r="E191" s="39" t="s">
        <v>125</v>
      </c>
      <c r="F191" s="39" t="s">
        <v>126</v>
      </c>
      <c r="G191" s="39" t="s">
        <v>127</v>
      </c>
      <c r="H191" s="39" t="s">
        <v>128</v>
      </c>
      <c r="I191" s="39" t="s">
        <v>126</v>
      </c>
      <c r="J191" s="39" t="s">
        <v>127</v>
      </c>
      <c r="K191" s="6" t="s">
        <v>128</v>
      </c>
      <c r="O191" s="17"/>
      <c r="P191" s="18">
        <v>0</v>
      </c>
      <c r="Q191" s="18">
        <v>160000</v>
      </c>
      <c r="R191" s="18">
        <v>200000</v>
      </c>
      <c r="S191" s="18">
        <v>600000</v>
      </c>
    </row>
    <row r="192" spans="1:19">
      <c r="A192" s="9">
        <v>0</v>
      </c>
      <c r="B192" s="13" t="s">
        <v>105</v>
      </c>
      <c r="C192" s="9">
        <v>160000</v>
      </c>
      <c r="D192" s="35">
        <v>66934</v>
      </c>
      <c r="E192" s="43">
        <f>HLOOKUP(D192,$P$191:$S$205,(O192)+1)</f>
        <v>1006.09</v>
      </c>
      <c r="F192" s="35">
        <v>0</v>
      </c>
      <c r="G192" s="35">
        <f t="shared" ref="G192:G205" si="50">D192*F192</f>
        <v>0</v>
      </c>
      <c r="H192" s="35">
        <f t="shared" ref="H192:H205" si="51">ROUND(+F192*$E192,0)</f>
        <v>0</v>
      </c>
      <c r="I192" s="35">
        <v>47</v>
      </c>
      <c r="J192" s="35">
        <f t="shared" ref="J192:J205" si="52">D192*I192</f>
        <v>3145898</v>
      </c>
      <c r="K192" s="9">
        <f t="shared" ref="K192:K205" si="53">ROUND(+I192*$E192,0)</f>
        <v>47286</v>
      </c>
      <c r="O192" s="17">
        <v>1</v>
      </c>
      <c r="P192" s="14">
        <f>ROUND(+'Rate Structure'!$D$13,2)</f>
        <v>1006.09</v>
      </c>
      <c r="Q192" s="14">
        <f>ROUND(+'Rate Structure'!$D$13+((D192-Q$191)*'Rate Structure'!$D$16/1000),2)</f>
        <v>475.61</v>
      </c>
      <c r="R192" s="14">
        <f>ROUND(+'Rate Structure'!$D$13+((R$191-Q$191)*'Rate Structure'!$D$16/1000)+((D192-R$191)*'Rate Structure'!$D$17/1000),2)</f>
        <v>524.85</v>
      </c>
      <c r="S192" s="14">
        <f>ROUND(+'Rate Structure'!$D$13+((R$191-Q$191)*'Rate Structure'!$D$16/1000)+((S$191-R$191)*'Rate Structure'!$D$17/1000)+((D192-S$191)*'Rate Structure'!$D$18/1000),2)</f>
        <v>1271.1400000000001</v>
      </c>
    </row>
    <row r="193" spans="1:19">
      <c r="A193" s="9">
        <v>160</v>
      </c>
      <c r="B193" s="13" t="s">
        <v>105</v>
      </c>
      <c r="C193" s="9">
        <v>200000</v>
      </c>
      <c r="D193" s="35">
        <v>0</v>
      </c>
      <c r="E193" s="43">
        <v>0</v>
      </c>
      <c r="F193" s="35">
        <v>0</v>
      </c>
      <c r="G193" s="35">
        <f t="shared" si="50"/>
        <v>0</v>
      </c>
      <c r="H193" s="35">
        <f t="shared" si="51"/>
        <v>0</v>
      </c>
      <c r="I193" s="35">
        <v>0</v>
      </c>
      <c r="J193" s="35">
        <f t="shared" si="52"/>
        <v>0</v>
      </c>
      <c r="K193" s="9">
        <f t="shared" si="53"/>
        <v>0</v>
      </c>
      <c r="O193" s="17">
        <f>O192+1</f>
        <v>2</v>
      </c>
      <c r="P193" s="14">
        <f>ROUND(+'Rate Structure'!$D$13,2)</f>
        <v>1006.09</v>
      </c>
      <c r="Q193" s="14">
        <f>ROUND(+'Rate Structure'!$D$13+((D193-Q$191)*'Rate Structure'!$D$16/1000),2)</f>
        <v>94.09</v>
      </c>
      <c r="R193" s="14">
        <f>ROUND(+'Rate Structure'!$D$13+((R$191-Q$191)*'Rate Structure'!$D$16/1000)+((D193-R$191)*'Rate Structure'!$D$17/1000),2)</f>
        <v>168.09</v>
      </c>
      <c r="S193" s="14">
        <f>ROUND(+'Rate Structure'!$D$13+((R$191-Q$191)*'Rate Structure'!$D$16/1000)+((S$191-R$191)*'Rate Structure'!$D$17/1000)+((D193-S$191)*'Rate Structure'!$D$18/1000),2)</f>
        <v>1008.09</v>
      </c>
    </row>
    <row r="194" spans="1:19">
      <c r="A194" s="9">
        <v>200</v>
      </c>
      <c r="B194" s="13" t="s">
        <v>105</v>
      </c>
      <c r="C194" s="9">
        <v>300000</v>
      </c>
      <c r="D194" s="35">
        <v>263167</v>
      </c>
      <c r="E194" s="43">
        <f t="shared" ref="E194:E201" si="54">HLOOKUP(D194,$P$191:$S$205,(O194)+1)</f>
        <v>1570.77</v>
      </c>
      <c r="F194" s="35">
        <v>0</v>
      </c>
      <c r="G194" s="35">
        <f t="shared" si="50"/>
        <v>0</v>
      </c>
      <c r="H194" s="35">
        <f t="shared" si="51"/>
        <v>0</v>
      </c>
      <c r="I194" s="35">
        <v>3</v>
      </c>
      <c r="J194" s="35">
        <f t="shared" si="52"/>
        <v>789501</v>
      </c>
      <c r="K194" s="9">
        <f t="shared" si="53"/>
        <v>4712</v>
      </c>
      <c r="O194" s="17">
        <f t="shared" ref="O194:O205" si="55">O193+1</f>
        <v>3</v>
      </c>
      <c r="P194" s="14">
        <f>ROUND(+'Rate Structure'!$D$13,2)</f>
        <v>1006.09</v>
      </c>
      <c r="Q194" s="14">
        <f>ROUND(+'Rate Structure'!$D$13+((D194-Q$191)*'Rate Structure'!$D$16/1000),2)</f>
        <v>1594.14</v>
      </c>
      <c r="R194" s="14">
        <f>ROUND(+'Rate Structure'!$D$13+((R$191-Q$191)*'Rate Structure'!$D$16/1000)+((D194-R$191)*'Rate Structure'!$D$17/1000),2)</f>
        <v>1570.77</v>
      </c>
      <c r="S194" s="14">
        <f>ROUND(+'Rate Structure'!$D$13+((R$191-Q$191)*'Rate Structure'!$D$16/1000)+((S$191-R$191)*'Rate Structure'!$D$17/1000)+((D194-S$191)*'Rate Structure'!$D$18/1000),2)</f>
        <v>2042.34</v>
      </c>
    </row>
    <row r="195" spans="1:19">
      <c r="A195" s="9">
        <v>300</v>
      </c>
      <c r="B195" s="13" t="s">
        <v>105</v>
      </c>
      <c r="C195" s="9">
        <v>400000</v>
      </c>
      <c r="D195" s="35">
        <v>350900</v>
      </c>
      <c r="E195" s="43">
        <f t="shared" si="54"/>
        <v>2038.39</v>
      </c>
      <c r="F195" s="35">
        <v>0</v>
      </c>
      <c r="G195" s="35">
        <f t="shared" si="50"/>
        <v>0</v>
      </c>
      <c r="H195" s="35">
        <f t="shared" si="51"/>
        <v>0</v>
      </c>
      <c r="I195" s="35">
        <v>5</v>
      </c>
      <c r="J195" s="35">
        <f t="shared" si="52"/>
        <v>1754500</v>
      </c>
      <c r="K195" s="9">
        <f t="shared" si="53"/>
        <v>10192</v>
      </c>
      <c r="O195" s="17">
        <f t="shared" si="55"/>
        <v>4</v>
      </c>
      <c r="P195" s="14">
        <f>ROUND(+'Rate Structure'!$D$13,2)</f>
        <v>1006.09</v>
      </c>
      <c r="Q195" s="14">
        <f>ROUND(+'Rate Structure'!$D$13+((D195-Q$191)*'Rate Structure'!$D$16/1000),2)</f>
        <v>2094.2199999999998</v>
      </c>
      <c r="R195" s="14">
        <f>ROUND(+'Rate Structure'!$D$13+((R$191-Q$191)*'Rate Structure'!$D$16/1000)+((D195-R$191)*'Rate Structure'!$D$17/1000),2)</f>
        <v>2038.39</v>
      </c>
      <c r="S195" s="14">
        <f>ROUND(+'Rate Structure'!$D$13+((R$191-Q$191)*'Rate Structure'!$D$16/1000)+((S$191-R$191)*'Rate Structure'!$D$17/1000)+((D195-S$191)*'Rate Structure'!$D$18/1000),2)</f>
        <v>2387.13</v>
      </c>
    </row>
    <row r="196" spans="1:19">
      <c r="A196" s="9">
        <v>400</v>
      </c>
      <c r="B196" s="13" t="s">
        <v>105</v>
      </c>
      <c r="C196" s="9">
        <v>500000</v>
      </c>
      <c r="D196" s="35">
        <v>452538</v>
      </c>
      <c r="E196" s="43">
        <f t="shared" si="54"/>
        <v>2580.12</v>
      </c>
      <c r="F196" s="35">
        <v>0</v>
      </c>
      <c r="G196" s="35">
        <f t="shared" si="50"/>
        <v>0</v>
      </c>
      <c r="H196" s="35">
        <f t="shared" si="51"/>
        <v>0</v>
      </c>
      <c r="I196" s="35">
        <f>8-1</f>
        <v>7</v>
      </c>
      <c r="J196" s="35">
        <f t="shared" si="52"/>
        <v>3167766</v>
      </c>
      <c r="K196" s="9">
        <f t="shared" si="53"/>
        <v>18061</v>
      </c>
      <c r="O196" s="17">
        <f t="shared" si="55"/>
        <v>5</v>
      </c>
      <c r="P196" s="14">
        <f>ROUND(+'Rate Structure'!$D$13,2)</f>
        <v>1006.09</v>
      </c>
      <c r="Q196" s="14">
        <f>ROUND(+'Rate Structure'!$D$13+((D196-Q$191)*'Rate Structure'!$D$16/1000),2)</f>
        <v>2673.56</v>
      </c>
      <c r="R196" s="14">
        <f>ROUND(+'Rate Structure'!$D$13+((R$191-Q$191)*'Rate Structure'!$D$16/1000)+((D196-R$191)*'Rate Structure'!$D$17/1000),2)</f>
        <v>2580.12</v>
      </c>
      <c r="S196" s="14">
        <f>ROUND(+'Rate Structure'!$D$13+((R$191-Q$191)*'Rate Structure'!$D$16/1000)+((S$191-R$191)*'Rate Structure'!$D$17/1000)+((D196-S$191)*'Rate Structure'!$D$18/1000),2)</f>
        <v>2786.56</v>
      </c>
    </row>
    <row r="197" spans="1:19">
      <c r="A197" s="9">
        <v>500</v>
      </c>
      <c r="B197" s="13" t="s">
        <v>105</v>
      </c>
      <c r="C197" s="9">
        <v>750000</v>
      </c>
      <c r="D197" s="35">
        <v>677825</v>
      </c>
      <c r="E197" s="43">
        <f t="shared" si="54"/>
        <v>3671.94</v>
      </c>
      <c r="F197" s="35">
        <v>0</v>
      </c>
      <c r="G197" s="35">
        <f t="shared" si="50"/>
        <v>0</v>
      </c>
      <c r="H197" s="35">
        <f t="shared" si="51"/>
        <v>0</v>
      </c>
      <c r="I197" s="35">
        <v>4</v>
      </c>
      <c r="J197" s="35">
        <f t="shared" si="52"/>
        <v>2711300</v>
      </c>
      <c r="K197" s="9">
        <f t="shared" si="53"/>
        <v>14688</v>
      </c>
      <c r="O197" s="17">
        <f t="shared" si="55"/>
        <v>6</v>
      </c>
      <c r="P197" s="14">
        <f>ROUND(+'Rate Structure'!$D$13,2)</f>
        <v>1006.09</v>
      </c>
      <c r="Q197" s="14">
        <f>ROUND(+'Rate Structure'!$D$13+((D197-Q$191)*'Rate Structure'!$D$16/1000),2)</f>
        <v>3957.69</v>
      </c>
      <c r="R197" s="14">
        <f>ROUND(+'Rate Structure'!$D$13+((R$191-Q$191)*'Rate Structure'!$D$16/1000)+((D197-R$191)*'Rate Structure'!$D$17/1000),2)</f>
        <v>3780.9</v>
      </c>
      <c r="S197" s="14">
        <f>ROUND(+'Rate Structure'!$D$13+((R$191-Q$191)*'Rate Structure'!$D$16/1000)+((S$191-R$191)*'Rate Structure'!$D$17/1000)+((D197-S$191)*'Rate Structure'!$D$18/1000),2)</f>
        <v>3671.94</v>
      </c>
    </row>
    <row r="198" spans="1:19">
      <c r="A198" s="9">
        <v>750</v>
      </c>
      <c r="B198" s="13" t="s">
        <v>105</v>
      </c>
      <c r="C198" s="21" t="s">
        <v>115</v>
      </c>
      <c r="D198" s="35">
        <v>835800</v>
      </c>
      <c r="E198" s="43">
        <f t="shared" si="54"/>
        <v>4292.78</v>
      </c>
      <c r="F198" s="35">
        <v>0</v>
      </c>
      <c r="G198" s="35">
        <f t="shared" si="50"/>
        <v>0</v>
      </c>
      <c r="H198" s="35">
        <f t="shared" si="51"/>
        <v>0</v>
      </c>
      <c r="I198" s="35">
        <v>3</v>
      </c>
      <c r="J198" s="35">
        <f t="shared" si="52"/>
        <v>2507400</v>
      </c>
      <c r="K198" s="9">
        <f t="shared" si="53"/>
        <v>12878</v>
      </c>
      <c r="O198" s="17">
        <f t="shared" si="55"/>
        <v>7</v>
      </c>
      <c r="P198" s="14">
        <f>ROUND(+'Rate Structure'!$D$13,2)</f>
        <v>1006.09</v>
      </c>
      <c r="Q198" s="14">
        <f>ROUND(+'Rate Structure'!$D$13+((D198-Q$191)*'Rate Structure'!$D$16/1000),2)</f>
        <v>4858.1499999999996</v>
      </c>
      <c r="R198" s="14">
        <f>ROUND(+'Rate Structure'!$D$13+((R$191-Q$191)*'Rate Structure'!$D$16/1000)+((D198-R$191)*'Rate Structure'!$D$17/1000),2)</f>
        <v>4622.8999999999996</v>
      </c>
      <c r="S198" s="14">
        <f>ROUND(+'Rate Structure'!$D$13+((R$191-Q$191)*'Rate Structure'!$D$16/1000)+((S$191-R$191)*'Rate Structure'!$D$17/1000)+((D198-S$191)*'Rate Structure'!$D$18/1000),2)</f>
        <v>4292.78</v>
      </c>
    </row>
    <row r="199" spans="1:19">
      <c r="A199" s="21" t="s">
        <v>96</v>
      </c>
      <c r="B199" s="13" t="s">
        <v>105</v>
      </c>
      <c r="C199" s="21" t="s">
        <v>116</v>
      </c>
      <c r="D199" s="35">
        <v>1381350</v>
      </c>
      <c r="E199" s="43">
        <f t="shared" si="54"/>
        <v>6436.8</v>
      </c>
      <c r="F199" s="35">
        <v>0</v>
      </c>
      <c r="G199" s="35">
        <f t="shared" si="50"/>
        <v>0</v>
      </c>
      <c r="H199" s="35">
        <f t="shared" si="51"/>
        <v>0</v>
      </c>
      <c r="I199" s="35">
        <v>2</v>
      </c>
      <c r="J199" s="35">
        <f t="shared" si="52"/>
        <v>2762700</v>
      </c>
      <c r="K199" s="9">
        <f t="shared" si="53"/>
        <v>12874</v>
      </c>
      <c r="O199" s="17">
        <f t="shared" si="55"/>
        <v>8</v>
      </c>
      <c r="P199" s="14">
        <f>ROUND(+'Rate Structure'!$D$13,2)</f>
        <v>1006.09</v>
      </c>
      <c r="Q199" s="14">
        <f>ROUND(+'Rate Structure'!$D$13+((D199-Q$191)*'Rate Structure'!$D$16/1000),2)</f>
        <v>7967.79</v>
      </c>
      <c r="R199" s="14">
        <f>ROUND(+'Rate Structure'!$D$13+((R$191-Q$191)*'Rate Structure'!$D$16/1000)+((D199-R$191)*'Rate Structure'!$D$17/1000),2)</f>
        <v>7530.69</v>
      </c>
      <c r="S199" s="14">
        <f>ROUND(+'Rate Structure'!$D$13+((R$191-Q$191)*'Rate Structure'!$D$16/1000)+((S$191-R$191)*'Rate Structure'!$D$17/1000)+((D199-S$191)*'Rate Structure'!$D$18/1000),2)</f>
        <v>6436.8</v>
      </c>
    </row>
    <row r="200" spans="1:19">
      <c r="A200" s="21" t="s">
        <v>92</v>
      </c>
      <c r="B200" s="13" t="s">
        <v>105</v>
      </c>
      <c r="C200" s="21" t="s">
        <v>117</v>
      </c>
      <c r="D200" s="35">
        <v>1792757</v>
      </c>
      <c r="E200" s="43">
        <f t="shared" si="54"/>
        <v>8053.63</v>
      </c>
      <c r="F200" s="35">
        <v>0</v>
      </c>
      <c r="G200" s="35">
        <f t="shared" si="50"/>
        <v>0</v>
      </c>
      <c r="H200" s="35">
        <f t="shared" si="51"/>
        <v>0</v>
      </c>
      <c r="I200" s="35">
        <f>7-2</f>
        <v>5</v>
      </c>
      <c r="J200" s="35">
        <f t="shared" si="52"/>
        <v>8963785</v>
      </c>
      <c r="K200" s="9">
        <f t="shared" si="53"/>
        <v>40268</v>
      </c>
      <c r="O200" s="17">
        <f t="shared" si="55"/>
        <v>9</v>
      </c>
      <c r="P200" s="14">
        <f>ROUND(+'Rate Structure'!$D$13,2)</f>
        <v>1006.09</v>
      </c>
      <c r="Q200" s="14">
        <f>ROUND(+'Rate Structure'!$D$13+((D200-Q$191)*'Rate Structure'!$D$16/1000),2)</f>
        <v>10312.799999999999</v>
      </c>
      <c r="R200" s="14">
        <f>ROUND(+'Rate Structure'!$D$13+((R$191-Q$191)*'Rate Structure'!$D$16/1000)+((D200-R$191)*'Rate Structure'!$D$17/1000),2)</f>
        <v>9723.48</v>
      </c>
      <c r="S200" s="14">
        <f>ROUND(+'Rate Structure'!$D$13+((R$191-Q$191)*'Rate Structure'!$D$16/1000)+((S$191-R$191)*'Rate Structure'!$D$17/1000)+((D200-S$191)*'Rate Structure'!$D$18/1000),2)</f>
        <v>8053.63</v>
      </c>
    </row>
    <row r="201" spans="1:19">
      <c r="A201" s="21" t="s">
        <v>97</v>
      </c>
      <c r="B201" s="13" t="s">
        <v>105</v>
      </c>
      <c r="C201" s="21" t="s">
        <v>118</v>
      </c>
      <c r="D201" s="35">
        <v>2259860</v>
      </c>
      <c r="E201" s="43">
        <f t="shared" si="54"/>
        <v>9889.34</v>
      </c>
      <c r="F201" s="35">
        <v>0</v>
      </c>
      <c r="G201" s="35">
        <f t="shared" si="50"/>
        <v>0</v>
      </c>
      <c r="H201" s="35">
        <f t="shared" si="51"/>
        <v>0</v>
      </c>
      <c r="I201" s="35">
        <f>5-1</f>
        <v>4</v>
      </c>
      <c r="J201" s="35">
        <f t="shared" si="52"/>
        <v>9039440</v>
      </c>
      <c r="K201" s="9">
        <f t="shared" si="53"/>
        <v>39557</v>
      </c>
      <c r="O201" s="17">
        <f t="shared" si="55"/>
        <v>10</v>
      </c>
      <c r="P201" s="14">
        <f>ROUND(+'Rate Structure'!$D$13,2)</f>
        <v>1006.09</v>
      </c>
      <c r="Q201" s="14">
        <f>ROUND(+'Rate Structure'!$D$13+((D201-Q$191)*'Rate Structure'!$D$16/1000),2)</f>
        <v>12975.29</v>
      </c>
      <c r="R201" s="14">
        <f>ROUND(+'Rate Structure'!$D$13+((R$191-Q$191)*'Rate Structure'!$D$16/1000)+((D201-R$191)*'Rate Structure'!$D$17/1000),2)</f>
        <v>12213.14</v>
      </c>
      <c r="S201" s="14">
        <f>ROUND(+'Rate Structure'!$D$13+((R$191-Q$191)*'Rate Structure'!$D$16/1000)+((S$191-R$191)*'Rate Structure'!$D$17/1000)+((D201-S$191)*'Rate Structure'!$D$18/1000),2)</f>
        <v>9889.34</v>
      </c>
    </row>
    <row r="202" spans="1:19">
      <c r="A202" s="21" t="s">
        <v>98</v>
      </c>
      <c r="B202" s="13" t="s">
        <v>105</v>
      </c>
      <c r="C202" s="21" t="s">
        <v>119</v>
      </c>
      <c r="D202" s="35">
        <v>0</v>
      </c>
      <c r="E202" s="43">
        <v>0</v>
      </c>
      <c r="F202" s="35">
        <v>0</v>
      </c>
      <c r="G202" s="35">
        <f t="shared" si="50"/>
        <v>0</v>
      </c>
      <c r="H202" s="35">
        <f t="shared" si="51"/>
        <v>0</v>
      </c>
      <c r="I202" s="35">
        <v>0</v>
      </c>
      <c r="J202" s="35">
        <f t="shared" si="52"/>
        <v>0</v>
      </c>
      <c r="K202" s="9">
        <f t="shared" si="53"/>
        <v>0</v>
      </c>
      <c r="O202" s="17">
        <f t="shared" si="55"/>
        <v>11</v>
      </c>
      <c r="P202" s="14">
        <f>ROUND(+'Rate Structure'!$D$13,2)</f>
        <v>1006.09</v>
      </c>
      <c r="Q202" s="14">
        <f>ROUND(+'Rate Structure'!$D$13+((D202-Q$191)*'Rate Structure'!$D$16/1000),2)</f>
        <v>94.09</v>
      </c>
      <c r="R202" s="14">
        <f>ROUND(+'Rate Structure'!$D$13+((R$191-Q$191)*'Rate Structure'!$D$16/1000)+((D202-R$191)*'Rate Structure'!$D$17/1000),2)</f>
        <v>168.09</v>
      </c>
      <c r="S202" s="14">
        <f>ROUND(+'Rate Structure'!$D$13+((R$191-Q$191)*'Rate Structure'!$D$16/1000)+((S$191-R$191)*'Rate Structure'!$D$17/1000)+((D202-S$191)*'Rate Structure'!$D$18/1000),2)</f>
        <v>1008.09</v>
      </c>
    </row>
    <row r="203" spans="1:19">
      <c r="A203" s="21" t="s">
        <v>99</v>
      </c>
      <c r="B203" s="13" t="s">
        <v>105</v>
      </c>
      <c r="C203" s="21" t="s">
        <v>120</v>
      </c>
      <c r="D203" s="35">
        <v>0</v>
      </c>
      <c r="E203" s="43">
        <v>0</v>
      </c>
      <c r="F203" s="35">
        <v>0</v>
      </c>
      <c r="G203" s="35">
        <f t="shared" si="50"/>
        <v>0</v>
      </c>
      <c r="H203" s="35">
        <f t="shared" si="51"/>
        <v>0</v>
      </c>
      <c r="I203" s="35">
        <v>0</v>
      </c>
      <c r="J203" s="35">
        <f t="shared" si="52"/>
        <v>0</v>
      </c>
      <c r="K203" s="9">
        <f t="shared" si="53"/>
        <v>0</v>
      </c>
      <c r="O203" s="17">
        <f t="shared" si="55"/>
        <v>12</v>
      </c>
      <c r="P203" s="14">
        <f>ROUND(+'Rate Structure'!$D$13,2)</f>
        <v>1006.09</v>
      </c>
      <c r="Q203" s="14">
        <f>ROUND(+'Rate Structure'!$D$13+((D203-Q$191)*'Rate Structure'!$D$16/1000),2)</f>
        <v>94.09</v>
      </c>
      <c r="R203" s="14">
        <f>ROUND(+'Rate Structure'!$D$13+((R$191-Q$191)*'Rate Structure'!$D$16/1000)+((D203-R$191)*'Rate Structure'!$D$17/1000),2)</f>
        <v>168.09</v>
      </c>
      <c r="S203" s="14">
        <f>ROUND(+'Rate Structure'!$D$13+((R$191-Q$191)*'Rate Structure'!$D$16/1000)+((S$191-R$191)*'Rate Structure'!$D$17/1000)+((D203-S$191)*'Rate Structure'!$D$18/1000),2)</f>
        <v>1008.09</v>
      </c>
    </row>
    <row r="204" spans="1:19">
      <c r="A204" s="21" t="s">
        <v>100</v>
      </c>
      <c r="B204" s="13" t="s">
        <v>105</v>
      </c>
      <c r="C204" s="21" t="s">
        <v>121</v>
      </c>
      <c r="D204" s="35">
        <v>0</v>
      </c>
      <c r="E204" s="43">
        <v>0</v>
      </c>
      <c r="F204" s="35">
        <v>0</v>
      </c>
      <c r="G204" s="35">
        <f t="shared" si="50"/>
        <v>0</v>
      </c>
      <c r="H204" s="35">
        <f t="shared" si="51"/>
        <v>0</v>
      </c>
      <c r="I204" s="35">
        <v>0</v>
      </c>
      <c r="J204" s="35">
        <f t="shared" si="52"/>
        <v>0</v>
      </c>
      <c r="K204" s="9">
        <f t="shared" si="53"/>
        <v>0</v>
      </c>
      <c r="O204" s="17">
        <f t="shared" si="55"/>
        <v>13</v>
      </c>
      <c r="P204" s="14">
        <f>ROUND(+'Rate Structure'!$D$13,2)</f>
        <v>1006.09</v>
      </c>
      <c r="Q204" s="14">
        <f>ROUND(+'Rate Structure'!$D$13+((D204-Q$191)*'Rate Structure'!$D$16/1000),2)</f>
        <v>94.09</v>
      </c>
      <c r="R204" s="14">
        <f>ROUND(+'Rate Structure'!$D$13+((R$191-Q$191)*'Rate Structure'!$D$16/1000)+((D204-R$191)*'Rate Structure'!$D$17/1000),2)</f>
        <v>168.09</v>
      </c>
      <c r="S204" s="14">
        <f>ROUND(+'Rate Structure'!$D$13+((R$191-Q$191)*'Rate Structure'!$D$16/1000)+((S$191-R$191)*'Rate Structure'!$D$17/1000)+((D204-S$191)*'Rate Structure'!$D$18/1000),2)</f>
        <v>1008.09</v>
      </c>
    </row>
    <row r="205" spans="1:19">
      <c r="A205" s="21" t="s">
        <v>101</v>
      </c>
      <c r="B205" s="13" t="s">
        <v>105</v>
      </c>
      <c r="C205" s="21" t="s">
        <v>112</v>
      </c>
      <c r="D205" s="35">
        <v>0</v>
      </c>
      <c r="E205" s="43">
        <v>0</v>
      </c>
      <c r="F205" s="36">
        <v>0</v>
      </c>
      <c r="G205" s="36">
        <f t="shared" si="50"/>
        <v>0</v>
      </c>
      <c r="H205" s="36">
        <f t="shared" si="51"/>
        <v>0</v>
      </c>
      <c r="I205" s="36">
        <v>0</v>
      </c>
      <c r="J205" s="36">
        <f t="shared" si="52"/>
        <v>0</v>
      </c>
      <c r="K205" s="10">
        <f t="shared" si="53"/>
        <v>0</v>
      </c>
      <c r="O205" s="17">
        <f t="shared" si="55"/>
        <v>14</v>
      </c>
      <c r="P205" s="14">
        <f>ROUND(+'Rate Structure'!$D$13,2)</f>
        <v>1006.09</v>
      </c>
      <c r="Q205" s="14">
        <f>ROUND(+'Rate Structure'!$D$13+((D205-Q$191)*'Rate Structure'!$D$16/1000),2)</f>
        <v>94.09</v>
      </c>
      <c r="R205" s="14">
        <f>ROUND(+'Rate Structure'!$D$13+((R$191-Q$191)*'Rate Structure'!$D$16/1000)+((D205-R$191)*'Rate Structure'!$D$17/1000),2)</f>
        <v>168.09</v>
      </c>
      <c r="S205" s="14">
        <f>ROUND(+'Rate Structure'!$D$13+((R$191-Q$191)*'Rate Structure'!$D$16/1000)+((S$191-R$191)*'Rate Structure'!$D$17/1000)+((D205-S$191)*'Rate Structure'!$D$18/1000),2)</f>
        <v>1008.09</v>
      </c>
    </row>
    <row r="206" spans="1:19">
      <c r="A206" s="9"/>
      <c r="B206" s="9"/>
      <c r="C206" s="9"/>
      <c r="D206" s="35"/>
      <c r="E206" s="33"/>
      <c r="I206" s="35"/>
      <c r="J206" s="33"/>
      <c r="O206" s="17"/>
    </row>
    <row r="207" spans="1:19">
      <c r="A207" s="9"/>
      <c r="B207" s="9"/>
      <c r="C207" s="13" t="s">
        <v>114</v>
      </c>
      <c r="D207" s="9"/>
      <c r="F207" s="35">
        <f t="shared" ref="F207:K207" si="56">SUM(F192:F205)</f>
        <v>0</v>
      </c>
      <c r="G207" s="35">
        <f t="shared" si="56"/>
        <v>0</v>
      </c>
      <c r="H207" s="34">
        <f t="shared" si="56"/>
        <v>0</v>
      </c>
      <c r="I207" s="35">
        <f t="shared" si="56"/>
        <v>80</v>
      </c>
      <c r="J207" s="9">
        <f t="shared" si="56"/>
        <v>34842290</v>
      </c>
      <c r="K207" s="8">
        <f t="shared" si="56"/>
        <v>200516</v>
      </c>
      <c r="O207" s="17"/>
    </row>
    <row r="208" spans="1:19">
      <c r="A208" s="9"/>
      <c r="B208" s="9"/>
      <c r="C208" s="13"/>
      <c r="D208" s="9"/>
      <c r="F208" s="35"/>
      <c r="G208" s="35"/>
      <c r="H208" s="34"/>
      <c r="I208" s="35"/>
      <c r="J208" s="9"/>
      <c r="K208" s="8"/>
      <c r="O208" s="17"/>
    </row>
    <row r="209" spans="1:19">
      <c r="A209" s="10" t="s">
        <v>214</v>
      </c>
      <c r="B209" s="9"/>
      <c r="C209" s="9"/>
      <c r="D209" s="9"/>
      <c r="I209" s="35"/>
      <c r="O209" s="17"/>
    </row>
    <row r="210" spans="1:19">
      <c r="F210" s="38" t="s">
        <v>57</v>
      </c>
      <c r="G210" s="37"/>
      <c r="H210" s="38"/>
      <c r="I210" s="38" t="s">
        <v>59</v>
      </c>
      <c r="J210" s="20"/>
      <c r="K210" s="2"/>
      <c r="O210" s="17"/>
    </row>
    <row r="211" spans="1:19">
      <c r="D211" s="33"/>
      <c r="E211" s="42" t="s">
        <v>122</v>
      </c>
      <c r="O211" s="17"/>
      <c r="P211" s="16" t="s">
        <v>136</v>
      </c>
    </row>
    <row r="212" spans="1:19">
      <c r="A212" s="7" t="s">
        <v>87</v>
      </c>
      <c r="B212" s="7"/>
      <c r="C212" s="7"/>
      <c r="D212" s="39" t="s">
        <v>122</v>
      </c>
      <c r="E212" s="39" t="s">
        <v>125</v>
      </c>
      <c r="F212" s="39" t="s">
        <v>126</v>
      </c>
      <c r="G212" s="39" t="s">
        <v>127</v>
      </c>
      <c r="H212" s="39" t="s">
        <v>128</v>
      </c>
      <c r="I212" s="39" t="s">
        <v>126</v>
      </c>
      <c r="J212" s="6" t="s">
        <v>127</v>
      </c>
      <c r="K212" s="6" t="s">
        <v>128</v>
      </c>
      <c r="O212" s="17"/>
      <c r="P212" s="18">
        <v>0</v>
      </c>
      <c r="Q212" s="18">
        <v>50000</v>
      </c>
      <c r="R212" s="18">
        <v>200000</v>
      </c>
      <c r="S212" s="18">
        <v>600000</v>
      </c>
    </row>
    <row r="213" spans="1:19">
      <c r="A213" s="9">
        <v>0</v>
      </c>
      <c r="B213" s="13" t="s">
        <v>105</v>
      </c>
      <c r="C213" s="9">
        <v>50000</v>
      </c>
      <c r="D213" s="35">
        <v>233</v>
      </c>
      <c r="E213" s="43">
        <f>HLOOKUP(D213,$P$212:$S$224,(O213)+1)</f>
        <v>142.96</v>
      </c>
      <c r="F213" s="33">
        <v>0</v>
      </c>
      <c r="G213" s="35">
        <f t="shared" ref="G213:G224" si="57">D213*F213</f>
        <v>0</v>
      </c>
      <c r="H213" s="35">
        <f t="shared" ref="H213:H224" si="58">ROUND(+F213*$E213,0)</f>
        <v>0</v>
      </c>
      <c r="I213" s="35">
        <v>89</v>
      </c>
      <c r="J213" s="9">
        <f t="shared" ref="J213:J224" si="59">D213*I213</f>
        <v>20737</v>
      </c>
      <c r="K213" s="9">
        <f t="shared" ref="K213:K224" si="60">ROUND(+I213*$E213,0)</f>
        <v>12723</v>
      </c>
      <c r="O213" s="17">
        <v>1</v>
      </c>
      <c r="P213" s="14">
        <f>ROUND(+'Rate Structure'!$D$23,2)</f>
        <v>142.96</v>
      </c>
      <c r="Q213" s="14">
        <f>ROUND(+'Rate Structure'!$D$23+((D213-Q$212)*'Rate Structure'!$D$16/1000),2)</f>
        <v>-140.71</v>
      </c>
      <c r="R213" s="14">
        <f>ROUND(+'Rate Structure'!$D$23+((R$150-Q$212)*'Rate Structure'!$D$16/1000)+((D213-R$212)*'Rate Structure'!$D$17/1000),2)</f>
        <v>-66.8</v>
      </c>
      <c r="S213" s="14">
        <f>ROUND(+'Rate Structure'!$D$23+((R$212-Q$212)*'Rate Structure'!$D$16/1000)+((S$212-R$212)*'Rate Structure'!$D$17/1000)+((D213-S$212)*'Rate Structure'!$D$18/1000),2)</f>
        <v>772.88</v>
      </c>
    </row>
    <row r="214" spans="1:19">
      <c r="A214" s="9">
        <v>50</v>
      </c>
      <c r="B214" s="13" t="s">
        <v>105</v>
      </c>
      <c r="C214" s="9">
        <v>75000</v>
      </c>
      <c r="D214" s="35">
        <v>0</v>
      </c>
      <c r="E214" s="43">
        <v>0</v>
      </c>
      <c r="F214" s="33">
        <v>0</v>
      </c>
      <c r="G214" s="35">
        <f t="shared" si="57"/>
        <v>0</v>
      </c>
      <c r="H214" s="35">
        <f t="shared" si="58"/>
        <v>0</v>
      </c>
      <c r="I214" s="35">
        <v>0</v>
      </c>
      <c r="J214" s="9">
        <f t="shared" si="59"/>
        <v>0</v>
      </c>
      <c r="K214" s="9">
        <f t="shared" si="60"/>
        <v>0</v>
      </c>
      <c r="O214" s="17">
        <f>O213+1</f>
        <v>2</v>
      </c>
      <c r="P214" s="14">
        <f>ROUND(+'Rate Structure'!$D$23,2)</f>
        <v>142.96</v>
      </c>
      <c r="Q214" s="14">
        <f>ROUND(+'Rate Structure'!$D$23+((D214-Q$212)*'Rate Structure'!$D$16/1000),2)</f>
        <v>-142.04</v>
      </c>
      <c r="R214" s="14">
        <f>ROUND(+'Rate Structure'!$D$23+((R$150-Q$212)*'Rate Structure'!$D$16/1000)+((D214-R$212)*'Rate Structure'!$D$17/1000),2)</f>
        <v>-68.040000000000006</v>
      </c>
      <c r="S214" s="14">
        <f>ROUND(+'Rate Structure'!$D$23+((R$212-Q$212)*'Rate Structure'!$D$16/1000)+((S$212-R$212)*'Rate Structure'!$D$17/1000)+((D214-S$212)*'Rate Structure'!$D$18/1000),2)</f>
        <v>771.96</v>
      </c>
    </row>
    <row r="215" spans="1:19">
      <c r="A215" s="9">
        <v>75</v>
      </c>
      <c r="B215" s="13" t="s">
        <v>105</v>
      </c>
      <c r="C215" s="9">
        <v>100000</v>
      </c>
      <c r="D215" s="35">
        <v>0</v>
      </c>
      <c r="E215" s="43">
        <v>0</v>
      </c>
      <c r="F215" s="33">
        <v>0</v>
      </c>
      <c r="G215" s="35">
        <f t="shared" si="57"/>
        <v>0</v>
      </c>
      <c r="H215" s="35">
        <f t="shared" si="58"/>
        <v>0</v>
      </c>
      <c r="I215" s="35">
        <v>0</v>
      </c>
      <c r="J215" s="9">
        <f t="shared" si="59"/>
        <v>0</v>
      </c>
      <c r="K215" s="9">
        <f t="shared" si="60"/>
        <v>0</v>
      </c>
      <c r="O215" s="17">
        <f t="shared" ref="O215:O224" si="61">O214+1</f>
        <v>3</v>
      </c>
      <c r="P215" s="14">
        <f>ROUND(+'Rate Structure'!$D$23,2)</f>
        <v>142.96</v>
      </c>
      <c r="Q215" s="14">
        <f>ROUND(+'Rate Structure'!$D$23+((D215-Q$212)*'Rate Structure'!$D$16/1000),2)</f>
        <v>-142.04</v>
      </c>
      <c r="R215" s="14">
        <f>ROUND(+'Rate Structure'!$D$23+((R$150-Q$212)*'Rate Structure'!$D$16/1000)+((D215-R$212)*'Rate Structure'!$D$17/1000),2)</f>
        <v>-68.040000000000006</v>
      </c>
      <c r="S215" s="14">
        <f>ROUND(+'Rate Structure'!$D$23+((R$212-Q$212)*'Rate Structure'!$D$16/1000)+((S$212-R$212)*'Rate Structure'!$D$17/1000)+((D215-S$212)*'Rate Structure'!$D$18/1000),2)</f>
        <v>771.96</v>
      </c>
    </row>
    <row r="216" spans="1:19">
      <c r="A216" s="9">
        <v>100</v>
      </c>
      <c r="B216" s="13" t="s">
        <v>105</v>
      </c>
      <c r="C216" s="9">
        <v>150000</v>
      </c>
      <c r="D216" s="35">
        <v>0</v>
      </c>
      <c r="E216" s="43">
        <v>0</v>
      </c>
      <c r="F216" s="33">
        <v>0</v>
      </c>
      <c r="G216" s="35">
        <f t="shared" si="57"/>
        <v>0</v>
      </c>
      <c r="H216" s="35">
        <f t="shared" si="58"/>
        <v>0</v>
      </c>
      <c r="I216" s="35">
        <v>0</v>
      </c>
      <c r="J216" s="9">
        <f t="shared" si="59"/>
        <v>0</v>
      </c>
      <c r="K216" s="9">
        <f t="shared" si="60"/>
        <v>0</v>
      </c>
      <c r="O216" s="17">
        <f t="shared" si="61"/>
        <v>4</v>
      </c>
      <c r="P216" s="14">
        <f>ROUND(+'Rate Structure'!$D$23,2)</f>
        <v>142.96</v>
      </c>
      <c r="Q216" s="14">
        <f>ROUND(+'Rate Structure'!$D$23+((D216-Q$212)*'Rate Structure'!$D$16/1000),2)</f>
        <v>-142.04</v>
      </c>
      <c r="R216" s="14">
        <f>ROUND(+'Rate Structure'!$D$23+((R$150-Q$212)*'Rate Structure'!$D$16/1000)+((D216-R$212)*'Rate Structure'!$D$17/1000),2)</f>
        <v>-68.040000000000006</v>
      </c>
      <c r="S216" s="14">
        <f>ROUND(+'Rate Structure'!$D$23+((R$212-Q$212)*'Rate Structure'!$D$16/1000)+((S$212-R$212)*'Rate Structure'!$D$17/1000)+((D216-S$212)*'Rate Structure'!$D$18/1000),2)</f>
        <v>771.96</v>
      </c>
    </row>
    <row r="217" spans="1:19">
      <c r="A217" s="9">
        <v>150</v>
      </c>
      <c r="B217" s="13" t="s">
        <v>105</v>
      </c>
      <c r="C217" s="9">
        <v>200000</v>
      </c>
      <c r="D217" s="9">
        <v>0</v>
      </c>
      <c r="E217" s="14">
        <v>0</v>
      </c>
      <c r="F217" s="33">
        <v>0</v>
      </c>
      <c r="G217" s="35">
        <f t="shared" si="57"/>
        <v>0</v>
      </c>
      <c r="H217" s="35">
        <f t="shared" si="58"/>
        <v>0</v>
      </c>
      <c r="I217" s="35">
        <v>0</v>
      </c>
      <c r="J217" s="9">
        <f t="shared" si="59"/>
        <v>0</v>
      </c>
      <c r="K217" s="9">
        <f t="shared" si="60"/>
        <v>0</v>
      </c>
      <c r="O217" s="17">
        <f t="shared" si="61"/>
        <v>5</v>
      </c>
      <c r="P217" s="14">
        <f>ROUND(+'Rate Structure'!$D$23,2)</f>
        <v>142.96</v>
      </c>
      <c r="Q217" s="14">
        <f>ROUND(+'Rate Structure'!$D$23+((D217-Q$212)*'Rate Structure'!$D$16/1000),2)</f>
        <v>-142.04</v>
      </c>
      <c r="R217" s="14">
        <f>ROUND(+'Rate Structure'!$D$23+((R$150-Q$212)*'Rate Structure'!$D$16/1000)+((D217-R$212)*'Rate Structure'!$D$17/1000),2)</f>
        <v>-68.040000000000006</v>
      </c>
      <c r="S217" s="14">
        <f>ROUND(+'Rate Structure'!$D$23+((R$212-Q$212)*'Rate Structure'!$D$16/1000)+((S$212-R$212)*'Rate Structure'!$D$17/1000)+((D217-S$212)*'Rate Structure'!$D$18/1000),2)</f>
        <v>771.96</v>
      </c>
    </row>
    <row r="218" spans="1:19">
      <c r="A218" s="9">
        <v>200</v>
      </c>
      <c r="B218" s="13" t="s">
        <v>105</v>
      </c>
      <c r="C218" s="9">
        <v>300000</v>
      </c>
      <c r="D218" s="9">
        <v>0</v>
      </c>
      <c r="E218" s="14">
        <v>0</v>
      </c>
      <c r="F218" s="33">
        <v>0</v>
      </c>
      <c r="G218" s="35">
        <f t="shared" si="57"/>
        <v>0</v>
      </c>
      <c r="H218" s="35">
        <f t="shared" si="58"/>
        <v>0</v>
      </c>
      <c r="I218" s="35">
        <v>0</v>
      </c>
      <c r="J218" s="9">
        <f t="shared" si="59"/>
        <v>0</v>
      </c>
      <c r="K218" s="9">
        <f t="shared" si="60"/>
        <v>0</v>
      </c>
      <c r="O218" s="17">
        <f t="shared" si="61"/>
        <v>6</v>
      </c>
      <c r="P218" s="14">
        <f>ROUND(+'Rate Structure'!$D$23,2)</f>
        <v>142.96</v>
      </c>
      <c r="Q218" s="14">
        <f>ROUND(+'Rate Structure'!$D$23+((D218-Q$212)*'Rate Structure'!$D$16/1000),2)</f>
        <v>-142.04</v>
      </c>
      <c r="R218" s="14">
        <f>ROUND(+'Rate Structure'!$D$23+((R$150-Q$212)*'Rate Structure'!$D$16/1000)+((D218-R$212)*'Rate Structure'!$D$17/1000),2)</f>
        <v>-68.040000000000006</v>
      </c>
      <c r="S218" s="14">
        <f>ROUND(+'Rate Structure'!$D$23+((R$212-Q$212)*'Rate Structure'!$D$16/1000)+((S$212-R$212)*'Rate Structure'!$D$17/1000)+((D218-S$212)*'Rate Structure'!$D$18/1000),2)</f>
        <v>771.96</v>
      </c>
    </row>
    <row r="219" spans="1:19">
      <c r="A219" s="9">
        <v>300</v>
      </c>
      <c r="B219" s="13" t="s">
        <v>105</v>
      </c>
      <c r="C219" s="9">
        <v>400000</v>
      </c>
      <c r="D219" s="9">
        <v>0</v>
      </c>
      <c r="E219" s="14">
        <v>0</v>
      </c>
      <c r="F219" s="33">
        <v>0</v>
      </c>
      <c r="G219" s="35">
        <f t="shared" si="57"/>
        <v>0</v>
      </c>
      <c r="H219" s="35">
        <f t="shared" si="58"/>
        <v>0</v>
      </c>
      <c r="I219" s="35">
        <v>0</v>
      </c>
      <c r="J219" s="9">
        <f t="shared" si="59"/>
        <v>0</v>
      </c>
      <c r="K219" s="9">
        <f t="shared" si="60"/>
        <v>0</v>
      </c>
      <c r="O219" s="17">
        <f t="shared" si="61"/>
        <v>7</v>
      </c>
      <c r="P219" s="14">
        <f>ROUND(+'Rate Structure'!$D$23,2)</f>
        <v>142.96</v>
      </c>
      <c r="Q219" s="14">
        <f>ROUND(+'Rate Structure'!$D$23+((D219-Q$212)*'Rate Structure'!$D$16/1000),2)</f>
        <v>-142.04</v>
      </c>
      <c r="R219" s="14">
        <f>ROUND(+'Rate Structure'!$D$23+((R$150-Q$212)*'Rate Structure'!$D$16/1000)+((D219-R$212)*'Rate Structure'!$D$17/1000),2)</f>
        <v>-68.040000000000006</v>
      </c>
      <c r="S219" s="14">
        <f>ROUND(+'Rate Structure'!$D$23+((R$212-Q$212)*'Rate Structure'!$D$16/1000)+((S$212-R$212)*'Rate Structure'!$D$17/1000)+((D219-S$212)*'Rate Structure'!$D$18/1000),2)</f>
        <v>771.96</v>
      </c>
    </row>
    <row r="220" spans="1:19">
      <c r="A220" s="9">
        <v>400</v>
      </c>
      <c r="B220" s="13" t="s">
        <v>105</v>
      </c>
      <c r="C220" s="9">
        <v>500000</v>
      </c>
      <c r="D220" s="9">
        <v>0</v>
      </c>
      <c r="E220" s="14">
        <v>0</v>
      </c>
      <c r="F220" s="33">
        <v>0</v>
      </c>
      <c r="G220" s="35">
        <f t="shared" si="57"/>
        <v>0</v>
      </c>
      <c r="H220" s="35">
        <f t="shared" si="58"/>
        <v>0</v>
      </c>
      <c r="I220" s="35">
        <v>0</v>
      </c>
      <c r="J220" s="9">
        <f t="shared" si="59"/>
        <v>0</v>
      </c>
      <c r="K220" s="9">
        <f t="shared" si="60"/>
        <v>0</v>
      </c>
      <c r="O220" s="17">
        <f t="shared" si="61"/>
        <v>8</v>
      </c>
      <c r="P220" s="14">
        <f>ROUND(+'Rate Structure'!$D$23,2)</f>
        <v>142.96</v>
      </c>
      <c r="Q220" s="14">
        <f>ROUND(+'Rate Structure'!$D$23+((D220-Q$212)*'Rate Structure'!$D$16/1000),2)</f>
        <v>-142.04</v>
      </c>
      <c r="R220" s="14">
        <f>ROUND(+'Rate Structure'!$D$23+((R$150-Q$212)*'Rate Structure'!$D$16/1000)+((D220-R$212)*'Rate Structure'!$D$17/1000),2)</f>
        <v>-68.040000000000006</v>
      </c>
      <c r="S220" s="14">
        <f>ROUND(+'Rate Structure'!$D$23+((R$212-Q$212)*'Rate Structure'!$D$16/1000)+((S$212-R$212)*'Rate Structure'!$D$17/1000)+((D220-S$212)*'Rate Structure'!$D$18/1000),2)</f>
        <v>771.96</v>
      </c>
    </row>
    <row r="221" spans="1:19">
      <c r="A221" s="9">
        <v>500</v>
      </c>
      <c r="B221" s="13" t="s">
        <v>105</v>
      </c>
      <c r="C221" s="9">
        <v>750000</v>
      </c>
      <c r="D221" s="9">
        <v>0</v>
      </c>
      <c r="E221" s="14">
        <v>0</v>
      </c>
      <c r="F221" s="33">
        <v>0</v>
      </c>
      <c r="G221" s="35">
        <f t="shared" si="57"/>
        <v>0</v>
      </c>
      <c r="H221" s="35">
        <f t="shared" si="58"/>
        <v>0</v>
      </c>
      <c r="I221" s="35">
        <v>0</v>
      </c>
      <c r="J221" s="9">
        <f t="shared" si="59"/>
        <v>0</v>
      </c>
      <c r="K221" s="9">
        <f t="shared" si="60"/>
        <v>0</v>
      </c>
      <c r="O221" s="17">
        <f t="shared" si="61"/>
        <v>9</v>
      </c>
      <c r="P221" s="14">
        <f>ROUND(+'Rate Structure'!$D$23,2)</f>
        <v>142.96</v>
      </c>
      <c r="Q221" s="14">
        <f>ROUND(+'Rate Structure'!$D$23+((D221-Q$212)*'Rate Structure'!$D$16/1000),2)</f>
        <v>-142.04</v>
      </c>
      <c r="R221" s="14">
        <f>ROUND(+'Rate Structure'!$D$23+((R$150-Q$212)*'Rate Structure'!$D$16/1000)+((D221-R$212)*'Rate Structure'!$D$17/1000),2)</f>
        <v>-68.040000000000006</v>
      </c>
      <c r="S221" s="14">
        <f>ROUND(+'Rate Structure'!$D$23+((R$212-Q$212)*'Rate Structure'!$D$16/1000)+((S$212-R$212)*'Rate Structure'!$D$17/1000)+((D221-S$212)*'Rate Structure'!$D$18/1000),2)</f>
        <v>771.96</v>
      </c>
    </row>
    <row r="222" spans="1:19">
      <c r="A222" s="9">
        <v>750</v>
      </c>
      <c r="B222" s="13" t="s">
        <v>105</v>
      </c>
      <c r="C222" s="21" t="s">
        <v>115</v>
      </c>
      <c r="D222" s="9">
        <v>0</v>
      </c>
      <c r="E222" s="14">
        <v>0</v>
      </c>
      <c r="F222" s="33">
        <v>0</v>
      </c>
      <c r="G222" s="35">
        <f t="shared" si="57"/>
        <v>0</v>
      </c>
      <c r="H222" s="35">
        <f t="shared" si="58"/>
        <v>0</v>
      </c>
      <c r="I222" s="35">
        <v>0</v>
      </c>
      <c r="J222" s="9">
        <f t="shared" si="59"/>
        <v>0</v>
      </c>
      <c r="K222" s="9">
        <f t="shared" si="60"/>
        <v>0</v>
      </c>
      <c r="O222" s="17">
        <f t="shared" si="61"/>
        <v>10</v>
      </c>
      <c r="P222" s="14">
        <f>ROUND(+'Rate Structure'!$D$23,2)</f>
        <v>142.96</v>
      </c>
      <c r="Q222" s="14">
        <f>ROUND(+'Rate Structure'!$D$23+((D222-Q$212)*'Rate Structure'!$D$16/1000),2)</f>
        <v>-142.04</v>
      </c>
      <c r="R222" s="14">
        <f>ROUND(+'Rate Structure'!$D$23+((R$150-Q$212)*'Rate Structure'!$D$16/1000)+((D222-R$212)*'Rate Structure'!$D$17/1000),2)</f>
        <v>-68.040000000000006</v>
      </c>
      <c r="S222" s="14">
        <f>ROUND(+'Rate Structure'!$D$23+((R$212-Q$212)*'Rate Structure'!$D$16/1000)+((S$212-R$212)*'Rate Structure'!$D$17/1000)+((D222-S$212)*'Rate Structure'!$D$18/1000),2)</f>
        <v>771.96</v>
      </c>
    </row>
    <row r="223" spans="1:19">
      <c r="A223" s="21" t="s">
        <v>91</v>
      </c>
      <c r="B223" s="13" t="s">
        <v>105</v>
      </c>
      <c r="C223" s="21" t="s">
        <v>116</v>
      </c>
      <c r="D223" s="9">
        <v>0</v>
      </c>
      <c r="E223" s="14">
        <v>0</v>
      </c>
      <c r="F223" s="33">
        <v>0</v>
      </c>
      <c r="G223" s="35">
        <f t="shared" si="57"/>
        <v>0</v>
      </c>
      <c r="H223" s="35">
        <f t="shared" si="58"/>
        <v>0</v>
      </c>
      <c r="I223" s="35">
        <v>0</v>
      </c>
      <c r="J223" s="9">
        <f t="shared" si="59"/>
        <v>0</v>
      </c>
      <c r="K223" s="9">
        <f t="shared" si="60"/>
        <v>0</v>
      </c>
      <c r="O223" s="17">
        <f t="shared" si="61"/>
        <v>11</v>
      </c>
      <c r="P223" s="14">
        <f>ROUND(+'Rate Structure'!$D$23,2)</f>
        <v>142.96</v>
      </c>
      <c r="Q223" s="14">
        <f>ROUND(+'Rate Structure'!$D$23+((D223-Q$212)*'Rate Structure'!$D$16/1000),2)</f>
        <v>-142.04</v>
      </c>
      <c r="R223" s="14">
        <f>ROUND(+'Rate Structure'!$D$23+((R$150-Q$212)*'Rate Structure'!$D$16/1000)+((D223-R$212)*'Rate Structure'!$D$17/1000),2)</f>
        <v>-68.040000000000006</v>
      </c>
      <c r="S223" s="14">
        <f>ROUND(+'Rate Structure'!$D$23+((R$212-Q$212)*'Rate Structure'!$D$16/1000)+((S$212-R$212)*'Rate Structure'!$D$17/1000)+((D223-S$212)*'Rate Structure'!$D$18/1000),2)</f>
        <v>771.96</v>
      </c>
    </row>
    <row r="224" spans="1:19">
      <c r="A224" s="21" t="s">
        <v>92</v>
      </c>
      <c r="B224" s="13" t="s">
        <v>105</v>
      </c>
      <c r="C224" s="21" t="s">
        <v>112</v>
      </c>
      <c r="D224" s="9">
        <v>0</v>
      </c>
      <c r="E224" s="14">
        <v>0</v>
      </c>
      <c r="F224" s="41">
        <v>0</v>
      </c>
      <c r="G224" s="36">
        <f t="shared" si="57"/>
        <v>0</v>
      </c>
      <c r="H224" s="36">
        <f t="shared" si="58"/>
        <v>0</v>
      </c>
      <c r="I224" s="36">
        <v>0</v>
      </c>
      <c r="J224" s="10">
        <f t="shared" si="59"/>
        <v>0</v>
      </c>
      <c r="K224" s="10">
        <f t="shared" si="60"/>
        <v>0</v>
      </c>
      <c r="O224" s="17">
        <f t="shared" si="61"/>
        <v>12</v>
      </c>
      <c r="P224" s="14">
        <f>ROUND(+'Rate Structure'!$D$23,2)</f>
        <v>142.96</v>
      </c>
      <c r="Q224" s="14">
        <f>ROUND(+'Rate Structure'!$D$23+((D224-Q$212)*'Rate Structure'!$D$16/1000),2)</f>
        <v>-142.04</v>
      </c>
      <c r="R224" s="14">
        <f>ROUND(+'Rate Structure'!$D$23+((R$150-Q$212)*'Rate Structure'!$D$16/1000)+((D224-R$212)*'Rate Structure'!$D$17/1000),2)</f>
        <v>-68.040000000000006</v>
      </c>
      <c r="S224" s="14">
        <f>ROUND(+'Rate Structure'!$D$23+((R$212-Q$212)*'Rate Structure'!$D$16/1000)+((S$212-R$212)*'Rate Structure'!$D$17/1000)+((D224-S$212)*'Rate Structure'!$D$18/1000),2)</f>
        <v>771.96</v>
      </c>
    </row>
    <row r="225" spans="1:20">
      <c r="A225" s="9"/>
      <c r="B225" s="9"/>
      <c r="C225" s="9"/>
      <c r="D225" s="9"/>
      <c r="I225" s="35"/>
      <c r="O225" s="17"/>
    </row>
    <row r="226" spans="1:20">
      <c r="A226" s="9"/>
      <c r="B226" s="9"/>
      <c r="C226" s="13" t="s">
        <v>114</v>
      </c>
      <c r="D226" s="9"/>
      <c r="F226" s="35">
        <f t="shared" ref="F226:K226" si="62">SUM(F213:F224)</f>
        <v>0</v>
      </c>
      <c r="G226" s="35">
        <f t="shared" si="62"/>
        <v>0</v>
      </c>
      <c r="H226" s="34">
        <f t="shared" si="62"/>
        <v>0</v>
      </c>
      <c r="I226" s="35">
        <f t="shared" si="62"/>
        <v>89</v>
      </c>
      <c r="J226" s="9">
        <f t="shared" si="62"/>
        <v>20737</v>
      </c>
      <c r="K226" s="8">
        <f t="shared" si="62"/>
        <v>12723</v>
      </c>
      <c r="O226" s="17"/>
    </row>
    <row r="227" spans="1:20">
      <c r="A227" s="9"/>
      <c r="B227" s="9"/>
      <c r="C227" s="13"/>
      <c r="D227" s="9"/>
      <c r="F227" s="35"/>
      <c r="G227" s="35"/>
      <c r="H227" s="34"/>
      <c r="I227" s="35"/>
      <c r="J227" s="9"/>
      <c r="K227" s="8"/>
      <c r="O227" s="17"/>
    </row>
    <row r="228" spans="1:20">
      <c r="A228" s="10" t="s">
        <v>215</v>
      </c>
      <c r="B228" s="9"/>
      <c r="C228" s="9"/>
      <c r="D228" s="9"/>
      <c r="I228" s="35"/>
      <c r="O228" s="17"/>
    </row>
    <row r="229" spans="1:20">
      <c r="F229" s="38" t="s">
        <v>57</v>
      </c>
      <c r="G229" s="37"/>
      <c r="H229" s="38"/>
      <c r="I229" s="38" t="s">
        <v>59</v>
      </c>
      <c r="J229" s="20"/>
      <c r="K229" s="2"/>
      <c r="O229" s="17"/>
    </row>
    <row r="230" spans="1:20">
      <c r="E230" s="5" t="s">
        <v>122</v>
      </c>
      <c r="O230" s="17"/>
      <c r="P230" s="16" t="s">
        <v>137</v>
      </c>
    </row>
    <row r="231" spans="1:20">
      <c r="A231" s="7" t="s">
        <v>87</v>
      </c>
      <c r="B231" s="7"/>
      <c r="C231" s="7"/>
      <c r="D231" s="39" t="s">
        <v>122</v>
      </c>
      <c r="E231" s="6" t="s">
        <v>125</v>
      </c>
      <c r="F231" s="39" t="s">
        <v>126</v>
      </c>
      <c r="G231" s="39" t="s">
        <v>127</v>
      </c>
      <c r="H231" s="39" t="s">
        <v>128</v>
      </c>
      <c r="I231" s="39" t="s">
        <v>126</v>
      </c>
      <c r="J231" s="6" t="s">
        <v>127</v>
      </c>
      <c r="K231" s="6" t="s">
        <v>128</v>
      </c>
      <c r="O231" s="17"/>
      <c r="P231" s="18">
        <v>0</v>
      </c>
      <c r="Q231" s="18">
        <v>100000</v>
      </c>
      <c r="R231" s="18">
        <v>200000</v>
      </c>
      <c r="S231" s="18">
        <v>600000</v>
      </c>
    </row>
    <row r="232" spans="1:20">
      <c r="A232" s="9">
        <v>0</v>
      </c>
      <c r="B232" s="13" t="s">
        <v>105</v>
      </c>
      <c r="C232" s="9">
        <v>100000</v>
      </c>
      <c r="D232" s="35">
        <v>0</v>
      </c>
      <c r="E232" s="14">
        <f>HLOOKUP(D232,$P$231:$S$246,(O232)+1)</f>
        <v>355.58</v>
      </c>
      <c r="F232" s="35">
        <v>0</v>
      </c>
      <c r="G232" s="35">
        <f t="shared" ref="G232:G246" si="63">D232*F232</f>
        <v>0</v>
      </c>
      <c r="H232" s="35">
        <f t="shared" ref="H232:H246" si="64">ROUND(+F232*$E232,0)</f>
        <v>0</v>
      </c>
      <c r="I232" s="35">
        <v>56</v>
      </c>
      <c r="J232" s="9">
        <f t="shared" ref="J232:J246" si="65">D232*I232</f>
        <v>0</v>
      </c>
      <c r="K232" s="9">
        <f t="shared" ref="K232:K246" si="66">ROUND(+I232*$E232,0)</f>
        <v>19912</v>
      </c>
      <c r="O232" s="17">
        <v>1</v>
      </c>
      <c r="P232" s="14">
        <f>ROUND(+'Rate Structure'!$D$24,2)</f>
        <v>355.58</v>
      </c>
      <c r="Q232" s="14">
        <f>ROUND(+'Rate Structure'!$D$24+((D232-Q$231)*'Rate Structure'!$D$16/1000),2)</f>
        <v>-214.42</v>
      </c>
      <c r="R232" s="14">
        <f>ROUND(+'Rate Structure'!$D$24+((R$231-Q$231)*'Rate Structure'!$D$16/1000)+((D232-R$231)*'Rate Structure'!$D$17/1000),2)</f>
        <v>-140.41999999999999</v>
      </c>
      <c r="S232" s="14">
        <f>ROUND(+'Rate Structure'!$D$24+((R$231-Q$231)*'Rate Structure'!$D$16/1000)+((S$231-R$231)*'Rate Structure'!$D$17/1000)+((D232-S$231)*'Rate Structure'!$D$18/1000),2)</f>
        <v>699.58</v>
      </c>
    </row>
    <row r="233" spans="1:20">
      <c r="A233" s="9">
        <v>100</v>
      </c>
      <c r="B233" s="13" t="s">
        <v>105</v>
      </c>
      <c r="C233" s="9">
        <v>150000</v>
      </c>
      <c r="D233" s="35">
        <v>0</v>
      </c>
      <c r="E233" s="14">
        <v>0</v>
      </c>
      <c r="F233" s="35">
        <v>0</v>
      </c>
      <c r="G233" s="35">
        <f t="shared" si="63"/>
        <v>0</v>
      </c>
      <c r="H233" s="35">
        <f t="shared" si="64"/>
        <v>0</v>
      </c>
      <c r="I233" s="35">
        <v>0</v>
      </c>
      <c r="J233" s="9">
        <f t="shared" si="65"/>
        <v>0</v>
      </c>
      <c r="K233" s="9">
        <f t="shared" si="66"/>
        <v>0</v>
      </c>
      <c r="O233" s="17">
        <f>O232+1</f>
        <v>2</v>
      </c>
      <c r="P233" s="14">
        <f>ROUND(+'Rate Structure'!$D$12,2)</f>
        <v>642.30999999999995</v>
      </c>
      <c r="Q233" s="14">
        <f>ROUND(+'Rate Structure'!$D$12+((D233-Q$169)*'Rate Structure'!$D$16/1000),2)</f>
        <v>72.31</v>
      </c>
      <c r="R233" s="14">
        <f>ROUND(+'Rate Structure'!$D$12+((R$169-Q$169)*'Rate Structure'!$D$16/1000)+((D233-R$169)*'Rate Structure'!$D$17/1000),2)</f>
        <v>146.31</v>
      </c>
      <c r="S233" s="14">
        <f>ROUND(+'Rate Structure'!$D$12+((R$169-Q$169)*'Rate Structure'!$D$16/1000)+((S$169-R$169)*'Rate Structure'!$D$17/1000)+((D233-S$169)*'Rate Structure'!$D$18/1000),2)</f>
        <v>986.31</v>
      </c>
    </row>
    <row r="234" spans="1:20">
      <c r="A234" s="9">
        <v>150</v>
      </c>
      <c r="B234" s="13" t="s">
        <v>105</v>
      </c>
      <c r="C234" s="9">
        <v>200000</v>
      </c>
      <c r="D234" s="9">
        <v>0</v>
      </c>
      <c r="E234" s="14">
        <v>0</v>
      </c>
      <c r="F234" s="35">
        <v>0</v>
      </c>
      <c r="G234" s="35">
        <f t="shared" si="63"/>
        <v>0</v>
      </c>
      <c r="H234" s="35">
        <f t="shared" si="64"/>
        <v>0</v>
      </c>
      <c r="I234" s="35">
        <v>0</v>
      </c>
      <c r="J234" s="9">
        <f t="shared" si="65"/>
        <v>0</v>
      </c>
      <c r="K234" s="9">
        <f t="shared" si="66"/>
        <v>0</v>
      </c>
      <c r="O234" s="17">
        <f t="shared" ref="O234:O246" si="67">O233+1</f>
        <v>3</v>
      </c>
      <c r="P234" s="14">
        <f>ROUND(+'Rate Structure'!$D$12,2)</f>
        <v>642.30999999999995</v>
      </c>
      <c r="Q234" s="14">
        <f>ROUND(+'Rate Structure'!$D$12+((D234-Q$169)*'Rate Structure'!$D$16/1000),2)</f>
        <v>72.31</v>
      </c>
      <c r="R234" s="14">
        <f>ROUND(+'Rate Structure'!$D$12+((R$169-Q$169)*'Rate Structure'!$D$16/1000)+((D234-R$169)*'Rate Structure'!$D$17/1000),2)</f>
        <v>146.31</v>
      </c>
      <c r="S234" s="14">
        <f>ROUND(+'Rate Structure'!$D$12+((R$169-Q$169)*'Rate Structure'!$D$16/1000)+((S$169-R$169)*'Rate Structure'!$D$17/1000)+((D234-S$169)*'Rate Structure'!$D$18/1000),2)</f>
        <v>986.31</v>
      </c>
    </row>
    <row r="235" spans="1:20">
      <c r="A235" s="9">
        <v>200</v>
      </c>
      <c r="B235" s="13" t="s">
        <v>105</v>
      </c>
      <c r="C235" s="9">
        <v>300000</v>
      </c>
      <c r="D235" s="9">
        <v>0</v>
      </c>
      <c r="E235" s="14">
        <v>0</v>
      </c>
      <c r="F235" s="35">
        <v>0</v>
      </c>
      <c r="G235" s="35">
        <f t="shared" si="63"/>
        <v>0</v>
      </c>
      <c r="H235" s="35">
        <f t="shared" si="64"/>
        <v>0</v>
      </c>
      <c r="I235" s="35">
        <v>0</v>
      </c>
      <c r="J235" s="9">
        <f t="shared" si="65"/>
        <v>0</v>
      </c>
      <c r="K235" s="9">
        <f t="shared" si="66"/>
        <v>0</v>
      </c>
      <c r="O235" s="17">
        <f t="shared" si="67"/>
        <v>4</v>
      </c>
      <c r="P235" s="14">
        <f>ROUND(+'Rate Structure'!$D$12,2)</f>
        <v>642.30999999999995</v>
      </c>
      <c r="Q235" s="14">
        <f>ROUND(+'Rate Structure'!$D$12+((D235-Q$169)*'Rate Structure'!$D$16/1000),2)</f>
        <v>72.31</v>
      </c>
      <c r="R235" s="14">
        <f>ROUND(+'Rate Structure'!$D$12+((R$169-Q$169)*'Rate Structure'!$D$16/1000)+((D235-R$169)*'Rate Structure'!$D$17/1000),2)</f>
        <v>146.31</v>
      </c>
      <c r="S235" s="14">
        <f>ROUND(+'Rate Structure'!$D$12+((R$169-Q$169)*'Rate Structure'!$D$16/1000)+((S$169-R$169)*'Rate Structure'!$D$17/1000)+((D235-S$169)*'Rate Structure'!$D$18/1000),2)</f>
        <v>986.31</v>
      </c>
    </row>
    <row r="236" spans="1:20">
      <c r="A236" s="9">
        <v>300</v>
      </c>
      <c r="B236" s="13" t="s">
        <v>105</v>
      </c>
      <c r="C236" s="9">
        <v>400000</v>
      </c>
      <c r="D236" s="9">
        <v>0</v>
      </c>
      <c r="E236" s="14">
        <v>0</v>
      </c>
      <c r="F236" s="35">
        <v>0</v>
      </c>
      <c r="G236" s="35">
        <f t="shared" si="63"/>
        <v>0</v>
      </c>
      <c r="H236" s="35">
        <f t="shared" si="64"/>
        <v>0</v>
      </c>
      <c r="I236" s="35">
        <v>0</v>
      </c>
      <c r="J236" s="9">
        <f t="shared" si="65"/>
        <v>0</v>
      </c>
      <c r="K236" s="9">
        <f t="shared" si="66"/>
        <v>0</v>
      </c>
      <c r="O236" s="17">
        <f t="shared" si="67"/>
        <v>5</v>
      </c>
      <c r="P236" s="14">
        <f>ROUND(+'Rate Structure'!$D$12,2)</f>
        <v>642.30999999999995</v>
      </c>
      <c r="Q236" s="14">
        <f>ROUND(+'Rate Structure'!$D$12+((D236-Q$169)*'Rate Structure'!$D$16/1000),2)</f>
        <v>72.31</v>
      </c>
      <c r="R236" s="14">
        <f>ROUND(+'Rate Structure'!$D$12+((R$169-Q$169)*'Rate Structure'!$D$16/1000)+((D236-R$169)*'Rate Structure'!$D$17/1000),2)</f>
        <v>146.31</v>
      </c>
      <c r="S236" s="14">
        <f>ROUND(+'Rate Structure'!$D$12+((R$169-Q$169)*'Rate Structure'!$D$16/1000)+((S$169-R$169)*'Rate Structure'!$D$17/1000)+((D236-S$169)*'Rate Structure'!$D$18/1000),2)</f>
        <v>986.31</v>
      </c>
    </row>
    <row r="237" spans="1:20">
      <c r="A237" s="9">
        <v>400</v>
      </c>
      <c r="B237" s="13" t="s">
        <v>105</v>
      </c>
      <c r="C237" s="9">
        <v>500000</v>
      </c>
      <c r="D237" s="9">
        <v>0</v>
      </c>
      <c r="E237" s="14">
        <v>0</v>
      </c>
      <c r="F237" s="35">
        <v>0</v>
      </c>
      <c r="G237" s="35">
        <f t="shared" si="63"/>
        <v>0</v>
      </c>
      <c r="H237" s="35">
        <f t="shared" si="64"/>
        <v>0</v>
      </c>
      <c r="I237" s="35">
        <v>0</v>
      </c>
      <c r="J237" s="9">
        <f t="shared" si="65"/>
        <v>0</v>
      </c>
      <c r="K237" s="9">
        <f t="shared" si="66"/>
        <v>0</v>
      </c>
      <c r="O237" s="17">
        <f t="shared" si="67"/>
        <v>6</v>
      </c>
      <c r="P237" s="14">
        <f>ROUND(+'Rate Structure'!$D$12,2)</f>
        <v>642.30999999999995</v>
      </c>
      <c r="Q237" s="14">
        <f>ROUND(+'Rate Structure'!$D$12+((D237-Q$169)*'Rate Structure'!$D$16/1000),2)</f>
        <v>72.31</v>
      </c>
      <c r="R237" s="14">
        <f>ROUND(+'Rate Structure'!$D$12+((R$169-Q$169)*'Rate Structure'!$D$16/1000)+((D237-R$169)*'Rate Structure'!$D$17/1000),2)</f>
        <v>146.31</v>
      </c>
      <c r="S237" s="14">
        <f>ROUND(+'Rate Structure'!$D$12+((R$169-Q$169)*'Rate Structure'!$D$16/1000)+((S$169-R$169)*'Rate Structure'!$D$17/1000)+((D237-S$169)*'Rate Structure'!$D$18/1000),2)</f>
        <v>986.31</v>
      </c>
    </row>
    <row r="238" spans="1:20">
      <c r="A238" s="9">
        <v>500</v>
      </c>
      <c r="B238" s="13" t="s">
        <v>105</v>
      </c>
      <c r="C238" s="9">
        <v>750000</v>
      </c>
      <c r="D238" s="9">
        <v>0</v>
      </c>
      <c r="E238" s="14">
        <v>0</v>
      </c>
      <c r="F238" s="35">
        <v>0</v>
      </c>
      <c r="G238" s="35">
        <f t="shared" si="63"/>
        <v>0</v>
      </c>
      <c r="H238" s="35">
        <f t="shared" si="64"/>
        <v>0</v>
      </c>
      <c r="I238" s="35">
        <v>0</v>
      </c>
      <c r="J238" s="9">
        <f t="shared" si="65"/>
        <v>0</v>
      </c>
      <c r="K238" s="9">
        <f t="shared" si="66"/>
        <v>0</v>
      </c>
      <c r="O238" s="17">
        <f t="shared" si="67"/>
        <v>7</v>
      </c>
      <c r="P238" s="14">
        <f>ROUND(+'Rate Structure'!$D$12,2)</f>
        <v>642.30999999999995</v>
      </c>
      <c r="Q238" s="14">
        <f>ROUND(+'Rate Structure'!$D$12+((D238-Q$169)*'Rate Structure'!$D$16/1000),2)</f>
        <v>72.31</v>
      </c>
      <c r="R238" s="14">
        <f>ROUND(+'Rate Structure'!$D$12+((R$169-Q$169)*'Rate Structure'!$D$16/1000)+((D238-R$169)*'Rate Structure'!$D$17/1000),2)</f>
        <v>146.31</v>
      </c>
      <c r="S238" s="14">
        <f>ROUND(+'Rate Structure'!$D$12+((R$169-Q$169)*'Rate Structure'!$D$16/1000)+((S$169-R$169)*'Rate Structure'!$D$17/1000)+((D238-S$169)*'Rate Structure'!$D$18/1000),2)</f>
        <v>986.31</v>
      </c>
    </row>
    <row r="239" spans="1:20">
      <c r="A239" s="9">
        <v>750</v>
      </c>
      <c r="B239" s="13" t="s">
        <v>105</v>
      </c>
      <c r="C239" s="21" t="s">
        <v>115</v>
      </c>
      <c r="D239" s="9">
        <v>0</v>
      </c>
      <c r="E239" s="14">
        <v>0</v>
      </c>
      <c r="F239" s="35">
        <v>0</v>
      </c>
      <c r="G239" s="35">
        <f t="shared" si="63"/>
        <v>0</v>
      </c>
      <c r="H239" s="35">
        <f t="shared" si="64"/>
        <v>0</v>
      </c>
      <c r="I239" s="35">
        <v>0</v>
      </c>
      <c r="J239" s="35">
        <f t="shared" si="65"/>
        <v>0</v>
      </c>
      <c r="K239" s="35">
        <f t="shared" si="66"/>
        <v>0</v>
      </c>
      <c r="L239" s="33"/>
      <c r="M239" s="33"/>
      <c r="N239" s="33"/>
      <c r="O239" s="56">
        <f t="shared" si="67"/>
        <v>8</v>
      </c>
      <c r="P239" s="43">
        <f>ROUND(+'Rate Structure'!$D$12,2)</f>
        <v>642.30999999999995</v>
      </c>
      <c r="Q239" s="43">
        <f>ROUND(+'Rate Structure'!$D$12+((D239-Q$169)*'Rate Structure'!$D$16/1000),2)</f>
        <v>72.31</v>
      </c>
      <c r="R239" s="43">
        <f>ROUND(+'Rate Structure'!$D$12+((R$169-Q$169)*'Rate Structure'!$D$16/1000)+((D239-R$169)*'Rate Structure'!$D$17/1000),2)</f>
        <v>146.31</v>
      </c>
      <c r="S239" s="43">
        <f>ROUND(+'Rate Structure'!$D$12+((R$169-Q$169)*'Rate Structure'!$D$16/1000)+((S$169-R$169)*'Rate Structure'!$D$17/1000)+((D239-S$169)*'Rate Structure'!$D$18/1000),2)</f>
        <v>986.31</v>
      </c>
      <c r="T239" s="33"/>
    </row>
    <row r="240" spans="1:20">
      <c r="A240" s="21" t="s">
        <v>96</v>
      </c>
      <c r="B240" s="13" t="s">
        <v>105</v>
      </c>
      <c r="C240" s="21" t="s">
        <v>116</v>
      </c>
      <c r="D240" s="9">
        <v>0</v>
      </c>
      <c r="E240" s="14">
        <v>0</v>
      </c>
      <c r="F240" s="35">
        <v>0</v>
      </c>
      <c r="G240" s="35">
        <f t="shared" si="63"/>
        <v>0</v>
      </c>
      <c r="H240" s="35">
        <f t="shared" si="64"/>
        <v>0</v>
      </c>
      <c r="I240" s="35">
        <v>0</v>
      </c>
      <c r="J240" s="35">
        <f t="shared" si="65"/>
        <v>0</v>
      </c>
      <c r="K240" s="35">
        <f t="shared" si="66"/>
        <v>0</v>
      </c>
      <c r="L240" s="33"/>
      <c r="M240" s="33"/>
      <c r="N240" s="33"/>
      <c r="O240" s="56">
        <f t="shared" si="67"/>
        <v>9</v>
      </c>
      <c r="P240" s="43">
        <f>ROUND(+'Rate Structure'!$D$12,2)</f>
        <v>642.30999999999995</v>
      </c>
      <c r="Q240" s="43">
        <f>ROUND(+'Rate Structure'!$D$12+((D240-Q$169)*'Rate Structure'!$D$16/1000),2)</f>
        <v>72.31</v>
      </c>
      <c r="R240" s="43">
        <f>ROUND(+'Rate Structure'!$D$12+((R$169-Q$169)*'Rate Structure'!$D$16/1000)+((D240-R$169)*'Rate Structure'!$D$17/1000),2)</f>
        <v>146.31</v>
      </c>
      <c r="S240" s="43">
        <f>ROUND(+'Rate Structure'!$D$12+((R$169-Q$169)*'Rate Structure'!$D$16/1000)+((S$169-R$169)*'Rate Structure'!$D$17/1000)+((D240-S$169)*'Rate Structure'!$D$18/1000),2)</f>
        <v>986.31</v>
      </c>
      <c r="T240" s="33"/>
    </row>
    <row r="241" spans="1:20">
      <c r="A241" s="21" t="s">
        <v>92</v>
      </c>
      <c r="B241" s="13" t="s">
        <v>105</v>
      </c>
      <c r="C241" s="21" t="s">
        <v>117</v>
      </c>
      <c r="D241" s="9">
        <v>0</v>
      </c>
      <c r="E241" s="14">
        <v>0</v>
      </c>
      <c r="F241" s="35">
        <v>0</v>
      </c>
      <c r="G241" s="35">
        <f t="shared" si="63"/>
        <v>0</v>
      </c>
      <c r="H241" s="35">
        <f t="shared" si="64"/>
        <v>0</v>
      </c>
      <c r="I241" s="35">
        <v>0</v>
      </c>
      <c r="J241" s="35">
        <f t="shared" si="65"/>
        <v>0</v>
      </c>
      <c r="K241" s="35">
        <f t="shared" si="66"/>
        <v>0</v>
      </c>
      <c r="L241" s="33"/>
      <c r="M241" s="33"/>
      <c r="N241" s="33"/>
      <c r="O241" s="56">
        <f t="shared" si="67"/>
        <v>10</v>
      </c>
      <c r="P241" s="43">
        <f>ROUND(+'Rate Structure'!$D$12,2)</f>
        <v>642.30999999999995</v>
      </c>
      <c r="Q241" s="43">
        <f>ROUND(+'Rate Structure'!$D$12+((D241-Q$169)*'Rate Structure'!$D$16/1000),2)</f>
        <v>72.31</v>
      </c>
      <c r="R241" s="43">
        <f>ROUND(+'Rate Structure'!$D$12+((R$169-Q$169)*'Rate Structure'!$D$16/1000)+((D241-R$169)*'Rate Structure'!$D$17/1000),2)</f>
        <v>146.31</v>
      </c>
      <c r="S241" s="43">
        <f>ROUND(+'Rate Structure'!$D$12+((R$169-Q$169)*'Rate Structure'!$D$16/1000)+((S$169-R$169)*'Rate Structure'!$D$17/1000)+((D241-S$169)*'Rate Structure'!$D$18/1000),2)</f>
        <v>986.31</v>
      </c>
      <c r="T241" s="33"/>
    </row>
    <row r="242" spans="1:20">
      <c r="A242" s="21" t="s">
        <v>97</v>
      </c>
      <c r="B242" s="13" t="s">
        <v>105</v>
      </c>
      <c r="C242" s="21" t="s">
        <v>118</v>
      </c>
      <c r="D242" s="9">
        <v>0</v>
      </c>
      <c r="E242" s="14">
        <v>0</v>
      </c>
      <c r="F242" s="35">
        <v>0</v>
      </c>
      <c r="G242" s="35">
        <f t="shared" si="63"/>
        <v>0</v>
      </c>
      <c r="H242" s="35">
        <f t="shared" si="64"/>
        <v>0</v>
      </c>
      <c r="I242" s="35">
        <v>0</v>
      </c>
      <c r="J242" s="35">
        <f t="shared" si="65"/>
        <v>0</v>
      </c>
      <c r="K242" s="35">
        <f t="shared" si="66"/>
        <v>0</v>
      </c>
      <c r="L242" s="33"/>
      <c r="M242" s="33"/>
      <c r="N242" s="33"/>
      <c r="O242" s="56">
        <f t="shared" si="67"/>
        <v>11</v>
      </c>
      <c r="P242" s="43">
        <f>ROUND(+'Rate Structure'!$D$12,2)</f>
        <v>642.30999999999995</v>
      </c>
      <c r="Q242" s="43">
        <f>ROUND(+'Rate Structure'!$D$12+((D242-Q$169)*'Rate Structure'!$D$16/1000),2)</f>
        <v>72.31</v>
      </c>
      <c r="R242" s="43">
        <f>ROUND(+'Rate Structure'!$D$12+((R$169-Q$169)*'Rate Structure'!$D$16/1000)+((D242-R$169)*'Rate Structure'!$D$17/1000),2)</f>
        <v>146.31</v>
      </c>
      <c r="S242" s="43">
        <f>ROUND(+'Rate Structure'!$D$12+((R$169-Q$169)*'Rate Structure'!$D$16/1000)+((S$169-R$169)*'Rate Structure'!$D$17/1000)+((D242-S$169)*'Rate Structure'!$D$18/1000),2)</f>
        <v>986.31</v>
      </c>
      <c r="T242" s="33"/>
    </row>
    <row r="243" spans="1:20">
      <c r="A243" s="21" t="s">
        <v>98</v>
      </c>
      <c r="B243" s="13" t="s">
        <v>105</v>
      </c>
      <c r="C243" s="21" t="s">
        <v>119</v>
      </c>
      <c r="D243" s="9">
        <v>0</v>
      </c>
      <c r="E243" s="14">
        <v>0</v>
      </c>
      <c r="F243" s="35">
        <v>0</v>
      </c>
      <c r="G243" s="35">
        <f t="shared" si="63"/>
        <v>0</v>
      </c>
      <c r="H243" s="35">
        <f t="shared" si="64"/>
        <v>0</v>
      </c>
      <c r="I243" s="35">
        <v>0</v>
      </c>
      <c r="J243" s="35">
        <f t="shared" si="65"/>
        <v>0</v>
      </c>
      <c r="K243" s="35">
        <f t="shared" si="66"/>
        <v>0</v>
      </c>
      <c r="L243" s="33"/>
      <c r="M243" s="33"/>
      <c r="N243" s="33"/>
      <c r="O243" s="56">
        <f t="shared" si="67"/>
        <v>12</v>
      </c>
      <c r="P243" s="43">
        <f>ROUND(+'Rate Structure'!$D$12,2)</f>
        <v>642.30999999999995</v>
      </c>
      <c r="Q243" s="43">
        <f>ROUND(+'Rate Structure'!$D$12+((D243-Q$169)*'Rate Structure'!$D$16/1000),2)</f>
        <v>72.31</v>
      </c>
      <c r="R243" s="43">
        <f>ROUND(+'Rate Structure'!$D$12+((R$169-Q$169)*'Rate Structure'!$D$16/1000)+((D243-R$169)*'Rate Structure'!$D$17/1000),2)</f>
        <v>146.31</v>
      </c>
      <c r="S243" s="43">
        <f>ROUND(+'Rate Structure'!$D$12+((R$169-Q$169)*'Rate Structure'!$D$16/1000)+((S$169-R$169)*'Rate Structure'!$D$17/1000)+((D243-S$169)*'Rate Structure'!$D$18/1000),2)</f>
        <v>986.31</v>
      </c>
      <c r="T243" s="33"/>
    </row>
    <row r="244" spans="1:20">
      <c r="A244" s="21" t="s">
        <v>99</v>
      </c>
      <c r="B244" s="13" t="s">
        <v>105</v>
      </c>
      <c r="C244" s="21" t="s">
        <v>120</v>
      </c>
      <c r="D244" s="9">
        <v>0</v>
      </c>
      <c r="E244" s="14">
        <v>0</v>
      </c>
      <c r="F244" s="35">
        <v>0</v>
      </c>
      <c r="G244" s="35">
        <f t="shared" si="63"/>
        <v>0</v>
      </c>
      <c r="H244" s="35">
        <f t="shared" si="64"/>
        <v>0</v>
      </c>
      <c r="I244" s="35">
        <v>0</v>
      </c>
      <c r="J244" s="35">
        <f t="shared" si="65"/>
        <v>0</v>
      </c>
      <c r="K244" s="35">
        <f t="shared" si="66"/>
        <v>0</v>
      </c>
      <c r="L244" s="33"/>
      <c r="M244" s="33"/>
      <c r="N244" s="33"/>
      <c r="O244" s="56">
        <f t="shared" si="67"/>
        <v>13</v>
      </c>
      <c r="P244" s="43">
        <f>ROUND(+'Rate Structure'!$D$12,2)</f>
        <v>642.30999999999995</v>
      </c>
      <c r="Q244" s="43">
        <f>ROUND(+'Rate Structure'!$D$12+((D244-Q$169)*'Rate Structure'!$D$16/1000),2)</f>
        <v>72.31</v>
      </c>
      <c r="R244" s="43">
        <f>ROUND(+'Rate Structure'!$D$12+((R$169-Q$169)*'Rate Structure'!$D$16/1000)+((D244-R$169)*'Rate Structure'!$D$17/1000),2)</f>
        <v>146.31</v>
      </c>
      <c r="S244" s="43">
        <f>ROUND(+'Rate Structure'!$D$12+((R$169-Q$169)*'Rate Structure'!$D$16/1000)+((S$169-R$169)*'Rate Structure'!$D$17/1000)+((D244-S$169)*'Rate Structure'!$D$18/1000),2)</f>
        <v>986.31</v>
      </c>
      <c r="T244" s="33"/>
    </row>
    <row r="245" spans="1:20">
      <c r="A245" s="21" t="s">
        <v>100</v>
      </c>
      <c r="B245" s="13" t="s">
        <v>105</v>
      </c>
      <c r="C245" s="21" t="s">
        <v>121</v>
      </c>
      <c r="D245" s="9">
        <v>0</v>
      </c>
      <c r="E245" s="14">
        <v>0</v>
      </c>
      <c r="F245" s="35">
        <v>0</v>
      </c>
      <c r="G245" s="35">
        <f t="shared" si="63"/>
        <v>0</v>
      </c>
      <c r="H245" s="35">
        <f t="shared" si="64"/>
        <v>0</v>
      </c>
      <c r="I245" s="35">
        <v>0</v>
      </c>
      <c r="J245" s="35">
        <f t="shared" si="65"/>
        <v>0</v>
      </c>
      <c r="K245" s="35">
        <f t="shared" si="66"/>
        <v>0</v>
      </c>
      <c r="L245" s="33"/>
      <c r="M245" s="33"/>
      <c r="N245" s="33"/>
      <c r="O245" s="56">
        <f t="shared" si="67"/>
        <v>14</v>
      </c>
      <c r="P245" s="43">
        <f>ROUND(+'Rate Structure'!$D$12,2)</f>
        <v>642.30999999999995</v>
      </c>
      <c r="Q245" s="43">
        <f>ROUND(+'Rate Structure'!$D$12+((D245-Q$169)*'Rate Structure'!$D$16/1000),2)</f>
        <v>72.31</v>
      </c>
      <c r="R245" s="43">
        <f>ROUND(+'Rate Structure'!$D$12+((R$169-Q$169)*'Rate Structure'!$D$16/1000)+((D245-R$169)*'Rate Structure'!$D$17/1000),2)</f>
        <v>146.31</v>
      </c>
      <c r="S245" s="43">
        <f>ROUND(+'Rate Structure'!$D$12+((R$169-Q$169)*'Rate Structure'!$D$16/1000)+((S$169-R$169)*'Rate Structure'!$D$17/1000)+((D245-S$169)*'Rate Structure'!$D$18/1000),2)</f>
        <v>986.31</v>
      </c>
      <c r="T245" s="33"/>
    </row>
    <row r="246" spans="1:20">
      <c r="A246" s="21" t="s">
        <v>101</v>
      </c>
      <c r="B246" s="13" t="s">
        <v>105</v>
      </c>
      <c r="C246" s="21" t="s">
        <v>112</v>
      </c>
      <c r="D246" s="9">
        <v>0</v>
      </c>
      <c r="E246" s="14">
        <v>0</v>
      </c>
      <c r="F246" s="36">
        <v>0</v>
      </c>
      <c r="G246" s="36">
        <f t="shared" si="63"/>
        <v>0</v>
      </c>
      <c r="H246" s="36">
        <f t="shared" si="64"/>
        <v>0</v>
      </c>
      <c r="I246" s="36">
        <v>0</v>
      </c>
      <c r="J246" s="36">
        <f t="shared" si="65"/>
        <v>0</v>
      </c>
      <c r="K246" s="36">
        <f t="shared" si="66"/>
        <v>0</v>
      </c>
      <c r="L246" s="33"/>
      <c r="M246" s="33"/>
      <c r="N246" s="33"/>
      <c r="O246" s="56">
        <f t="shared" si="67"/>
        <v>15</v>
      </c>
      <c r="P246" s="43">
        <f>ROUND(+'Rate Structure'!$D$12,2)</f>
        <v>642.30999999999995</v>
      </c>
      <c r="Q246" s="43">
        <f>ROUND(+'Rate Structure'!$D$12+((D246-Q$169)*'Rate Structure'!$D$16/1000),2)</f>
        <v>72.31</v>
      </c>
      <c r="R246" s="43">
        <f>ROUND(+'Rate Structure'!$D$12+((R$169-Q$169)*'Rate Structure'!$D$16/1000)+((D246-R$169)*'Rate Structure'!$D$17/1000),2)</f>
        <v>146.31</v>
      </c>
      <c r="S246" s="43">
        <f>ROUND(+'Rate Structure'!$D$12+((R$169-Q$169)*'Rate Structure'!$D$16/1000)+((S$169-R$169)*'Rate Structure'!$D$17/1000)+((D246-S$169)*'Rate Structure'!$D$18/1000),2)</f>
        <v>986.31</v>
      </c>
      <c r="T246" s="33"/>
    </row>
    <row r="247" spans="1:20">
      <c r="A247" s="9"/>
      <c r="B247" s="9"/>
      <c r="C247" s="9"/>
      <c r="D247" s="9"/>
      <c r="I247" s="35"/>
      <c r="J247" s="33"/>
      <c r="K247" s="33"/>
      <c r="L247" s="33"/>
      <c r="M247" s="33"/>
      <c r="N247" s="33"/>
      <c r="O247" s="56"/>
      <c r="P247" s="33"/>
      <c r="Q247" s="33"/>
      <c r="R247" s="33"/>
      <c r="S247" s="33"/>
      <c r="T247" s="33"/>
    </row>
    <row r="248" spans="1:20">
      <c r="A248" s="9"/>
      <c r="B248" s="9"/>
      <c r="C248" s="13" t="s">
        <v>114</v>
      </c>
      <c r="D248" s="9"/>
      <c r="F248" s="35">
        <f t="shared" ref="F248:K248" si="68">SUM(F232:F246)</f>
        <v>0</v>
      </c>
      <c r="G248" s="35">
        <f t="shared" si="68"/>
        <v>0</v>
      </c>
      <c r="H248" s="34">
        <f t="shared" si="68"/>
        <v>0</v>
      </c>
      <c r="I248" s="35">
        <f t="shared" si="68"/>
        <v>56</v>
      </c>
      <c r="J248" s="35">
        <f t="shared" si="68"/>
        <v>0</v>
      </c>
      <c r="K248" s="34">
        <f t="shared" si="68"/>
        <v>19912</v>
      </c>
      <c r="L248" s="33"/>
      <c r="M248" s="33"/>
      <c r="N248" s="33"/>
      <c r="O248" s="56"/>
      <c r="P248" s="33"/>
      <c r="Q248" s="33"/>
      <c r="R248" s="33"/>
      <c r="S248" s="33"/>
      <c r="T248" s="33"/>
    </row>
    <row r="249" spans="1:20">
      <c r="A249" s="9"/>
      <c r="B249" s="9"/>
      <c r="C249" s="9"/>
      <c r="D249" s="9"/>
      <c r="I249" s="35"/>
      <c r="J249" s="33"/>
      <c r="K249" s="33"/>
      <c r="L249" s="33"/>
      <c r="M249" s="51" t="s">
        <v>197</v>
      </c>
      <c r="N249" s="33"/>
      <c r="O249" s="56"/>
      <c r="P249" s="33"/>
      <c r="Q249" s="33"/>
      <c r="R249" s="33"/>
      <c r="S249" s="33"/>
      <c r="T249" s="33"/>
    </row>
    <row r="250" spans="1:20">
      <c r="A250" s="9"/>
      <c r="B250" s="9"/>
      <c r="C250" s="9"/>
      <c r="D250" s="9"/>
      <c r="I250" s="35"/>
      <c r="J250" s="33"/>
      <c r="K250" s="33"/>
      <c r="L250" s="33"/>
      <c r="M250" s="33"/>
      <c r="N250" s="33"/>
      <c r="O250" s="56"/>
      <c r="P250" s="33"/>
      <c r="Q250" s="33"/>
      <c r="R250" s="33"/>
      <c r="S250" s="33"/>
      <c r="T250" s="33"/>
    </row>
    <row r="251" spans="1:20">
      <c r="A251" s="9"/>
      <c r="B251" s="9"/>
      <c r="C251" s="9"/>
      <c r="D251" s="9"/>
      <c r="I251" s="35"/>
      <c r="J251" s="33"/>
      <c r="K251" s="33"/>
      <c r="L251" s="33"/>
      <c r="M251" s="33" t="s">
        <v>198</v>
      </c>
      <c r="N251" s="33"/>
      <c r="O251" s="56" t="s">
        <v>199</v>
      </c>
      <c r="P251" s="33"/>
      <c r="Q251" s="33"/>
      <c r="R251" s="33"/>
      <c r="S251" s="33"/>
      <c r="T251" s="33"/>
    </row>
    <row r="252" spans="1:20">
      <c r="A252" s="9"/>
      <c r="B252" s="13" t="s">
        <v>106</v>
      </c>
      <c r="C252" s="9"/>
      <c r="D252" s="9"/>
      <c r="E252" s="23">
        <v>2259</v>
      </c>
      <c r="F252" s="35">
        <f t="shared" ref="F252:K252" si="69">(F39+F73+F99+F124+F145+F164+F186+F207+F226+F248)</f>
        <v>36946</v>
      </c>
      <c r="G252" s="35">
        <f t="shared" si="69"/>
        <v>169367681</v>
      </c>
      <c r="H252" s="35">
        <f t="shared" si="69"/>
        <v>1316107</v>
      </c>
      <c r="I252" s="35">
        <f t="shared" si="69"/>
        <v>4483</v>
      </c>
      <c r="J252" s="35">
        <f t="shared" si="69"/>
        <v>160302614</v>
      </c>
      <c r="K252" s="35">
        <f t="shared" si="69"/>
        <v>1071944</v>
      </c>
      <c r="L252" s="33"/>
      <c r="M252" s="33">
        <f>'Test Per. Cust'!D9</f>
        <v>4483</v>
      </c>
      <c r="N252" s="50" t="s">
        <v>129</v>
      </c>
      <c r="O252" s="56">
        <f>+I252-M252</f>
        <v>0</v>
      </c>
      <c r="P252" s="33"/>
      <c r="Q252" s="33"/>
      <c r="R252" s="33"/>
      <c r="S252" s="33"/>
      <c r="T252" s="33"/>
    </row>
    <row r="253" spans="1:20">
      <c r="A253" s="9"/>
      <c r="B253" s="13" t="s">
        <v>107</v>
      </c>
      <c r="C253" s="9"/>
      <c r="D253" s="9"/>
      <c r="E253" s="23"/>
      <c r="F253" s="35">
        <f>ROUND(+F252/12,0)</f>
        <v>3079</v>
      </c>
      <c r="G253" s="35"/>
      <c r="H253" s="35"/>
      <c r="I253" s="35">
        <f>ROUND(+I252/12,0)</f>
        <v>374</v>
      </c>
      <c r="J253" s="35"/>
      <c r="K253" s="35"/>
      <c r="L253" s="33"/>
      <c r="M253" s="33">
        <f>'Test Per. Cust'!B9</f>
        <v>36946</v>
      </c>
      <c r="N253" s="50" t="s">
        <v>130</v>
      </c>
      <c r="O253" s="57">
        <f>F252-M253</f>
        <v>0</v>
      </c>
      <c r="P253" s="33"/>
      <c r="Q253" s="33"/>
      <c r="R253" s="33"/>
      <c r="S253" s="33"/>
      <c r="T253" s="33"/>
    </row>
    <row r="254" spans="1:20">
      <c r="B254" s="4" t="s">
        <v>108</v>
      </c>
      <c r="D254" s="9"/>
      <c r="G254" s="35">
        <f>G252/F252</f>
        <v>4584.1953391436155</v>
      </c>
      <c r="I254" s="35"/>
      <c r="J254" s="35">
        <f>J252/I252</f>
        <v>35757.888467544057</v>
      </c>
      <c r="K254" s="33"/>
      <c r="L254" s="33"/>
      <c r="M254" s="33"/>
      <c r="N254" s="33"/>
      <c r="O254" s="56"/>
      <c r="P254" s="33"/>
      <c r="Q254" s="33"/>
      <c r="R254" s="33"/>
      <c r="S254" s="33"/>
      <c r="T254" s="33"/>
    </row>
    <row r="255" spans="1:20">
      <c r="A255" s="9"/>
      <c r="B255" s="9"/>
      <c r="C255" s="9"/>
      <c r="D255" s="9"/>
      <c r="I255" s="35"/>
      <c r="J255" s="33"/>
      <c r="K255" s="33"/>
      <c r="L255" s="33"/>
      <c r="M255" s="33"/>
      <c r="N255" s="33"/>
      <c r="O255" s="56"/>
      <c r="P255" s="33"/>
      <c r="Q255" s="33"/>
      <c r="R255" s="33"/>
      <c r="S255" s="33"/>
      <c r="T255" s="33"/>
    </row>
    <row r="256" spans="1:20">
      <c r="A256" s="9"/>
      <c r="B256" s="13" t="s">
        <v>109</v>
      </c>
      <c r="C256" s="9"/>
      <c r="D256" s="9"/>
      <c r="G256" s="35">
        <f>ROUND(+G252,0)</f>
        <v>169367681</v>
      </c>
      <c r="I256" s="35"/>
      <c r="J256" s="35">
        <f>ROUND(+J252,0)</f>
        <v>160302614</v>
      </c>
      <c r="K256" s="33"/>
      <c r="L256" s="33"/>
      <c r="M256" s="33"/>
      <c r="N256" s="33"/>
      <c r="O256" s="56"/>
      <c r="P256" s="33"/>
      <c r="Q256" s="33"/>
      <c r="R256" s="33"/>
      <c r="S256" s="33"/>
      <c r="T256" s="33"/>
    </row>
    <row r="257" spans="1:20">
      <c r="A257" s="9"/>
      <c r="B257" s="13" t="s">
        <v>110</v>
      </c>
      <c r="C257" s="9"/>
      <c r="D257" s="9"/>
      <c r="G257" s="46">
        <f>ROUND(('Water Loss'!D8+1)*G256,0)</f>
        <v>215550267</v>
      </c>
      <c r="I257" s="35"/>
      <c r="J257" s="46">
        <f>ROUND(('Water Loss'!D8+1)*J256,0)</f>
        <v>204013370</v>
      </c>
      <c r="K257" s="33"/>
      <c r="L257" s="33"/>
      <c r="M257" s="33"/>
      <c r="N257" s="33"/>
      <c r="O257" s="56"/>
      <c r="P257" s="33"/>
      <c r="Q257" s="58">
        <v>1198811</v>
      </c>
      <c r="R257" s="59">
        <f>H258-Q257</f>
        <v>117296</v>
      </c>
      <c r="S257" s="33"/>
      <c r="T257" s="33"/>
    </row>
    <row r="258" spans="1:20" ht="17.399999999999999">
      <c r="A258" s="9"/>
      <c r="B258" s="13" t="s">
        <v>111</v>
      </c>
      <c r="C258" s="9"/>
      <c r="D258" s="9"/>
      <c r="H258" s="34">
        <f>H252</f>
        <v>1316107</v>
      </c>
      <c r="I258" s="44"/>
      <c r="J258" s="33"/>
      <c r="K258" s="34">
        <f>K252</f>
        <v>1071944</v>
      </c>
      <c r="L258" s="60"/>
      <c r="M258" s="33"/>
      <c r="N258" s="33"/>
      <c r="O258" s="56"/>
      <c r="P258" s="33"/>
      <c r="Q258" s="58">
        <v>976582</v>
      </c>
      <c r="R258" s="59">
        <f>K258-Q258</f>
        <v>95362</v>
      </c>
      <c r="S258" s="33"/>
      <c r="T258" s="33"/>
    </row>
    <row r="259" spans="1:20">
      <c r="A259" s="9"/>
      <c r="B259" s="9"/>
      <c r="C259" s="9"/>
      <c r="D259" s="9"/>
      <c r="I259" s="35"/>
      <c r="J259" s="33"/>
      <c r="K259" s="33"/>
      <c r="L259" s="33"/>
      <c r="M259" s="33"/>
      <c r="N259" s="33"/>
      <c r="O259" s="56"/>
      <c r="P259" s="33"/>
      <c r="Q259" s="33"/>
      <c r="R259" s="33"/>
      <c r="S259" s="33"/>
      <c r="T259" s="33"/>
    </row>
    <row r="260" spans="1:20">
      <c r="A260" s="13" t="s">
        <v>102</v>
      </c>
      <c r="B260" s="9"/>
      <c r="C260" s="9"/>
      <c r="D260" s="9"/>
      <c r="G260" s="35">
        <f>G256+J256</f>
        <v>329670295</v>
      </c>
      <c r="J260" s="33"/>
      <c r="K260" s="33"/>
      <c r="L260" s="33"/>
      <c r="M260" s="35"/>
      <c r="N260" s="33"/>
      <c r="O260" s="35"/>
      <c r="P260" s="33"/>
      <c r="Q260" s="61">
        <f>Q257+Q258</f>
        <v>2175393</v>
      </c>
      <c r="R260" s="33"/>
      <c r="S260" s="33"/>
      <c r="T260" s="33"/>
    </row>
    <row r="261" spans="1:20">
      <c r="A261" s="13" t="s">
        <v>103</v>
      </c>
      <c r="B261" s="9"/>
      <c r="C261" s="9"/>
      <c r="D261" s="9"/>
      <c r="G261" s="35">
        <f>G257+J257</f>
        <v>419563637</v>
      </c>
      <c r="I261" s="35"/>
      <c r="J261" s="33"/>
      <c r="K261" s="33"/>
      <c r="L261" s="33"/>
      <c r="M261" s="35"/>
      <c r="N261" s="33"/>
      <c r="O261" s="35"/>
      <c r="P261" s="33"/>
      <c r="Q261" s="33"/>
      <c r="R261" s="33"/>
      <c r="S261" s="33"/>
      <c r="T261" s="33"/>
    </row>
    <row r="262" spans="1:20">
      <c r="A262" s="13" t="s">
        <v>104</v>
      </c>
      <c r="B262" s="9"/>
      <c r="C262" s="9"/>
      <c r="G262" s="47">
        <f>H258+K258</f>
        <v>2388051</v>
      </c>
      <c r="H262" s="48" t="s">
        <v>46</v>
      </c>
      <c r="I262" s="35"/>
      <c r="J262" s="33"/>
      <c r="K262" s="33"/>
      <c r="L262" s="33"/>
      <c r="M262" s="34"/>
      <c r="N262" s="34"/>
      <c r="O262" s="34"/>
      <c r="P262" s="33"/>
      <c r="Q262" s="33"/>
      <c r="R262" s="33"/>
      <c r="S262" s="33"/>
      <c r="T262" s="33"/>
    </row>
    <row r="263" spans="1:20">
      <c r="I263" s="35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>
      <c r="A264" s="18" t="s">
        <v>223</v>
      </c>
      <c r="I264" s="35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>
      <c r="G265" s="66"/>
      <c r="I265" s="35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>
      <c r="I266" s="35"/>
      <c r="J266" s="33"/>
      <c r="K266" s="33"/>
      <c r="L266" s="33"/>
      <c r="M266" s="62"/>
      <c r="N266" s="33"/>
      <c r="O266" s="35"/>
      <c r="P266" s="33"/>
      <c r="Q266" s="33"/>
      <c r="R266" s="33"/>
      <c r="S266" s="33"/>
      <c r="T266" s="33"/>
    </row>
    <row r="267" spans="1:20" ht="17.399999999999999">
      <c r="A267" s="25"/>
      <c r="I267" s="35"/>
      <c r="J267" s="33"/>
      <c r="K267" s="33"/>
      <c r="L267" s="33"/>
      <c r="M267" s="50"/>
      <c r="N267" s="33"/>
      <c r="O267" s="33"/>
      <c r="P267" s="33"/>
      <c r="Q267" s="33"/>
      <c r="R267" s="33"/>
      <c r="S267" s="33"/>
      <c r="T267" s="33"/>
    </row>
    <row r="268" spans="1:20">
      <c r="I268" s="35"/>
      <c r="J268" s="33"/>
      <c r="K268" s="33"/>
      <c r="L268" s="33"/>
      <c r="M268" s="50"/>
      <c r="N268" s="33"/>
      <c r="O268" s="33"/>
      <c r="P268" s="33"/>
      <c r="Q268" s="33"/>
      <c r="R268" s="33"/>
      <c r="S268" s="33"/>
      <c r="T268" s="33"/>
    </row>
    <row r="269" spans="1:20" ht="17.399999999999999">
      <c r="A269" s="24"/>
      <c r="I269" s="35"/>
      <c r="J269" s="33"/>
      <c r="K269" s="33"/>
      <c r="L269" s="33"/>
      <c r="M269" s="50"/>
      <c r="N269" s="33"/>
      <c r="O269" s="35"/>
      <c r="P269" s="33"/>
      <c r="Q269" s="33"/>
      <c r="R269" s="33"/>
      <c r="S269" s="33"/>
      <c r="T269" s="33"/>
    </row>
    <row r="270" spans="1:20" ht="17.399999999999999">
      <c r="A270" s="24"/>
      <c r="I270" s="35"/>
    </row>
    <row r="271" spans="1:20" ht="17.399999999999999">
      <c r="A271" s="24"/>
      <c r="I271" s="35"/>
    </row>
    <row r="272" spans="1:20" ht="17.399999999999999">
      <c r="A272" s="24"/>
      <c r="I272" s="35"/>
    </row>
    <row r="273" spans="1:9" ht="17.399999999999999">
      <c r="A273" s="24"/>
      <c r="I273" s="35"/>
    </row>
    <row r="274" spans="1:9">
      <c r="I274" s="35"/>
    </row>
    <row r="275" spans="1:9">
      <c r="A275" s="9"/>
      <c r="I275" s="35"/>
    </row>
  </sheetData>
  <printOptions horizontalCentered="1"/>
  <pageMargins left="0.65" right="0.5" top="0.2" bottom="0.25277777777777777" header="0" footer="0"/>
  <pageSetup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53"/>
  <sheetViews>
    <sheetView topLeftCell="A49" zoomScale="87" zoomScaleNormal="87" workbookViewId="0">
      <selection activeCell="J61" sqref="J61"/>
    </sheetView>
  </sheetViews>
  <sheetFormatPr defaultRowHeight="15"/>
  <cols>
    <col min="1" max="1" width="8.6328125" style="18" customWidth="1"/>
    <col min="2" max="2" width="2.6328125" style="18" customWidth="1"/>
    <col min="3" max="3" width="8.6328125" style="18" customWidth="1"/>
    <col min="4" max="4" width="5.6328125" style="18" customWidth="1"/>
    <col min="5" max="5" width="10.6328125" style="18" customWidth="1"/>
    <col min="6" max="6" width="9.6328125" style="18" customWidth="1"/>
    <col min="7" max="7" width="0" style="18" hidden="1" customWidth="1"/>
    <col min="8" max="9" width="10.6328125" style="18" customWidth="1"/>
    <col min="10" max="10" width="9.6328125" style="18" customWidth="1"/>
    <col min="11" max="11" width="2.6328125" style="18" customWidth="1"/>
    <col min="12" max="256" width="9.6328125" style="18" customWidth="1"/>
  </cols>
  <sheetData>
    <row r="1" spans="1:2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>
      <c r="A2" s="4" t="s">
        <v>177</v>
      </c>
      <c r="U2" s="15"/>
    </row>
    <row r="4" spans="1:24">
      <c r="A4" s="26"/>
      <c r="B4" s="5"/>
      <c r="C4" s="5"/>
      <c r="D4" s="5"/>
      <c r="E4" s="5"/>
      <c r="F4" s="5"/>
      <c r="G4" s="5"/>
      <c r="H4" s="5"/>
    </row>
    <row r="5" spans="1:24">
      <c r="A5" s="27"/>
      <c r="B5" s="5"/>
      <c r="C5" s="5"/>
      <c r="D5" s="5"/>
      <c r="E5" s="5"/>
      <c r="F5" s="5"/>
      <c r="G5" s="5"/>
      <c r="H5" s="5"/>
    </row>
    <row r="7" spans="1:24">
      <c r="A7" s="4" t="s">
        <v>178</v>
      </c>
      <c r="U7" s="14"/>
    </row>
    <row r="8" spans="1:24">
      <c r="U8" s="14"/>
    </row>
    <row r="9" spans="1:24">
      <c r="A9" s="5"/>
      <c r="B9" s="5"/>
      <c r="C9" s="5"/>
      <c r="D9" s="5"/>
      <c r="E9" s="5"/>
      <c r="F9" s="5" t="s">
        <v>185</v>
      </c>
      <c r="G9" s="5" t="s">
        <v>185</v>
      </c>
      <c r="H9" s="2" t="s">
        <v>188</v>
      </c>
      <c r="I9" s="2"/>
      <c r="J9" s="2"/>
      <c r="L9" s="2" t="s">
        <v>194</v>
      </c>
      <c r="M9" s="2"/>
      <c r="N9" s="2"/>
      <c r="U9" s="14"/>
    </row>
    <row r="10" spans="1:24">
      <c r="A10" s="28" t="s">
        <v>179</v>
      </c>
      <c r="B10" s="6"/>
      <c r="C10" s="6"/>
      <c r="D10" s="6"/>
      <c r="E10" s="6" t="s">
        <v>185</v>
      </c>
      <c r="F10" s="6" t="s">
        <v>186</v>
      </c>
      <c r="G10" s="6" t="s">
        <v>187</v>
      </c>
      <c r="H10" s="20" t="s">
        <v>189</v>
      </c>
      <c r="I10" s="20"/>
      <c r="J10" s="20"/>
      <c r="L10" s="20" t="s">
        <v>195</v>
      </c>
      <c r="M10" s="20"/>
      <c r="N10" s="20"/>
      <c r="P10" s="5"/>
    </row>
    <row r="11" spans="1:24">
      <c r="A11" s="11"/>
      <c r="B11" s="5"/>
      <c r="C11" s="5"/>
      <c r="D11" s="5"/>
      <c r="E11" s="5"/>
      <c r="F11" s="5"/>
      <c r="G11" s="5"/>
      <c r="H11" s="5" t="s">
        <v>190</v>
      </c>
      <c r="I11" s="5" t="s">
        <v>192</v>
      </c>
      <c r="J11" s="5" t="s">
        <v>193</v>
      </c>
      <c r="L11" s="5" t="s">
        <v>190</v>
      </c>
      <c r="M11" s="5" t="s">
        <v>192</v>
      </c>
      <c r="N11" s="5" t="s">
        <v>193</v>
      </c>
      <c r="P11" s="5"/>
    </row>
    <row r="12" spans="1:24">
      <c r="A12" s="11"/>
      <c r="B12" s="5"/>
      <c r="C12" s="5"/>
      <c r="D12" s="5"/>
      <c r="E12" s="5"/>
      <c r="F12" s="5"/>
      <c r="G12" s="5"/>
      <c r="H12" s="5" t="s">
        <v>191</v>
      </c>
      <c r="I12" s="5"/>
      <c r="L12" s="5" t="s">
        <v>191</v>
      </c>
      <c r="M12" s="5"/>
    </row>
    <row r="13" spans="1:24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T13" s="18">
        <v>0</v>
      </c>
      <c r="U13" s="18">
        <v>2000</v>
      </c>
      <c r="V13" s="18">
        <v>6000</v>
      </c>
      <c r="W13" s="18">
        <v>50000</v>
      </c>
      <c r="X13" s="18">
        <v>100000</v>
      </c>
    </row>
    <row r="14" spans="1:24">
      <c r="A14" s="9">
        <v>0</v>
      </c>
      <c r="B14" s="5" t="s">
        <v>180</v>
      </c>
      <c r="C14" s="9">
        <v>2000</v>
      </c>
      <c r="D14" s="29" t="s">
        <v>184</v>
      </c>
      <c r="E14" s="9">
        <f>'Act. Water Usag'!D11</f>
        <v>849</v>
      </c>
      <c r="F14" s="14">
        <f>HLOOKUP(E14,$T$13:$X$35,(S14)+1)</f>
        <v>17.68</v>
      </c>
      <c r="G14" s="14">
        <f t="shared" ref="G14:G27" si="0">J14/I14*1000</f>
        <v>20.824499411071852</v>
      </c>
      <c r="H14" s="9">
        <v>1</v>
      </c>
      <c r="I14" s="9">
        <f t="shared" ref="I14:I27" si="1">ROUND(+H14*$E14*12,0)</f>
        <v>10188</v>
      </c>
      <c r="J14" s="8">
        <f t="shared" ref="J14:J32" si="2">H14*F14*12</f>
        <v>212.16</v>
      </c>
      <c r="L14" s="9">
        <v>0</v>
      </c>
      <c r="M14" s="9">
        <f t="shared" ref="M14:M35" si="3">ROUND(+L14*$E14*12,-2)</f>
        <v>0</v>
      </c>
      <c r="N14" s="8">
        <f t="shared" ref="N14:N35" si="4">L14*F14</f>
        <v>0</v>
      </c>
      <c r="O14" s="8"/>
      <c r="S14" s="17">
        <v>1</v>
      </c>
      <c r="T14" s="14">
        <f>ROUND(+'Rate Structure'!$D$5,2)</f>
        <v>17.68</v>
      </c>
      <c r="U14" s="14">
        <f>ROUND(+'Rate Structure'!$D$5+((+E14-U$13)*'Rate Structure'!$D$15/1000),2)</f>
        <v>10.35</v>
      </c>
      <c r="V14" s="14">
        <f>ROUND(+'Rate Structure'!$D$5+((V$13-U$13)*'Rate Structure'!$D$15/1000)+((E14-V$13)*'Rate Structure'!$D$16/1000),2)</f>
        <v>13.8</v>
      </c>
      <c r="W14" s="14">
        <f>ROUND(+'Rate Structure'!$D$5+((V$13-U$13)*'Rate Structure'!$D$15/1000)+((W$13-V$13)*'Rate Structure'!$D$16/1000)+((E14-W$13)*'Rate Structure'!$D$17/1000),2)</f>
        <v>31.99</v>
      </c>
      <c r="X14" s="14">
        <f>ROUND(+'Rate Structure'!$D$5+((V$13-U$13)*'Rate Structure'!$D$15/1000)+((W$13-V$13)*'Rate Structure'!$D$16/1000)+((X$13-W$13)*'Rate Structure'!$D$17/1000)+((E14-X$13)*'Rate Structure'!$D$18/1000),2)</f>
        <v>170.8</v>
      </c>
    </row>
    <row r="15" spans="1:24">
      <c r="A15" s="9">
        <f t="shared" ref="A15:A35" si="5">C14</f>
        <v>2000</v>
      </c>
      <c r="B15" s="5" t="s">
        <v>180</v>
      </c>
      <c r="C15" s="9">
        <v>3000</v>
      </c>
      <c r="D15" s="29" t="s">
        <v>184</v>
      </c>
      <c r="E15" s="9">
        <f>'Act. Water Usag'!D12</f>
        <v>2504</v>
      </c>
      <c r="F15" s="14">
        <f>HLOOKUP(E15,$T$13:$X$35,(S15)+1)</f>
        <v>20.89</v>
      </c>
      <c r="G15" s="14">
        <f t="shared" si="0"/>
        <v>8.3426517571884986</v>
      </c>
      <c r="H15" s="9">
        <v>1</v>
      </c>
      <c r="I15" s="9">
        <f t="shared" si="1"/>
        <v>30048</v>
      </c>
      <c r="J15" s="9">
        <f t="shared" si="2"/>
        <v>250.68</v>
      </c>
      <c r="L15" s="9">
        <v>0</v>
      </c>
      <c r="M15" s="9">
        <f t="shared" si="3"/>
        <v>0</v>
      </c>
      <c r="N15" s="9">
        <f t="shared" si="4"/>
        <v>0</v>
      </c>
      <c r="O15" s="9"/>
      <c r="S15" s="17">
        <f t="shared" ref="S15:S40" si="6">S14+1</f>
        <v>2</v>
      </c>
      <c r="T15" s="14">
        <f>ROUND(+'Rate Structure'!$D$5,2)</f>
        <v>17.68</v>
      </c>
      <c r="U15" s="14">
        <f>ROUND(+'Rate Structure'!$D$5+((+E15-U$13)*'Rate Structure'!$D$15/1000),2)</f>
        <v>20.89</v>
      </c>
      <c r="V15" s="14">
        <f>ROUND(+'Rate Structure'!$D$5+((V$13-U$13)*'Rate Structure'!$D$15/1000)+((E15-V$13)*'Rate Structure'!$D$16/1000),2)</f>
        <v>23.23</v>
      </c>
      <c r="W15" s="14">
        <f>ROUND(+'Rate Structure'!$D$5+((V$13-U$13)*'Rate Structure'!$D$15/1000)+((W$13-V$13)*'Rate Structure'!$D$16/1000)+((E15-W$13)*'Rate Structure'!$D$17/1000),2)</f>
        <v>40.81</v>
      </c>
      <c r="X15" s="14">
        <f>ROUND(+'Rate Structure'!$D$5+((V$13-U$13)*'Rate Structure'!$D$15/1000)+((W$13-V$13)*'Rate Structure'!$D$16/1000)+((X$13-W$13)*'Rate Structure'!$D$17/1000)+((E15-X$13)*'Rate Structure'!$D$18/1000),2)</f>
        <v>177.3</v>
      </c>
    </row>
    <row r="16" spans="1:24">
      <c r="A16" s="9">
        <f t="shared" si="5"/>
        <v>3000</v>
      </c>
      <c r="B16" s="5" t="s">
        <v>180</v>
      </c>
      <c r="C16" s="9">
        <v>4000</v>
      </c>
      <c r="D16" s="29" t="s">
        <v>184</v>
      </c>
      <c r="E16" s="9">
        <f>'Act. Water Usag'!D13</f>
        <v>3491</v>
      </c>
      <c r="F16" s="14">
        <f>HLOOKUP(E16,$T$13:$X$35,(S16)+1)</f>
        <v>27.18</v>
      </c>
      <c r="G16" s="14">
        <f t="shared" si="0"/>
        <v>7.7857347464909754</v>
      </c>
      <c r="H16" s="9">
        <v>1</v>
      </c>
      <c r="I16" s="9">
        <f t="shared" si="1"/>
        <v>41892</v>
      </c>
      <c r="J16" s="9">
        <f t="shared" si="2"/>
        <v>326.15999999999997</v>
      </c>
      <c r="L16" s="9">
        <v>0</v>
      </c>
      <c r="M16" s="9">
        <f t="shared" si="3"/>
        <v>0</v>
      </c>
      <c r="N16" s="9">
        <f t="shared" si="4"/>
        <v>0</v>
      </c>
      <c r="O16" s="9"/>
      <c r="S16" s="17">
        <f t="shared" si="6"/>
        <v>3</v>
      </c>
      <c r="T16" s="14">
        <f>ROUND(+'Rate Structure'!$D$5,2)</f>
        <v>17.68</v>
      </c>
      <c r="U16" s="14">
        <f>ROUND(+'Rate Structure'!$D$5+((+E16-U$13)*'Rate Structure'!$D$15/1000),2)</f>
        <v>27.18</v>
      </c>
      <c r="V16" s="14">
        <f>ROUND(+'Rate Structure'!$D$5+((V$13-U$13)*'Rate Structure'!$D$15/1000)+((E16-V$13)*'Rate Structure'!$D$16/1000),2)</f>
        <v>28.86</v>
      </c>
      <c r="W16" s="14">
        <f>ROUND(+'Rate Structure'!$D$5+((V$13-U$13)*'Rate Structure'!$D$15/1000)+((W$13-V$13)*'Rate Structure'!$D$16/1000)+((E16-W$13)*'Rate Structure'!$D$17/1000),2)</f>
        <v>46.07</v>
      </c>
      <c r="X16" s="14">
        <f>ROUND(+'Rate Structure'!$D$5+((V$13-U$13)*'Rate Structure'!$D$15/1000)+((W$13-V$13)*'Rate Structure'!$D$16/1000)+((X$13-W$13)*'Rate Structure'!$D$17/1000)+((E16-X$13)*'Rate Structure'!$D$18/1000),2)</f>
        <v>181.18</v>
      </c>
    </row>
    <row r="17" spans="1:24">
      <c r="A17" s="9">
        <f t="shared" si="5"/>
        <v>4000</v>
      </c>
      <c r="B17" s="5" t="s">
        <v>180</v>
      </c>
      <c r="C17" s="9">
        <v>5000</v>
      </c>
      <c r="D17" s="29" t="s">
        <v>184</v>
      </c>
      <c r="E17" s="9">
        <f>'Act. Water Usag'!D14</f>
        <v>4470</v>
      </c>
      <c r="F17" s="14">
        <f>HLOOKUP(E17,$T$13:$X$35,(S17)+1)</f>
        <v>33.409999999999997</v>
      </c>
      <c r="G17" s="14">
        <f t="shared" si="0"/>
        <v>7.4742729306487687</v>
      </c>
      <c r="H17" s="9">
        <v>1</v>
      </c>
      <c r="I17" s="9">
        <f t="shared" si="1"/>
        <v>53640</v>
      </c>
      <c r="J17" s="9">
        <f t="shared" si="2"/>
        <v>400.91999999999996</v>
      </c>
      <c r="L17" s="9">
        <v>0</v>
      </c>
      <c r="M17" s="9">
        <f t="shared" si="3"/>
        <v>0</v>
      </c>
      <c r="N17" s="9">
        <f t="shared" si="4"/>
        <v>0</v>
      </c>
      <c r="O17" s="9"/>
      <c r="S17" s="17">
        <f t="shared" si="6"/>
        <v>4</v>
      </c>
      <c r="T17" s="14">
        <f>ROUND(+'Rate Structure'!$D$5,2)</f>
        <v>17.68</v>
      </c>
      <c r="U17" s="14">
        <f>ROUND(+'Rate Structure'!$D$5+((+E17-U$13)*'Rate Structure'!$D$15/1000),2)</f>
        <v>33.409999999999997</v>
      </c>
      <c r="V17" s="14">
        <f>ROUND(+'Rate Structure'!$D$5+((V$13-U$13)*'Rate Structure'!$D$15/1000)+((E17-V$13)*'Rate Structure'!$D$16/1000),2)</f>
        <v>34.44</v>
      </c>
      <c r="W17" s="14">
        <f>ROUND(+'Rate Structure'!$D$5+((V$13-U$13)*'Rate Structure'!$D$15/1000)+((W$13-V$13)*'Rate Structure'!$D$16/1000)+((E17-W$13)*'Rate Structure'!$D$17/1000),2)</f>
        <v>51.29</v>
      </c>
      <c r="X17" s="14">
        <f>ROUND(+'Rate Structure'!$D$5+((V$13-U$13)*'Rate Structure'!$D$15/1000)+((W$13-V$13)*'Rate Structure'!$D$16/1000)+((X$13-W$13)*'Rate Structure'!$D$17/1000)+((E17-X$13)*'Rate Structure'!$D$18/1000),2)</f>
        <v>185.03</v>
      </c>
    </row>
    <row r="18" spans="1:24">
      <c r="A18" s="9">
        <f t="shared" si="5"/>
        <v>5000</v>
      </c>
      <c r="B18" s="5" t="s">
        <v>180</v>
      </c>
      <c r="C18" s="9">
        <v>6000</v>
      </c>
      <c r="D18" s="29" t="s">
        <v>184</v>
      </c>
      <c r="E18" s="9">
        <v>0</v>
      </c>
      <c r="F18" s="14">
        <v>0</v>
      </c>
      <c r="G18" s="14" t="e">
        <f t="shared" si="0"/>
        <v>#DIV/0!</v>
      </c>
      <c r="H18" s="9">
        <v>0</v>
      </c>
      <c r="I18" s="9">
        <f t="shared" si="1"/>
        <v>0</v>
      </c>
      <c r="J18" s="9">
        <f t="shared" si="2"/>
        <v>0</v>
      </c>
      <c r="L18" s="9">
        <v>0</v>
      </c>
      <c r="M18" s="9">
        <f t="shared" si="3"/>
        <v>0</v>
      </c>
      <c r="N18" s="9">
        <f t="shared" si="4"/>
        <v>0</v>
      </c>
      <c r="O18" s="9"/>
      <c r="S18" s="17">
        <f t="shared" si="6"/>
        <v>5</v>
      </c>
      <c r="T18" s="14">
        <f>ROUND(+'Rate Structure'!$D$5,2)</f>
        <v>17.68</v>
      </c>
      <c r="U18" s="14">
        <f>ROUND(+'Rate Structure'!$D$5+((+E18-U$13)*'Rate Structure'!$D$15/1000),2)</f>
        <v>4.9400000000000004</v>
      </c>
      <c r="V18" s="14">
        <f>ROUND(+'Rate Structure'!$D$5+((V$13-U$13)*'Rate Structure'!$D$15/1000)+((E18-V$13)*'Rate Structure'!$D$16/1000),2)</f>
        <v>8.9600000000000009</v>
      </c>
      <c r="W18" s="14">
        <f>ROUND(+'Rate Structure'!$D$5+((V$13-U$13)*'Rate Structure'!$D$15/1000)+((W$13-V$13)*'Rate Structure'!$D$16/1000)+((E18-W$13)*'Rate Structure'!$D$17/1000),2)</f>
        <v>27.46</v>
      </c>
      <c r="X18" s="14">
        <f>ROUND(+'Rate Structure'!$D$5+((V$13-U$13)*'Rate Structure'!$D$15/1000)+((W$13-V$13)*'Rate Structure'!$D$16/1000)+((X$13-W$13)*'Rate Structure'!$D$17/1000)+((E18-X$13)*'Rate Structure'!$D$18/1000),2)</f>
        <v>167.46</v>
      </c>
    </row>
    <row r="19" spans="1:24">
      <c r="A19" s="9">
        <f t="shared" si="5"/>
        <v>6000</v>
      </c>
      <c r="B19" s="5" t="s">
        <v>180</v>
      </c>
      <c r="C19" s="9">
        <v>7000</v>
      </c>
      <c r="D19" s="29" t="s">
        <v>184</v>
      </c>
      <c r="E19" s="9">
        <v>0</v>
      </c>
      <c r="F19" s="14">
        <v>0</v>
      </c>
      <c r="G19" s="14" t="e">
        <f t="shared" si="0"/>
        <v>#DIV/0!</v>
      </c>
      <c r="H19" s="9">
        <v>0</v>
      </c>
      <c r="I19" s="9">
        <f t="shared" si="1"/>
        <v>0</v>
      </c>
      <c r="J19" s="9">
        <f t="shared" si="2"/>
        <v>0</v>
      </c>
      <c r="L19" s="9">
        <v>0</v>
      </c>
      <c r="M19" s="9">
        <f t="shared" si="3"/>
        <v>0</v>
      </c>
      <c r="N19" s="9">
        <f t="shared" si="4"/>
        <v>0</v>
      </c>
      <c r="O19" s="9"/>
      <c r="S19" s="17">
        <f t="shared" si="6"/>
        <v>6</v>
      </c>
      <c r="T19" s="14">
        <f>ROUND(+'Rate Structure'!$D$5,2)</f>
        <v>17.68</v>
      </c>
      <c r="U19" s="14">
        <f>ROUND(+'Rate Structure'!$D$5+((+E19-U$13)*'Rate Structure'!$D$15/1000),2)</f>
        <v>4.9400000000000004</v>
      </c>
      <c r="V19" s="14">
        <f>ROUND(+'Rate Structure'!$D$5+((V$13-U$13)*'Rate Structure'!$D$15/1000)+((E19-V$13)*'Rate Structure'!$D$16/1000),2)</f>
        <v>8.9600000000000009</v>
      </c>
      <c r="W19" s="14">
        <f>ROUND(+'Rate Structure'!$D$5+((V$13-U$13)*'Rate Structure'!$D$15/1000)+((W$13-V$13)*'Rate Structure'!$D$16/1000)+((E19-W$13)*'Rate Structure'!$D$17/1000),2)</f>
        <v>27.46</v>
      </c>
      <c r="X19" s="14">
        <f>ROUND(+'Rate Structure'!$D$5+((V$13-U$13)*'Rate Structure'!$D$15/1000)+((W$13-V$13)*'Rate Structure'!$D$16/1000)+((X$13-W$13)*'Rate Structure'!$D$17/1000)+((E19-X$13)*'Rate Structure'!$D$18/1000),2)</f>
        <v>167.46</v>
      </c>
    </row>
    <row r="20" spans="1:24">
      <c r="A20" s="9">
        <f t="shared" si="5"/>
        <v>7000</v>
      </c>
      <c r="B20" s="5" t="s">
        <v>180</v>
      </c>
      <c r="C20" s="9">
        <v>8000</v>
      </c>
      <c r="D20" s="29" t="s">
        <v>184</v>
      </c>
      <c r="E20" s="9">
        <v>0</v>
      </c>
      <c r="F20" s="14">
        <v>0</v>
      </c>
      <c r="G20" s="14" t="e">
        <f t="shared" si="0"/>
        <v>#DIV/0!</v>
      </c>
      <c r="H20" s="9">
        <v>0</v>
      </c>
      <c r="I20" s="9">
        <f t="shared" si="1"/>
        <v>0</v>
      </c>
      <c r="J20" s="9">
        <f t="shared" si="2"/>
        <v>0</v>
      </c>
      <c r="L20" s="9">
        <v>0</v>
      </c>
      <c r="M20" s="9">
        <f t="shared" si="3"/>
        <v>0</v>
      </c>
      <c r="N20" s="9">
        <f t="shared" si="4"/>
        <v>0</v>
      </c>
      <c r="O20" s="9"/>
      <c r="S20" s="17">
        <f t="shared" si="6"/>
        <v>7</v>
      </c>
      <c r="T20" s="14">
        <f>ROUND(+'Rate Structure'!$D$5,2)</f>
        <v>17.68</v>
      </c>
      <c r="U20" s="14">
        <f>ROUND(+'Rate Structure'!$D$5+((+E20-U$13)*'Rate Structure'!$D$15/1000),2)</f>
        <v>4.9400000000000004</v>
      </c>
      <c r="V20" s="14">
        <f>ROUND(+'Rate Structure'!$D$5+((V$13-U$13)*'Rate Structure'!$D$15/1000)+((E20-V$13)*'Rate Structure'!$D$16/1000),2)</f>
        <v>8.9600000000000009</v>
      </c>
      <c r="W20" s="14">
        <f>ROUND(+'Rate Structure'!$D$5+((V$13-U$13)*'Rate Structure'!$D$15/1000)+((W$13-V$13)*'Rate Structure'!$D$16/1000)+((E20-W$13)*'Rate Structure'!$D$17/1000),2)</f>
        <v>27.46</v>
      </c>
      <c r="X20" s="14">
        <f>ROUND(+'Rate Structure'!$D$5+((V$13-U$13)*'Rate Structure'!$D$15/1000)+((W$13-V$13)*'Rate Structure'!$D$16/1000)+((X$13-W$13)*'Rate Structure'!$D$17/1000)+((E20-X$13)*'Rate Structure'!$D$18/1000),2)</f>
        <v>167.46</v>
      </c>
    </row>
    <row r="21" spans="1:24">
      <c r="A21" s="9">
        <f t="shared" si="5"/>
        <v>8000</v>
      </c>
      <c r="B21" s="5" t="s">
        <v>180</v>
      </c>
      <c r="C21" s="9">
        <v>9000</v>
      </c>
      <c r="D21" s="29" t="s">
        <v>184</v>
      </c>
      <c r="E21" s="9">
        <v>0</v>
      </c>
      <c r="F21" s="14">
        <v>0</v>
      </c>
      <c r="G21" s="14" t="e">
        <f t="shared" si="0"/>
        <v>#DIV/0!</v>
      </c>
      <c r="H21" s="9">
        <v>0</v>
      </c>
      <c r="I21" s="9">
        <f t="shared" si="1"/>
        <v>0</v>
      </c>
      <c r="J21" s="9">
        <f t="shared" si="2"/>
        <v>0</v>
      </c>
      <c r="L21" s="9">
        <v>0</v>
      </c>
      <c r="M21" s="9">
        <f t="shared" si="3"/>
        <v>0</v>
      </c>
      <c r="N21" s="9">
        <f t="shared" si="4"/>
        <v>0</v>
      </c>
      <c r="O21" s="9"/>
      <c r="S21" s="17">
        <f t="shared" si="6"/>
        <v>8</v>
      </c>
      <c r="T21" s="14">
        <f>ROUND(+'Rate Structure'!$D$5,2)</f>
        <v>17.68</v>
      </c>
      <c r="U21" s="14">
        <f>ROUND(+'Rate Structure'!$D$5+((+E21-U$13)*'Rate Structure'!$D$15/1000),2)</f>
        <v>4.9400000000000004</v>
      </c>
      <c r="V21" s="14">
        <f>ROUND(+'Rate Structure'!$D$5+((V$13-U$13)*'Rate Structure'!$D$15/1000)+((E21-V$13)*'Rate Structure'!$D$16/1000),2)</f>
        <v>8.9600000000000009</v>
      </c>
      <c r="W21" s="14">
        <f>ROUND(+'Rate Structure'!$D$5+((V$13-U$13)*'Rate Structure'!$D$15/1000)+((W$13-V$13)*'Rate Structure'!$D$16/1000)+((E21-W$13)*'Rate Structure'!$D$17/1000),2)</f>
        <v>27.46</v>
      </c>
      <c r="X21" s="14">
        <f>ROUND(+'Rate Structure'!$D$5+((V$13-U$13)*'Rate Structure'!$D$15/1000)+((W$13-V$13)*'Rate Structure'!$D$16/1000)+((X$13-W$13)*'Rate Structure'!$D$17/1000)+((E21-X$13)*'Rate Structure'!$D$18/1000),2)</f>
        <v>167.46</v>
      </c>
    </row>
    <row r="22" spans="1:24">
      <c r="A22" s="9">
        <f t="shared" si="5"/>
        <v>9000</v>
      </c>
      <c r="B22" s="5" t="s">
        <v>180</v>
      </c>
      <c r="C22" s="9">
        <v>10000</v>
      </c>
      <c r="D22" s="29" t="s">
        <v>184</v>
      </c>
      <c r="E22" s="9">
        <v>0</v>
      </c>
      <c r="F22" s="14">
        <v>0</v>
      </c>
      <c r="G22" s="14" t="e">
        <f t="shared" si="0"/>
        <v>#DIV/0!</v>
      </c>
      <c r="H22" s="9">
        <v>0</v>
      </c>
      <c r="I22" s="9">
        <f t="shared" si="1"/>
        <v>0</v>
      </c>
      <c r="J22" s="9">
        <f t="shared" si="2"/>
        <v>0</v>
      </c>
      <c r="L22" s="9">
        <v>0</v>
      </c>
      <c r="M22" s="9">
        <f t="shared" si="3"/>
        <v>0</v>
      </c>
      <c r="N22" s="9">
        <f t="shared" si="4"/>
        <v>0</v>
      </c>
      <c r="O22" s="9"/>
      <c r="S22" s="17">
        <f t="shared" si="6"/>
        <v>9</v>
      </c>
      <c r="T22" s="14">
        <f>ROUND(+'Rate Structure'!$D$5,2)</f>
        <v>17.68</v>
      </c>
      <c r="U22" s="14">
        <f>ROUND(+'Rate Structure'!$D$5+((+E22-U$13)*'Rate Structure'!$D$15/1000),2)</f>
        <v>4.9400000000000004</v>
      </c>
      <c r="V22" s="14">
        <f>ROUND(+'Rate Structure'!$D$5+((V$13-U$13)*'Rate Structure'!$D$15/1000)+((E22-V$13)*'Rate Structure'!$D$16/1000),2)</f>
        <v>8.9600000000000009</v>
      </c>
      <c r="W22" s="14">
        <f>ROUND(+'Rate Structure'!$D$5+((V$13-U$13)*'Rate Structure'!$D$15/1000)+((W$13-V$13)*'Rate Structure'!$D$16/1000)+((E22-W$13)*'Rate Structure'!$D$17/1000),2)</f>
        <v>27.46</v>
      </c>
      <c r="X22" s="14">
        <f>ROUND(+'Rate Structure'!$D$5+((V$13-U$13)*'Rate Structure'!$D$15/1000)+((W$13-V$13)*'Rate Structure'!$D$16/1000)+((X$13-W$13)*'Rate Structure'!$D$17/1000)+((E22-X$13)*'Rate Structure'!$D$18/1000),2)</f>
        <v>167.46</v>
      </c>
    </row>
    <row r="23" spans="1:24">
      <c r="A23" s="9">
        <f t="shared" si="5"/>
        <v>10000</v>
      </c>
      <c r="B23" s="5" t="s">
        <v>180</v>
      </c>
      <c r="C23" s="9">
        <v>11000</v>
      </c>
      <c r="D23" s="29" t="s">
        <v>184</v>
      </c>
      <c r="E23" s="9">
        <v>0</v>
      </c>
      <c r="F23" s="14">
        <v>0</v>
      </c>
      <c r="G23" s="14" t="e">
        <f t="shared" si="0"/>
        <v>#DIV/0!</v>
      </c>
      <c r="H23" s="9">
        <v>0</v>
      </c>
      <c r="I23" s="9">
        <f t="shared" si="1"/>
        <v>0</v>
      </c>
      <c r="J23" s="9">
        <f t="shared" si="2"/>
        <v>0</v>
      </c>
      <c r="L23" s="9">
        <v>0</v>
      </c>
      <c r="M23" s="9">
        <f t="shared" si="3"/>
        <v>0</v>
      </c>
      <c r="N23" s="9">
        <f t="shared" si="4"/>
        <v>0</v>
      </c>
      <c r="O23" s="9"/>
      <c r="S23" s="17">
        <f t="shared" si="6"/>
        <v>10</v>
      </c>
      <c r="T23" s="14">
        <f>ROUND(+'Rate Structure'!$D$5,2)</f>
        <v>17.68</v>
      </c>
      <c r="U23" s="14">
        <f>ROUND(+'Rate Structure'!$D$5+((+E23-U$13)*'Rate Structure'!$D$15/1000),2)</f>
        <v>4.9400000000000004</v>
      </c>
      <c r="V23" s="14">
        <f>ROUND(+'Rate Structure'!$D$5+((V$13-U$13)*'Rate Structure'!$D$15/1000)+((E23-V$13)*'Rate Structure'!$D$16/1000),2)</f>
        <v>8.9600000000000009</v>
      </c>
      <c r="W23" s="14">
        <f>ROUND(+'Rate Structure'!$D$5+((V$13-U$13)*'Rate Structure'!$D$15/1000)+((W$13-V$13)*'Rate Structure'!$D$16/1000)+((E23-W$13)*'Rate Structure'!$D$17/1000),2)</f>
        <v>27.46</v>
      </c>
      <c r="X23" s="14">
        <f>ROUND(+'Rate Structure'!$D$5+((V$13-U$13)*'Rate Structure'!$D$15/1000)+((W$13-V$13)*'Rate Structure'!$D$16/1000)+((X$13-W$13)*'Rate Structure'!$D$17/1000)+((E23-X$13)*'Rate Structure'!$D$18/1000),2)</f>
        <v>167.46</v>
      </c>
    </row>
    <row r="24" spans="1:24">
      <c r="A24" s="9">
        <f t="shared" si="5"/>
        <v>11000</v>
      </c>
      <c r="B24" s="5" t="s">
        <v>180</v>
      </c>
      <c r="C24" s="9">
        <v>12000</v>
      </c>
      <c r="D24" s="29" t="s">
        <v>184</v>
      </c>
      <c r="E24" s="9">
        <v>0</v>
      </c>
      <c r="F24" s="14">
        <v>0</v>
      </c>
      <c r="G24" s="14" t="e">
        <f t="shared" si="0"/>
        <v>#DIV/0!</v>
      </c>
      <c r="H24" s="9">
        <v>0</v>
      </c>
      <c r="I24" s="9">
        <f t="shared" si="1"/>
        <v>0</v>
      </c>
      <c r="J24" s="9">
        <f t="shared" si="2"/>
        <v>0</v>
      </c>
      <c r="L24" s="9">
        <v>0</v>
      </c>
      <c r="M24" s="9">
        <f t="shared" si="3"/>
        <v>0</v>
      </c>
      <c r="N24" s="9">
        <f t="shared" si="4"/>
        <v>0</v>
      </c>
      <c r="O24" s="9"/>
      <c r="S24" s="17">
        <f t="shared" si="6"/>
        <v>11</v>
      </c>
      <c r="T24" s="14">
        <f>ROUND(+'Rate Structure'!$D$5,2)</f>
        <v>17.68</v>
      </c>
      <c r="U24" s="14">
        <f>ROUND(+'Rate Structure'!$D$5+((+E24-U$13)*'Rate Structure'!$D$15/1000),2)</f>
        <v>4.9400000000000004</v>
      </c>
      <c r="V24" s="14">
        <f>ROUND(+'Rate Structure'!$D$5+((V$13-U$13)*'Rate Structure'!$D$15/1000)+((E24-V$13)*'Rate Structure'!$D$16/1000),2)</f>
        <v>8.9600000000000009</v>
      </c>
      <c r="W24" s="14">
        <f>ROUND(+'Rate Structure'!$D$5+((V$13-U$13)*'Rate Structure'!$D$15/1000)+((W$13-V$13)*'Rate Structure'!$D$16/1000)+((E24-W$13)*'Rate Structure'!$D$17/1000),2)</f>
        <v>27.46</v>
      </c>
      <c r="X24" s="14">
        <f>ROUND(+'Rate Structure'!$D$5+((V$13-U$13)*'Rate Structure'!$D$15/1000)+((W$13-V$13)*'Rate Structure'!$D$16/1000)+((X$13-W$13)*'Rate Structure'!$D$17/1000)+((E24-X$13)*'Rate Structure'!$D$18/1000),2)</f>
        <v>167.46</v>
      </c>
    </row>
    <row r="25" spans="1:24">
      <c r="A25" s="9">
        <f t="shared" si="5"/>
        <v>12000</v>
      </c>
      <c r="B25" s="5" t="s">
        <v>180</v>
      </c>
      <c r="C25" s="9">
        <v>14000</v>
      </c>
      <c r="D25" s="29" t="s">
        <v>184</v>
      </c>
      <c r="E25" s="9">
        <v>0</v>
      </c>
      <c r="F25" s="14">
        <v>0</v>
      </c>
      <c r="G25" s="14" t="e">
        <f t="shared" si="0"/>
        <v>#DIV/0!</v>
      </c>
      <c r="H25" s="9">
        <v>0</v>
      </c>
      <c r="I25" s="9">
        <f t="shared" si="1"/>
        <v>0</v>
      </c>
      <c r="J25" s="9">
        <f t="shared" si="2"/>
        <v>0</v>
      </c>
      <c r="L25" s="9">
        <v>0</v>
      </c>
      <c r="M25" s="9">
        <f t="shared" si="3"/>
        <v>0</v>
      </c>
      <c r="N25" s="9">
        <f t="shared" si="4"/>
        <v>0</v>
      </c>
      <c r="O25" s="9"/>
      <c r="S25" s="17">
        <f t="shared" si="6"/>
        <v>12</v>
      </c>
      <c r="T25" s="14">
        <f>ROUND(+'Rate Structure'!$D$5,2)</f>
        <v>17.68</v>
      </c>
      <c r="U25" s="14">
        <f>ROUND(+'Rate Structure'!$D$5+((+E25-U$13)*'Rate Structure'!$D$15/1000),2)</f>
        <v>4.9400000000000004</v>
      </c>
      <c r="V25" s="14">
        <f>ROUND(+'Rate Structure'!$D$5+((V$13-U$13)*'Rate Structure'!$D$15/1000)+((E25-V$13)*'Rate Structure'!$D$16/1000),2)</f>
        <v>8.9600000000000009</v>
      </c>
      <c r="W25" s="14">
        <f>ROUND(+'Rate Structure'!$D$5+((V$13-U$13)*'Rate Structure'!$D$15/1000)+((W$13-V$13)*'Rate Structure'!$D$16/1000)+((E25-W$13)*'Rate Structure'!$D$17/1000),2)</f>
        <v>27.46</v>
      </c>
      <c r="X25" s="14">
        <f>ROUND(+'Rate Structure'!$D$5+((V$13-U$13)*'Rate Structure'!$D$15/1000)+((W$13-V$13)*'Rate Structure'!$D$16/1000)+((X$13-W$13)*'Rate Structure'!$D$17/1000)+((E25-X$13)*'Rate Structure'!$D$18/1000),2)</f>
        <v>167.46</v>
      </c>
    </row>
    <row r="26" spans="1:24">
      <c r="A26" s="9">
        <f t="shared" si="5"/>
        <v>14000</v>
      </c>
      <c r="B26" s="5" t="s">
        <v>180</v>
      </c>
      <c r="C26" s="9">
        <v>16000</v>
      </c>
      <c r="D26" s="29" t="s">
        <v>184</v>
      </c>
      <c r="E26" s="9">
        <v>0</v>
      </c>
      <c r="F26" s="14">
        <v>0</v>
      </c>
      <c r="G26" s="14" t="e">
        <f t="shared" si="0"/>
        <v>#DIV/0!</v>
      </c>
      <c r="H26" s="9">
        <v>0</v>
      </c>
      <c r="I26" s="9">
        <f t="shared" si="1"/>
        <v>0</v>
      </c>
      <c r="J26" s="9">
        <f t="shared" si="2"/>
        <v>0</v>
      </c>
      <c r="L26" s="9">
        <v>0</v>
      </c>
      <c r="M26" s="9">
        <f t="shared" si="3"/>
        <v>0</v>
      </c>
      <c r="N26" s="9">
        <f t="shared" si="4"/>
        <v>0</v>
      </c>
      <c r="O26" s="9"/>
      <c r="S26" s="17">
        <f t="shared" si="6"/>
        <v>13</v>
      </c>
      <c r="T26" s="14">
        <f>ROUND(+'Rate Structure'!$D$5,2)</f>
        <v>17.68</v>
      </c>
      <c r="U26" s="14">
        <f>ROUND(+'Rate Structure'!$D$5+((+E26-U$13)*'Rate Structure'!$D$15/1000),2)</f>
        <v>4.9400000000000004</v>
      </c>
      <c r="V26" s="14">
        <f>ROUND(+'Rate Structure'!$D$5+((V$13-U$13)*'Rate Structure'!$D$15/1000)+((E26-V$13)*'Rate Structure'!$D$16/1000),2)</f>
        <v>8.9600000000000009</v>
      </c>
      <c r="W26" s="14">
        <f>ROUND(+'Rate Structure'!$D$5+((V$13-U$13)*'Rate Structure'!$D$15/1000)+((W$13-V$13)*'Rate Structure'!$D$16/1000)+((E26-W$13)*'Rate Structure'!$D$17/1000),2)</f>
        <v>27.46</v>
      </c>
      <c r="X26" s="14">
        <f>ROUND(+'Rate Structure'!$D$5+((V$13-U$13)*'Rate Structure'!$D$15/1000)+((W$13-V$13)*'Rate Structure'!$D$16/1000)+((X$13-W$13)*'Rate Structure'!$D$17/1000)+((E26-X$13)*'Rate Structure'!$D$18/1000),2)</f>
        <v>167.46</v>
      </c>
    </row>
    <row r="27" spans="1:24">
      <c r="A27" s="9">
        <f t="shared" si="5"/>
        <v>16000</v>
      </c>
      <c r="B27" s="5" t="s">
        <v>180</v>
      </c>
      <c r="C27" s="9">
        <v>18000</v>
      </c>
      <c r="D27" s="29" t="s">
        <v>184</v>
      </c>
      <c r="E27" s="9">
        <v>0</v>
      </c>
      <c r="F27" s="14">
        <v>0</v>
      </c>
      <c r="G27" s="14" t="e">
        <f t="shared" si="0"/>
        <v>#DIV/0!</v>
      </c>
      <c r="H27" s="9">
        <v>0</v>
      </c>
      <c r="I27" s="9">
        <f t="shared" si="1"/>
        <v>0</v>
      </c>
      <c r="J27" s="9">
        <f t="shared" si="2"/>
        <v>0</v>
      </c>
      <c r="L27" s="9">
        <v>0</v>
      </c>
      <c r="M27" s="9">
        <f t="shared" si="3"/>
        <v>0</v>
      </c>
      <c r="N27" s="9">
        <f t="shared" si="4"/>
        <v>0</v>
      </c>
      <c r="O27" s="9"/>
      <c r="S27" s="17">
        <f t="shared" si="6"/>
        <v>14</v>
      </c>
      <c r="T27" s="14">
        <f>ROUND(+'Rate Structure'!$D$5,2)</f>
        <v>17.68</v>
      </c>
      <c r="U27" s="14">
        <f>ROUND(+'Rate Structure'!$D$5+((+E27-U$13)*'Rate Structure'!$D$15/1000),2)</f>
        <v>4.9400000000000004</v>
      </c>
      <c r="V27" s="14">
        <f>ROUND(+'Rate Structure'!$D$5+((V$13-U$13)*'Rate Structure'!$D$15/1000)+((E27-V$13)*'Rate Structure'!$D$16/1000),2)</f>
        <v>8.9600000000000009</v>
      </c>
      <c r="W27" s="14">
        <f>ROUND(+'Rate Structure'!$D$5+((V$13-U$13)*'Rate Structure'!$D$15/1000)+((W$13-V$13)*'Rate Structure'!$D$16/1000)+((E27-W$13)*'Rate Structure'!$D$17/1000),2)</f>
        <v>27.46</v>
      </c>
      <c r="X27" s="14">
        <f>ROUND(+'Rate Structure'!$D$5+((V$13-U$13)*'Rate Structure'!$D$15/1000)+((W$13-V$13)*'Rate Structure'!$D$16/1000)+((X$13-W$13)*'Rate Structure'!$D$17/1000)+((E27-X$13)*'Rate Structure'!$D$18/1000),2)</f>
        <v>167.46</v>
      </c>
    </row>
    <row r="28" spans="1:24">
      <c r="A28" s="9">
        <f t="shared" si="5"/>
        <v>18000</v>
      </c>
      <c r="B28" s="5" t="s">
        <v>180</v>
      </c>
      <c r="C28" s="9">
        <v>20000</v>
      </c>
      <c r="D28" s="29" t="s">
        <v>184</v>
      </c>
      <c r="E28" s="9">
        <v>0</v>
      </c>
      <c r="F28" s="14">
        <v>0</v>
      </c>
      <c r="G28" s="14">
        <v>0</v>
      </c>
      <c r="H28" s="9">
        <v>0</v>
      </c>
      <c r="I28" s="9">
        <f>ROUND(+H28*$E28,0)</f>
        <v>0</v>
      </c>
      <c r="J28" s="9">
        <f t="shared" si="2"/>
        <v>0</v>
      </c>
      <c r="L28" s="9">
        <v>0</v>
      </c>
      <c r="M28" s="9">
        <f t="shared" si="3"/>
        <v>0</v>
      </c>
      <c r="N28" s="9">
        <f t="shared" si="4"/>
        <v>0</v>
      </c>
      <c r="O28" s="9"/>
      <c r="S28" s="17">
        <f t="shared" si="6"/>
        <v>15</v>
      </c>
      <c r="T28" s="14">
        <f>ROUND(+'Rate Structure'!$D$5,2)</f>
        <v>17.68</v>
      </c>
      <c r="U28" s="14">
        <f>ROUND(+'Rate Structure'!$D$5+((+E28-U$13)*'Rate Structure'!$D$15/1000),2)</f>
        <v>4.9400000000000004</v>
      </c>
      <c r="V28" s="14">
        <f>ROUND(+'Rate Structure'!$D$5+((V$13-U$13)*'Rate Structure'!$D$15/1000)+((E28-V$13)*'Rate Structure'!$D$16/1000),2)</f>
        <v>8.9600000000000009</v>
      </c>
      <c r="W28" s="14">
        <f>ROUND(+'Rate Structure'!$D$5+((V$13-U$13)*'Rate Structure'!$D$15/1000)+((W$13-V$13)*'Rate Structure'!$D$16/1000)+((E28-W$13)*'Rate Structure'!$D$17/1000),2)</f>
        <v>27.46</v>
      </c>
      <c r="X28" s="14">
        <f>ROUND(+'Rate Structure'!$D$5+((V$13-U$13)*'Rate Structure'!$D$15/1000)+((W$13-V$13)*'Rate Structure'!$D$16/1000)+((X$13-W$13)*'Rate Structure'!$D$17/1000)+((E28-X$13)*'Rate Structure'!$D$18/1000),2)</f>
        <v>167.46</v>
      </c>
    </row>
    <row r="29" spans="1:24">
      <c r="A29" s="9">
        <f t="shared" si="5"/>
        <v>20000</v>
      </c>
      <c r="B29" s="5" t="s">
        <v>180</v>
      </c>
      <c r="C29" s="9">
        <v>25000</v>
      </c>
      <c r="D29" s="29" t="s">
        <v>184</v>
      </c>
      <c r="E29" s="9">
        <v>0</v>
      </c>
      <c r="F29" s="14">
        <v>0</v>
      </c>
      <c r="G29" s="14">
        <v>0</v>
      </c>
      <c r="H29" s="9">
        <v>0</v>
      </c>
      <c r="I29" s="9">
        <f>ROUND(+H29*$E29,0)</f>
        <v>0</v>
      </c>
      <c r="J29" s="9">
        <f t="shared" si="2"/>
        <v>0</v>
      </c>
      <c r="L29" s="9">
        <v>0</v>
      </c>
      <c r="M29" s="9">
        <f t="shared" si="3"/>
        <v>0</v>
      </c>
      <c r="N29" s="9">
        <f t="shared" si="4"/>
        <v>0</v>
      </c>
      <c r="O29" s="9"/>
      <c r="S29" s="17">
        <f t="shared" si="6"/>
        <v>16</v>
      </c>
      <c r="T29" s="14">
        <f>ROUND(+'Rate Structure'!$D$5,2)</f>
        <v>17.68</v>
      </c>
      <c r="U29" s="14">
        <f>ROUND(+'Rate Structure'!$D$5+((+E29-U$13)*'Rate Structure'!$D$15/1000),2)</f>
        <v>4.9400000000000004</v>
      </c>
      <c r="V29" s="14">
        <f>ROUND(+'Rate Structure'!$D$5+((V$13-U$13)*'Rate Structure'!$D$15/1000)+((E29-V$13)*'Rate Structure'!$D$16/1000),2)</f>
        <v>8.9600000000000009</v>
      </c>
      <c r="W29" s="14">
        <f>ROUND(+'Rate Structure'!$D$5+((V$13-U$13)*'Rate Structure'!$D$15/1000)+((W$13-V$13)*'Rate Structure'!$D$16/1000)+((E29-W$13)*'Rate Structure'!$D$17/1000),2)</f>
        <v>27.46</v>
      </c>
      <c r="X29" s="14">
        <f>ROUND(+'Rate Structure'!$D$5+((V$13-U$13)*'Rate Structure'!$D$15/1000)+((W$13-V$13)*'Rate Structure'!$D$16/1000)+((X$13-W$13)*'Rate Structure'!$D$17/1000)+((E29-X$13)*'Rate Structure'!$D$18/1000),2)</f>
        <v>167.46</v>
      </c>
    </row>
    <row r="30" spans="1:24">
      <c r="A30" s="9">
        <f t="shared" si="5"/>
        <v>25000</v>
      </c>
      <c r="B30" s="5" t="s">
        <v>180</v>
      </c>
      <c r="C30" s="9">
        <v>30000</v>
      </c>
      <c r="D30" s="29" t="s">
        <v>184</v>
      </c>
      <c r="E30" s="9">
        <v>0</v>
      </c>
      <c r="F30" s="14">
        <v>0</v>
      </c>
      <c r="G30" s="14">
        <v>0</v>
      </c>
      <c r="H30" s="9">
        <v>0</v>
      </c>
      <c r="I30" s="9">
        <f>ROUND(+H30*$E30,0)</f>
        <v>0</v>
      </c>
      <c r="J30" s="9">
        <f t="shared" si="2"/>
        <v>0</v>
      </c>
      <c r="L30" s="9">
        <v>0</v>
      </c>
      <c r="M30" s="9">
        <f t="shared" si="3"/>
        <v>0</v>
      </c>
      <c r="N30" s="9">
        <f t="shared" si="4"/>
        <v>0</v>
      </c>
      <c r="O30" s="9"/>
      <c r="S30" s="17">
        <f t="shared" si="6"/>
        <v>17</v>
      </c>
      <c r="T30" s="14">
        <f>ROUND(+'Rate Structure'!$D$5,2)</f>
        <v>17.68</v>
      </c>
      <c r="U30" s="14">
        <f>ROUND(+'Rate Structure'!$D$5+((+E30-U$13)*'Rate Structure'!$D$15/1000),2)</f>
        <v>4.9400000000000004</v>
      </c>
      <c r="V30" s="14">
        <f>ROUND(+'Rate Structure'!$D$5+((V$13-U$13)*'Rate Structure'!$D$15/1000)+((E30-V$13)*'Rate Structure'!$D$16/1000),2)</f>
        <v>8.9600000000000009</v>
      </c>
      <c r="W30" s="14">
        <f>ROUND(+'Rate Structure'!$D$5+((V$13-U$13)*'Rate Structure'!$D$15/1000)+((W$13-V$13)*'Rate Structure'!$D$16/1000)+((E30-W$13)*'Rate Structure'!$D$17/1000),2)</f>
        <v>27.46</v>
      </c>
      <c r="X30" s="14">
        <f>ROUND(+'Rate Structure'!$D$5+((V$13-U$13)*'Rate Structure'!$D$15/1000)+((W$13-V$13)*'Rate Structure'!$D$16/1000)+((X$13-W$13)*'Rate Structure'!$D$17/1000)+((E30-X$13)*'Rate Structure'!$D$18/1000),2)</f>
        <v>167.46</v>
      </c>
    </row>
    <row r="31" spans="1:24">
      <c r="A31" s="9">
        <f t="shared" si="5"/>
        <v>30000</v>
      </c>
      <c r="B31" s="5" t="s">
        <v>180</v>
      </c>
      <c r="C31" s="9">
        <v>40000</v>
      </c>
      <c r="D31" s="29" t="s">
        <v>184</v>
      </c>
      <c r="E31" s="9">
        <v>0</v>
      </c>
      <c r="F31" s="14">
        <v>0</v>
      </c>
      <c r="G31" s="14">
        <v>0</v>
      </c>
      <c r="H31" s="9">
        <v>0</v>
      </c>
      <c r="I31" s="9">
        <f>ROUND(+H31*$E31,0)</f>
        <v>0</v>
      </c>
      <c r="J31" s="9">
        <f t="shared" si="2"/>
        <v>0</v>
      </c>
      <c r="L31" s="9">
        <v>0</v>
      </c>
      <c r="M31" s="9">
        <f t="shared" si="3"/>
        <v>0</v>
      </c>
      <c r="N31" s="9">
        <f t="shared" si="4"/>
        <v>0</v>
      </c>
      <c r="O31" s="9"/>
      <c r="S31" s="17">
        <f t="shared" si="6"/>
        <v>18</v>
      </c>
      <c r="T31" s="14">
        <f>ROUND(+'Rate Structure'!$D$5,2)</f>
        <v>17.68</v>
      </c>
      <c r="U31" s="14">
        <f>ROUND(+'Rate Structure'!$D$5+((+E31-U$13)*'Rate Structure'!$D$15/1000),2)</f>
        <v>4.9400000000000004</v>
      </c>
      <c r="V31" s="14">
        <f>ROUND(+'Rate Structure'!$D$5+((V$13-U$13)*'Rate Structure'!$D$15/1000)+((E31-V$13)*'Rate Structure'!$D$16/1000),2)</f>
        <v>8.9600000000000009</v>
      </c>
      <c r="W31" s="14">
        <f>ROUND(+'Rate Structure'!$D$5+((V$13-U$13)*'Rate Structure'!$D$15/1000)+((W$13-V$13)*'Rate Structure'!$D$16/1000)+((E31-W$13)*'Rate Structure'!$D$17/1000),2)</f>
        <v>27.46</v>
      </c>
      <c r="X31" s="14">
        <f>ROUND(+'Rate Structure'!$D$5+((V$13-U$13)*'Rate Structure'!$D$15/1000)+((W$13-V$13)*'Rate Structure'!$D$16/1000)+((X$13-W$13)*'Rate Structure'!$D$17/1000)+((E31-X$13)*'Rate Structure'!$D$18/1000),2)</f>
        <v>167.46</v>
      </c>
    </row>
    <row r="32" spans="1:24">
      <c r="A32" s="9">
        <f t="shared" si="5"/>
        <v>40000</v>
      </c>
      <c r="B32" s="5" t="s">
        <v>180</v>
      </c>
      <c r="C32" s="9">
        <v>50000</v>
      </c>
      <c r="D32" s="29" t="s">
        <v>184</v>
      </c>
      <c r="E32" s="9">
        <v>0</v>
      </c>
      <c r="F32" s="14">
        <v>0</v>
      </c>
      <c r="G32" s="14">
        <v>0</v>
      </c>
      <c r="H32" s="9">
        <v>0</v>
      </c>
      <c r="I32" s="9">
        <f>ROUND(+H32*$E32,-2)</f>
        <v>0</v>
      </c>
      <c r="J32" s="9">
        <f t="shared" si="2"/>
        <v>0</v>
      </c>
      <c r="L32" s="9">
        <v>0</v>
      </c>
      <c r="M32" s="9">
        <f t="shared" si="3"/>
        <v>0</v>
      </c>
      <c r="N32" s="9">
        <f t="shared" si="4"/>
        <v>0</v>
      </c>
      <c r="O32" s="9"/>
      <c r="S32" s="17">
        <f t="shared" si="6"/>
        <v>19</v>
      </c>
      <c r="T32" s="14">
        <f>ROUND(+'Rate Structure'!$D$5,2)</f>
        <v>17.68</v>
      </c>
      <c r="U32" s="14">
        <f>ROUND(+'Rate Structure'!$D$5+((+E32-U$13)*'Rate Structure'!$D$15/1000),2)</f>
        <v>4.9400000000000004</v>
      </c>
      <c r="V32" s="14">
        <f>ROUND(+'Rate Structure'!$D$5+((V$13-U$13)*'Rate Structure'!$D$15/1000)+((E32-V$13)*'Rate Structure'!$D$16/1000),2)</f>
        <v>8.9600000000000009</v>
      </c>
      <c r="W32" s="14">
        <f>ROUND(+'Rate Structure'!$D$5+((V$13-U$13)*'Rate Structure'!$D$15/1000)+((W$13-V$13)*'Rate Structure'!$D$16/1000)+((E32-W$13)*'Rate Structure'!$D$17/1000),2)</f>
        <v>27.46</v>
      </c>
      <c r="X32" s="14">
        <f>ROUND(+'Rate Structure'!$D$5+((V$13-U$13)*'Rate Structure'!$D$15/1000)+((W$13-V$13)*'Rate Structure'!$D$16/1000)+((X$13-W$13)*'Rate Structure'!$D$17/1000)+((E32-X$13)*'Rate Structure'!$D$18/1000),2)</f>
        <v>167.46</v>
      </c>
    </row>
    <row r="33" spans="1:24">
      <c r="A33" s="9">
        <f t="shared" si="5"/>
        <v>50000</v>
      </c>
      <c r="B33" s="5" t="s">
        <v>180</v>
      </c>
      <c r="C33" s="9">
        <v>75000</v>
      </c>
      <c r="D33" s="29" t="s">
        <v>184</v>
      </c>
      <c r="E33" s="9">
        <v>0</v>
      </c>
      <c r="F33" s="14">
        <v>0</v>
      </c>
      <c r="G33" s="14">
        <v>0</v>
      </c>
      <c r="H33" s="9">
        <f>Q33</f>
        <v>0</v>
      </c>
      <c r="I33" s="9">
        <f>ROUND(+H33*$E33,-2)</f>
        <v>0</v>
      </c>
      <c r="J33" s="9">
        <f>H33*F33</f>
        <v>0</v>
      </c>
      <c r="L33" s="9">
        <v>0</v>
      </c>
      <c r="M33" s="9">
        <f t="shared" si="3"/>
        <v>0</v>
      </c>
      <c r="N33" s="9">
        <f t="shared" si="4"/>
        <v>0</v>
      </c>
      <c r="O33" s="9"/>
      <c r="S33" s="17">
        <f t="shared" si="6"/>
        <v>20</v>
      </c>
      <c r="T33" s="14">
        <f>ROUND(+'Rate Structure'!$D$5,2)</f>
        <v>17.68</v>
      </c>
      <c r="U33" s="14">
        <f>ROUND(+'Rate Structure'!$D$5+((+E33-U$13)*'Rate Structure'!$D$15/1000),2)</f>
        <v>4.9400000000000004</v>
      </c>
      <c r="V33" s="14">
        <f>ROUND(+'Rate Structure'!$D$5+((V$13-U$13)*'Rate Structure'!$D$15/1000)+((E33-V$13)*'Rate Structure'!$D$16/1000),2)</f>
        <v>8.9600000000000009</v>
      </c>
      <c r="W33" s="14">
        <f>ROUND(+'Rate Structure'!$D$5+((V$13-U$13)*'Rate Structure'!$D$15/1000)+((W$13-V$13)*'Rate Structure'!$D$16/1000)+((E33-W$13)*'Rate Structure'!$D$17/1000),2)</f>
        <v>27.46</v>
      </c>
      <c r="X33" s="14">
        <f>ROUND(+'Rate Structure'!$D$5+((V$13-U$13)*'Rate Structure'!$D$15/1000)+((W$13-V$13)*'Rate Structure'!$D$16/1000)+((X$13-W$13)*'Rate Structure'!$D$17/1000)+((E33-X$13)*'Rate Structure'!$D$18/1000),2)</f>
        <v>167.46</v>
      </c>
    </row>
    <row r="34" spans="1:24">
      <c r="A34" s="9">
        <f t="shared" si="5"/>
        <v>75000</v>
      </c>
      <c r="B34" s="5" t="s">
        <v>180</v>
      </c>
      <c r="C34" s="9">
        <v>100000</v>
      </c>
      <c r="D34" s="29" t="s">
        <v>184</v>
      </c>
      <c r="E34" s="9">
        <v>0</v>
      </c>
      <c r="F34" s="14">
        <v>0</v>
      </c>
      <c r="G34" s="14">
        <v>0</v>
      </c>
      <c r="H34" s="9">
        <f>Q34</f>
        <v>0</v>
      </c>
      <c r="I34" s="9">
        <f>ROUND(+H34*$E34,-2)</f>
        <v>0</v>
      </c>
      <c r="J34" s="9">
        <f>H34*F34</f>
        <v>0</v>
      </c>
      <c r="L34" s="9">
        <v>0</v>
      </c>
      <c r="M34" s="9">
        <f t="shared" si="3"/>
        <v>0</v>
      </c>
      <c r="N34" s="9">
        <f t="shared" si="4"/>
        <v>0</v>
      </c>
      <c r="O34" s="9"/>
      <c r="S34" s="17">
        <f t="shared" si="6"/>
        <v>21</v>
      </c>
      <c r="T34" s="14">
        <f>ROUND(+'Rate Structure'!$D$5,2)</f>
        <v>17.68</v>
      </c>
      <c r="U34" s="14">
        <f>ROUND(+'Rate Structure'!$D$5+((+E34-U$13)*'Rate Structure'!$D$15/1000),2)</f>
        <v>4.9400000000000004</v>
      </c>
      <c r="V34" s="14">
        <f>ROUND(+'Rate Structure'!$D$5+((V$13-U$13)*'Rate Structure'!$D$15/1000)+((E34-V$13)*'Rate Structure'!$D$16/1000),2)</f>
        <v>8.9600000000000009</v>
      </c>
      <c r="W34" s="14">
        <f>ROUND(+'Rate Structure'!$D$5+((V$13-U$13)*'Rate Structure'!$D$15/1000)+((W$13-V$13)*'Rate Structure'!$D$16/1000)+((E34-W$13)*'Rate Structure'!$D$17/1000),2)</f>
        <v>27.46</v>
      </c>
      <c r="X34" s="14">
        <f>ROUND(+'Rate Structure'!$D$5+((V$13-U$13)*'Rate Structure'!$D$15/1000)+((W$13-V$13)*'Rate Structure'!$D$16/1000)+((X$13-W$13)*'Rate Structure'!$D$17/1000)+((E34-X$13)*'Rate Structure'!$D$18/1000),2)</f>
        <v>167.46</v>
      </c>
    </row>
    <row r="35" spans="1:24">
      <c r="A35" s="9">
        <f t="shared" si="5"/>
        <v>100000</v>
      </c>
      <c r="B35" s="5" t="s">
        <v>181</v>
      </c>
      <c r="C35" s="16" t="s">
        <v>112</v>
      </c>
      <c r="D35" s="29" t="s">
        <v>184</v>
      </c>
      <c r="E35" s="9">
        <v>0</v>
      </c>
      <c r="F35" s="14">
        <v>0</v>
      </c>
      <c r="G35" s="14">
        <v>0</v>
      </c>
      <c r="H35" s="9">
        <v>0</v>
      </c>
      <c r="I35" s="9">
        <f>ROUND(+H35*$E35,-2)</f>
        <v>0</v>
      </c>
      <c r="J35" s="9">
        <f>H35*F35</f>
        <v>0</v>
      </c>
      <c r="L35" s="9">
        <v>0</v>
      </c>
      <c r="M35" s="9">
        <f t="shared" si="3"/>
        <v>0</v>
      </c>
      <c r="N35" s="9">
        <f t="shared" si="4"/>
        <v>0</v>
      </c>
      <c r="O35" s="9"/>
      <c r="S35" s="17">
        <f t="shared" si="6"/>
        <v>22</v>
      </c>
      <c r="T35" s="14">
        <f>ROUND(+'Rate Structure'!$D$5,2)</f>
        <v>17.68</v>
      </c>
      <c r="U35" s="14">
        <f>ROUND(+'Rate Structure'!$D$5+((+E35-U$13)*'Rate Structure'!$D$15/1000),2)</f>
        <v>4.9400000000000004</v>
      </c>
      <c r="V35" s="14">
        <f>ROUND(+'Rate Structure'!$D$5+((V$13-U$13)*'Rate Structure'!$D$15/1000)+((E35-V$13)*'Rate Structure'!$D$16/1000),2)</f>
        <v>8.9600000000000009</v>
      </c>
      <c r="W35" s="14">
        <f>ROUND(+'Rate Structure'!$D$5+((V$13-U$13)*'Rate Structure'!$D$15/1000)+((W$13-V$13)*'Rate Structure'!$D$16/1000)+((E35-W$13)*'Rate Structure'!$D$17/1000),2)</f>
        <v>27.46</v>
      </c>
      <c r="X35" s="14">
        <f>ROUND(+'Rate Structure'!$D$5+((V$13-U$13)*'Rate Structure'!$D$15/1000)+((W$13-V$13)*'Rate Structure'!$D$16/1000)+((X$13-W$13)*'Rate Structure'!$D$17/1000)+((E35-X$13)*'Rate Structure'!$D$18/1000),2)</f>
        <v>167.46</v>
      </c>
    </row>
    <row r="36" spans="1:24">
      <c r="A36" s="9"/>
      <c r="H36" s="9"/>
      <c r="L36" s="9"/>
      <c r="M36" s="9"/>
      <c r="S36" s="17">
        <f t="shared" si="6"/>
        <v>23</v>
      </c>
      <c r="T36" s="14">
        <f>ROUND(+'Rate Structure'!$D$5,2)</f>
        <v>17.68</v>
      </c>
      <c r="U36" s="14">
        <f>ROUND(+'Rate Structure'!$D$5+((+E36-U$13)*'Rate Structure'!$D$15/1000),2)</f>
        <v>4.9400000000000004</v>
      </c>
      <c r="V36" s="14">
        <f>ROUND(+'Rate Structure'!$D$5+((V$13-U$13)*'Rate Structure'!$D$15/1000)+((E36-V$13)*'Rate Structure'!$D$16/1000),2)</f>
        <v>8.9600000000000009</v>
      </c>
      <c r="W36" s="14">
        <f>ROUND(+'Rate Structure'!$D$5+((V$13-U$13)*'Rate Structure'!$D$15/1000)+((W$13-V$13)*'Rate Structure'!$D$16/1000)+((E36-W$13)*'Rate Structure'!$D$17/1000),2)</f>
        <v>27.46</v>
      </c>
      <c r="X36" s="14">
        <f>ROUND(+'Rate Structure'!$D$5+((V$13-U$13)*'Rate Structure'!$D$15/1000)+((W$13-V$13)*'Rate Structure'!$D$16/1000)+((X$13-W$13)*'Rate Structure'!$D$17/1000)+((E36-X$13)*'Rate Structure'!$D$18/1000),2)</f>
        <v>167.46</v>
      </c>
    </row>
    <row r="37" spans="1:24">
      <c r="A37" s="9"/>
      <c r="H37" s="9"/>
      <c r="L37" s="9"/>
      <c r="M37" s="9"/>
      <c r="S37" s="17">
        <f t="shared" si="6"/>
        <v>24</v>
      </c>
      <c r="T37" s="14">
        <f>ROUND(+'Rate Structure'!$D$5,2)</f>
        <v>17.68</v>
      </c>
      <c r="U37" s="14">
        <f>ROUND(+'Rate Structure'!$D$5+((+E37-U$13)*'Rate Structure'!$D$15/1000),2)</f>
        <v>4.9400000000000004</v>
      </c>
      <c r="V37" s="14">
        <f>ROUND(+'Rate Structure'!$D$5+((V$13-U$13)*'Rate Structure'!$D$15/1000)+((E37-V$13)*'Rate Structure'!$D$16/1000),2)</f>
        <v>8.9600000000000009</v>
      </c>
      <c r="W37" s="14">
        <f>ROUND(+'Rate Structure'!$D$5+((V$13-U$13)*'Rate Structure'!$D$15/1000)+((W$13-V$13)*'Rate Structure'!$D$16/1000)+((E37-W$13)*'Rate Structure'!$D$17/1000),2)</f>
        <v>27.46</v>
      </c>
      <c r="X37" s="14">
        <f>ROUND(+'Rate Structure'!$D$5+((V$13-U$13)*'Rate Structure'!$D$15/1000)+((W$13-V$13)*'Rate Structure'!$D$16/1000)+((X$13-W$13)*'Rate Structure'!$D$17/1000)+((E37-X$13)*'Rate Structure'!$D$18/1000),2)</f>
        <v>167.46</v>
      </c>
    </row>
    <row r="38" spans="1:24">
      <c r="A38" s="9"/>
      <c r="C38" s="4" t="s">
        <v>182</v>
      </c>
      <c r="H38" s="9">
        <f>SUM(H14:H35)</f>
        <v>4</v>
      </c>
      <c r="I38" s="9">
        <f>SUM(I14:I35)</f>
        <v>135768</v>
      </c>
      <c r="J38" s="8">
        <f>SUM(J14:J35)</f>
        <v>1189.92</v>
      </c>
      <c r="L38" s="9">
        <f>SUM(L14:L35)</f>
        <v>0</v>
      </c>
      <c r="M38" s="9">
        <f>SUM(M14:M35)</f>
        <v>0</v>
      </c>
      <c r="N38" s="8">
        <f>SUM(N14:N35)</f>
        <v>0</v>
      </c>
      <c r="O38" s="8"/>
      <c r="S38" s="17">
        <f t="shared" si="6"/>
        <v>25</v>
      </c>
      <c r="T38" s="14">
        <f>ROUND(+'Rate Structure'!$D$5,2)</f>
        <v>17.68</v>
      </c>
      <c r="U38" s="14">
        <f>ROUND(+'Rate Structure'!$D$5+((+E38-U$13)*'Rate Structure'!$D$15/1000),2)</f>
        <v>4.9400000000000004</v>
      </c>
      <c r="V38" s="14">
        <f>ROUND(+'Rate Structure'!$D$5+((V$13-U$13)*'Rate Structure'!$D$15/1000)+((E38-V$13)*'Rate Structure'!$D$16/1000),2)</f>
        <v>8.9600000000000009</v>
      </c>
      <c r="W38" s="14">
        <f>ROUND(+'Rate Structure'!$D$5+((V$13-U$13)*'Rate Structure'!$D$15/1000)+((W$13-V$13)*'Rate Structure'!$D$16/1000)+((E38-W$13)*'Rate Structure'!$D$17/1000),2)</f>
        <v>27.46</v>
      </c>
      <c r="X38" s="14">
        <f>ROUND(+'Rate Structure'!$D$5+((V$13-U$13)*'Rate Structure'!$D$15/1000)+((W$13-V$13)*'Rate Structure'!$D$16/1000)+((X$13-W$13)*'Rate Structure'!$D$17/1000)+((E38-X$13)*'Rate Structure'!$D$18/1000),2)</f>
        <v>167.46</v>
      </c>
    </row>
    <row r="39" spans="1:24">
      <c r="A39" s="9"/>
      <c r="H39" s="9"/>
      <c r="S39" s="17">
        <f t="shared" si="6"/>
        <v>26</v>
      </c>
      <c r="T39" s="14">
        <f>ROUND(+'Rate Structure'!$D$5,2)</f>
        <v>17.68</v>
      </c>
      <c r="U39" s="14">
        <f>ROUND(+'Rate Structure'!$D$5+((+E39-U$13)*'Rate Structure'!$D$15/1000),2)</f>
        <v>4.9400000000000004</v>
      </c>
      <c r="V39" s="14">
        <f>ROUND(+'Rate Structure'!$D$5+((V$13-U$13)*'Rate Structure'!$D$15/1000)+((E39-V$13)*'Rate Structure'!$D$16/1000),2)</f>
        <v>8.9600000000000009</v>
      </c>
      <c r="W39" s="14">
        <f>ROUND(+'Rate Structure'!$D$5+((V$13-U$13)*'Rate Structure'!$D$15/1000)+((W$13-V$13)*'Rate Structure'!$D$16/1000)+((E39-W$13)*'Rate Structure'!$D$17/1000),2)</f>
        <v>27.46</v>
      </c>
      <c r="X39" s="14">
        <f>ROUND(+'Rate Structure'!$D$5+((V$13-U$13)*'Rate Structure'!$D$15/1000)+((W$13-V$13)*'Rate Structure'!$D$16/1000)+((X$13-W$13)*'Rate Structure'!$D$17/1000)+((E39-X$13)*'Rate Structure'!$D$18/1000),2)</f>
        <v>167.46</v>
      </c>
    </row>
    <row r="40" spans="1:24">
      <c r="E40" s="4" t="s">
        <v>123</v>
      </c>
      <c r="F40" s="12">
        <f>ROUND(SUM(J14:J35)/I38*1000,2)</f>
        <v>8.76</v>
      </c>
      <c r="H40" s="9"/>
      <c r="L40" s="9"/>
      <c r="S40" s="17">
        <f t="shared" si="6"/>
        <v>27</v>
      </c>
      <c r="T40" s="14">
        <f>ROUND(+'Rate Structure'!$D$5,2)</f>
        <v>17.68</v>
      </c>
      <c r="U40" s="14" t="e">
        <f>ROUND(+'Rate Structure'!$D$5+((+#REF!-U$13)*'Rate Structure'!$D$15/1000),2)</f>
        <v>#REF!</v>
      </c>
      <c r="V40" s="14" t="e">
        <f>ROUND(+'Rate Structure'!$D$5+((V$13-U$13)*'Rate Structure'!$D$15/1000)+((#REF!-V$13)*'Rate Structure'!$D$16/1000),2)</f>
        <v>#REF!</v>
      </c>
      <c r="W40" s="14" t="e">
        <f>ROUND(+'Rate Structure'!$D$5+((V$13-U$13)*'Rate Structure'!$D$15/1000)+((W$13-V$13)*'Rate Structure'!$D$16/1000)+((#REF!-W$13)*'Rate Structure'!$D$17/1000),2)</f>
        <v>#REF!</v>
      </c>
      <c r="X40" s="14" t="e">
        <f>ROUND(+'Rate Structure'!$D$5+((V$13-U$13)*'Rate Structure'!$D$15/1000)+((W$13-V$13)*'Rate Structure'!$D$16/1000)+((X$13-W$13)*'Rate Structure'!$D$17/1000)+((#REF!-X$13)*'Rate Structure'!$D$18/1000),2)</f>
        <v>#REF!</v>
      </c>
    </row>
    <row r="41" spans="1:24">
      <c r="E41" s="4" t="s">
        <v>124</v>
      </c>
      <c r="H41" s="9"/>
      <c r="I41" s="9">
        <f>I38/H38/12</f>
        <v>2828.5</v>
      </c>
      <c r="S41" s="17"/>
    </row>
    <row r="42" spans="1:24">
      <c r="A42" s="9"/>
      <c r="S42" s="9"/>
    </row>
    <row r="43" spans="1:24">
      <c r="A43" s="9"/>
      <c r="H43" s="9"/>
      <c r="S43" s="9"/>
    </row>
    <row r="44" spans="1:24">
      <c r="A44" s="9"/>
      <c r="S44" s="9"/>
    </row>
    <row r="45" spans="1:24">
      <c r="A45" s="9"/>
      <c r="S45" s="9"/>
    </row>
    <row r="46" spans="1:24">
      <c r="A46" s="9"/>
      <c r="H46" s="9"/>
      <c r="S46" s="9"/>
    </row>
    <row r="47" spans="1:24">
      <c r="A47" s="9"/>
      <c r="C47" s="4" t="s">
        <v>183</v>
      </c>
      <c r="H47" s="9"/>
      <c r="I47" s="9">
        <f>ROUND((1+'Water Loss'!D8)*I38,-2)</f>
        <v>172800</v>
      </c>
      <c r="S47" s="9"/>
    </row>
    <row r="48" spans="1:24">
      <c r="A48" s="9"/>
      <c r="H48" s="9"/>
      <c r="S48" s="9"/>
    </row>
    <row r="49" spans="1:19">
      <c r="A49" s="9"/>
      <c r="H49" s="9"/>
      <c r="S49" s="9"/>
    </row>
    <row r="50" spans="1:19">
      <c r="A50" s="9"/>
      <c r="H50" s="9"/>
      <c r="S50" s="9"/>
    </row>
    <row r="51" spans="1:19">
      <c r="A51" s="9"/>
      <c r="H51" s="9"/>
      <c r="S51" s="9"/>
    </row>
    <row r="52" spans="1:19">
      <c r="A52" s="9"/>
      <c r="H52" s="9"/>
      <c r="S52" s="9"/>
    </row>
    <row r="53" spans="1:19">
      <c r="A53" s="9"/>
      <c r="H53" s="9"/>
      <c r="S53" s="9"/>
    </row>
  </sheetData>
  <printOptions horizontalCentered="1"/>
  <pageMargins left="0.65" right="0.5" top="0.2" bottom="0.25277777777777777" header="0" footer="0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Water Loss</vt:lpstr>
      <vt:lpstr>Test Per. Cust</vt:lpstr>
      <vt:lpstr>Test Per. Reven</vt:lpstr>
      <vt:lpstr>Rate Structure</vt:lpstr>
      <vt:lpstr>Act. Water Usag</vt:lpstr>
      <vt:lpstr>Wtr Use Forcast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Dix, John</dc:creator>
  <cp:lastModifiedBy>Leisey, Ryan</cp:lastModifiedBy>
  <cp:lastPrinted>2019-11-13T20:28:58Z</cp:lastPrinted>
  <dcterms:created xsi:type="dcterms:W3CDTF">2017-12-10T19:59:53Z</dcterms:created>
  <dcterms:modified xsi:type="dcterms:W3CDTF">2019-11-13T21:56:37Z</dcterms:modified>
</cp:coreProperties>
</file>