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19-00380 - 2 yr Review\DR1\Files for Uploading\Response 2\"/>
    </mc:Choice>
  </mc:AlternateContent>
  <bookViews>
    <workbookView xWindow="0" yWindow="0" windowWidth="22680" windowHeight="8070" activeTab="3"/>
  </bookViews>
  <sheets>
    <sheet name="Previous 2018-00075" sheetId="1" r:id="rId1"/>
    <sheet name="Previous 2018-00306" sheetId="2" r:id="rId2"/>
    <sheet name="Previous 2019-00171" sheetId="3" r:id="rId3"/>
    <sheet name="Current 2019-0038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4" l="1"/>
  <c r="M42" i="4" s="1"/>
  <c r="K41" i="4"/>
  <c r="M41" i="4" s="1"/>
  <c r="M40" i="4"/>
  <c r="L40" i="4"/>
  <c r="K40" i="4"/>
  <c r="K39" i="4"/>
  <c r="M39" i="4" s="1"/>
  <c r="K38" i="4"/>
  <c r="M38" i="4" s="1"/>
  <c r="K37" i="4"/>
  <c r="M37" i="4" s="1"/>
  <c r="K36" i="4"/>
  <c r="M36" i="4" s="1"/>
  <c r="K35" i="4"/>
  <c r="M35" i="4" s="1"/>
  <c r="N35" i="4" s="1"/>
  <c r="N36" i="4" s="1"/>
  <c r="N37" i="4" s="1"/>
  <c r="N38" i="4" s="1"/>
  <c r="N39" i="4" s="1"/>
  <c r="N40" i="4" s="1"/>
  <c r="M22" i="4"/>
  <c r="M21" i="4"/>
  <c r="K20" i="4"/>
  <c r="M20" i="4" s="1"/>
  <c r="M19" i="4"/>
  <c r="M18" i="4"/>
  <c r="M17" i="4"/>
  <c r="M16" i="4"/>
  <c r="M15" i="4"/>
  <c r="N15" i="4" s="1"/>
  <c r="N16" i="4" s="1"/>
  <c r="N17" i="4" s="1"/>
  <c r="N18" i="4" s="1"/>
  <c r="N19" i="4" s="1"/>
  <c r="F67" i="4"/>
  <c r="E67" i="4"/>
  <c r="E36" i="4" s="1"/>
  <c r="D67" i="4"/>
  <c r="E37" i="4"/>
  <c r="D37" i="4"/>
  <c r="D36" i="4"/>
  <c r="E35" i="4"/>
  <c r="D35" i="4"/>
  <c r="E27" i="4"/>
  <c r="D27" i="4"/>
  <c r="F27" i="4" s="1"/>
  <c r="E26" i="4"/>
  <c r="D26" i="4"/>
  <c r="E25" i="4"/>
  <c r="D25" i="4"/>
  <c r="F25" i="4" s="1"/>
  <c r="E24" i="4"/>
  <c r="D24" i="4"/>
  <c r="E23" i="4"/>
  <c r="D23" i="4"/>
  <c r="F23" i="4" s="1"/>
  <c r="E22" i="4"/>
  <c r="D22" i="4"/>
  <c r="E21" i="4"/>
  <c r="D21" i="4"/>
  <c r="F21" i="4" s="1"/>
  <c r="E20" i="4"/>
  <c r="D20" i="4"/>
  <c r="G19" i="4"/>
  <c r="G46" i="4" s="1"/>
  <c r="G37" i="4" l="1"/>
  <c r="N41" i="4"/>
  <c r="N42" i="4" s="1"/>
  <c r="N44" i="4"/>
  <c r="N46" i="4" s="1"/>
  <c r="N20" i="4"/>
  <c r="F20" i="4"/>
  <c r="G35" i="4"/>
  <c r="F22" i="4"/>
  <c r="F24" i="4"/>
  <c r="F26" i="4"/>
  <c r="G36" i="4"/>
  <c r="G38" i="4" s="1"/>
  <c r="G47" i="4" s="1"/>
  <c r="G49" i="4" s="1"/>
  <c r="G53" i="4" l="1"/>
  <c r="N24" i="4"/>
  <c r="N26" i="4" s="1"/>
  <c r="N21" i="4"/>
  <c r="N22" i="4" s="1"/>
  <c r="G20" i="4"/>
  <c r="G21" i="4" s="1"/>
  <c r="G22" i="4" s="1"/>
  <c r="G23" i="4" s="1"/>
  <c r="G24" i="4" s="1"/>
  <c r="G25" i="4" s="1"/>
  <c r="G26" i="4" s="1"/>
  <c r="G27" i="4" s="1"/>
  <c r="G40" i="4" l="1"/>
  <c r="G51" i="4" s="1"/>
  <c r="G55" i="4" s="1"/>
  <c r="G42" i="4" l="1"/>
  <c r="M42" i="3" l="1"/>
  <c r="K42" i="3"/>
  <c r="K41" i="3"/>
  <c r="M41" i="3" s="1"/>
  <c r="M40" i="3"/>
  <c r="K40" i="3"/>
  <c r="K39" i="3"/>
  <c r="M39" i="3" s="1"/>
  <c r="K38" i="3"/>
  <c r="M38" i="3" s="1"/>
  <c r="K37" i="3"/>
  <c r="M37" i="3" s="1"/>
  <c r="K36" i="3"/>
  <c r="M36" i="3" s="1"/>
  <c r="K35" i="3"/>
  <c r="M35" i="3" s="1"/>
  <c r="N35" i="3" s="1"/>
  <c r="N36" i="3" s="1"/>
  <c r="N37" i="3" s="1"/>
  <c r="N38" i="3" s="1"/>
  <c r="N39" i="3" s="1"/>
  <c r="N40" i="3" s="1"/>
  <c r="M22" i="3"/>
  <c r="M21" i="3"/>
  <c r="M20" i="3"/>
  <c r="M19" i="3"/>
  <c r="M18" i="3"/>
  <c r="M17" i="3"/>
  <c r="M16" i="3"/>
  <c r="M15" i="3"/>
  <c r="N15" i="3" s="1"/>
  <c r="N16" i="3" s="1"/>
  <c r="N17" i="3" s="1"/>
  <c r="N18" i="3" s="1"/>
  <c r="N19" i="3" s="1"/>
  <c r="N20" i="3" s="1"/>
  <c r="F67" i="3"/>
  <c r="E67" i="3"/>
  <c r="E36" i="3" s="1"/>
  <c r="D67" i="3"/>
  <c r="E37" i="3"/>
  <c r="G37" i="3" s="1"/>
  <c r="D37" i="3"/>
  <c r="D36" i="3"/>
  <c r="G36" i="3" s="1"/>
  <c r="E35" i="3"/>
  <c r="D35" i="3"/>
  <c r="G35" i="3" s="1"/>
  <c r="G38" i="3" s="1"/>
  <c r="G47" i="3" s="1"/>
  <c r="E27" i="3"/>
  <c r="D27" i="3"/>
  <c r="F27" i="3" s="1"/>
  <c r="E26" i="3"/>
  <c r="D26" i="3"/>
  <c r="F26" i="3" s="1"/>
  <c r="E25" i="3"/>
  <c r="D25" i="3"/>
  <c r="F25" i="3" s="1"/>
  <c r="E24" i="3"/>
  <c r="D24" i="3"/>
  <c r="F24" i="3" s="1"/>
  <c r="E23" i="3"/>
  <c r="D23" i="3"/>
  <c r="F23" i="3" s="1"/>
  <c r="E22" i="3"/>
  <c r="D22" i="3"/>
  <c r="F22" i="3" s="1"/>
  <c r="E21" i="3"/>
  <c r="D21" i="3"/>
  <c r="F21" i="3" s="1"/>
  <c r="E20" i="3"/>
  <c r="D20" i="3"/>
  <c r="F20" i="3" s="1"/>
  <c r="G19" i="3"/>
  <c r="G46" i="3" s="1"/>
  <c r="N24" i="3" l="1"/>
  <c r="N26" i="3" s="1"/>
  <c r="N21" i="3"/>
  <c r="N22" i="3" s="1"/>
  <c r="N44" i="3"/>
  <c r="N46" i="3" s="1"/>
  <c r="N41" i="3"/>
  <c r="N42" i="3" s="1"/>
  <c r="G53" i="3"/>
  <c r="G20" i="3"/>
  <c r="G21" i="3" s="1"/>
  <c r="G22" i="3" s="1"/>
  <c r="G23" i="3" s="1"/>
  <c r="G24" i="3" s="1"/>
  <c r="G25" i="3" s="1"/>
  <c r="G49" i="3"/>
  <c r="G40" i="3" l="1"/>
  <c r="G26" i="3"/>
  <c r="G27" i="3" s="1"/>
  <c r="G51" i="3" l="1"/>
  <c r="G55" i="3" s="1"/>
  <c r="G42" i="3"/>
  <c r="M42" i="2" l="1"/>
  <c r="K42" i="2"/>
  <c r="K41" i="2"/>
  <c r="M41" i="2" s="1"/>
  <c r="M40" i="2"/>
  <c r="K40" i="2"/>
  <c r="K39" i="2"/>
  <c r="M39" i="2" s="1"/>
  <c r="K38" i="2"/>
  <c r="M38" i="2" s="1"/>
  <c r="K37" i="2"/>
  <c r="M37" i="2" s="1"/>
  <c r="K36" i="2"/>
  <c r="M36" i="2" s="1"/>
  <c r="K35" i="2"/>
  <c r="M35" i="2" s="1"/>
  <c r="N35" i="2" s="1"/>
  <c r="N36" i="2" s="1"/>
  <c r="M22" i="2"/>
  <c r="M21" i="2"/>
  <c r="M20" i="2"/>
  <c r="M19" i="2"/>
  <c r="M18" i="2"/>
  <c r="K17" i="2"/>
  <c r="M17" i="2" s="1"/>
  <c r="N16" i="2"/>
  <c r="M16" i="2"/>
  <c r="N15" i="2"/>
  <c r="M15" i="2"/>
  <c r="F67" i="2"/>
  <c r="E67" i="2"/>
  <c r="E36" i="2" s="1"/>
  <c r="D67" i="2"/>
  <c r="E35" i="2" s="1"/>
  <c r="G35" i="2" s="1"/>
  <c r="G46" i="2"/>
  <c r="E37" i="2"/>
  <c r="D37" i="2"/>
  <c r="G37" i="2" s="1"/>
  <c r="D36" i="2"/>
  <c r="D35" i="2"/>
  <c r="E27" i="2"/>
  <c r="D27" i="2"/>
  <c r="F27" i="2" s="1"/>
  <c r="F26" i="2"/>
  <c r="E26" i="2"/>
  <c r="D26" i="2"/>
  <c r="E25" i="2"/>
  <c r="D25" i="2"/>
  <c r="F25" i="2" s="1"/>
  <c r="F24" i="2"/>
  <c r="E24" i="2"/>
  <c r="D24" i="2"/>
  <c r="E23" i="2"/>
  <c r="D23" i="2"/>
  <c r="F23" i="2" s="1"/>
  <c r="F22" i="2"/>
  <c r="E22" i="2"/>
  <c r="D22" i="2"/>
  <c r="E21" i="2"/>
  <c r="D21" i="2"/>
  <c r="F21" i="2" s="1"/>
  <c r="F20" i="2"/>
  <c r="G53" i="2" s="1"/>
  <c r="E20" i="2"/>
  <c r="D20" i="2"/>
  <c r="G19" i="2"/>
  <c r="N37" i="2" l="1"/>
  <c r="N38" i="2" s="1"/>
  <c r="N39" i="2" s="1"/>
  <c r="N40" i="2" s="1"/>
  <c r="N17" i="2"/>
  <c r="N18" i="2" s="1"/>
  <c r="N19" i="2" s="1"/>
  <c r="N20" i="2" s="1"/>
  <c r="G36" i="2"/>
  <c r="G38" i="2" s="1"/>
  <c r="G47" i="2" s="1"/>
  <c r="G49" i="2" s="1"/>
  <c r="G20" i="2"/>
  <c r="G21" i="2" s="1"/>
  <c r="G22" i="2" s="1"/>
  <c r="G23" i="2" s="1"/>
  <c r="G24" i="2" s="1"/>
  <c r="G25" i="2" s="1"/>
  <c r="N24" i="2" l="1"/>
  <c r="N26" i="2" s="1"/>
  <c r="N21" i="2"/>
  <c r="N22" i="2" s="1"/>
  <c r="N44" i="2"/>
  <c r="N46" i="2" s="1"/>
  <c r="N41" i="2"/>
  <c r="N42" i="2" s="1"/>
  <c r="G26" i="2"/>
  <c r="G27" i="2" s="1"/>
  <c r="G40" i="2"/>
  <c r="G51" i="2" l="1"/>
  <c r="G55" i="2" s="1"/>
  <c r="G42" i="2"/>
  <c r="F67" i="1" l="1"/>
  <c r="E67" i="1"/>
  <c r="D67" i="1"/>
  <c r="E37" i="1"/>
  <c r="D37" i="1"/>
  <c r="G37" i="1" s="1"/>
  <c r="G36" i="1"/>
  <c r="E36" i="1"/>
  <c r="D36" i="1"/>
  <c r="E35" i="1"/>
  <c r="D35" i="1"/>
  <c r="G35" i="1" s="1"/>
  <c r="E27" i="1"/>
  <c r="F27" i="1" s="1"/>
  <c r="D27" i="1"/>
  <c r="E26" i="1"/>
  <c r="D26" i="1"/>
  <c r="F26" i="1" s="1"/>
  <c r="E25" i="1"/>
  <c r="F25" i="1" s="1"/>
  <c r="D25" i="1"/>
  <c r="E24" i="1"/>
  <c r="D24" i="1"/>
  <c r="F24" i="1" s="1"/>
  <c r="E23" i="1"/>
  <c r="F23" i="1" s="1"/>
  <c r="D23" i="1"/>
  <c r="E22" i="1"/>
  <c r="D22" i="1"/>
  <c r="F22" i="1" s="1"/>
  <c r="E21" i="1"/>
  <c r="F21" i="1" s="1"/>
  <c r="D21" i="1"/>
  <c r="E20" i="1"/>
  <c r="D20" i="1"/>
  <c r="F20" i="1" s="1"/>
  <c r="G19" i="1"/>
  <c r="G46" i="1" s="1"/>
  <c r="K42" i="1"/>
  <c r="M42" i="1" s="1"/>
  <c r="K41" i="1"/>
  <c r="M41" i="1" s="1"/>
  <c r="K40" i="1"/>
  <c r="M40" i="1" s="1"/>
  <c r="K39" i="1"/>
  <c r="M39" i="1" s="1"/>
  <c r="M38" i="1"/>
  <c r="K38" i="1"/>
  <c r="K37" i="1"/>
  <c r="M37" i="1" s="1"/>
  <c r="K36" i="1"/>
  <c r="M36" i="1" s="1"/>
  <c r="K35" i="1"/>
  <c r="M35" i="1" s="1"/>
  <c r="N35" i="1" s="1"/>
  <c r="M22" i="1"/>
  <c r="M21" i="1"/>
  <c r="M20" i="1"/>
  <c r="M19" i="1"/>
  <c r="M18" i="1"/>
  <c r="M17" i="1"/>
  <c r="M16" i="1"/>
  <c r="M15" i="1"/>
  <c r="N15" i="1" s="1"/>
  <c r="N16" i="1" s="1"/>
  <c r="N17" i="1" s="1"/>
  <c r="N18" i="1" s="1"/>
  <c r="N19" i="1" s="1"/>
  <c r="N20" i="1" s="1"/>
  <c r="G38" i="1" l="1"/>
  <c r="G47" i="1" s="1"/>
  <c r="G49" i="1"/>
  <c r="G53" i="1"/>
  <c r="G20" i="1"/>
  <c r="G21" i="1" s="1"/>
  <c r="G22" i="1" s="1"/>
  <c r="G23" i="1" s="1"/>
  <c r="G24" i="1" s="1"/>
  <c r="G25" i="1" s="1"/>
  <c r="N24" i="1"/>
  <c r="N26" i="1" s="1"/>
  <c r="N21" i="1"/>
  <c r="N22" i="1" s="1"/>
  <c r="N36" i="1"/>
  <c r="N37" i="1" s="1"/>
  <c r="N38" i="1" s="1"/>
  <c r="N39" i="1" s="1"/>
  <c r="N40" i="1" s="1"/>
  <c r="G26" i="1" l="1"/>
  <c r="G27" i="1" s="1"/>
  <c r="G40" i="1"/>
  <c r="N44" i="1"/>
  <c r="N46" i="1" s="1"/>
  <c r="N41" i="1"/>
  <c r="N42" i="1" s="1"/>
  <c r="G42" i="1" l="1"/>
  <c r="G51" i="1"/>
  <c r="G55" i="1" s="1"/>
</calcChain>
</file>

<file path=xl/sharedStrings.xml><?xml version="1.0" encoding="utf-8"?>
<sst xmlns="http://schemas.openxmlformats.org/spreadsheetml/2006/main" count="448" uniqueCount="86">
  <si>
    <t>Rate E:  See Excel Columns B through G</t>
  </si>
  <si>
    <t>Rate B and Special Contract:  See Excel Columns J through N</t>
  </si>
  <si>
    <t>Owen Electric Cooperative - Calculation of (Over)/Under Recovery - Direct Surcharge Pass-Throughs</t>
  </si>
  <si>
    <t>Special Contract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</si>
  <si>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</si>
  <si>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</si>
  <si>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</si>
  <si>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</si>
  <si>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</si>
  <si>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</si>
  <si>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</si>
  <si>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</si>
  <si>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</si>
  <si>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Month &amp; Year</t>
  </si>
  <si>
    <t>(1)</t>
  </si>
  <si>
    <t>(2)</t>
  </si>
  <si>
    <t>(3)</t>
  </si>
  <si>
    <t>(4)</t>
  </si>
  <si>
    <t>Cumulative 6-month (Over)/Under Recovery</t>
  </si>
  <si>
    <t>Monthly Recovery (per month for six months)</t>
  </si>
  <si>
    <t>Rate B Customers</t>
  </si>
  <si>
    <t>Owen - Calculation of (Over)/Under Recovery</t>
  </si>
  <si>
    <t>Rate E</t>
  </si>
  <si>
    <t>Line No.</t>
  </si>
  <si>
    <t>(5)</t>
  </si>
  <si>
    <t>Previous (Over)/Under-Recovery Remaining to be Amortized</t>
  </si>
  <si>
    <t>1a</t>
  </si>
  <si>
    <t>From Case No. 2016-00335 (Over)/Under-Recovery</t>
  </si>
  <si>
    <t>1b</t>
  </si>
  <si>
    <t>From Case No. 2017-00071 (Over)/Under-Recovery</t>
  </si>
  <si>
    <t>1c</t>
  </si>
  <si>
    <t>From Case No. 2017-00326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</si>
  <si>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</si>
  <si>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</si>
  <si>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</si>
  <si>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</si>
  <si>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2017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</si>
  <si>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</si>
  <si>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</si>
  <si>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</si>
  <si>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</si>
  <si>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</si>
  <si>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</si>
  <si>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</si>
  <si>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</si>
  <si>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</si>
  <si>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</si>
  <si>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</si>
  <si>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</si>
  <si>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</si>
  <si>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</si>
  <si>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2016-00335 Recovery</t>
  </si>
  <si>
    <t>8b</t>
  </si>
  <si>
    <t>Case No. 2017-00071 Recovery</t>
  </si>
  <si>
    <t>8c</t>
  </si>
  <si>
    <t>Case No. 2017-00326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</si>
  <si>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</si>
  <si>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</si>
  <si>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</si>
  <si>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Monthly recovery (per month for six months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</si>
  <si>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</si>
  <si>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</si>
  <si>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</si>
  <si>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</si>
  <si>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</si>
  <si>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</si>
  <si>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</si>
  <si>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</si>
  <si>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</si>
  <si>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2016-00335</t>
  </si>
  <si>
    <t>2017-00071</t>
  </si>
  <si>
    <t>2017-00326</t>
  </si>
  <si>
    <t xml:space="preserve">Totals  </t>
  </si>
  <si>
    <t>From Case No. 2018-00075 (Over)/Under-Recovery</t>
  </si>
  <si>
    <t>Less Adjustment for Order amounts remaining to be amortized at end of review period June 2018</t>
  </si>
  <si>
    <t>Case No. 2018-00075 Recovery</t>
  </si>
  <si>
    <t>2018-00075</t>
  </si>
  <si>
    <t>From Case No. 2018-00306 (Over)/Under-Recovery</t>
  </si>
  <si>
    <t>Less Adjustment for Order amounts remaining to be amortized at end of review period December 2018</t>
  </si>
  <si>
    <t>Case No. 2018-00306 Recovery</t>
  </si>
  <si>
    <t>2018-00306</t>
  </si>
  <si>
    <t>From Case No. 2019-00171 (Over)/Under-Recovery</t>
  </si>
  <si>
    <t>Less Adjustment for Order amounts remaining to be amortized at end of review period June 2019</t>
  </si>
  <si>
    <t>Case No. 2019-00171 Recovery</t>
  </si>
  <si>
    <t>2019-00171</t>
  </si>
  <si>
    <t>Monthly recovery (per month for six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</si>
</sst>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[$-409]mmm\-yy;@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/>
    <xf numFmtId="0" fontId="1" fillId="0" borderId="0" xfId="1" applyFont="1"/>
    <xf numFmtId="0" fontId="2" fillId="0" borderId="7" xfId="1" applyBorder="1"/>
    <xf numFmtId="0" fontId="2" fillId="0" borderId="7" xfId="1" applyBorder="1" applyAlignment="1">
      <alignment horizontal="center"/>
    </xf>
    <xf numFmtId="0" fontId="2" fillId="0" borderId="8" xfId="1" applyBorder="1"/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center"/>
    </xf>
    <xf numFmtId="49" fontId="2" fillId="0" borderId="10" xfId="1" applyNumberFormat="1" applyBorder="1" applyAlignment="1">
      <alignment horizontal="center"/>
    </xf>
    <xf numFmtId="17" fontId="4" fillId="0" borderId="7" xfId="2" applyNumberFormat="1" applyFont="1" applyFill="1" applyBorder="1"/>
    <xf numFmtId="5" fontId="2" fillId="0" borderId="7" xfId="1" applyNumberFormat="1" applyBorder="1"/>
    <xf numFmtId="17" fontId="4" fillId="0" borderId="8" xfId="2" applyNumberFormat="1" applyFont="1" applyFill="1" applyBorder="1"/>
    <xf numFmtId="5" fontId="2" fillId="0" borderId="8" xfId="1" applyNumberFormat="1" applyBorder="1"/>
    <xf numFmtId="17" fontId="4" fillId="0" borderId="9" xfId="2" applyNumberFormat="1" applyFont="1" applyFill="1" applyBorder="1"/>
    <xf numFmtId="5" fontId="2" fillId="0" borderId="9" xfId="1" applyNumberFormat="1" applyBorder="1"/>
    <xf numFmtId="0" fontId="2" fillId="0" borderId="11" xfId="1" applyBorder="1"/>
    <xf numFmtId="0" fontId="2" fillId="0" borderId="12" xfId="1" applyBorder="1"/>
    <xf numFmtId="0" fontId="2" fillId="0" borderId="13" xfId="1" applyBorder="1"/>
    <xf numFmtId="5" fontId="2" fillId="0" borderId="10" xfId="1" applyNumberFormat="1" applyBorder="1"/>
    <xf numFmtId="5" fontId="2" fillId="0" borderId="0" xfId="1" applyNumberFormat="1"/>
    <xf numFmtId="5" fontId="2" fillId="0" borderId="8" xfId="3" applyNumberFormat="1" applyFill="1" applyBorder="1"/>
    <xf numFmtId="0" fontId="1" fillId="0" borderId="0" xfId="0" applyFont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5" fontId="0" fillId="0" borderId="10" xfId="0" applyNumberFormat="1" applyFill="1" applyBorder="1"/>
    <xf numFmtId="0" fontId="0" fillId="0" borderId="3" xfId="0" applyBorder="1"/>
    <xf numFmtId="5" fontId="0" fillId="0" borderId="7" xfId="0" applyNumberFormat="1" applyFill="1" applyBorder="1"/>
    <xf numFmtId="5" fontId="0" fillId="0" borderId="7" xfId="0" applyNumberFormat="1" applyBorder="1"/>
    <xf numFmtId="164" fontId="0" fillId="0" borderId="7" xfId="0" applyNumberFormat="1" applyBorder="1" applyAlignment="1">
      <alignment horizontal="right"/>
    </xf>
    <xf numFmtId="5" fontId="0" fillId="0" borderId="1" xfId="0" applyNumberFormat="1" applyFill="1" applyBorder="1"/>
    <xf numFmtId="5" fontId="0" fillId="0" borderId="1" xfId="0" applyNumberFormat="1" applyBorder="1"/>
    <xf numFmtId="164" fontId="0" fillId="0" borderId="8" xfId="0" applyNumberFormat="1" applyBorder="1" applyAlignment="1">
      <alignment horizontal="right"/>
    </xf>
    <xf numFmtId="5" fontId="0" fillId="0" borderId="8" xfId="0" applyNumberFormat="1" applyFill="1" applyBorder="1"/>
    <xf numFmtId="5" fontId="0" fillId="0" borderId="14" xfId="0" applyNumberFormat="1" applyFill="1" applyBorder="1"/>
    <xf numFmtId="5" fontId="0" fillId="0" borderId="14" xfId="0" applyNumberFormat="1" applyBorder="1"/>
    <xf numFmtId="5" fontId="0" fillId="0" borderId="8" xfId="0" applyNumberFormat="1" applyBorder="1"/>
    <xf numFmtId="5" fontId="0" fillId="0" borderId="4" xfId="0" applyNumberFormat="1" applyBorder="1"/>
    <xf numFmtId="5" fontId="0" fillId="0" borderId="9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right"/>
    </xf>
    <xf numFmtId="5" fontId="0" fillId="0" borderId="9" xfId="0" applyNumberFormat="1" applyFill="1" applyBorder="1"/>
    <xf numFmtId="5" fontId="0" fillId="0" borderId="4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5" xfId="0" applyFill="1" applyBorder="1"/>
    <xf numFmtId="5" fontId="0" fillId="2" borderId="6" xfId="0" applyNumberFormat="1" applyFill="1" applyBorder="1"/>
    <xf numFmtId="5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1" xfId="0" applyBorder="1"/>
    <xf numFmtId="5" fontId="0" fillId="0" borderId="10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0" xfId="0" applyBorder="1"/>
    <xf numFmtId="5" fontId="0" fillId="0" borderId="15" xfId="0" applyNumberFormat="1" applyBorder="1"/>
    <xf numFmtId="5" fontId="0" fillId="0" borderId="6" xfId="0" applyNumberFormat="1" applyBorder="1"/>
    <xf numFmtId="5" fontId="0" fillId="0" borderId="16" xfId="0" applyNumberFormat="1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right"/>
    </xf>
    <xf numFmtId="5" fontId="2" fillId="0" borderId="7" xfId="1" applyNumberFormat="1" applyFill="1" applyBorder="1"/>
    <xf numFmtId="5" fontId="2" fillId="0" borderId="8" xfId="1" applyNumberFormat="1" applyFill="1" applyBorder="1"/>
    <xf numFmtId="5" fontId="2" fillId="0" borderId="9" xfId="1" applyNumberFormat="1" applyFill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1" fillId="0" borderId="1" xfId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0" fontId="1" fillId="0" borderId="4" xfId="1" applyFont="1" applyBorder="1" applyAlignment="1">
      <alignment horizontal="center" wrapText="1"/>
    </xf>
    <xf numFmtId="0" fontId="1" fillId="0" borderId="5" xfId="1" applyFont="1" applyBorder="1" applyAlignment="1">
      <alignment horizontal="center" wrapText="1"/>
    </xf>
    <xf numFmtId="0" fontId="1" fillId="0" borderId="6" xfId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A3" sqref="A3"/>
    </sheetView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  <col min="10" max="14" width="15.625" customWidth="1"/>
  </cols>
  <sheetData>
    <row r="1" spans="1:14" x14ac:dyDescent="0.2">
      <c r="A1" t="s">
        <v>0</v>
      </c>
    </row>
    <row r="2" spans="1:14" x14ac:dyDescent="0.2">
      <c r="A2" t="s">
        <v>1</v>
      </c>
    </row>
    <row r="3" spans="1:14" ht="15" x14ac:dyDescent="0.2">
      <c r="J3" s="1"/>
      <c r="K3" s="1"/>
      <c r="L3" s="1"/>
      <c r="M3" s="1"/>
      <c r="N3" s="1"/>
    </row>
    <row r="4" spans="1:14" ht="15" x14ac:dyDescent="0.2">
      <c r="J4" s="1"/>
      <c r="K4" s="1"/>
      <c r="L4" s="1"/>
      <c r="M4" s="1"/>
      <c r="N4" s="1"/>
    </row>
    <row r="5" spans="1:14" x14ac:dyDescent="0.2">
      <c r="B5" s="87" t="s">
        <v>21</v>
      </c>
      <c r="C5" s="88"/>
      <c r="D5" s="88"/>
      <c r="E5" s="88"/>
      <c r="F5" s="88"/>
      <c r="G5" s="89"/>
      <c r="J5" s="81" t="s">
        <v>2</v>
      </c>
      <c r="K5" s="82"/>
      <c r="L5" s="82"/>
      <c r="M5" s="82"/>
      <c r="N5" s="83"/>
    </row>
    <row r="6" spans="1:14" x14ac:dyDescent="0.2">
      <c r="B6" s="90"/>
      <c r="C6" s="91"/>
      <c r="D6" s="91"/>
      <c r="E6" s="91"/>
      <c r="F6" s="91"/>
      <c r="G6" s="92"/>
      <c r="J6" s="84"/>
      <c r="K6" s="85"/>
      <c r="L6" s="85"/>
      <c r="M6" s="85"/>
      <c r="N6" s="86"/>
    </row>
    <row r="7" spans="1:14" ht="15" x14ac:dyDescent="0.2">
      <c r="J7" s="1"/>
      <c r="K7" s="1"/>
      <c r="L7" s="1"/>
      <c r="M7" s="1"/>
      <c r="N7" s="1"/>
    </row>
    <row r="8" spans="1:14" ht="15.75" x14ac:dyDescent="0.25">
      <c r="B8" s="22" t="s">
        <v>22</v>
      </c>
      <c r="J8" s="2" t="s">
        <v>3</v>
      </c>
      <c r="K8" s="1"/>
      <c r="L8" s="1"/>
      <c r="M8" s="1"/>
      <c r="N8" s="1"/>
    </row>
    <row r="9" spans="1:14" ht="15" x14ac:dyDescent="0.2">
      <c r="J9" s="1"/>
      <c r="K9" s="1"/>
      <c r="L9" s="1"/>
      <c r="M9" s="1"/>
      <c r="N9" s="1"/>
    </row>
    <row r="10" spans="1:14" ht="15" x14ac:dyDescent="0.2">
      <c r="B10" s="23"/>
      <c r="C10" s="23"/>
      <c r="D10" s="23"/>
      <c r="E10" s="24" t="s">
        <v>4</v>
      </c>
      <c r="F10" s="23"/>
      <c r="G10" s="23"/>
      <c r="J10" s="3"/>
      <c r="K10" s="3"/>
      <c r="L10" s="4" t="s">
        <v>4</v>
      </c>
      <c r="M10" s="3"/>
      <c r="N10" s="3"/>
    </row>
    <row r="11" spans="1:14" ht="15" x14ac:dyDescent="0.2">
      <c r="B11" s="25"/>
      <c r="C11" s="25"/>
      <c r="D11" s="26" t="s">
        <v>5</v>
      </c>
      <c r="E11" s="26" t="s">
        <v>6</v>
      </c>
      <c r="F11" s="25"/>
      <c r="G11" s="25"/>
      <c r="J11" s="5"/>
      <c r="K11" s="6" t="s">
        <v>5</v>
      </c>
      <c r="L11" s="6" t="s">
        <v>6</v>
      </c>
      <c r="M11" s="5"/>
      <c r="N11" s="5"/>
    </row>
    <row r="12" spans="1:14" ht="15" x14ac:dyDescent="0.2">
      <c r="B12" s="25"/>
      <c r="C12" s="25"/>
      <c r="D12" s="26" t="s">
        <v>7</v>
      </c>
      <c r="E12" s="26" t="s">
        <v>8</v>
      </c>
      <c r="F12" s="26" t="s">
        <v>9</v>
      </c>
      <c r="G12" s="26" t="s">
        <v>10</v>
      </c>
      <c r="J12" s="5"/>
      <c r="K12" s="6" t="s">
        <v>7</v>
      </c>
      <c r="L12" s="6" t="s">
        <v>8</v>
      </c>
      <c r="M12" s="6" t="s">
        <v>9</v>
      </c>
      <c r="N12" s="6" t="s">
        <v>10</v>
      </c>
    </row>
    <row r="13" spans="1:14" ht="15" x14ac:dyDescent="0.2">
      <c r="B13" s="27"/>
      <c r="C13" s="27"/>
      <c r="D13" s="27" t="s">
        <v>11</v>
      </c>
      <c r="E13" s="27" t="s">
        <v>11</v>
      </c>
      <c r="F13" s="27" t="s">
        <v>12</v>
      </c>
      <c r="G13" s="27" t="s">
        <v>12</v>
      </c>
      <c r="J13" s="7"/>
      <c r="K13" s="7" t="s">
        <v>11</v>
      </c>
      <c r="L13" s="7" t="s">
        <v>11</v>
      </c>
      <c r="M13" s="7" t="s">
        <v>12</v>
      </c>
      <c r="N13" s="7" t="s">
        <v>12</v>
      </c>
    </row>
    <row r="14" spans="1:14" ht="15" x14ac:dyDescent="0.2">
      <c r="B14" s="28" t="s">
        <v>23</v>
      </c>
      <c r="C14" s="28" t="s">
        <v>13</v>
      </c>
      <c r="D14" s="29" t="s">
        <v>15</v>
      </c>
      <c r="E14" s="29" t="s">
        <v>16</v>
      </c>
      <c r="F14" s="29" t="s">
        <v>17</v>
      </c>
      <c r="G14" s="29" t="s">
        <v>24</v>
      </c>
      <c r="J14" s="8" t="s">
        <v>13</v>
      </c>
      <c r="K14" s="9" t="s">
        <v>14</v>
      </c>
      <c r="L14" s="9" t="s">
        <v>15</v>
      </c>
      <c r="M14" s="9" t="s">
        <v>16</v>
      </c>
      <c r="N14" s="9" t="s">
        <v>17</v>
      </c>
    </row>
    <row r="15" spans="1:14" ht="15" x14ac:dyDescent="0.2">
      <c r="B15" s="24">
        <v>1</v>
      </c>
      <c r="C15" s="93" t="s">
        <v>25</v>
      </c>
      <c r="D15" s="94"/>
      <c r="E15" s="94"/>
      <c r="F15" s="94"/>
      <c r="G15" s="95"/>
      <c r="J15" s="10">
        <v>42917</v>
      </c>
      <c r="K15" s="11">
        <v>558066</v>
      </c>
      <c r="L15" s="11">
        <v>558066</v>
      </c>
      <c r="M15" s="11">
        <f t="shared" ref="M15:M22" si="0">K15-L15</f>
        <v>0</v>
      </c>
      <c r="N15" s="11">
        <f>M15</f>
        <v>0</v>
      </c>
    </row>
    <row r="16" spans="1:14" ht="15" x14ac:dyDescent="0.2">
      <c r="B16" s="24" t="s">
        <v>26</v>
      </c>
      <c r="C16" s="30" t="s">
        <v>27</v>
      </c>
      <c r="D16" s="30"/>
      <c r="E16" s="30"/>
      <c r="F16" s="31"/>
      <c r="G16" s="32">
        <v>224293</v>
      </c>
      <c r="J16" s="12">
        <v>42948</v>
      </c>
      <c r="K16" s="13">
        <v>561658</v>
      </c>
      <c r="L16" s="13">
        <v>561658</v>
      </c>
      <c r="M16" s="13">
        <f t="shared" si="0"/>
        <v>0</v>
      </c>
      <c r="N16" s="13">
        <f>N15+M16</f>
        <v>0</v>
      </c>
    </row>
    <row r="17" spans="2:14" ht="15" x14ac:dyDescent="0.2">
      <c r="B17" s="26" t="s">
        <v>28</v>
      </c>
      <c r="C17" s="30" t="s">
        <v>29</v>
      </c>
      <c r="D17" s="30"/>
      <c r="E17" s="30"/>
      <c r="F17" s="31"/>
      <c r="G17" s="32">
        <v>411719</v>
      </c>
      <c r="J17" s="12">
        <v>42979</v>
      </c>
      <c r="K17" s="13">
        <v>437787</v>
      </c>
      <c r="L17" s="13">
        <v>437787</v>
      </c>
      <c r="M17" s="13">
        <f t="shared" si="0"/>
        <v>0</v>
      </c>
      <c r="N17" s="13">
        <f t="shared" ref="N17:N20" si="1">N16+M17</f>
        <v>0</v>
      </c>
    </row>
    <row r="18" spans="2:14" ht="15" x14ac:dyDescent="0.2">
      <c r="B18" s="26" t="s">
        <v>30</v>
      </c>
      <c r="C18" s="30" t="s">
        <v>31</v>
      </c>
      <c r="D18" s="30"/>
      <c r="E18" s="30"/>
      <c r="F18" s="33"/>
      <c r="G18" s="34">
        <v>104745</v>
      </c>
      <c r="J18" s="12">
        <v>43009</v>
      </c>
      <c r="K18" s="13">
        <v>536402</v>
      </c>
      <c r="L18" s="13">
        <v>536402</v>
      </c>
      <c r="M18" s="13">
        <f t="shared" si="0"/>
        <v>0</v>
      </c>
      <c r="N18" s="13">
        <f t="shared" si="1"/>
        <v>0</v>
      </c>
    </row>
    <row r="19" spans="2:14" ht="15" x14ac:dyDescent="0.2">
      <c r="B19" s="27" t="s">
        <v>32</v>
      </c>
      <c r="C19" s="30" t="s">
        <v>33</v>
      </c>
      <c r="D19" s="30"/>
      <c r="E19" s="30"/>
      <c r="F19" s="33"/>
      <c r="G19" s="35">
        <f>G16+G17+G18</f>
        <v>740757</v>
      </c>
      <c r="J19" s="12">
        <v>43040</v>
      </c>
      <c r="K19" s="13">
        <v>544970</v>
      </c>
      <c r="L19" s="13">
        <v>544970</v>
      </c>
      <c r="M19" s="13">
        <f t="shared" si="0"/>
        <v>0</v>
      </c>
      <c r="N19" s="13">
        <f t="shared" si="1"/>
        <v>0</v>
      </c>
    </row>
    <row r="20" spans="2:14" ht="15" x14ac:dyDescent="0.2">
      <c r="B20" s="26">
        <v>2</v>
      </c>
      <c r="C20" s="36">
        <v>42917</v>
      </c>
      <c r="D20" s="34">
        <f>1062028-(989+26)-2062</f>
        <v>1058951</v>
      </c>
      <c r="E20" s="37">
        <f>965813.51+7050.84+232093.08+35437.63+731.91+21891.81</f>
        <v>1263018.7799999998</v>
      </c>
      <c r="F20" s="38">
        <f t="shared" ref="F20:F27" si="2">D20-E20</f>
        <v>-204067.7799999998</v>
      </c>
      <c r="G20" s="35">
        <f>G19+F20</f>
        <v>536689.2200000002</v>
      </c>
      <c r="J20" s="14">
        <v>43070</v>
      </c>
      <c r="K20" s="15">
        <v>519489</v>
      </c>
      <c r="L20" s="15">
        <v>519489</v>
      </c>
      <c r="M20" s="15">
        <f t="shared" si="0"/>
        <v>0</v>
      </c>
      <c r="N20" s="15">
        <f t="shared" si="1"/>
        <v>0</v>
      </c>
    </row>
    <row r="21" spans="2:14" ht="15" x14ac:dyDescent="0.2">
      <c r="B21" s="26">
        <v>3</v>
      </c>
      <c r="C21" s="39">
        <v>42948</v>
      </c>
      <c r="D21" s="40">
        <f>973868-(968+26)-2025</f>
        <v>970849</v>
      </c>
      <c r="E21" s="41">
        <f>782178.57+5559.24+195038.45+2231.3+632.39+19177.66</f>
        <v>1004817.6100000001</v>
      </c>
      <c r="F21" s="42">
        <f t="shared" si="2"/>
        <v>-33968.610000000102</v>
      </c>
      <c r="G21" s="43">
        <f t="shared" ref="G21:G27" si="3">G20+F21</f>
        <v>502720.6100000001</v>
      </c>
      <c r="J21" s="12">
        <v>43101</v>
      </c>
      <c r="K21" s="11">
        <v>542251</v>
      </c>
      <c r="L21" s="11">
        <v>542251</v>
      </c>
      <c r="M21" s="13">
        <f t="shared" si="0"/>
        <v>0</v>
      </c>
      <c r="N21" s="13">
        <f>N20+M21</f>
        <v>0</v>
      </c>
    </row>
    <row r="22" spans="2:14" ht="15" x14ac:dyDescent="0.2">
      <c r="B22" s="26">
        <v>4</v>
      </c>
      <c r="C22" s="39">
        <v>42979</v>
      </c>
      <c r="D22" s="40">
        <f>700425-1813-(867+23)</f>
        <v>697722</v>
      </c>
      <c r="E22" s="41">
        <f>691918.7+5735.34+198742.62+61852.03+711.33+23259.77</f>
        <v>982219.78999999992</v>
      </c>
      <c r="F22" s="42">
        <f t="shared" si="2"/>
        <v>-284497.78999999992</v>
      </c>
      <c r="G22" s="43">
        <f t="shared" si="3"/>
        <v>218222.82000000018</v>
      </c>
      <c r="J22" s="14">
        <v>43132</v>
      </c>
      <c r="K22" s="15">
        <v>384879</v>
      </c>
      <c r="L22" s="15">
        <v>384879</v>
      </c>
      <c r="M22" s="15">
        <f t="shared" si="0"/>
        <v>0</v>
      </c>
      <c r="N22" s="15">
        <f>N21+M22</f>
        <v>0</v>
      </c>
    </row>
    <row r="23" spans="2:14" ht="15" x14ac:dyDescent="0.2">
      <c r="B23" s="26">
        <v>5</v>
      </c>
      <c r="C23" s="39">
        <v>43009</v>
      </c>
      <c r="D23" s="40">
        <f>738431-2000-(956+25)</f>
        <v>735450</v>
      </c>
      <c r="E23" s="41">
        <f>508366.24+4611.63+138629.03-26149.1+610.45+17140.72</f>
        <v>643208.97</v>
      </c>
      <c r="F23" s="42">
        <f t="shared" si="2"/>
        <v>92241.030000000028</v>
      </c>
      <c r="G23" s="43">
        <f t="shared" si="3"/>
        <v>310463.85000000021</v>
      </c>
      <c r="J23" s="1"/>
      <c r="K23" s="1"/>
      <c r="L23" s="1"/>
      <c r="M23" s="1"/>
      <c r="N23" s="1"/>
    </row>
    <row r="24" spans="2:14" ht="15" x14ac:dyDescent="0.2">
      <c r="B24" s="26">
        <v>6</v>
      </c>
      <c r="C24" s="39">
        <v>43040</v>
      </c>
      <c r="D24" s="40">
        <f>955770-2341-(1119+30)</f>
        <v>952280</v>
      </c>
      <c r="E24" s="41">
        <f>676359.64+6485.63+184856.97-5468.52+992.46+22159.56</f>
        <v>885385.74</v>
      </c>
      <c r="F24" s="42">
        <f t="shared" si="2"/>
        <v>66894.260000000009</v>
      </c>
      <c r="G24" s="43">
        <f t="shared" si="3"/>
        <v>377358.11000000022</v>
      </c>
      <c r="J24" s="16" t="s">
        <v>18</v>
      </c>
      <c r="K24" s="17"/>
      <c r="L24" s="17"/>
      <c r="M24" s="18"/>
      <c r="N24" s="19">
        <f>N20</f>
        <v>0</v>
      </c>
    </row>
    <row r="25" spans="2:14" ht="15" x14ac:dyDescent="0.2">
      <c r="B25" s="26">
        <v>7</v>
      </c>
      <c r="C25" s="39">
        <v>43070</v>
      </c>
      <c r="D25" s="40">
        <f>1113819-2042-(975+26)</f>
        <v>1110776</v>
      </c>
      <c r="E25" s="41">
        <f>984659.65+7184.39+214447.44+29110.03+1201.73+26008.94</f>
        <v>1262612.18</v>
      </c>
      <c r="F25" s="44">
        <f t="shared" si="2"/>
        <v>-151836.17999999993</v>
      </c>
      <c r="G25" s="45">
        <f t="shared" si="3"/>
        <v>225521.93000000028</v>
      </c>
      <c r="J25" s="1"/>
      <c r="K25" s="1"/>
      <c r="L25" s="1"/>
      <c r="M25" s="1"/>
      <c r="N25" s="20"/>
    </row>
    <row r="26" spans="2:14" ht="15" x14ac:dyDescent="0.2">
      <c r="B26" s="46" t="s">
        <v>34</v>
      </c>
      <c r="C26" s="36">
        <v>43101</v>
      </c>
      <c r="D26" s="34">
        <f>1184113-(894+24)-1872</f>
        <v>1181323</v>
      </c>
      <c r="E26" s="37">
        <f>1046104.71+5264.21+177745.11+18321.03+883.12+24580.97</f>
        <v>1272899.1499999999</v>
      </c>
      <c r="F26" s="38">
        <f t="shared" si="2"/>
        <v>-91576.149999999907</v>
      </c>
      <c r="G26" s="35">
        <f t="shared" si="3"/>
        <v>133945.78000000038</v>
      </c>
      <c r="J26" s="16" t="s">
        <v>19</v>
      </c>
      <c r="K26" s="17"/>
      <c r="L26" s="17"/>
      <c r="M26" s="18"/>
      <c r="N26" s="19">
        <f>N24/6</f>
        <v>0</v>
      </c>
    </row>
    <row r="27" spans="2:14" ht="15" x14ac:dyDescent="0.2">
      <c r="B27" s="47" t="s">
        <v>35</v>
      </c>
      <c r="C27" s="48">
        <v>43132</v>
      </c>
      <c r="D27" s="49">
        <f>630273-1232-(588+16)</f>
        <v>628437</v>
      </c>
      <c r="E27" s="50">
        <f>753515.15+4849.19+159361.15+68691.99+744.27+23181.19</f>
        <v>1010342.94</v>
      </c>
      <c r="F27" s="44">
        <f t="shared" si="2"/>
        <v>-381905.93999999994</v>
      </c>
      <c r="G27" s="45">
        <f t="shared" si="3"/>
        <v>-247960.15999999957</v>
      </c>
      <c r="J27" s="1"/>
      <c r="K27" s="1"/>
      <c r="L27" s="1"/>
      <c r="M27" s="1"/>
      <c r="N27" s="1"/>
    </row>
    <row r="28" spans="2:14" ht="15.75" x14ac:dyDescent="0.25">
      <c r="B28" s="27"/>
      <c r="C28" s="51" t="s">
        <v>36</v>
      </c>
      <c r="D28" s="52"/>
      <c r="E28" s="52"/>
      <c r="F28" s="52"/>
      <c r="G28" s="53"/>
      <c r="J28" s="2" t="s">
        <v>20</v>
      </c>
      <c r="K28" s="1"/>
      <c r="L28" s="1"/>
      <c r="M28" s="1"/>
      <c r="N28" s="1"/>
    </row>
    <row r="29" spans="2:14" ht="15" x14ac:dyDescent="0.2">
      <c r="B29" s="24"/>
      <c r="C29" s="23"/>
      <c r="D29" s="23"/>
      <c r="E29" s="23"/>
      <c r="F29" s="23"/>
      <c r="G29" s="35"/>
      <c r="J29" s="1"/>
      <c r="K29" s="1"/>
      <c r="L29" s="1"/>
      <c r="M29" s="1"/>
      <c r="N29" s="1"/>
    </row>
    <row r="30" spans="2:14" ht="15" x14ac:dyDescent="0.2">
      <c r="B30" s="26"/>
      <c r="C30" s="25"/>
      <c r="D30" s="26" t="s">
        <v>37</v>
      </c>
      <c r="E30" s="26" t="s">
        <v>38</v>
      </c>
      <c r="F30" s="25"/>
      <c r="G30" s="43"/>
      <c r="J30" s="3"/>
      <c r="K30" s="3"/>
      <c r="L30" s="4" t="s">
        <v>4</v>
      </c>
      <c r="M30" s="3"/>
      <c r="N30" s="3"/>
    </row>
    <row r="31" spans="2:14" ht="15" x14ac:dyDescent="0.2">
      <c r="B31" s="26">
        <v>8</v>
      </c>
      <c r="C31" s="25"/>
      <c r="D31" s="26" t="s">
        <v>39</v>
      </c>
      <c r="E31" s="26" t="s">
        <v>40</v>
      </c>
      <c r="F31" s="25"/>
      <c r="G31" s="54" t="s">
        <v>37</v>
      </c>
      <c r="J31" s="5"/>
      <c r="K31" s="6" t="s">
        <v>5</v>
      </c>
      <c r="L31" s="6" t="s">
        <v>6</v>
      </c>
      <c r="M31" s="5"/>
      <c r="N31" s="5"/>
    </row>
    <row r="32" spans="2:14" ht="15" x14ac:dyDescent="0.2">
      <c r="B32" s="26"/>
      <c r="C32" s="25"/>
      <c r="D32" s="26" t="s">
        <v>41</v>
      </c>
      <c r="E32" s="26" t="s">
        <v>42</v>
      </c>
      <c r="F32" s="25"/>
      <c r="G32" s="54" t="s">
        <v>43</v>
      </c>
      <c r="J32" s="5"/>
      <c r="K32" s="6" t="s">
        <v>7</v>
      </c>
      <c r="L32" s="6" t="s">
        <v>8</v>
      </c>
      <c r="M32" s="6" t="s">
        <v>9</v>
      </c>
      <c r="N32" s="6" t="s">
        <v>10</v>
      </c>
    </row>
    <row r="33" spans="2:14" ht="15" x14ac:dyDescent="0.2">
      <c r="B33" s="26"/>
      <c r="C33" s="25"/>
      <c r="D33" s="26" t="s">
        <v>44</v>
      </c>
      <c r="E33" s="26" t="s">
        <v>45</v>
      </c>
      <c r="F33" s="25"/>
      <c r="G33" s="54" t="s">
        <v>46</v>
      </c>
      <c r="J33" s="7"/>
      <c r="K33" s="7" t="s">
        <v>11</v>
      </c>
      <c r="L33" s="7" t="s">
        <v>11</v>
      </c>
      <c r="M33" s="7" t="s">
        <v>12</v>
      </c>
      <c r="N33" s="7" t="s">
        <v>12</v>
      </c>
    </row>
    <row r="34" spans="2:14" ht="15" x14ac:dyDescent="0.2">
      <c r="B34" s="27"/>
      <c r="C34" s="25"/>
      <c r="D34" s="26" t="s">
        <v>47</v>
      </c>
      <c r="E34" s="26" t="s">
        <v>48</v>
      </c>
      <c r="F34" s="25"/>
      <c r="G34" s="54" t="s">
        <v>49</v>
      </c>
      <c r="J34" s="8" t="s">
        <v>13</v>
      </c>
      <c r="K34" s="9" t="s">
        <v>14</v>
      </c>
      <c r="L34" s="9" t="s">
        <v>15</v>
      </c>
      <c r="M34" s="9" t="s">
        <v>16</v>
      </c>
      <c r="N34" s="9" t="s">
        <v>17</v>
      </c>
    </row>
    <row r="35" spans="2:14" ht="15" x14ac:dyDescent="0.2">
      <c r="B35" s="46" t="s">
        <v>50</v>
      </c>
      <c r="C35" s="23" t="s">
        <v>51</v>
      </c>
      <c r="D35" s="35">
        <f>-G16</f>
        <v>-224293</v>
      </c>
      <c r="E35" s="35">
        <f>D67</f>
        <v>224293</v>
      </c>
      <c r="F35" s="23"/>
      <c r="G35" s="35">
        <f>D35+E35</f>
        <v>0</v>
      </c>
      <c r="J35" s="10">
        <v>42917</v>
      </c>
      <c r="K35" s="21">
        <f>205162+(989+26)+2762</f>
        <v>208939</v>
      </c>
      <c r="L35" s="11">
        <v>208939</v>
      </c>
      <c r="M35" s="11">
        <f t="shared" ref="M35:M42" si="4">K35-L35</f>
        <v>0</v>
      </c>
      <c r="N35" s="11">
        <f>M35</f>
        <v>0</v>
      </c>
    </row>
    <row r="36" spans="2:14" ht="15" x14ac:dyDescent="0.2">
      <c r="B36" s="55" t="s">
        <v>52</v>
      </c>
      <c r="C36" s="25" t="s">
        <v>53</v>
      </c>
      <c r="D36" s="43">
        <f>-G17</f>
        <v>-411719</v>
      </c>
      <c r="E36" s="43">
        <f>E67</f>
        <v>343100</v>
      </c>
      <c r="F36" s="25"/>
      <c r="G36" s="43">
        <f>D36+E36</f>
        <v>-68619</v>
      </c>
      <c r="J36" s="12">
        <v>42948</v>
      </c>
      <c r="K36" s="21">
        <f>213932+(968+26)+2959</f>
        <v>217885</v>
      </c>
      <c r="L36" s="13">
        <v>217885</v>
      </c>
      <c r="M36" s="13">
        <f t="shared" si="4"/>
        <v>0</v>
      </c>
      <c r="N36" s="13">
        <f>N35+M36</f>
        <v>0</v>
      </c>
    </row>
    <row r="37" spans="2:14" ht="15" x14ac:dyDescent="0.2">
      <c r="B37" s="55" t="s">
        <v>54</v>
      </c>
      <c r="C37" s="56" t="s">
        <v>55</v>
      </c>
      <c r="D37" s="45">
        <f>-G18</f>
        <v>-104745</v>
      </c>
      <c r="E37" s="45">
        <f>G67</f>
        <v>0</v>
      </c>
      <c r="F37" s="56"/>
      <c r="G37" s="45">
        <f>D37+E37</f>
        <v>-104745</v>
      </c>
      <c r="J37" s="12">
        <v>42979</v>
      </c>
      <c r="K37" s="21">
        <f>162804+(867+23)+2013</f>
        <v>165707</v>
      </c>
      <c r="L37" s="13">
        <v>165707</v>
      </c>
      <c r="M37" s="13">
        <f t="shared" si="4"/>
        <v>0</v>
      </c>
      <c r="N37" s="13">
        <f t="shared" ref="N37:N40" si="5">N36+M37</f>
        <v>0</v>
      </c>
    </row>
    <row r="38" spans="2:14" ht="15" x14ac:dyDescent="0.2">
      <c r="B38" s="27" t="s">
        <v>56</v>
      </c>
      <c r="C38" s="57"/>
      <c r="D38" s="58"/>
      <c r="E38" s="58"/>
      <c r="F38" s="59" t="s">
        <v>57</v>
      </c>
      <c r="G38" s="45">
        <f>G35+G36+G37</f>
        <v>-173364</v>
      </c>
      <c r="J38" s="12">
        <v>43009</v>
      </c>
      <c r="K38" s="21">
        <f>198828+(956+25)+2891</f>
        <v>202700</v>
      </c>
      <c r="L38" s="13">
        <v>202700</v>
      </c>
      <c r="M38" s="13">
        <f t="shared" si="4"/>
        <v>0</v>
      </c>
      <c r="N38" s="13">
        <f t="shared" si="5"/>
        <v>0</v>
      </c>
    </row>
    <row r="39" spans="2:14" ht="15" x14ac:dyDescent="0.2">
      <c r="B39" s="60"/>
      <c r="G39" s="61"/>
      <c r="J39" s="12">
        <v>43040</v>
      </c>
      <c r="K39" s="21">
        <f>219605+(1119+30)+0</f>
        <v>220754</v>
      </c>
      <c r="L39" s="13">
        <v>220754</v>
      </c>
      <c r="M39" s="13">
        <f t="shared" si="4"/>
        <v>0</v>
      </c>
      <c r="N39" s="13">
        <f t="shared" si="5"/>
        <v>0</v>
      </c>
    </row>
    <row r="40" spans="2:14" ht="15" x14ac:dyDescent="0.2">
      <c r="B40" s="28">
        <v>9</v>
      </c>
      <c r="C40" s="62" t="s">
        <v>58</v>
      </c>
      <c r="D40" s="30"/>
      <c r="E40" s="30"/>
      <c r="F40" s="31"/>
      <c r="G40" s="63">
        <f>G25+G38</f>
        <v>52157.930000000284</v>
      </c>
      <c r="J40" s="14">
        <v>43070</v>
      </c>
      <c r="K40" s="15">
        <f>201757+(975+26)+0</f>
        <v>202758</v>
      </c>
      <c r="L40" s="15">
        <v>202758</v>
      </c>
      <c r="M40" s="15">
        <f t="shared" si="4"/>
        <v>0</v>
      </c>
      <c r="N40" s="15">
        <f t="shared" si="5"/>
        <v>0</v>
      </c>
    </row>
    <row r="41" spans="2:14" ht="15" x14ac:dyDescent="0.2">
      <c r="B41" s="60"/>
      <c r="G41" s="61"/>
      <c r="J41" s="12">
        <v>43101</v>
      </c>
      <c r="K41" s="11">
        <f>192901+(894+24)</f>
        <v>193819</v>
      </c>
      <c r="L41" s="11">
        <v>193819</v>
      </c>
      <c r="M41" s="13">
        <f t="shared" si="4"/>
        <v>0</v>
      </c>
      <c r="N41" s="13">
        <f>N40+M41</f>
        <v>0</v>
      </c>
    </row>
    <row r="42" spans="2:14" ht="15" x14ac:dyDescent="0.2">
      <c r="B42" s="28">
        <v>10</v>
      </c>
      <c r="C42" s="62" t="s">
        <v>59</v>
      </c>
      <c r="D42" s="30"/>
      <c r="E42" s="30"/>
      <c r="F42" s="31"/>
      <c r="G42" s="63">
        <f>G40/6</f>
        <v>8692.9883333333801</v>
      </c>
      <c r="J42" s="14">
        <v>43132</v>
      </c>
      <c r="K42" s="15">
        <f>132082+(588+16)</f>
        <v>132686</v>
      </c>
      <c r="L42" s="15">
        <v>132686</v>
      </c>
      <c r="M42" s="15">
        <f t="shared" si="4"/>
        <v>0</v>
      </c>
      <c r="N42" s="15">
        <f>N41+M42</f>
        <v>0</v>
      </c>
    </row>
    <row r="43" spans="2:14" ht="15" x14ac:dyDescent="0.2">
      <c r="J43" s="1"/>
      <c r="K43" s="1"/>
      <c r="L43" s="1"/>
      <c r="M43" s="1"/>
      <c r="N43" s="1"/>
    </row>
    <row r="44" spans="2:14" ht="15" x14ac:dyDescent="0.2">
      <c r="B44" s="23"/>
      <c r="C44" s="64" t="s">
        <v>60</v>
      </c>
      <c r="D44" s="65"/>
      <c r="E44" s="65"/>
      <c r="F44" s="65"/>
      <c r="G44" s="66"/>
      <c r="J44" s="16" t="s">
        <v>18</v>
      </c>
      <c r="K44" s="17"/>
      <c r="L44" s="17"/>
      <c r="M44" s="18"/>
      <c r="N44" s="19">
        <f>N40</f>
        <v>0</v>
      </c>
    </row>
    <row r="45" spans="2:14" ht="15" x14ac:dyDescent="0.2">
      <c r="B45" s="23"/>
      <c r="C45" s="67"/>
      <c r="D45" s="67"/>
      <c r="E45" s="67"/>
      <c r="F45" s="67"/>
      <c r="G45" s="33"/>
      <c r="J45" s="1"/>
      <c r="K45" s="1"/>
      <c r="L45" s="1"/>
      <c r="M45" s="1"/>
      <c r="N45" s="20"/>
    </row>
    <row r="46" spans="2:14" ht="15" x14ac:dyDescent="0.2">
      <c r="B46" s="26">
        <v>11</v>
      </c>
      <c r="C46" s="68" t="s">
        <v>61</v>
      </c>
      <c r="D46" s="68"/>
      <c r="E46" s="68"/>
      <c r="F46" s="68"/>
      <c r="G46" s="69">
        <f>G19</f>
        <v>740757</v>
      </c>
      <c r="J46" s="16" t="s">
        <v>19</v>
      </c>
      <c r="K46" s="17"/>
      <c r="L46" s="17"/>
      <c r="M46" s="18"/>
      <c r="N46" s="19">
        <f>N44/6</f>
        <v>0</v>
      </c>
    </row>
    <row r="47" spans="2:14" ht="15" x14ac:dyDescent="0.2">
      <c r="B47" s="26">
        <v>12</v>
      </c>
      <c r="C47" s="68" t="s">
        <v>62</v>
      </c>
      <c r="D47" s="68"/>
      <c r="E47" s="68"/>
      <c r="F47" s="68"/>
      <c r="G47" s="70">
        <f>G38</f>
        <v>-173364</v>
      </c>
      <c r="J47" s="1"/>
      <c r="K47" s="1"/>
      <c r="L47" s="1"/>
      <c r="M47" s="1"/>
      <c r="N47" s="1"/>
    </row>
    <row r="48" spans="2:14" x14ac:dyDescent="0.2">
      <c r="B48" s="26"/>
      <c r="C48" s="68"/>
      <c r="D48" s="68"/>
      <c r="E48" s="68"/>
      <c r="F48" s="68"/>
      <c r="G48" s="69"/>
    </row>
    <row r="49" spans="2:7" ht="15" thickBot="1" x14ac:dyDescent="0.25">
      <c r="B49" s="26">
        <v>13</v>
      </c>
      <c r="C49" s="68" t="s">
        <v>63</v>
      </c>
      <c r="D49" s="68"/>
      <c r="E49" s="68"/>
      <c r="F49" s="68"/>
      <c r="G49" s="71">
        <f>G46+G47</f>
        <v>567393</v>
      </c>
    </row>
    <row r="50" spans="2:7" ht="15" thickTop="1" x14ac:dyDescent="0.2">
      <c r="B50" s="26"/>
      <c r="C50" s="68"/>
      <c r="D50" s="68"/>
      <c r="E50" s="68"/>
      <c r="F50" s="68"/>
      <c r="G50" s="69"/>
    </row>
    <row r="51" spans="2:7" x14ac:dyDescent="0.2">
      <c r="B51" s="26">
        <v>14</v>
      </c>
      <c r="C51" s="68" t="s">
        <v>64</v>
      </c>
      <c r="D51" s="68"/>
      <c r="E51" s="68"/>
      <c r="F51" s="68"/>
      <c r="G51" s="69">
        <f>G40</f>
        <v>52157.930000000284</v>
      </c>
    </row>
    <row r="52" spans="2:7" x14ac:dyDescent="0.2">
      <c r="B52" s="26"/>
      <c r="C52" s="68"/>
      <c r="D52" s="68"/>
      <c r="E52" s="68"/>
      <c r="F52" s="68"/>
      <c r="G52" s="69"/>
    </row>
    <row r="53" spans="2:7" x14ac:dyDescent="0.2">
      <c r="B53" s="26">
        <v>15</v>
      </c>
      <c r="C53" s="68" t="s">
        <v>65</v>
      </c>
      <c r="D53" s="68"/>
      <c r="E53" s="68"/>
      <c r="F53" s="68"/>
      <c r="G53" s="70">
        <f>SUM(F20:F25)</f>
        <v>-515235.06999999972</v>
      </c>
    </row>
    <row r="54" spans="2:7" x14ac:dyDescent="0.2">
      <c r="B54" s="26"/>
      <c r="C54" s="68"/>
      <c r="D54" s="68"/>
      <c r="E54" s="68"/>
      <c r="F54" s="68"/>
      <c r="G54" s="69"/>
    </row>
    <row r="55" spans="2:7" ht="15" thickBot="1" x14ac:dyDescent="0.25">
      <c r="B55" s="26">
        <v>16</v>
      </c>
      <c r="C55" s="68" t="s">
        <v>66</v>
      </c>
      <c r="D55" s="68"/>
      <c r="E55" s="68"/>
      <c r="F55" s="68"/>
      <c r="G55" s="71">
        <f>G51-G53</f>
        <v>567393</v>
      </c>
    </row>
    <row r="56" spans="2:7" ht="15" thickTop="1" x14ac:dyDescent="0.2">
      <c r="B56" s="56"/>
      <c r="C56" s="72"/>
      <c r="D56" s="72"/>
      <c r="E56" s="72"/>
      <c r="F56" s="72"/>
      <c r="G56" s="73"/>
    </row>
    <row r="58" spans="2:7" x14ac:dyDescent="0.2">
      <c r="B58" t="s">
        <v>67</v>
      </c>
    </row>
    <row r="59" spans="2:7" x14ac:dyDescent="0.2">
      <c r="B59" s="60"/>
      <c r="C59" s="23"/>
      <c r="D59" s="24" t="s">
        <v>68</v>
      </c>
      <c r="E59" s="24" t="s">
        <v>68</v>
      </c>
      <c r="F59" s="24" t="s">
        <v>68</v>
      </c>
      <c r="G59" s="55"/>
    </row>
    <row r="60" spans="2:7" x14ac:dyDescent="0.2">
      <c r="B60" s="60"/>
      <c r="C60" s="27" t="s">
        <v>13</v>
      </c>
      <c r="D60" s="27" t="s">
        <v>69</v>
      </c>
      <c r="E60" s="27" t="s">
        <v>70</v>
      </c>
      <c r="F60" s="27" t="s">
        <v>71</v>
      </c>
      <c r="G60" s="55"/>
    </row>
    <row r="61" spans="2:7" x14ac:dyDescent="0.2">
      <c r="C61" s="36">
        <v>42917</v>
      </c>
      <c r="D61" s="34">
        <v>44859</v>
      </c>
      <c r="E61" s="34">
        <v>0</v>
      </c>
      <c r="F61" s="35">
        <v>0</v>
      </c>
      <c r="G61" s="42"/>
    </row>
    <row r="62" spans="2:7" x14ac:dyDescent="0.2">
      <c r="C62" s="39">
        <v>42948</v>
      </c>
      <c r="D62" s="40">
        <v>44859</v>
      </c>
      <c r="E62" s="40">
        <v>68620</v>
      </c>
      <c r="F62" s="43">
        <v>0</v>
      </c>
      <c r="G62" s="42"/>
    </row>
    <row r="63" spans="2:7" x14ac:dyDescent="0.2">
      <c r="C63" s="39">
        <v>42979</v>
      </c>
      <c r="D63" s="40">
        <v>44859</v>
      </c>
      <c r="E63" s="40">
        <v>68620</v>
      </c>
      <c r="F63" s="43">
        <v>0</v>
      </c>
      <c r="G63" s="42"/>
    </row>
    <row r="64" spans="2:7" x14ac:dyDescent="0.2">
      <c r="C64" s="39">
        <v>43009</v>
      </c>
      <c r="D64" s="40">
        <v>44859</v>
      </c>
      <c r="E64" s="40">
        <v>68620</v>
      </c>
      <c r="F64" s="43">
        <v>0</v>
      </c>
      <c r="G64" s="42"/>
    </row>
    <row r="65" spans="3:7" x14ac:dyDescent="0.2">
      <c r="C65" s="39">
        <v>43040</v>
      </c>
      <c r="D65" s="40">
        <v>44857</v>
      </c>
      <c r="E65" s="40">
        <v>68620</v>
      </c>
      <c r="F65" s="43">
        <v>0</v>
      </c>
      <c r="G65" s="42"/>
    </row>
    <row r="66" spans="3:7" x14ac:dyDescent="0.2">
      <c r="C66" s="48">
        <v>43070</v>
      </c>
      <c r="D66" s="40">
        <v>0</v>
      </c>
      <c r="E66" s="49">
        <v>68620</v>
      </c>
      <c r="F66" s="45">
        <v>0</v>
      </c>
      <c r="G66" s="42"/>
    </row>
    <row r="67" spans="3:7" x14ac:dyDescent="0.2">
      <c r="C67" s="74" t="s">
        <v>72</v>
      </c>
      <c r="D67" s="63">
        <f>SUM(D61:D66)</f>
        <v>224293</v>
      </c>
      <c r="E67" s="63">
        <f>SUM(E61:E66)</f>
        <v>343100</v>
      </c>
      <c r="F67" s="63">
        <f>SUM(F61:F66)</f>
        <v>0</v>
      </c>
      <c r="G67" s="42"/>
    </row>
  </sheetData>
  <mergeCells count="3">
    <mergeCell ref="J5:N6"/>
    <mergeCell ref="B5:G6"/>
    <mergeCell ref="C15:G1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A3" sqref="A3"/>
    </sheetView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  <col min="10" max="14" width="15.625" customWidth="1"/>
  </cols>
  <sheetData>
    <row r="1" spans="1:14" x14ac:dyDescent="0.2">
      <c r="A1" t="s">
        <v>0</v>
      </c>
    </row>
    <row r="2" spans="1:14" x14ac:dyDescent="0.2">
      <c r="A2" t="s">
        <v>1</v>
      </c>
    </row>
    <row r="3" spans="1:14" ht="15" x14ac:dyDescent="0.2">
      <c r="J3" s="1"/>
      <c r="K3" s="1"/>
      <c r="L3" s="1"/>
      <c r="M3" s="1"/>
      <c r="N3" s="1"/>
    </row>
    <row r="4" spans="1:14" ht="15" x14ac:dyDescent="0.2">
      <c r="J4" s="1"/>
      <c r="K4" s="1"/>
      <c r="L4" s="1"/>
      <c r="M4" s="1"/>
      <c r="N4" s="1"/>
    </row>
    <row r="5" spans="1:14" x14ac:dyDescent="0.2">
      <c r="B5" s="87" t="s">
        <v>21</v>
      </c>
      <c r="C5" s="88"/>
      <c r="D5" s="88"/>
      <c r="E5" s="88"/>
      <c r="F5" s="88"/>
      <c r="G5" s="89"/>
      <c r="J5" s="81" t="s">
        <v>2</v>
      </c>
      <c r="K5" s="82"/>
      <c r="L5" s="82"/>
      <c r="M5" s="82"/>
      <c r="N5" s="83"/>
    </row>
    <row r="6" spans="1:14" x14ac:dyDescent="0.2">
      <c r="B6" s="90"/>
      <c r="C6" s="91"/>
      <c r="D6" s="91"/>
      <c r="E6" s="91"/>
      <c r="F6" s="91"/>
      <c r="G6" s="92"/>
      <c r="J6" s="84"/>
      <c r="K6" s="85"/>
      <c r="L6" s="85"/>
      <c r="M6" s="85"/>
      <c r="N6" s="86"/>
    </row>
    <row r="7" spans="1:14" ht="15" x14ac:dyDescent="0.2">
      <c r="J7" s="1"/>
      <c r="K7" s="1"/>
      <c r="L7" s="1"/>
      <c r="M7" s="1"/>
      <c r="N7" s="1"/>
    </row>
    <row r="8" spans="1:14" ht="15.75" x14ac:dyDescent="0.25">
      <c r="B8" s="22" t="s">
        <v>22</v>
      </c>
      <c r="J8" s="2" t="s">
        <v>3</v>
      </c>
      <c r="K8" s="1"/>
      <c r="L8" s="1"/>
      <c r="M8" s="1"/>
      <c r="N8" s="1"/>
    </row>
    <row r="9" spans="1:14" ht="15" x14ac:dyDescent="0.2">
      <c r="J9" s="1"/>
      <c r="K9" s="1"/>
      <c r="L9" s="1"/>
      <c r="M9" s="1"/>
      <c r="N9" s="1"/>
    </row>
    <row r="10" spans="1:14" ht="15" x14ac:dyDescent="0.2">
      <c r="B10" s="23"/>
      <c r="C10" s="23"/>
      <c r="D10" s="23"/>
      <c r="E10" s="24" t="s">
        <v>4</v>
      </c>
      <c r="F10" s="23"/>
      <c r="G10" s="23"/>
      <c r="J10" s="3"/>
      <c r="K10" s="3"/>
      <c r="L10" s="4" t="s">
        <v>4</v>
      </c>
      <c r="M10" s="3"/>
      <c r="N10" s="3"/>
    </row>
    <row r="11" spans="1:14" ht="15" x14ac:dyDescent="0.2">
      <c r="B11" s="25"/>
      <c r="C11" s="25"/>
      <c r="D11" s="26" t="s">
        <v>5</v>
      </c>
      <c r="E11" s="26" t="s">
        <v>6</v>
      </c>
      <c r="F11" s="25"/>
      <c r="G11" s="25"/>
      <c r="J11" s="5"/>
      <c r="K11" s="6" t="s">
        <v>5</v>
      </c>
      <c r="L11" s="6" t="s">
        <v>6</v>
      </c>
      <c r="M11" s="5"/>
      <c r="N11" s="5"/>
    </row>
    <row r="12" spans="1:14" ht="15" x14ac:dyDescent="0.2">
      <c r="B12" s="25"/>
      <c r="C12" s="25"/>
      <c r="D12" s="26" t="s">
        <v>7</v>
      </c>
      <c r="E12" s="26" t="s">
        <v>8</v>
      </c>
      <c r="F12" s="26" t="s">
        <v>9</v>
      </c>
      <c r="G12" s="26" t="s">
        <v>10</v>
      </c>
      <c r="J12" s="5"/>
      <c r="K12" s="6" t="s">
        <v>7</v>
      </c>
      <c r="L12" s="6" t="s">
        <v>8</v>
      </c>
      <c r="M12" s="6" t="s">
        <v>9</v>
      </c>
      <c r="N12" s="6" t="s">
        <v>10</v>
      </c>
    </row>
    <row r="13" spans="1:14" ht="15" x14ac:dyDescent="0.2">
      <c r="B13" s="27"/>
      <c r="C13" s="27"/>
      <c r="D13" s="27" t="s">
        <v>11</v>
      </c>
      <c r="E13" s="27" t="s">
        <v>11</v>
      </c>
      <c r="F13" s="27" t="s">
        <v>12</v>
      </c>
      <c r="G13" s="27" t="s">
        <v>12</v>
      </c>
      <c r="J13" s="7"/>
      <c r="K13" s="7" t="s">
        <v>11</v>
      </c>
      <c r="L13" s="7" t="s">
        <v>11</v>
      </c>
      <c r="M13" s="7" t="s">
        <v>12</v>
      </c>
      <c r="N13" s="7" t="s">
        <v>12</v>
      </c>
    </row>
    <row r="14" spans="1:14" ht="15" x14ac:dyDescent="0.2">
      <c r="B14" s="28" t="s">
        <v>23</v>
      </c>
      <c r="C14" s="28" t="s">
        <v>13</v>
      </c>
      <c r="D14" s="29" t="s">
        <v>15</v>
      </c>
      <c r="E14" s="29" t="s">
        <v>16</v>
      </c>
      <c r="F14" s="29" t="s">
        <v>17</v>
      </c>
      <c r="G14" s="29" t="s">
        <v>24</v>
      </c>
      <c r="J14" s="8" t="s">
        <v>13</v>
      </c>
      <c r="K14" s="9" t="s">
        <v>14</v>
      </c>
      <c r="L14" s="9" t="s">
        <v>15</v>
      </c>
      <c r="M14" s="9" t="s">
        <v>16</v>
      </c>
      <c r="N14" s="9" t="s">
        <v>17</v>
      </c>
    </row>
    <row r="15" spans="1:14" ht="15" x14ac:dyDescent="0.2">
      <c r="B15" s="24">
        <v>1</v>
      </c>
      <c r="C15" s="93" t="s">
        <v>25</v>
      </c>
      <c r="D15" s="94"/>
      <c r="E15" s="94"/>
      <c r="F15" s="94"/>
      <c r="G15" s="95"/>
      <c r="J15" s="10">
        <v>43101</v>
      </c>
      <c r="K15" s="75">
        <v>542251</v>
      </c>
      <c r="L15" s="75">
        <v>542251</v>
      </c>
      <c r="M15" s="11">
        <f t="shared" ref="M15:M22" si="0">K15-L15</f>
        <v>0</v>
      </c>
      <c r="N15" s="11">
        <f>M15</f>
        <v>0</v>
      </c>
    </row>
    <row r="16" spans="1:14" ht="15" x14ac:dyDescent="0.2">
      <c r="B16" s="24" t="s">
        <v>26</v>
      </c>
      <c r="C16" s="30" t="s">
        <v>29</v>
      </c>
      <c r="D16" s="30"/>
      <c r="E16" s="30"/>
      <c r="F16" s="31"/>
      <c r="G16" s="32">
        <v>68619</v>
      </c>
      <c r="J16" s="12">
        <v>43132</v>
      </c>
      <c r="K16" s="76">
        <v>384879</v>
      </c>
      <c r="L16" s="76">
        <v>384879</v>
      </c>
      <c r="M16" s="13">
        <f t="shared" si="0"/>
        <v>0</v>
      </c>
      <c r="N16" s="13">
        <f>N15+M16</f>
        <v>0</v>
      </c>
    </row>
    <row r="17" spans="2:14" ht="15" x14ac:dyDescent="0.2">
      <c r="B17" s="26" t="s">
        <v>28</v>
      </c>
      <c r="C17" s="30" t="s">
        <v>31</v>
      </c>
      <c r="D17" s="30"/>
      <c r="E17" s="30"/>
      <c r="F17" s="31"/>
      <c r="G17" s="32">
        <v>104745</v>
      </c>
      <c r="J17" s="12">
        <v>43160</v>
      </c>
      <c r="K17" s="76">
        <f>249977</f>
        <v>249977</v>
      </c>
      <c r="L17" s="76">
        <v>249977</v>
      </c>
      <c r="M17" s="13">
        <f t="shared" si="0"/>
        <v>0</v>
      </c>
      <c r="N17" s="13">
        <f t="shared" ref="N17:N20" si="1">N16+M17</f>
        <v>0</v>
      </c>
    </row>
    <row r="18" spans="2:14" ht="15" x14ac:dyDescent="0.2">
      <c r="B18" s="26" t="s">
        <v>30</v>
      </c>
      <c r="C18" s="30" t="s">
        <v>73</v>
      </c>
      <c r="D18" s="30"/>
      <c r="E18" s="30"/>
      <c r="F18" s="33"/>
      <c r="G18" s="34">
        <v>52158</v>
      </c>
      <c r="J18" s="12">
        <v>43191</v>
      </c>
      <c r="K18" s="76">
        <v>452394</v>
      </c>
      <c r="L18" s="76">
        <v>452394</v>
      </c>
      <c r="M18" s="13">
        <f t="shared" si="0"/>
        <v>0</v>
      </c>
      <c r="N18" s="13">
        <f t="shared" si="1"/>
        <v>0</v>
      </c>
    </row>
    <row r="19" spans="2:14" ht="15" x14ac:dyDescent="0.2">
      <c r="B19" s="27" t="s">
        <v>32</v>
      </c>
      <c r="C19" s="30" t="s">
        <v>33</v>
      </c>
      <c r="D19" s="30"/>
      <c r="E19" s="30"/>
      <c r="F19" s="33"/>
      <c r="G19" s="35">
        <f>G16+G17+G18</f>
        <v>225522</v>
      </c>
      <c r="J19" s="12">
        <v>43221</v>
      </c>
      <c r="K19" s="76">
        <v>496882</v>
      </c>
      <c r="L19" s="76">
        <v>496882</v>
      </c>
      <c r="M19" s="13">
        <f t="shared" si="0"/>
        <v>0</v>
      </c>
      <c r="N19" s="13">
        <f t="shared" si="1"/>
        <v>0</v>
      </c>
    </row>
    <row r="20" spans="2:14" ht="15" x14ac:dyDescent="0.2">
      <c r="B20" s="26">
        <v>2</v>
      </c>
      <c r="C20" s="36">
        <v>43101</v>
      </c>
      <c r="D20" s="34">
        <f>1184113-(894+24)-1872</f>
        <v>1181323</v>
      </c>
      <c r="E20" s="37">
        <f>1046104.71+5264.21+177745.11+18321.03+883.12+24580.97</f>
        <v>1272899.1499999999</v>
      </c>
      <c r="F20" s="38">
        <f t="shared" ref="F20:F27" si="2">D20-E20</f>
        <v>-91576.149999999907</v>
      </c>
      <c r="G20" s="35">
        <f t="shared" ref="G20:G27" si="3">G19+F20</f>
        <v>133945.85000000009</v>
      </c>
      <c r="J20" s="14">
        <v>43252</v>
      </c>
      <c r="K20" s="77">
        <v>520818</v>
      </c>
      <c r="L20" s="77">
        <v>520818</v>
      </c>
      <c r="M20" s="15">
        <f t="shared" si="0"/>
        <v>0</v>
      </c>
      <c r="N20" s="15">
        <f t="shared" si="1"/>
        <v>0</v>
      </c>
    </row>
    <row r="21" spans="2:14" ht="15" x14ac:dyDescent="0.2">
      <c r="B21" s="26">
        <v>3</v>
      </c>
      <c r="C21" s="39">
        <v>43132</v>
      </c>
      <c r="D21" s="40">
        <f>630273-1232-(588+16)</f>
        <v>628437</v>
      </c>
      <c r="E21" s="41">
        <f>753515.15+4849.19+159361.15+68691.99+744.27+23181.19</f>
        <v>1010342.94</v>
      </c>
      <c r="F21" s="42">
        <f t="shared" si="2"/>
        <v>-381905.93999999994</v>
      </c>
      <c r="G21" s="43">
        <f t="shared" si="3"/>
        <v>-247960.08999999985</v>
      </c>
      <c r="J21" s="12">
        <v>43282</v>
      </c>
      <c r="K21" s="75">
        <v>462793</v>
      </c>
      <c r="L21" s="75">
        <v>462793</v>
      </c>
      <c r="M21" s="13">
        <f t="shared" si="0"/>
        <v>0</v>
      </c>
      <c r="N21" s="13">
        <f>N20+M21</f>
        <v>0</v>
      </c>
    </row>
    <row r="22" spans="2:14" ht="15" x14ac:dyDescent="0.2">
      <c r="B22" s="26">
        <v>4</v>
      </c>
      <c r="C22" s="39">
        <v>43160</v>
      </c>
      <c r="D22" s="40">
        <f>391276-832-(398+10)</f>
        <v>390036</v>
      </c>
      <c r="E22" s="41">
        <f>215410.26+1691.68+52399.17+46548.18+237.35+6851.27</f>
        <v>323137.90999999997</v>
      </c>
      <c r="F22" s="42">
        <f t="shared" si="2"/>
        <v>66898.090000000026</v>
      </c>
      <c r="G22" s="43">
        <f t="shared" si="3"/>
        <v>-181061.99999999983</v>
      </c>
      <c r="J22" s="14">
        <v>43313</v>
      </c>
      <c r="K22" s="77">
        <v>430932</v>
      </c>
      <c r="L22" s="77">
        <v>430932</v>
      </c>
      <c r="M22" s="15">
        <f t="shared" si="0"/>
        <v>0</v>
      </c>
      <c r="N22" s="15">
        <f>N21+M22</f>
        <v>0</v>
      </c>
    </row>
    <row r="23" spans="2:14" ht="15" x14ac:dyDescent="0.2">
      <c r="B23" s="26">
        <v>5</v>
      </c>
      <c r="C23" s="39">
        <v>43191</v>
      </c>
      <c r="D23" s="40">
        <f>613489-1544-(737+19)</f>
        <v>611189</v>
      </c>
      <c r="E23" s="41">
        <f>151276.62+1009.61+34572.5-63195.02+171.06+4942.82</f>
        <v>128777.59</v>
      </c>
      <c r="F23" s="42">
        <f t="shared" si="2"/>
        <v>482411.41000000003</v>
      </c>
      <c r="G23" s="43">
        <f t="shared" si="3"/>
        <v>301349.41000000021</v>
      </c>
      <c r="J23" s="1"/>
      <c r="K23" s="1"/>
      <c r="L23" s="1"/>
      <c r="M23" s="1"/>
      <c r="N23" s="1"/>
    </row>
    <row r="24" spans="2:14" ht="15" x14ac:dyDescent="0.2">
      <c r="B24" s="26">
        <v>6</v>
      </c>
      <c r="C24" s="39">
        <v>43221</v>
      </c>
      <c r="D24" s="40">
        <f>772204-1648-(790+21)</f>
        <v>769745</v>
      </c>
      <c r="E24" s="41">
        <f>636431.9+5784.18+174132.81-171.64+577.95+20613.95</f>
        <v>837369.15</v>
      </c>
      <c r="F24" s="42">
        <f t="shared" si="2"/>
        <v>-67624.150000000023</v>
      </c>
      <c r="G24" s="43">
        <f t="shared" si="3"/>
        <v>233725.26000000018</v>
      </c>
      <c r="J24" s="16" t="s">
        <v>18</v>
      </c>
      <c r="K24" s="17"/>
      <c r="L24" s="17"/>
      <c r="M24" s="18"/>
      <c r="N24" s="19">
        <f>N20</f>
        <v>0</v>
      </c>
    </row>
    <row r="25" spans="2:14" ht="15" x14ac:dyDescent="0.2">
      <c r="B25" s="26">
        <v>7</v>
      </c>
      <c r="C25" s="39">
        <v>43252</v>
      </c>
      <c r="D25" s="40">
        <f>957959-1792-(864+23)</f>
        <v>955280</v>
      </c>
      <c r="E25" s="41">
        <f>643085.11+4751.15+157048+171.81+484.9+19358.41</f>
        <v>824899.38000000012</v>
      </c>
      <c r="F25" s="44">
        <f t="shared" si="2"/>
        <v>130380.61999999988</v>
      </c>
      <c r="G25" s="45">
        <f t="shared" si="3"/>
        <v>364105.88000000006</v>
      </c>
      <c r="J25" s="1"/>
      <c r="K25" s="1"/>
      <c r="L25" s="1"/>
      <c r="M25" s="1"/>
      <c r="N25" s="20"/>
    </row>
    <row r="26" spans="2:14" ht="15" x14ac:dyDescent="0.2">
      <c r="B26" s="46" t="s">
        <v>34</v>
      </c>
      <c r="C26" s="36">
        <v>43282</v>
      </c>
      <c r="D26" s="34">
        <f>888991-1758-(850+22)</f>
        <v>886361</v>
      </c>
      <c r="E26" s="37">
        <f>780560.7+5170.43+184353.99+18779.32+536.37+17295.34</f>
        <v>1006696.1499999999</v>
      </c>
      <c r="F26" s="38">
        <f t="shared" si="2"/>
        <v>-120335.14999999991</v>
      </c>
      <c r="G26" s="35">
        <f t="shared" si="3"/>
        <v>243770.73000000016</v>
      </c>
      <c r="J26" s="16" t="s">
        <v>19</v>
      </c>
      <c r="K26" s="17"/>
      <c r="L26" s="17"/>
      <c r="M26" s="18"/>
      <c r="N26" s="19">
        <f>N24/6</f>
        <v>0</v>
      </c>
    </row>
    <row r="27" spans="2:14" ht="15" x14ac:dyDescent="0.2">
      <c r="B27" s="47" t="s">
        <v>35</v>
      </c>
      <c r="C27" s="48">
        <v>43313</v>
      </c>
      <c r="D27" s="49">
        <f>795679-1586-(773+20)</f>
        <v>793300</v>
      </c>
      <c r="E27" s="50">
        <f>689179.45+4728.11+179001.35+18010.35+560.94+16527.03</f>
        <v>908007.22999999986</v>
      </c>
      <c r="F27" s="44">
        <f t="shared" si="2"/>
        <v>-114707.22999999986</v>
      </c>
      <c r="G27" s="45">
        <f t="shared" si="3"/>
        <v>129063.50000000029</v>
      </c>
      <c r="J27" s="1"/>
      <c r="K27" s="1"/>
      <c r="L27" s="1"/>
      <c r="M27" s="1"/>
      <c r="N27" s="1"/>
    </row>
    <row r="28" spans="2:14" ht="15.75" x14ac:dyDescent="0.25">
      <c r="B28" s="27"/>
      <c r="C28" s="51" t="s">
        <v>74</v>
      </c>
      <c r="D28" s="52"/>
      <c r="E28" s="52"/>
      <c r="F28" s="52"/>
      <c r="G28" s="53"/>
      <c r="J28" s="2" t="s">
        <v>20</v>
      </c>
      <c r="K28" s="1"/>
      <c r="L28" s="1"/>
      <c r="M28" s="1"/>
      <c r="N28" s="1"/>
    </row>
    <row r="29" spans="2:14" ht="15" x14ac:dyDescent="0.2">
      <c r="B29" s="24"/>
      <c r="C29" s="23"/>
      <c r="D29" s="23"/>
      <c r="E29" s="23"/>
      <c r="F29" s="23"/>
      <c r="G29" s="35"/>
      <c r="J29" s="1"/>
      <c r="K29" s="1"/>
      <c r="L29" s="1"/>
      <c r="M29" s="1"/>
      <c r="N29" s="1"/>
    </row>
    <row r="30" spans="2:14" ht="15" x14ac:dyDescent="0.2">
      <c r="B30" s="26"/>
      <c r="C30" s="25"/>
      <c r="D30" s="26" t="s">
        <v>37</v>
      </c>
      <c r="E30" s="26" t="s">
        <v>38</v>
      </c>
      <c r="F30" s="25"/>
      <c r="G30" s="43"/>
      <c r="J30" s="3"/>
      <c r="K30" s="3"/>
      <c r="L30" s="4" t="s">
        <v>4</v>
      </c>
      <c r="M30" s="3"/>
      <c r="N30" s="3"/>
    </row>
    <row r="31" spans="2:14" ht="15" x14ac:dyDescent="0.2">
      <c r="B31" s="26">
        <v>8</v>
      </c>
      <c r="C31" s="25"/>
      <c r="D31" s="26" t="s">
        <v>39</v>
      </c>
      <c r="E31" s="26" t="s">
        <v>40</v>
      </c>
      <c r="F31" s="25"/>
      <c r="G31" s="54" t="s">
        <v>37</v>
      </c>
      <c r="J31" s="5"/>
      <c r="K31" s="6" t="s">
        <v>5</v>
      </c>
      <c r="L31" s="6" t="s">
        <v>6</v>
      </c>
      <c r="M31" s="5"/>
      <c r="N31" s="5"/>
    </row>
    <row r="32" spans="2:14" ht="15" x14ac:dyDescent="0.2">
      <c r="B32" s="26"/>
      <c r="C32" s="25"/>
      <c r="D32" s="26" t="s">
        <v>41</v>
      </c>
      <c r="E32" s="26" t="s">
        <v>42</v>
      </c>
      <c r="F32" s="25"/>
      <c r="G32" s="54" t="s">
        <v>43</v>
      </c>
      <c r="J32" s="5"/>
      <c r="K32" s="6" t="s">
        <v>7</v>
      </c>
      <c r="L32" s="6" t="s">
        <v>8</v>
      </c>
      <c r="M32" s="6" t="s">
        <v>9</v>
      </c>
      <c r="N32" s="6" t="s">
        <v>10</v>
      </c>
    </row>
    <row r="33" spans="2:14" ht="15" x14ac:dyDescent="0.2">
      <c r="B33" s="26"/>
      <c r="C33" s="25"/>
      <c r="D33" s="26" t="s">
        <v>44</v>
      </c>
      <c r="E33" s="26" t="s">
        <v>45</v>
      </c>
      <c r="F33" s="25"/>
      <c r="G33" s="54" t="s">
        <v>46</v>
      </c>
      <c r="J33" s="7"/>
      <c r="K33" s="7" t="s">
        <v>11</v>
      </c>
      <c r="L33" s="7" t="s">
        <v>11</v>
      </c>
      <c r="M33" s="7" t="s">
        <v>12</v>
      </c>
      <c r="N33" s="7" t="s">
        <v>12</v>
      </c>
    </row>
    <row r="34" spans="2:14" ht="15" x14ac:dyDescent="0.2">
      <c r="B34" s="27"/>
      <c r="C34" s="25"/>
      <c r="D34" s="26" t="s">
        <v>47</v>
      </c>
      <c r="E34" s="26" t="s">
        <v>48</v>
      </c>
      <c r="F34" s="25"/>
      <c r="G34" s="54" t="s">
        <v>49</v>
      </c>
      <c r="J34" s="8" t="s">
        <v>13</v>
      </c>
      <c r="K34" s="9" t="s">
        <v>14</v>
      </c>
      <c r="L34" s="9" t="s">
        <v>15</v>
      </c>
      <c r="M34" s="9" t="s">
        <v>16</v>
      </c>
      <c r="N34" s="9" t="s">
        <v>17</v>
      </c>
    </row>
    <row r="35" spans="2:14" ht="15" x14ac:dyDescent="0.2">
      <c r="B35" s="46" t="s">
        <v>50</v>
      </c>
      <c r="C35" s="23" t="s">
        <v>53</v>
      </c>
      <c r="D35" s="35">
        <f>-G16</f>
        <v>-68619</v>
      </c>
      <c r="E35" s="35">
        <f>D67</f>
        <v>68619</v>
      </c>
      <c r="F35" s="23"/>
      <c r="G35" s="35">
        <f>D35+E35</f>
        <v>0</v>
      </c>
      <c r="J35" s="10">
        <v>43101</v>
      </c>
      <c r="K35" s="21">
        <f>192901+(894+24)</f>
        <v>193819</v>
      </c>
      <c r="L35" s="75">
        <v>193819</v>
      </c>
      <c r="M35" s="11">
        <f t="shared" ref="M35:M42" si="4">K35-L35</f>
        <v>0</v>
      </c>
      <c r="N35" s="11">
        <f>+M35</f>
        <v>0</v>
      </c>
    </row>
    <row r="36" spans="2:14" ht="15" x14ac:dyDescent="0.2">
      <c r="B36" s="55" t="s">
        <v>52</v>
      </c>
      <c r="C36" s="25" t="s">
        <v>55</v>
      </c>
      <c r="D36" s="43">
        <f>-G17</f>
        <v>-104745</v>
      </c>
      <c r="E36" s="43">
        <f>E67</f>
        <v>87290</v>
      </c>
      <c r="F36" s="25"/>
      <c r="G36" s="43">
        <f>D36+E36</f>
        <v>-17455</v>
      </c>
      <c r="J36" s="12">
        <v>43132</v>
      </c>
      <c r="K36" s="21">
        <f>132082+(588+16)</f>
        <v>132686</v>
      </c>
      <c r="L36" s="76">
        <v>132686</v>
      </c>
      <c r="M36" s="13">
        <f t="shared" si="4"/>
        <v>0</v>
      </c>
      <c r="N36" s="13">
        <f>N35+M36</f>
        <v>0</v>
      </c>
    </row>
    <row r="37" spans="2:14" ht="15" x14ac:dyDescent="0.2">
      <c r="B37" s="55" t="s">
        <v>54</v>
      </c>
      <c r="C37" s="56" t="s">
        <v>75</v>
      </c>
      <c r="D37" s="45">
        <f>-G18</f>
        <v>-52158</v>
      </c>
      <c r="E37" s="45">
        <f>G67</f>
        <v>0</v>
      </c>
      <c r="F37" s="56"/>
      <c r="G37" s="45">
        <f>D37+E37</f>
        <v>-52158</v>
      </c>
      <c r="J37" s="12">
        <v>43160</v>
      </c>
      <c r="K37" s="21">
        <f>86549+(398+10)</f>
        <v>86957</v>
      </c>
      <c r="L37" s="76">
        <v>86957</v>
      </c>
      <c r="M37" s="13">
        <f t="shared" si="4"/>
        <v>0</v>
      </c>
      <c r="N37" s="13">
        <f t="shared" ref="N37:N40" si="5">N36+M37</f>
        <v>0</v>
      </c>
    </row>
    <row r="38" spans="2:14" ht="15" x14ac:dyDescent="0.2">
      <c r="B38" s="27" t="s">
        <v>56</v>
      </c>
      <c r="C38" s="57"/>
      <c r="D38" s="58"/>
      <c r="E38" s="58"/>
      <c r="F38" s="59" t="s">
        <v>57</v>
      </c>
      <c r="G38" s="45">
        <f>G35+G36+G37</f>
        <v>-69613</v>
      </c>
      <c r="J38" s="12">
        <v>43191</v>
      </c>
      <c r="K38" s="21">
        <f>154590+(737+19)</f>
        <v>155346</v>
      </c>
      <c r="L38" s="76">
        <v>155346</v>
      </c>
      <c r="M38" s="13">
        <f t="shared" si="4"/>
        <v>0</v>
      </c>
      <c r="N38" s="13">
        <f t="shared" si="5"/>
        <v>0</v>
      </c>
    </row>
    <row r="39" spans="2:14" ht="15" x14ac:dyDescent="0.2">
      <c r="B39" s="60"/>
      <c r="G39" s="61"/>
      <c r="J39" s="12">
        <v>43221</v>
      </c>
      <c r="K39" s="21">
        <f>166300+(790+21)</f>
        <v>167111</v>
      </c>
      <c r="L39" s="76">
        <v>167111</v>
      </c>
      <c r="M39" s="13">
        <f t="shared" si="4"/>
        <v>0</v>
      </c>
      <c r="N39" s="13">
        <f t="shared" si="5"/>
        <v>0</v>
      </c>
    </row>
    <row r="40" spans="2:14" ht="15" x14ac:dyDescent="0.2">
      <c r="B40" s="28">
        <v>9</v>
      </c>
      <c r="C40" s="62" t="s">
        <v>58</v>
      </c>
      <c r="D40" s="30"/>
      <c r="E40" s="30"/>
      <c r="F40" s="31"/>
      <c r="G40" s="63">
        <f>G25+G38</f>
        <v>294492.88000000006</v>
      </c>
      <c r="J40" s="14">
        <v>43252</v>
      </c>
      <c r="K40" s="77">
        <f>177432+(864+23)</f>
        <v>178319</v>
      </c>
      <c r="L40" s="77">
        <v>178319</v>
      </c>
      <c r="M40" s="15">
        <f t="shared" si="4"/>
        <v>0</v>
      </c>
      <c r="N40" s="15">
        <f t="shared" si="5"/>
        <v>0</v>
      </c>
    </row>
    <row r="41" spans="2:14" ht="15" x14ac:dyDescent="0.2">
      <c r="B41" s="60"/>
      <c r="G41" s="61"/>
      <c r="J41" s="12">
        <v>43282</v>
      </c>
      <c r="K41" s="75">
        <f>167337+(850+22)</f>
        <v>168209</v>
      </c>
      <c r="L41" s="75">
        <v>168209</v>
      </c>
      <c r="M41" s="13">
        <f t="shared" si="4"/>
        <v>0</v>
      </c>
      <c r="N41" s="13">
        <f>N40+M41</f>
        <v>0</v>
      </c>
    </row>
    <row r="42" spans="2:14" ht="15" x14ac:dyDescent="0.2">
      <c r="B42" s="28">
        <v>10</v>
      </c>
      <c r="C42" s="62" t="s">
        <v>59</v>
      </c>
      <c r="D42" s="30"/>
      <c r="E42" s="30"/>
      <c r="F42" s="31"/>
      <c r="G42" s="63">
        <f>G40/6</f>
        <v>49082.146666666675</v>
      </c>
      <c r="J42" s="14">
        <v>43313</v>
      </c>
      <c r="K42" s="77">
        <f>159645+(773+20)</f>
        <v>160438</v>
      </c>
      <c r="L42" s="77">
        <v>160438</v>
      </c>
      <c r="M42" s="15">
        <f t="shared" si="4"/>
        <v>0</v>
      </c>
      <c r="N42" s="15">
        <f>N41+M42</f>
        <v>0</v>
      </c>
    </row>
    <row r="43" spans="2:14" ht="15" x14ac:dyDescent="0.2">
      <c r="J43" s="1"/>
      <c r="K43" s="1"/>
      <c r="L43" s="1"/>
      <c r="M43" s="1"/>
      <c r="N43" s="1"/>
    </row>
    <row r="44" spans="2:14" ht="15" x14ac:dyDescent="0.2">
      <c r="B44" s="23"/>
      <c r="C44" s="64" t="s">
        <v>60</v>
      </c>
      <c r="D44" s="65"/>
      <c r="E44" s="65"/>
      <c r="F44" s="65"/>
      <c r="G44" s="66"/>
      <c r="J44" s="16" t="s">
        <v>18</v>
      </c>
      <c r="K44" s="17"/>
      <c r="L44" s="17"/>
      <c r="M44" s="18"/>
      <c r="N44" s="19">
        <f>N40</f>
        <v>0</v>
      </c>
    </row>
    <row r="45" spans="2:14" ht="15" x14ac:dyDescent="0.2">
      <c r="B45" s="23"/>
      <c r="C45" s="67"/>
      <c r="D45" s="67"/>
      <c r="E45" s="67"/>
      <c r="F45" s="67"/>
      <c r="G45" s="33"/>
      <c r="J45" s="1"/>
      <c r="K45" s="1"/>
      <c r="L45" s="1"/>
      <c r="M45" s="1"/>
      <c r="N45" s="20"/>
    </row>
    <row r="46" spans="2:14" ht="15" x14ac:dyDescent="0.2">
      <c r="B46" s="26">
        <v>11</v>
      </c>
      <c r="C46" s="68" t="s">
        <v>61</v>
      </c>
      <c r="D46" s="68"/>
      <c r="E46" s="68"/>
      <c r="F46" s="68"/>
      <c r="G46" s="69">
        <f>G19</f>
        <v>225522</v>
      </c>
      <c r="J46" s="16" t="s">
        <v>19</v>
      </c>
      <c r="K46" s="17"/>
      <c r="L46" s="17"/>
      <c r="M46" s="18"/>
      <c r="N46" s="19">
        <f>N44/6</f>
        <v>0</v>
      </c>
    </row>
    <row r="47" spans="2:14" ht="15" x14ac:dyDescent="0.2">
      <c r="B47" s="26">
        <v>12</v>
      </c>
      <c r="C47" s="68" t="s">
        <v>62</v>
      </c>
      <c r="D47" s="68"/>
      <c r="E47" s="68"/>
      <c r="F47" s="68"/>
      <c r="G47" s="70">
        <f>G38</f>
        <v>-69613</v>
      </c>
      <c r="J47" s="1"/>
      <c r="K47" s="1"/>
      <c r="L47" s="1"/>
      <c r="M47" s="1"/>
      <c r="N47" s="1"/>
    </row>
    <row r="48" spans="2:14" x14ac:dyDescent="0.2">
      <c r="B48" s="26"/>
      <c r="C48" s="68"/>
      <c r="D48" s="68"/>
      <c r="E48" s="68"/>
      <c r="F48" s="68"/>
      <c r="G48" s="69"/>
    </row>
    <row r="49" spans="2:7" ht="15" thickBot="1" x14ac:dyDescent="0.25">
      <c r="B49" s="26">
        <v>13</v>
      </c>
      <c r="C49" s="68" t="s">
        <v>63</v>
      </c>
      <c r="D49" s="68"/>
      <c r="E49" s="68"/>
      <c r="F49" s="68"/>
      <c r="G49" s="71">
        <f>G46+G47</f>
        <v>155909</v>
      </c>
    </row>
    <row r="50" spans="2:7" ht="15" thickTop="1" x14ac:dyDescent="0.2">
      <c r="B50" s="26"/>
      <c r="C50" s="68"/>
      <c r="D50" s="68"/>
      <c r="E50" s="68"/>
      <c r="F50" s="68"/>
      <c r="G50" s="69"/>
    </row>
    <row r="51" spans="2:7" x14ac:dyDescent="0.2">
      <c r="B51" s="26">
        <v>14</v>
      </c>
      <c r="C51" s="68" t="s">
        <v>64</v>
      </c>
      <c r="D51" s="68"/>
      <c r="E51" s="68"/>
      <c r="F51" s="68"/>
      <c r="G51" s="69">
        <f>G40</f>
        <v>294492.88000000006</v>
      </c>
    </row>
    <row r="52" spans="2:7" x14ac:dyDescent="0.2">
      <c r="B52" s="26"/>
      <c r="C52" s="68"/>
      <c r="D52" s="68"/>
      <c r="E52" s="68"/>
      <c r="F52" s="68"/>
      <c r="G52" s="69"/>
    </row>
    <row r="53" spans="2:7" x14ac:dyDescent="0.2">
      <c r="B53" s="26">
        <v>15</v>
      </c>
      <c r="C53" s="68" t="s">
        <v>65</v>
      </c>
      <c r="D53" s="68"/>
      <c r="E53" s="68"/>
      <c r="F53" s="68"/>
      <c r="G53" s="70">
        <f>SUM(F20:F25)</f>
        <v>138583.88000000006</v>
      </c>
    </row>
    <row r="54" spans="2:7" x14ac:dyDescent="0.2">
      <c r="B54" s="26"/>
      <c r="C54" s="68"/>
      <c r="D54" s="68"/>
      <c r="E54" s="68"/>
      <c r="F54" s="68"/>
      <c r="G54" s="69"/>
    </row>
    <row r="55" spans="2:7" ht="15" thickBot="1" x14ac:dyDescent="0.25">
      <c r="B55" s="26">
        <v>16</v>
      </c>
      <c r="C55" s="68" t="s">
        <v>66</v>
      </c>
      <c r="D55" s="68"/>
      <c r="E55" s="68"/>
      <c r="F55" s="68"/>
      <c r="G55" s="71">
        <f>G51-G53</f>
        <v>155909</v>
      </c>
    </row>
    <row r="56" spans="2:7" ht="15" thickTop="1" x14ac:dyDescent="0.2">
      <c r="B56" s="56"/>
      <c r="C56" s="72"/>
      <c r="D56" s="72"/>
      <c r="E56" s="72"/>
      <c r="F56" s="72"/>
      <c r="G56" s="73"/>
    </row>
    <row r="58" spans="2:7" x14ac:dyDescent="0.2">
      <c r="B58" t="s">
        <v>67</v>
      </c>
    </row>
    <row r="59" spans="2:7" x14ac:dyDescent="0.2">
      <c r="B59" s="60"/>
      <c r="C59" s="23"/>
      <c r="D59" s="24" t="s">
        <v>68</v>
      </c>
      <c r="E59" s="24" t="s">
        <v>68</v>
      </c>
      <c r="F59" s="24" t="s">
        <v>68</v>
      </c>
      <c r="G59" s="55"/>
    </row>
    <row r="60" spans="2:7" x14ac:dyDescent="0.2">
      <c r="B60" s="60"/>
      <c r="C60" s="27" t="s">
        <v>13</v>
      </c>
      <c r="D60" s="27" t="s">
        <v>70</v>
      </c>
      <c r="E60" s="27" t="s">
        <v>71</v>
      </c>
      <c r="F60" s="27" t="s">
        <v>76</v>
      </c>
      <c r="G60" s="55"/>
    </row>
    <row r="61" spans="2:7" x14ac:dyDescent="0.2">
      <c r="C61" s="36">
        <v>43101</v>
      </c>
      <c r="D61" s="34">
        <v>68619</v>
      </c>
      <c r="E61" s="34">
        <v>0</v>
      </c>
      <c r="F61" s="35">
        <v>0</v>
      </c>
      <c r="G61" s="42"/>
    </row>
    <row r="62" spans="2:7" x14ac:dyDescent="0.2">
      <c r="C62" s="39">
        <v>43132</v>
      </c>
      <c r="D62" s="40">
        <v>0</v>
      </c>
      <c r="E62" s="40">
        <v>17458</v>
      </c>
      <c r="F62" s="43">
        <v>0</v>
      </c>
      <c r="G62" s="42"/>
    </row>
    <row r="63" spans="2:7" x14ac:dyDescent="0.2">
      <c r="C63" s="39">
        <v>43160</v>
      </c>
      <c r="D63" s="40">
        <v>0</v>
      </c>
      <c r="E63" s="40">
        <v>17458</v>
      </c>
      <c r="F63" s="43">
        <v>0</v>
      </c>
      <c r="G63" s="42"/>
    </row>
    <row r="64" spans="2:7" x14ac:dyDescent="0.2">
      <c r="C64" s="39">
        <v>43191</v>
      </c>
      <c r="D64" s="40">
        <v>0</v>
      </c>
      <c r="E64" s="40">
        <v>17458</v>
      </c>
      <c r="F64" s="43">
        <v>0</v>
      </c>
      <c r="G64" s="42"/>
    </row>
    <row r="65" spans="3:7" x14ac:dyDescent="0.2">
      <c r="C65" s="39">
        <v>43221</v>
      </c>
      <c r="D65" s="40">
        <v>0</v>
      </c>
      <c r="E65" s="40">
        <v>17458</v>
      </c>
      <c r="F65" s="43">
        <v>0</v>
      </c>
      <c r="G65" s="42"/>
    </row>
    <row r="66" spans="3:7" x14ac:dyDescent="0.2">
      <c r="C66" s="48">
        <v>43252</v>
      </c>
      <c r="D66" s="40">
        <v>0</v>
      </c>
      <c r="E66" s="49">
        <v>17458</v>
      </c>
      <c r="F66" s="45">
        <v>0</v>
      </c>
      <c r="G66" s="42"/>
    </row>
    <row r="67" spans="3:7" x14ac:dyDescent="0.2">
      <c r="C67" s="74" t="s">
        <v>72</v>
      </c>
      <c r="D67" s="63">
        <f>SUM(D61:D66)</f>
        <v>68619</v>
      </c>
      <c r="E67" s="63">
        <f>SUM(E61:E66)</f>
        <v>87290</v>
      </c>
      <c r="F67" s="63">
        <f>SUM(F61:F66)</f>
        <v>0</v>
      </c>
      <c r="G67" s="42"/>
    </row>
  </sheetData>
  <mergeCells count="3">
    <mergeCell ref="B5:G6"/>
    <mergeCell ref="C15:G15"/>
    <mergeCell ref="J5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I9" sqref="I9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10" max="14" width="15.625" customWidth="1"/>
  </cols>
  <sheetData>
    <row r="1" spans="1:14" x14ac:dyDescent="0.2">
      <c r="A1" t="s">
        <v>0</v>
      </c>
    </row>
    <row r="2" spans="1:14" x14ac:dyDescent="0.2">
      <c r="A2" t="s">
        <v>1</v>
      </c>
    </row>
    <row r="3" spans="1:14" ht="15" x14ac:dyDescent="0.2">
      <c r="J3" s="1"/>
      <c r="K3" s="1"/>
      <c r="L3" s="1"/>
      <c r="M3" s="1"/>
      <c r="N3" s="1"/>
    </row>
    <row r="4" spans="1:14" ht="15" x14ac:dyDescent="0.2">
      <c r="J4" s="1"/>
      <c r="K4" s="1"/>
      <c r="L4" s="1"/>
      <c r="M4" s="1"/>
      <c r="N4" s="1"/>
    </row>
    <row r="5" spans="1:14" x14ac:dyDescent="0.2">
      <c r="B5" s="87" t="s">
        <v>21</v>
      </c>
      <c r="C5" s="88"/>
      <c r="D5" s="88"/>
      <c r="E5" s="88"/>
      <c r="F5" s="88"/>
      <c r="G5" s="89"/>
      <c r="J5" s="81" t="s">
        <v>2</v>
      </c>
      <c r="K5" s="82"/>
      <c r="L5" s="82"/>
      <c r="M5" s="82"/>
      <c r="N5" s="83"/>
    </row>
    <row r="6" spans="1:14" x14ac:dyDescent="0.2">
      <c r="B6" s="90"/>
      <c r="C6" s="91"/>
      <c r="D6" s="91"/>
      <c r="E6" s="91"/>
      <c r="F6" s="91"/>
      <c r="G6" s="92"/>
      <c r="J6" s="84"/>
      <c r="K6" s="85"/>
      <c r="L6" s="85"/>
      <c r="M6" s="85"/>
      <c r="N6" s="86"/>
    </row>
    <row r="7" spans="1:14" ht="15" x14ac:dyDescent="0.2">
      <c r="J7" s="1"/>
      <c r="K7" s="1"/>
      <c r="L7" s="1"/>
      <c r="M7" s="1"/>
      <c r="N7" s="1"/>
    </row>
    <row r="8" spans="1:14" ht="15.75" x14ac:dyDescent="0.25">
      <c r="B8" s="22" t="s">
        <v>22</v>
      </c>
      <c r="J8" s="2" t="s">
        <v>3</v>
      </c>
      <c r="K8" s="1"/>
      <c r="L8" s="1"/>
      <c r="M8" s="1"/>
      <c r="N8" s="1"/>
    </row>
    <row r="9" spans="1:14" ht="15" x14ac:dyDescent="0.2">
      <c r="J9" s="1"/>
      <c r="K9" s="1"/>
      <c r="L9" s="1"/>
      <c r="M9" s="1"/>
      <c r="N9" s="1"/>
    </row>
    <row r="10" spans="1:14" ht="15" x14ac:dyDescent="0.2">
      <c r="B10" s="23"/>
      <c r="C10" s="23"/>
      <c r="D10" s="23"/>
      <c r="E10" s="24" t="s">
        <v>4</v>
      </c>
      <c r="F10" s="23"/>
      <c r="G10" s="23"/>
      <c r="J10" s="3"/>
      <c r="K10" s="3"/>
      <c r="L10" s="4" t="s">
        <v>4</v>
      </c>
      <c r="M10" s="3"/>
      <c r="N10" s="3"/>
    </row>
    <row r="11" spans="1:14" ht="15" x14ac:dyDescent="0.2">
      <c r="B11" s="25"/>
      <c r="C11" s="25"/>
      <c r="D11" s="26" t="s">
        <v>5</v>
      </c>
      <c r="E11" s="26" t="s">
        <v>6</v>
      </c>
      <c r="F11" s="25"/>
      <c r="G11" s="25"/>
      <c r="J11" s="5"/>
      <c r="K11" s="6" t="s">
        <v>5</v>
      </c>
      <c r="L11" s="6" t="s">
        <v>6</v>
      </c>
      <c r="M11" s="5"/>
      <c r="N11" s="5"/>
    </row>
    <row r="12" spans="1:14" ht="15" x14ac:dyDescent="0.2">
      <c r="B12" s="25"/>
      <c r="C12" s="25"/>
      <c r="D12" s="26" t="s">
        <v>7</v>
      </c>
      <c r="E12" s="26" t="s">
        <v>8</v>
      </c>
      <c r="F12" s="26" t="s">
        <v>9</v>
      </c>
      <c r="G12" s="26" t="s">
        <v>10</v>
      </c>
      <c r="J12" s="5"/>
      <c r="K12" s="6" t="s">
        <v>7</v>
      </c>
      <c r="L12" s="6" t="s">
        <v>8</v>
      </c>
      <c r="M12" s="6" t="s">
        <v>9</v>
      </c>
      <c r="N12" s="6" t="s">
        <v>10</v>
      </c>
    </row>
    <row r="13" spans="1:14" ht="15" x14ac:dyDescent="0.2">
      <c r="B13" s="27"/>
      <c r="C13" s="27"/>
      <c r="D13" s="27" t="s">
        <v>11</v>
      </c>
      <c r="E13" s="27" t="s">
        <v>11</v>
      </c>
      <c r="F13" s="27" t="s">
        <v>12</v>
      </c>
      <c r="G13" s="27" t="s">
        <v>12</v>
      </c>
      <c r="J13" s="7"/>
      <c r="K13" s="7" t="s">
        <v>11</v>
      </c>
      <c r="L13" s="7" t="s">
        <v>11</v>
      </c>
      <c r="M13" s="7" t="s">
        <v>12</v>
      </c>
      <c r="N13" s="7" t="s">
        <v>12</v>
      </c>
    </row>
    <row r="14" spans="1:14" ht="15" x14ac:dyDescent="0.2">
      <c r="B14" s="28" t="s">
        <v>23</v>
      </c>
      <c r="C14" s="28" t="s">
        <v>13</v>
      </c>
      <c r="D14" s="29" t="s">
        <v>15</v>
      </c>
      <c r="E14" s="29" t="s">
        <v>16</v>
      </c>
      <c r="F14" s="29" t="s">
        <v>17</v>
      </c>
      <c r="G14" s="29" t="s">
        <v>24</v>
      </c>
      <c r="J14" s="8" t="s">
        <v>13</v>
      </c>
      <c r="K14" s="9" t="s">
        <v>14</v>
      </c>
      <c r="L14" s="9" t="s">
        <v>15</v>
      </c>
      <c r="M14" s="9" t="s">
        <v>16</v>
      </c>
      <c r="N14" s="9" t="s">
        <v>17</v>
      </c>
    </row>
    <row r="15" spans="1:14" ht="15" x14ac:dyDescent="0.2">
      <c r="B15" s="24">
        <v>1</v>
      </c>
      <c r="C15" s="93" t="s">
        <v>25</v>
      </c>
      <c r="D15" s="94"/>
      <c r="E15" s="94"/>
      <c r="F15" s="94"/>
      <c r="G15" s="95"/>
      <c r="J15" s="10">
        <v>43282</v>
      </c>
      <c r="K15" s="75">
        <v>462793</v>
      </c>
      <c r="L15" s="75">
        <v>462793</v>
      </c>
      <c r="M15" s="11">
        <f t="shared" ref="M15:M22" si="0">K15-L15</f>
        <v>0</v>
      </c>
      <c r="N15" s="11">
        <f>M15</f>
        <v>0</v>
      </c>
    </row>
    <row r="16" spans="1:14" ht="15" x14ac:dyDescent="0.2">
      <c r="B16" s="24" t="s">
        <v>26</v>
      </c>
      <c r="C16" s="30" t="s">
        <v>31</v>
      </c>
      <c r="D16" s="30"/>
      <c r="E16" s="30"/>
      <c r="F16" s="31"/>
      <c r="G16" s="32">
        <v>17455</v>
      </c>
      <c r="J16" s="12">
        <v>43313</v>
      </c>
      <c r="K16" s="76">
        <v>430932</v>
      </c>
      <c r="L16" s="76">
        <v>430932</v>
      </c>
      <c r="M16" s="13">
        <f t="shared" si="0"/>
        <v>0</v>
      </c>
      <c r="N16" s="13">
        <f>N15+M16</f>
        <v>0</v>
      </c>
    </row>
    <row r="17" spans="2:14" ht="15" x14ac:dyDescent="0.2">
      <c r="B17" s="26" t="s">
        <v>28</v>
      </c>
      <c r="C17" s="30" t="s">
        <v>73</v>
      </c>
      <c r="D17" s="30"/>
      <c r="E17" s="30"/>
      <c r="F17" s="31"/>
      <c r="G17" s="32">
        <v>52158</v>
      </c>
      <c r="J17" s="12">
        <v>43344</v>
      </c>
      <c r="K17" s="76">
        <v>366150</v>
      </c>
      <c r="L17" s="76">
        <v>366150</v>
      </c>
      <c r="M17" s="13">
        <f t="shared" si="0"/>
        <v>0</v>
      </c>
      <c r="N17" s="13">
        <f t="shared" ref="N17:N20" si="1">N16+M17</f>
        <v>0</v>
      </c>
    </row>
    <row r="18" spans="2:14" ht="15" x14ac:dyDescent="0.2">
      <c r="B18" s="26" t="s">
        <v>30</v>
      </c>
      <c r="C18" s="30" t="s">
        <v>77</v>
      </c>
      <c r="D18" s="30"/>
      <c r="E18" s="30"/>
      <c r="F18" s="33"/>
      <c r="G18" s="34">
        <v>294493</v>
      </c>
      <c r="J18" s="12">
        <v>43374</v>
      </c>
      <c r="K18" s="76">
        <v>483512</v>
      </c>
      <c r="L18" s="76">
        <v>483512</v>
      </c>
      <c r="M18" s="13">
        <f t="shared" si="0"/>
        <v>0</v>
      </c>
      <c r="N18" s="13">
        <f t="shared" si="1"/>
        <v>0</v>
      </c>
    </row>
    <row r="19" spans="2:14" ht="15" x14ac:dyDescent="0.2">
      <c r="B19" s="27" t="s">
        <v>32</v>
      </c>
      <c r="C19" s="30" t="s">
        <v>33</v>
      </c>
      <c r="D19" s="30"/>
      <c r="E19" s="30"/>
      <c r="F19" s="33"/>
      <c r="G19" s="35">
        <f>G16+G17+G18</f>
        <v>364106</v>
      </c>
      <c r="J19" s="12">
        <v>43405</v>
      </c>
      <c r="K19" s="76">
        <v>470722</v>
      </c>
      <c r="L19" s="76">
        <v>470722</v>
      </c>
      <c r="M19" s="13">
        <f t="shared" si="0"/>
        <v>0</v>
      </c>
      <c r="N19" s="13">
        <f t="shared" si="1"/>
        <v>0</v>
      </c>
    </row>
    <row r="20" spans="2:14" ht="15" x14ac:dyDescent="0.2">
      <c r="B20" s="26">
        <v>2</v>
      </c>
      <c r="C20" s="36">
        <v>43282</v>
      </c>
      <c r="D20" s="34">
        <f>888991-1758-(850+22)</f>
        <v>886361</v>
      </c>
      <c r="E20" s="37">
        <f>780560.7+5170.43+184353.99+18779.32+536.37+17295.34</f>
        <v>1006696.1499999999</v>
      </c>
      <c r="F20" s="38">
        <f t="shared" ref="F20:F27" si="2">D20-E20</f>
        <v>-120335.14999999991</v>
      </c>
      <c r="G20" s="35">
        <f t="shared" ref="G20:G27" si="3">G19+F20</f>
        <v>243770.85000000009</v>
      </c>
      <c r="J20" s="14">
        <v>43435</v>
      </c>
      <c r="K20" s="77">
        <v>597641</v>
      </c>
      <c r="L20" s="77">
        <v>597641</v>
      </c>
      <c r="M20" s="15">
        <f t="shared" si="0"/>
        <v>0</v>
      </c>
      <c r="N20" s="15">
        <f t="shared" si="1"/>
        <v>0</v>
      </c>
    </row>
    <row r="21" spans="2:14" ht="15" x14ac:dyDescent="0.2">
      <c r="B21" s="26">
        <v>3</v>
      </c>
      <c r="C21" s="39">
        <v>43313</v>
      </c>
      <c r="D21" s="40">
        <f>795679-1586-(773+20)</f>
        <v>793300</v>
      </c>
      <c r="E21" s="41">
        <f>689179.45+4728.11+179001.35+18010.35+560.94+16527.03</f>
        <v>908007.22999999986</v>
      </c>
      <c r="F21" s="42">
        <f t="shared" si="2"/>
        <v>-114707.22999999986</v>
      </c>
      <c r="G21" s="43">
        <f t="shared" si="3"/>
        <v>129063.62000000023</v>
      </c>
      <c r="J21" s="12">
        <v>43466</v>
      </c>
      <c r="K21" s="75">
        <v>434024</v>
      </c>
      <c r="L21" s="75">
        <v>434024</v>
      </c>
      <c r="M21" s="13">
        <f t="shared" si="0"/>
        <v>0</v>
      </c>
      <c r="N21" s="13">
        <f>N20+M21</f>
        <v>0</v>
      </c>
    </row>
    <row r="22" spans="2:14" ht="15" x14ac:dyDescent="0.2">
      <c r="B22" s="26">
        <v>4</v>
      </c>
      <c r="C22" s="39">
        <v>43344</v>
      </c>
      <c r="D22" s="40">
        <f>782901-1699-(828+22)</f>
        <v>780352</v>
      </c>
      <c r="E22" s="41">
        <f>605682.83+4235.81+151910.58+7707.19+522.19+17988.93</f>
        <v>788047.52999999991</v>
      </c>
      <c r="F22" s="42">
        <f t="shared" si="2"/>
        <v>-7695.5299999999115</v>
      </c>
      <c r="G22" s="43">
        <f t="shared" si="3"/>
        <v>121368.09000000032</v>
      </c>
      <c r="J22" s="14">
        <v>43497</v>
      </c>
      <c r="K22" s="77">
        <v>368974</v>
      </c>
      <c r="L22" s="77">
        <v>368974</v>
      </c>
      <c r="M22" s="15">
        <f t="shared" si="0"/>
        <v>0</v>
      </c>
      <c r="N22" s="15">
        <f>N21+M22</f>
        <v>0</v>
      </c>
    </row>
    <row r="23" spans="2:14" ht="15" x14ac:dyDescent="0.2">
      <c r="B23" s="26">
        <v>5</v>
      </c>
      <c r="C23" s="39">
        <v>43374</v>
      </c>
      <c r="D23" s="40">
        <f>729284-1725-(841+22)</f>
        <v>726696</v>
      </c>
      <c r="E23" s="41">
        <f>568221.26+4950.56+164675.87-6475.3+668.99+20119.32</f>
        <v>752160.7</v>
      </c>
      <c r="F23" s="42">
        <f t="shared" si="2"/>
        <v>-25464.699999999953</v>
      </c>
      <c r="G23" s="43">
        <f t="shared" si="3"/>
        <v>95903.390000000363</v>
      </c>
      <c r="J23" s="1"/>
      <c r="K23" s="1"/>
      <c r="L23" s="1"/>
      <c r="M23" s="1"/>
      <c r="N23" s="1"/>
    </row>
    <row r="24" spans="2:14" ht="15" x14ac:dyDescent="0.2">
      <c r="B24" s="26">
        <v>6</v>
      </c>
      <c r="C24" s="39">
        <v>43405</v>
      </c>
      <c r="D24" s="40">
        <f>845172-1800-(881+23)</f>
        <v>842468</v>
      </c>
      <c r="E24" s="41">
        <f>647425.53+5352.5+178119.02+11848.97+851.13+21297.18</f>
        <v>864894.33000000007</v>
      </c>
      <c r="F24" s="42">
        <f t="shared" si="2"/>
        <v>-22426.330000000075</v>
      </c>
      <c r="G24" s="43">
        <f t="shared" si="3"/>
        <v>73477.060000000289</v>
      </c>
      <c r="J24" s="16" t="s">
        <v>18</v>
      </c>
      <c r="K24" s="17"/>
      <c r="L24" s="17"/>
      <c r="M24" s="18"/>
      <c r="N24" s="19">
        <f>N20</f>
        <v>0</v>
      </c>
    </row>
    <row r="25" spans="2:14" ht="15" x14ac:dyDescent="0.2">
      <c r="B25" s="26">
        <v>7</v>
      </c>
      <c r="C25" s="39">
        <v>43435</v>
      </c>
      <c r="D25" s="40">
        <f>1037006-1876-(918+24)</f>
        <v>1034188</v>
      </c>
      <c r="E25" s="41">
        <f>738078.32+5169.06+157008.28-12832.02+790.95+20083.8</f>
        <v>908298.39</v>
      </c>
      <c r="F25" s="44">
        <f t="shared" si="2"/>
        <v>125889.60999999999</v>
      </c>
      <c r="G25" s="45">
        <f t="shared" si="3"/>
        <v>199366.67000000027</v>
      </c>
      <c r="J25" s="1"/>
      <c r="K25" s="1"/>
      <c r="L25" s="1"/>
      <c r="M25" s="1"/>
      <c r="N25" s="20"/>
    </row>
    <row r="26" spans="2:14" ht="15" x14ac:dyDescent="0.2">
      <c r="B26" s="46" t="s">
        <v>34</v>
      </c>
      <c r="C26" s="36">
        <v>43466</v>
      </c>
      <c r="D26" s="34">
        <f>976221-1634-(801+21)</f>
        <v>973765</v>
      </c>
      <c r="E26" s="37">
        <f>863877.22+5689.38+182257.11+45980.72+942.43+22868.48</f>
        <v>1121615.3399999999</v>
      </c>
      <c r="F26" s="38">
        <f t="shared" si="2"/>
        <v>-147850.33999999985</v>
      </c>
      <c r="G26" s="35">
        <f t="shared" si="3"/>
        <v>51516.330000000424</v>
      </c>
      <c r="J26" s="16" t="s">
        <v>19</v>
      </c>
      <c r="K26" s="17"/>
      <c r="L26" s="17"/>
      <c r="M26" s="18"/>
      <c r="N26" s="19">
        <f>N24/6</f>
        <v>0</v>
      </c>
    </row>
    <row r="27" spans="2:14" ht="15" x14ac:dyDescent="0.2">
      <c r="B27" s="47" t="s">
        <v>35</v>
      </c>
      <c r="C27" s="48">
        <v>43497</v>
      </c>
      <c r="D27" s="49">
        <f>650526-1353-(663+18)</f>
        <v>648492</v>
      </c>
      <c r="E27" s="50">
        <f>646842.65+3669.2+131285.42+41161.98+553.07+18114.72</f>
        <v>841627.03999999992</v>
      </c>
      <c r="F27" s="44">
        <f t="shared" si="2"/>
        <v>-193135.03999999992</v>
      </c>
      <c r="G27" s="45">
        <f t="shared" si="3"/>
        <v>-141618.7099999995</v>
      </c>
      <c r="J27" s="1"/>
      <c r="K27" s="1"/>
      <c r="L27" s="1"/>
      <c r="M27" s="1"/>
      <c r="N27" s="1"/>
    </row>
    <row r="28" spans="2:14" ht="15.75" x14ac:dyDescent="0.25">
      <c r="B28" s="27"/>
      <c r="C28" s="51" t="s">
        <v>78</v>
      </c>
      <c r="D28" s="52"/>
      <c r="E28" s="52"/>
      <c r="F28" s="52"/>
      <c r="G28" s="53"/>
      <c r="J28" s="2" t="s">
        <v>20</v>
      </c>
      <c r="K28" s="1"/>
      <c r="L28" s="1"/>
      <c r="M28" s="1"/>
      <c r="N28" s="1"/>
    </row>
    <row r="29" spans="2:14" ht="15" x14ac:dyDescent="0.2">
      <c r="B29" s="24"/>
      <c r="C29" s="23"/>
      <c r="D29" s="23"/>
      <c r="E29" s="23"/>
      <c r="F29" s="23"/>
      <c r="G29" s="35"/>
      <c r="J29" s="1"/>
      <c r="K29" s="1"/>
      <c r="L29" s="1"/>
      <c r="M29" s="1"/>
      <c r="N29" s="1"/>
    </row>
    <row r="30" spans="2:14" ht="15" x14ac:dyDescent="0.2">
      <c r="B30" s="26"/>
      <c r="C30" s="25"/>
      <c r="D30" s="26" t="s">
        <v>37</v>
      </c>
      <c r="E30" s="26" t="s">
        <v>38</v>
      </c>
      <c r="F30" s="25"/>
      <c r="G30" s="43"/>
      <c r="J30" s="3"/>
      <c r="K30" s="3"/>
      <c r="L30" s="4" t="s">
        <v>4</v>
      </c>
      <c r="M30" s="3"/>
      <c r="N30" s="3"/>
    </row>
    <row r="31" spans="2:14" ht="15" x14ac:dyDescent="0.2">
      <c r="B31" s="26">
        <v>8</v>
      </c>
      <c r="C31" s="25"/>
      <c r="D31" s="26" t="s">
        <v>39</v>
      </c>
      <c r="E31" s="26" t="s">
        <v>40</v>
      </c>
      <c r="F31" s="25"/>
      <c r="G31" s="54" t="s">
        <v>37</v>
      </c>
      <c r="J31" s="5"/>
      <c r="K31" s="6" t="s">
        <v>5</v>
      </c>
      <c r="L31" s="6" t="s">
        <v>6</v>
      </c>
      <c r="M31" s="5"/>
      <c r="N31" s="5"/>
    </row>
    <row r="32" spans="2:14" ht="15" x14ac:dyDescent="0.2">
      <c r="B32" s="26"/>
      <c r="C32" s="25"/>
      <c r="D32" s="26" t="s">
        <v>41</v>
      </c>
      <c r="E32" s="26" t="s">
        <v>42</v>
      </c>
      <c r="F32" s="25"/>
      <c r="G32" s="54" t="s">
        <v>43</v>
      </c>
      <c r="J32" s="5"/>
      <c r="K32" s="6" t="s">
        <v>7</v>
      </c>
      <c r="L32" s="6" t="s">
        <v>8</v>
      </c>
      <c r="M32" s="6" t="s">
        <v>9</v>
      </c>
      <c r="N32" s="6" t="s">
        <v>10</v>
      </c>
    </row>
    <row r="33" spans="2:14" ht="15" x14ac:dyDescent="0.2">
      <c r="B33" s="26"/>
      <c r="C33" s="25"/>
      <c r="D33" s="26" t="s">
        <v>44</v>
      </c>
      <c r="E33" s="26" t="s">
        <v>45</v>
      </c>
      <c r="F33" s="25"/>
      <c r="G33" s="54" t="s">
        <v>46</v>
      </c>
      <c r="J33" s="7"/>
      <c r="K33" s="7" t="s">
        <v>11</v>
      </c>
      <c r="L33" s="7" t="s">
        <v>11</v>
      </c>
      <c r="M33" s="7" t="s">
        <v>12</v>
      </c>
      <c r="N33" s="7" t="s">
        <v>12</v>
      </c>
    </row>
    <row r="34" spans="2:14" ht="15" x14ac:dyDescent="0.2">
      <c r="B34" s="27"/>
      <c r="C34" s="25"/>
      <c r="D34" s="26" t="s">
        <v>47</v>
      </c>
      <c r="E34" s="26" t="s">
        <v>48</v>
      </c>
      <c r="F34" s="25"/>
      <c r="G34" s="54" t="s">
        <v>49</v>
      </c>
      <c r="J34" s="8" t="s">
        <v>13</v>
      </c>
      <c r="K34" s="9" t="s">
        <v>14</v>
      </c>
      <c r="L34" s="9" t="s">
        <v>15</v>
      </c>
      <c r="M34" s="9" t="s">
        <v>16</v>
      </c>
      <c r="N34" s="9" t="s">
        <v>17</v>
      </c>
    </row>
    <row r="35" spans="2:14" ht="15" x14ac:dyDescent="0.2">
      <c r="B35" s="46" t="s">
        <v>50</v>
      </c>
      <c r="C35" s="23" t="s">
        <v>55</v>
      </c>
      <c r="D35" s="35">
        <f>-G16</f>
        <v>-17455</v>
      </c>
      <c r="E35" s="35">
        <f>D67</f>
        <v>17455</v>
      </c>
      <c r="F35" s="23"/>
      <c r="G35" s="35">
        <f>D35+E35</f>
        <v>0</v>
      </c>
      <c r="J35" s="10">
        <v>43282</v>
      </c>
      <c r="K35" s="21">
        <f>167337+(850+22)</f>
        <v>168209</v>
      </c>
      <c r="L35" s="75">
        <v>168209</v>
      </c>
      <c r="M35" s="11">
        <f t="shared" ref="M35:M42" si="4">K35-L35</f>
        <v>0</v>
      </c>
      <c r="N35" s="11">
        <f>+M35</f>
        <v>0</v>
      </c>
    </row>
    <row r="36" spans="2:14" ht="15" x14ac:dyDescent="0.2">
      <c r="B36" s="55" t="s">
        <v>52</v>
      </c>
      <c r="C36" s="25" t="s">
        <v>75</v>
      </c>
      <c r="D36" s="43">
        <f>-G17</f>
        <v>-52158</v>
      </c>
      <c r="E36" s="43">
        <f>E67</f>
        <v>34772</v>
      </c>
      <c r="F36" s="25"/>
      <c r="G36" s="43">
        <f>D36+E36</f>
        <v>-17386</v>
      </c>
      <c r="J36" s="12">
        <v>43313</v>
      </c>
      <c r="K36" s="21">
        <f>159645+(773+20)</f>
        <v>160438</v>
      </c>
      <c r="L36" s="76">
        <v>160438</v>
      </c>
      <c r="M36" s="13">
        <f t="shared" si="4"/>
        <v>0</v>
      </c>
      <c r="N36" s="13">
        <f>N35+M36</f>
        <v>0</v>
      </c>
    </row>
    <row r="37" spans="2:14" ht="15" x14ac:dyDescent="0.2">
      <c r="B37" s="55" t="s">
        <v>54</v>
      </c>
      <c r="C37" s="56" t="s">
        <v>79</v>
      </c>
      <c r="D37" s="45">
        <f>-G18</f>
        <v>-294493</v>
      </c>
      <c r="E37" s="45">
        <f>G67</f>
        <v>0</v>
      </c>
      <c r="F37" s="56"/>
      <c r="G37" s="45">
        <f>D37+E37</f>
        <v>-294493</v>
      </c>
      <c r="J37" s="12">
        <v>43344</v>
      </c>
      <c r="K37" s="21">
        <f>160109+(828+22)</f>
        <v>160959</v>
      </c>
      <c r="L37" s="76">
        <v>160959</v>
      </c>
      <c r="M37" s="13">
        <f t="shared" si="4"/>
        <v>0</v>
      </c>
      <c r="N37" s="13">
        <f t="shared" ref="N37:N40" si="5">N36+M37</f>
        <v>0</v>
      </c>
    </row>
    <row r="38" spans="2:14" ht="15" x14ac:dyDescent="0.2">
      <c r="B38" s="27" t="s">
        <v>56</v>
      </c>
      <c r="C38" s="57"/>
      <c r="D38" s="58"/>
      <c r="E38" s="58"/>
      <c r="F38" s="59" t="s">
        <v>57</v>
      </c>
      <c r="G38" s="45">
        <f>G35+G36+G37</f>
        <v>-311879</v>
      </c>
      <c r="J38" s="12">
        <v>43374</v>
      </c>
      <c r="K38" s="21">
        <f>177370+(841+22)</f>
        <v>178233</v>
      </c>
      <c r="L38" s="76">
        <v>178233</v>
      </c>
      <c r="M38" s="13">
        <f t="shared" si="4"/>
        <v>0</v>
      </c>
      <c r="N38" s="13">
        <f t="shared" si="5"/>
        <v>0</v>
      </c>
    </row>
    <row r="39" spans="2:14" ht="15" x14ac:dyDescent="0.2">
      <c r="B39" s="60"/>
      <c r="G39" s="61"/>
      <c r="J39" s="12">
        <v>43405</v>
      </c>
      <c r="K39" s="21">
        <f>181384+(881+23)</f>
        <v>182288</v>
      </c>
      <c r="L39" s="76">
        <v>182288</v>
      </c>
      <c r="M39" s="13">
        <f t="shared" si="4"/>
        <v>0</v>
      </c>
      <c r="N39" s="13">
        <f t="shared" si="5"/>
        <v>0</v>
      </c>
    </row>
    <row r="40" spans="2:14" ht="15" x14ac:dyDescent="0.2">
      <c r="B40" s="28">
        <v>9</v>
      </c>
      <c r="C40" s="62" t="s">
        <v>58</v>
      </c>
      <c r="D40" s="30"/>
      <c r="E40" s="30"/>
      <c r="F40" s="31"/>
      <c r="G40" s="63">
        <f>G25+G38</f>
        <v>-112512.32999999973</v>
      </c>
      <c r="J40" s="14">
        <v>43435</v>
      </c>
      <c r="K40" s="77">
        <f>207856+(918+24)</f>
        <v>208798</v>
      </c>
      <c r="L40" s="77">
        <v>208798</v>
      </c>
      <c r="M40" s="15">
        <f t="shared" si="4"/>
        <v>0</v>
      </c>
      <c r="N40" s="15">
        <f t="shared" si="5"/>
        <v>0</v>
      </c>
    </row>
    <row r="41" spans="2:14" ht="15" x14ac:dyDescent="0.2">
      <c r="B41" s="60"/>
      <c r="G41" s="61"/>
      <c r="J41" s="12">
        <v>43466</v>
      </c>
      <c r="K41" s="75">
        <f>172060+(801+21)</f>
        <v>172882</v>
      </c>
      <c r="L41" s="75">
        <v>172882</v>
      </c>
      <c r="M41" s="13">
        <f t="shared" si="4"/>
        <v>0</v>
      </c>
      <c r="N41" s="13">
        <f>N40+M41</f>
        <v>0</v>
      </c>
    </row>
    <row r="42" spans="2:14" ht="15" x14ac:dyDescent="0.2">
      <c r="B42" s="28">
        <v>10</v>
      </c>
      <c r="C42" s="62" t="s">
        <v>59</v>
      </c>
      <c r="D42" s="30"/>
      <c r="E42" s="30"/>
      <c r="F42" s="31"/>
      <c r="G42" s="63">
        <f>G40/6</f>
        <v>-18752.054999999953</v>
      </c>
      <c r="J42" s="14">
        <v>43497</v>
      </c>
      <c r="K42" s="77">
        <f>138081+(663+18)</f>
        <v>138762</v>
      </c>
      <c r="L42" s="77">
        <v>138762</v>
      </c>
      <c r="M42" s="15">
        <f t="shared" si="4"/>
        <v>0</v>
      </c>
      <c r="N42" s="15">
        <f>N41+M42</f>
        <v>0</v>
      </c>
    </row>
    <row r="43" spans="2:14" ht="15" x14ac:dyDescent="0.2">
      <c r="J43" s="1"/>
      <c r="K43" s="1"/>
      <c r="L43" s="1"/>
      <c r="M43" s="1"/>
      <c r="N43" s="1"/>
    </row>
    <row r="44" spans="2:14" ht="15" x14ac:dyDescent="0.2">
      <c r="B44" s="23"/>
      <c r="C44" s="64" t="s">
        <v>60</v>
      </c>
      <c r="D44" s="65"/>
      <c r="E44" s="65"/>
      <c r="F44" s="65"/>
      <c r="G44" s="66"/>
      <c r="J44" s="16" t="s">
        <v>18</v>
      </c>
      <c r="K44" s="17"/>
      <c r="L44" s="17"/>
      <c r="M44" s="18"/>
      <c r="N44" s="19">
        <f>N40</f>
        <v>0</v>
      </c>
    </row>
    <row r="45" spans="2:14" ht="15" x14ac:dyDescent="0.2">
      <c r="B45" s="23"/>
      <c r="C45" s="67"/>
      <c r="D45" s="67"/>
      <c r="E45" s="67"/>
      <c r="F45" s="67"/>
      <c r="G45" s="33"/>
      <c r="J45" s="1"/>
      <c r="K45" s="1"/>
      <c r="L45" s="1"/>
      <c r="M45" s="1"/>
      <c r="N45" s="20"/>
    </row>
    <row r="46" spans="2:14" ht="15" x14ac:dyDescent="0.2">
      <c r="B46" s="26">
        <v>11</v>
      </c>
      <c r="C46" s="68" t="s">
        <v>61</v>
      </c>
      <c r="D46" s="68"/>
      <c r="E46" s="68"/>
      <c r="F46" s="68"/>
      <c r="G46" s="69">
        <f>G19</f>
        <v>364106</v>
      </c>
      <c r="J46" s="16" t="s">
        <v>19</v>
      </c>
      <c r="K46" s="17"/>
      <c r="L46" s="17"/>
      <c r="M46" s="18"/>
      <c r="N46" s="19">
        <f>N44/6</f>
        <v>0</v>
      </c>
    </row>
    <row r="47" spans="2:14" ht="15" x14ac:dyDescent="0.2">
      <c r="B47" s="26">
        <v>12</v>
      </c>
      <c r="C47" s="68" t="s">
        <v>62</v>
      </c>
      <c r="D47" s="68"/>
      <c r="E47" s="68"/>
      <c r="F47" s="68"/>
      <c r="G47" s="70">
        <f>G38</f>
        <v>-311879</v>
      </c>
      <c r="J47" s="1"/>
      <c r="K47" s="1"/>
      <c r="L47" s="1"/>
      <c r="M47" s="1"/>
      <c r="N47" s="1"/>
    </row>
    <row r="48" spans="2:14" x14ac:dyDescent="0.2">
      <c r="B48" s="26"/>
      <c r="C48" s="68"/>
      <c r="D48" s="68"/>
      <c r="E48" s="68"/>
      <c r="F48" s="68"/>
      <c r="G48" s="69"/>
    </row>
    <row r="49" spans="2:7" ht="15" thickBot="1" x14ac:dyDescent="0.25">
      <c r="B49" s="26">
        <v>13</v>
      </c>
      <c r="C49" s="68" t="s">
        <v>63</v>
      </c>
      <c r="D49" s="68"/>
      <c r="E49" s="68"/>
      <c r="F49" s="68"/>
      <c r="G49" s="71">
        <f>G46+G47</f>
        <v>52227</v>
      </c>
    </row>
    <row r="50" spans="2:7" ht="15" thickTop="1" x14ac:dyDescent="0.2">
      <c r="B50" s="26"/>
      <c r="C50" s="68"/>
      <c r="D50" s="68"/>
      <c r="E50" s="68"/>
      <c r="F50" s="68"/>
      <c r="G50" s="69"/>
    </row>
    <row r="51" spans="2:7" x14ac:dyDescent="0.2">
      <c r="B51" s="26">
        <v>14</v>
      </c>
      <c r="C51" s="68" t="s">
        <v>64</v>
      </c>
      <c r="D51" s="68"/>
      <c r="E51" s="68"/>
      <c r="F51" s="68"/>
      <c r="G51" s="69">
        <f>G40</f>
        <v>-112512.32999999973</v>
      </c>
    </row>
    <row r="52" spans="2:7" x14ac:dyDescent="0.2">
      <c r="B52" s="26"/>
      <c r="C52" s="68"/>
      <c r="D52" s="68"/>
      <c r="E52" s="68"/>
      <c r="F52" s="68"/>
      <c r="G52" s="69"/>
    </row>
    <row r="53" spans="2:7" x14ac:dyDescent="0.2">
      <c r="B53" s="26">
        <v>15</v>
      </c>
      <c r="C53" s="68" t="s">
        <v>65</v>
      </c>
      <c r="D53" s="68"/>
      <c r="E53" s="68"/>
      <c r="F53" s="68"/>
      <c r="G53" s="70">
        <f>SUM(F20:F25)</f>
        <v>-164739.32999999973</v>
      </c>
    </row>
    <row r="54" spans="2:7" x14ac:dyDescent="0.2">
      <c r="B54" s="26"/>
      <c r="C54" s="68"/>
      <c r="D54" s="68"/>
      <c r="E54" s="68"/>
      <c r="F54" s="68"/>
      <c r="G54" s="69"/>
    </row>
    <row r="55" spans="2:7" ht="15" thickBot="1" x14ac:dyDescent="0.25">
      <c r="B55" s="26">
        <v>16</v>
      </c>
      <c r="C55" s="68" t="s">
        <v>66</v>
      </c>
      <c r="D55" s="68"/>
      <c r="E55" s="68"/>
      <c r="F55" s="68"/>
      <c r="G55" s="71">
        <f>G51-G53</f>
        <v>52227</v>
      </c>
    </row>
    <row r="56" spans="2:7" ht="15" thickTop="1" x14ac:dyDescent="0.2">
      <c r="B56" s="56"/>
      <c r="C56" s="72"/>
      <c r="D56" s="72"/>
      <c r="E56" s="72"/>
      <c r="F56" s="72"/>
      <c r="G56" s="73"/>
    </row>
    <row r="58" spans="2:7" x14ac:dyDescent="0.2">
      <c r="B58" t="s">
        <v>67</v>
      </c>
    </row>
    <row r="59" spans="2:7" x14ac:dyDescent="0.2">
      <c r="B59" s="60"/>
      <c r="C59" s="23"/>
      <c r="D59" s="24" t="s">
        <v>68</v>
      </c>
      <c r="E59" s="24" t="s">
        <v>68</v>
      </c>
      <c r="F59" s="24" t="s">
        <v>68</v>
      </c>
      <c r="G59" s="55"/>
    </row>
    <row r="60" spans="2:7" x14ac:dyDescent="0.2">
      <c r="B60" s="60"/>
      <c r="C60" s="27" t="s">
        <v>13</v>
      </c>
      <c r="D60" s="27" t="s">
        <v>71</v>
      </c>
      <c r="E60" s="27" t="s">
        <v>76</v>
      </c>
      <c r="F60" s="27" t="s">
        <v>80</v>
      </c>
      <c r="G60" s="55"/>
    </row>
    <row r="61" spans="2:7" x14ac:dyDescent="0.2">
      <c r="C61" s="36">
        <v>43282</v>
      </c>
      <c r="D61" s="34">
        <v>17455</v>
      </c>
      <c r="E61" s="34">
        <v>0</v>
      </c>
      <c r="F61" s="35">
        <v>0</v>
      </c>
      <c r="G61" s="42"/>
    </row>
    <row r="62" spans="2:7" x14ac:dyDescent="0.2">
      <c r="C62" s="39">
        <v>43313</v>
      </c>
      <c r="D62" s="40">
        <v>0</v>
      </c>
      <c r="E62" s="40">
        <v>0</v>
      </c>
      <c r="F62" s="43">
        <v>0</v>
      </c>
      <c r="G62" s="42"/>
    </row>
    <row r="63" spans="2:7" x14ac:dyDescent="0.2">
      <c r="C63" s="39">
        <v>43344</v>
      </c>
      <c r="D63" s="40">
        <v>0</v>
      </c>
      <c r="E63" s="40">
        <v>8693</v>
      </c>
      <c r="F63" s="43">
        <v>0</v>
      </c>
      <c r="G63" s="42"/>
    </row>
    <row r="64" spans="2:7" x14ac:dyDescent="0.2">
      <c r="C64" s="39">
        <v>43374</v>
      </c>
      <c r="D64" s="40">
        <v>0</v>
      </c>
      <c r="E64" s="40">
        <v>8693</v>
      </c>
      <c r="F64" s="43">
        <v>0</v>
      </c>
      <c r="G64" s="42"/>
    </row>
    <row r="65" spans="3:7" x14ac:dyDescent="0.2">
      <c r="C65" s="39">
        <v>43405</v>
      </c>
      <c r="D65" s="40">
        <v>0</v>
      </c>
      <c r="E65" s="40">
        <v>8693</v>
      </c>
      <c r="F65" s="43">
        <v>0</v>
      </c>
      <c r="G65" s="42"/>
    </row>
    <row r="66" spans="3:7" x14ac:dyDescent="0.2">
      <c r="C66" s="48">
        <v>43435</v>
      </c>
      <c r="D66" s="40">
        <v>0</v>
      </c>
      <c r="E66" s="49">
        <v>8693</v>
      </c>
      <c r="F66" s="45">
        <v>0</v>
      </c>
      <c r="G66" s="42"/>
    </row>
    <row r="67" spans="3:7" x14ac:dyDescent="0.2">
      <c r="C67" s="74" t="s">
        <v>72</v>
      </c>
      <c r="D67" s="63">
        <f>SUM(D61:D66)</f>
        <v>17455</v>
      </c>
      <c r="E67" s="63">
        <f>SUM(E61:E66)</f>
        <v>34772</v>
      </c>
      <c r="F67" s="63">
        <f>SUM(F61:F66)</f>
        <v>0</v>
      </c>
      <c r="G67" s="42"/>
    </row>
  </sheetData>
  <mergeCells count="3">
    <mergeCell ref="B5:G6"/>
    <mergeCell ref="C15:G15"/>
    <mergeCell ref="J5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A3" sqref="A3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10" max="14" width="15.625" customWidth="1"/>
  </cols>
  <sheetData>
    <row r="1" spans="1:15" x14ac:dyDescent="0.2">
      <c r="A1" t="s">
        <v>0</v>
      </c>
    </row>
    <row r="2" spans="1:15" x14ac:dyDescent="0.2">
      <c r="A2" t="s">
        <v>1</v>
      </c>
    </row>
    <row r="5" spans="1:15" x14ac:dyDescent="0.2">
      <c r="B5" s="87" t="s">
        <v>21</v>
      </c>
      <c r="C5" s="88"/>
      <c r="D5" s="88"/>
      <c r="E5" s="88"/>
      <c r="F5" s="88"/>
      <c r="G5" s="89"/>
      <c r="J5" s="81" t="s">
        <v>2</v>
      </c>
      <c r="K5" s="82"/>
      <c r="L5" s="82"/>
      <c r="M5" s="82"/>
      <c r="N5" s="83"/>
    </row>
    <row r="6" spans="1:15" x14ac:dyDescent="0.2">
      <c r="B6" s="90"/>
      <c r="C6" s="91"/>
      <c r="D6" s="91"/>
      <c r="E6" s="91"/>
      <c r="F6" s="91"/>
      <c r="G6" s="92"/>
      <c r="J6" s="84"/>
      <c r="K6" s="85"/>
      <c r="L6" s="85"/>
      <c r="M6" s="85"/>
      <c r="N6" s="86"/>
    </row>
    <row r="7" spans="1:15" ht="15" x14ac:dyDescent="0.2">
      <c r="J7" s="1"/>
      <c r="K7" s="1"/>
      <c r="L7" s="1"/>
      <c r="M7" s="1"/>
      <c r="N7" s="1"/>
    </row>
    <row r="8" spans="1:15" ht="15.75" x14ac:dyDescent="0.25">
      <c r="B8" s="22" t="s">
        <v>22</v>
      </c>
      <c r="J8" s="2" t="s">
        <v>3</v>
      </c>
      <c r="K8" s="1"/>
      <c r="L8" s="1"/>
      <c r="M8" s="1"/>
      <c r="N8" s="1"/>
    </row>
    <row r="9" spans="1:15" ht="15" x14ac:dyDescent="0.2">
      <c r="I9" s="1"/>
      <c r="J9" s="1"/>
      <c r="K9" s="1"/>
      <c r="L9" s="1"/>
      <c r="M9" s="1"/>
      <c r="N9" s="1"/>
      <c r="O9" s="1"/>
    </row>
    <row r="10" spans="1:15" ht="15" customHeight="1" x14ac:dyDescent="0.2">
      <c r="B10" s="23"/>
      <c r="C10" s="23"/>
      <c r="D10" s="23"/>
      <c r="E10" s="24" t="s">
        <v>4</v>
      </c>
      <c r="F10" s="23"/>
      <c r="G10" s="23"/>
      <c r="I10" s="1"/>
      <c r="J10" s="3"/>
      <c r="K10" s="3"/>
      <c r="L10" s="4" t="s">
        <v>4</v>
      </c>
      <c r="M10" s="3"/>
      <c r="N10" s="3"/>
      <c r="O10" s="1"/>
    </row>
    <row r="11" spans="1:15" ht="15" x14ac:dyDescent="0.2">
      <c r="B11" s="25"/>
      <c r="C11" s="25"/>
      <c r="D11" s="26" t="s">
        <v>5</v>
      </c>
      <c r="E11" s="26" t="s">
        <v>6</v>
      </c>
      <c r="F11" s="25"/>
      <c r="G11" s="25"/>
      <c r="I11" s="1"/>
      <c r="J11" s="5"/>
      <c r="K11" s="6" t="s">
        <v>5</v>
      </c>
      <c r="L11" s="6" t="s">
        <v>6</v>
      </c>
      <c r="M11" s="5"/>
      <c r="N11" s="5"/>
      <c r="O11" s="1"/>
    </row>
    <row r="12" spans="1:15" ht="15" x14ac:dyDescent="0.2">
      <c r="B12" s="25"/>
      <c r="C12" s="25"/>
      <c r="D12" s="26" t="s">
        <v>7</v>
      </c>
      <c r="E12" s="26" t="s">
        <v>8</v>
      </c>
      <c r="F12" s="26" t="s">
        <v>9</v>
      </c>
      <c r="G12" s="26" t="s">
        <v>10</v>
      </c>
      <c r="I12" s="1"/>
      <c r="J12" s="5"/>
      <c r="K12" s="6" t="s">
        <v>7</v>
      </c>
      <c r="L12" s="6" t="s">
        <v>8</v>
      </c>
      <c r="M12" s="6" t="s">
        <v>9</v>
      </c>
      <c r="N12" s="6" t="s">
        <v>10</v>
      </c>
      <c r="O12" s="1"/>
    </row>
    <row r="13" spans="1:15" ht="15" x14ac:dyDescent="0.2">
      <c r="B13" s="27"/>
      <c r="C13" s="27"/>
      <c r="D13" s="27" t="s">
        <v>11</v>
      </c>
      <c r="E13" s="27" t="s">
        <v>11</v>
      </c>
      <c r="F13" s="27" t="s">
        <v>12</v>
      </c>
      <c r="G13" s="27" t="s">
        <v>12</v>
      </c>
      <c r="I13" s="1"/>
      <c r="J13" s="7"/>
      <c r="K13" s="7" t="s">
        <v>11</v>
      </c>
      <c r="L13" s="7" t="s">
        <v>11</v>
      </c>
      <c r="M13" s="7" t="s">
        <v>12</v>
      </c>
      <c r="N13" s="7" t="s">
        <v>12</v>
      </c>
      <c r="O13" s="1"/>
    </row>
    <row r="14" spans="1:15" ht="15" x14ac:dyDescent="0.2">
      <c r="B14" s="28" t="s">
        <v>23</v>
      </c>
      <c r="C14" s="28" t="s">
        <v>13</v>
      </c>
      <c r="D14" s="29" t="s">
        <v>15</v>
      </c>
      <c r="E14" s="29" t="s">
        <v>16</v>
      </c>
      <c r="F14" s="29" t="s">
        <v>17</v>
      </c>
      <c r="G14" s="29" t="s">
        <v>24</v>
      </c>
      <c r="I14" s="1"/>
      <c r="J14" s="8" t="s">
        <v>13</v>
      </c>
      <c r="K14" s="9" t="s">
        <v>14</v>
      </c>
      <c r="L14" s="9" t="s">
        <v>15</v>
      </c>
      <c r="M14" s="9" t="s">
        <v>16</v>
      </c>
      <c r="N14" s="9" t="s">
        <v>17</v>
      </c>
      <c r="O14" s="1"/>
    </row>
    <row r="15" spans="1:15" ht="15" x14ac:dyDescent="0.2">
      <c r="B15" s="24">
        <v>1</v>
      </c>
      <c r="C15" s="78" t="s">
        <v>25</v>
      </c>
      <c r="D15" s="79"/>
      <c r="E15" s="79"/>
      <c r="F15" s="79"/>
      <c r="G15" s="80"/>
      <c r="I15" s="1"/>
      <c r="J15" s="10">
        <v>43466</v>
      </c>
      <c r="K15" s="75">
        <v>434024</v>
      </c>
      <c r="L15" s="75">
        <v>434024</v>
      </c>
      <c r="M15" s="11">
        <f t="shared" ref="M15:M22" si="0">K15-L15</f>
        <v>0</v>
      </c>
      <c r="N15" s="11">
        <f>M15</f>
        <v>0</v>
      </c>
      <c r="O15" s="1"/>
    </row>
    <row r="16" spans="1:15" ht="15" x14ac:dyDescent="0.2">
      <c r="B16" s="24" t="s">
        <v>26</v>
      </c>
      <c r="C16" s="30" t="s">
        <v>73</v>
      </c>
      <c r="D16" s="30"/>
      <c r="E16" s="30"/>
      <c r="F16" s="31"/>
      <c r="G16" s="32">
        <v>17386</v>
      </c>
      <c r="I16" s="1"/>
      <c r="J16" s="12">
        <v>43497</v>
      </c>
      <c r="K16" s="76">
        <v>368974</v>
      </c>
      <c r="L16" s="76">
        <v>368974</v>
      </c>
      <c r="M16" s="13">
        <f t="shared" si="0"/>
        <v>0</v>
      </c>
      <c r="N16" s="13">
        <f>N15+M16</f>
        <v>0</v>
      </c>
      <c r="O16" s="1"/>
    </row>
    <row r="17" spans="2:15" ht="15" x14ac:dyDescent="0.2">
      <c r="B17" s="26" t="s">
        <v>28</v>
      </c>
      <c r="C17" s="30" t="s">
        <v>77</v>
      </c>
      <c r="D17" s="30"/>
      <c r="E17" s="30"/>
      <c r="F17" s="31"/>
      <c r="G17" s="32">
        <v>294493</v>
      </c>
      <c r="I17" s="1"/>
      <c r="J17" s="12">
        <v>43525</v>
      </c>
      <c r="K17" s="76">
        <v>360374</v>
      </c>
      <c r="L17" s="76">
        <v>360374</v>
      </c>
      <c r="M17" s="13">
        <f t="shared" si="0"/>
        <v>0</v>
      </c>
      <c r="N17" s="13">
        <f t="shared" ref="N17:N20" si="1">N16+M17</f>
        <v>0</v>
      </c>
      <c r="O17" s="1"/>
    </row>
    <row r="18" spans="2:15" ht="15" x14ac:dyDescent="0.2">
      <c r="B18" s="26" t="s">
        <v>30</v>
      </c>
      <c r="C18" s="30" t="s">
        <v>81</v>
      </c>
      <c r="D18" s="30"/>
      <c r="E18" s="30"/>
      <c r="F18" s="33"/>
      <c r="G18" s="34">
        <v>-112512</v>
      </c>
      <c r="I18" s="1"/>
      <c r="J18" s="12">
        <v>43556</v>
      </c>
      <c r="K18" s="76">
        <v>511428</v>
      </c>
      <c r="L18" s="76">
        <v>511428</v>
      </c>
      <c r="M18" s="13">
        <f t="shared" si="0"/>
        <v>0</v>
      </c>
      <c r="N18" s="13">
        <f t="shared" si="1"/>
        <v>0</v>
      </c>
      <c r="O18" s="1"/>
    </row>
    <row r="19" spans="2:15" ht="15" x14ac:dyDescent="0.2">
      <c r="B19" s="27" t="s">
        <v>32</v>
      </c>
      <c r="C19" s="30" t="s">
        <v>33</v>
      </c>
      <c r="D19" s="30"/>
      <c r="E19" s="30"/>
      <c r="F19" s="33"/>
      <c r="G19" s="35">
        <f>G16+G17+G18</f>
        <v>199367</v>
      </c>
      <c r="I19" s="1"/>
      <c r="J19" s="12">
        <v>43586</v>
      </c>
      <c r="K19" s="76">
        <v>486585</v>
      </c>
      <c r="L19" s="76">
        <v>486585</v>
      </c>
      <c r="M19" s="13">
        <f t="shared" si="0"/>
        <v>0</v>
      </c>
      <c r="N19" s="13">
        <f t="shared" si="1"/>
        <v>0</v>
      </c>
      <c r="O19" s="1"/>
    </row>
    <row r="20" spans="2:15" ht="15" x14ac:dyDescent="0.2">
      <c r="B20" s="26">
        <v>2</v>
      </c>
      <c r="C20" s="36">
        <v>43466</v>
      </c>
      <c r="D20" s="34">
        <f>976221-1634-(801+21)</f>
        <v>973765</v>
      </c>
      <c r="E20" s="37">
        <f>863877.22+5689.38+182257.11+45980.72+942.43+22868.48</f>
        <v>1121615.3399999999</v>
      </c>
      <c r="F20" s="38">
        <f t="shared" ref="F20:F27" si="2">D20-E20</f>
        <v>-147850.33999999985</v>
      </c>
      <c r="G20" s="35">
        <f t="shared" ref="G20:G27" si="3">G19+F20</f>
        <v>51516.660000000149</v>
      </c>
      <c r="I20" s="1"/>
      <c r="J20" s="14">
        <v>43617</v>
      </c>
      <c r="K20" s="77">
        <f>566258</f>
        <v>566258</v>
      </c>
      <c r="L20" s="77">
        <v>566258</v>
      </c>
      <c r="M20" s="15">
        <f t="shared" si="0"/>
        <v>0</v>
      </c>
      <c r="N20" s="15">
        <f t="shared" si="1"/>
        <v>0</v>
      </c>
      <c r="O20" s="1"/>
    </row>
    <row r="21" spans="2:15" ht="15" x14ac:dyDescent="0.2">
      <c r="B21" s="26">
        <v>3</v>
      </c>
      <c r="C21" s="39">
        <v>43497</v>
      </c>
      <c r="D21" s="40">
        <f>650526-1353-(663+18)</f>
        <v>648492</v>
      </c>
      <c r="E21" s="41">
        <f>646842.65+3669.2+131285.42+41161.98+553.07+18114.72</f>
        <v>841627.03999999992</v>
      </c>
      <c r="F21" s="42">
        <f t="shared" si="2"/>
        <v>-193135.03999999992</v>
      </c>
      <c r="G21" s="43">
        <f t="shared" si="3"/>
        <v>-141618.37999999977</v>
      </c>
      <c r="I21" s="1"/>
      <c r="J21" s="12">
        <v>43647</v>
      </c>
      <c r="K21" s="75">
        <v>592872</v>
      </c>
      <c r="L21" s="75">
        <v>592872</v>
      </c>
      <c r="M21" s="13">
        <f t="shared" si="0"/>
        <v>0</v>
      </c>
      <c r="N21" s="13">
        <f>N20+M21</f>
        <v>0</v>
      </c>
      <c r="O21" s="1"/>
    </row>
    <row r="22" spans="2:15" ht="15" x14ac:dyDescent="0.2">
      <c r="B22" s="26">
        <v>4</v>
      </c>
      <c r="C22" s="39">
        <v>43525</v>
      </c>
      <c r="D22" s="40">
        <f>666098-1345-(660+17)</f>
        <v>664076</v>
      </c>
      <c r="E22" s="41">
        <f>492051.42+3491.36+103184.79+7055.09+443.85+14383.77</f>
        <v>620610.27999999991</v>
      </c>
      <c r="F22" s="42">
        <f t="shared" si="2"/>
        <v>43465.720000000088</v>
      </c>
      <c r="G22" s="43">
        <f t="shared" si="3"/>
        <v>-98152.659999999683</v>
      </c>
      <c r="I22" s="1"/>
      <c r="J22" s="14">
        <v>43678</v>
      </c>
      <c r="K22" s="77">
        <v>558363</v>
      </c>
      <c r="L22" s="77">
        <v>558363</v>
      </c>
      <c r="M22" s="15">
        <f t="shared" si="0"/>
        <v>0</v>
      </c>
      <c r="N22" s="15">
        <f>N21+M22</f>
        <v>0</v>
      </c>
      <c r="O22" s="1"/>
    </row>
    <row r="23" spans="2:15" ht="15" x14ac:dyDescent="0.2">
      <c r="B23" s="26">
        <v>5</v>
      </c>
      <c r="C23" s="39">
        <v>43556</v>
      </c>
      <c r="D23" s="40">
        <f>646688-1694-(831+22)</f>
        <v>644141</v>
      </c>
      <c r="E23" s="41">
        <f>468107.07+3980.6+126456.06-27667.06+483.33+16530.06</f>
        <v>587890.05999999994</v>
      </c>
      <c r="F23" s="42">
        <f t="shared" si="2"/>
        <v>56250.940000000061</v>
      </c>
      <c r="G23" s="43">
        <f t="shared" si="3"/>
        <v>-41901.719999999623</v>
      </c>
      <c r="I23" s="1"/>
      <c r="J23" s="1"/>
      <c r="K23" s="1"/>
      <c r="L23" s="1"/>
      <c r="M23" s="1"/>
      <c r="N23" s="1"/>
      <c r="O23" s="1"/>
    </row>
    <row r="24" spans="2:15" ht="15" x14ac:dyDescent="0.2">
      <c r="B24" s="26">
        <v>6</v>
      </c>
      <c r="C24" s="39">
        <v>43586</v>
      </c>
      <c r="D24" s="40">
        <f>744050-1755-(860+23)</f>
        <v>741412</v>
      </c>
      <c r="E24" s="41">
        <f>579205.73+5582.89+166501.39+4068.96+649.94+19387.71</f>
        <v>775396.61999999988</v>
      </c>
      <c r="F24" s="42">
        <f t="shared" si="2"/>
        <v>-33984.619999999879</v>
      </c>
      <c r="G24" s="43">
        <f t="shared" si="3"/>
        <v>-75886.339999999502</v>
      </c>
      <c r="I24" s="1"/>
      <c r="J24" s="16" t="s">
        <v>18</v>
      </c>
      <c r="K24" s="17"/>
      <c r="L24" s="17"/>
      <c r="M24" s="18"/>
      <c r="N24" s="19">
        <f>N20</f>
        <v>0</v>
      </c>
      <c r="O24" s="1"/>
    </row>
    <row r="25" spans="2:15" ht="15" x14ac:dyDescent="0.2">
      <c r="B25" s="26">
        <v>7</v>
      </c>
      <c r="C25" s="39">
        <v>43617</v>
      </c>
      <c r="D25" s="40">
        <f>978475-2107-(1033+27)</f>
        <v>975308</v>
      </c>
      <c r="E25" s="41">
        <f>598785.44+4698.43+161967.46-23540.56+515.85+19030.56</f>
        <v>761457.17999999993</v>
      </c>
      <c r="F25" s="44">
        <f t="shared" si="2"/>
        <v>213850.82000000007</v>
      </c>
      <c r="G25" s="45">
        <f t="shared" si="3"/>
        <v>137964.48000000056</v>
      </c>
      <c r="I25" s="1"/>
      <c r="J25" s="1"/>
      <c r="K25" s="1"/>
      <c r="L25" s="1"/>
      <c r="M25" s="1"/>
      <c r="N25" s="20"/>
      <c r="O25" s="1"/>
    </row>
    <row r="26" spans="2:15" ht="15" x14ac:dyDescent="0.2">
      <c r="B26" s="46" t="s">
        <v>34</v>
      </c>
      <c r="C26" s="36">
        <v>43647</v>
      </c>
      <c r="D26" s="34">
        <f>1153859-2064-(1016+27)</f>
        <v>1150752</v>
      </c>
      <c r="E26" s="37">
        <f>955740.26+6587.38+221282.84+24712.75+675.3+20934.14</f>
        <v>1229932.67</v>
      </c>
      <c r="F26" s="38">
        <f t="shared" si="2"/>
        <v>-79180.669999999925</v>
      </c>
      <c r="G26" s="35">
        <f t="shared" si="3"/>
        <v>58783.810000000638</v>
      </c>
      <c r="I26" s="1"/>
      <c r="J26" s="16" t="s">
        <v>19</v>
      </c>
      <c r="K26" s="17"/>
      <c r="L26" s="17"/>
      <c r="M26" s="18"/>
      <c r="N26" s="19">
        <f>N24/6</f>
        <v>0</v>
      </c>
      <c r="O26" s="1"/>
    </row>
    <row r="27" spans="2:15" ht="15" x14ac:dyDescent="0.2">
      <c r="B27" s="47" t="s">
        <v>35</v>
      </c>
      <c r="C27" s="48">
        <v>43678</v>
      </c>
      <c r="D27" s="49">
        <f>1056577-2004-(990+26)</f>
        <v>1053557</v>
      </c>
      <c r="E27" s="50">
        <f>890415.04+5827.31+223005.91+19994.77+675.23+22286.41</f>
        <v>1162204.67</v>
      </c>
      <c r="F27" s="44">
        <f t="shared" si="2"/>
        <v>-108647.66999999993</v>
      </c>
      <c r="G27" s="45">
        <f t="shared" si="3"/>
        <v>-49863.859999999288</v>
      </c>
      <c r="I27" s="1"/>
      <c r="J27" s="1"/>
      <c r="K27" s="1"/>
      <c r="L27" s="1"/>
      <c r="M27" s="1"/>
      <c r="N27" s="1"/>
      <c r="O27" s="1"/>
    </row>
    <row r="28" spans="2:15" ht="15.75" x14ac:dyDescent="0.25">
      <c r="B28" s="27"/>
      <c r="C28" s="51" t="s">
        <v>82</v>
      </c>
      <c r="D28" s="52"/>
      <c r="E28" s="52"/>
      <c r="F28" s="52"/>
      <c r="G28" s="53"/>
      <c r="I28" s="1"/>
      <c r="J28" s="2" t="s">
        <v>20</v>
      </c>
      <c r="K28" s="1"/>
      <c r="L28" s="1"/>
      <c r="M28" s="1"/>
      <c r="N28" s="1"/>
      <c r="O28" s="1"/>
    </row>
    <row r="29" spans="2:15" ht="15" x14ac:dyDescent="0.2">
      <c r="B29" s="24"/>
      <c r="C29" s="23"/>
      <c r="D29" s="23"/>
      <c r="E29" s="23"/>
      <c r="F29" s="23"/>
      <c r="G29" s="35"/>
      <c r="I29" s="1"/>
      <c r="J29" s="1"/>
      <c r="K29" s="1"/>
      <c r="L29" s="1"/>
      <c r="M29" s="1"/>
      <c r="N29" s="1"/>
      <c r="O29" s="1"/>
    </row>
    <row r="30" spans="2:15" ht="15" x14ac:dyDescent="0.2">
      <c r="B30" s="26"/>
      <c r="C30" s="25"/>
      <c r="D30" s="26" t="s">
        <v>37</v>
      </c>
      <c r="E30" s="26" t="s">
        <v>38</v>
      </c>
      <c r="F30" s="25"/>
      <c r="G30" s="43"/>
      <c r="I30" s="1"/>
      <c r="J30" s="3"/>
      <c r="K30" s="3"/>
      <c r="L30" s="4" t="s">
        <v>4</v>
      </c>
      <c r="M30" s="3"/>
      <c r="N30" s="3"/>
      <c r="O30" s="1"/>
    </row>
    <row r="31" spans="2:15" ht="15" x14ac:dyDescent="0.2">
      <c r="B31" s="26">
        <v>8</v>
      </c>
      <c r="C31" s="25"/>
      <c r="D31" s="26" t="s">
        <v>39</v>
      </c>
      <c r="E31" s="26" t="s">
        <v>40</v>
      </c>
      <c r="F31" s="25"/>
      <c r="G31" s="54" t="s">
        <v>37</v>
      </c>
      <c r="I31" s="1"/>
      <c r="J31" s="5"/>
      <c r="K31" s="6" t="s">
        <v>5</v>
      </c>
      <c r="L31" s="6" t="s">
        <v>6</v>
      </c>
      <c r="M31" s="5"/>
      <c r="N31" s="5"/>
      <c r="O31" s="1"/>
    </row>
    <row r="32" spans="2:15" ht="15" x14ac:dyDescent="0.2">
      <c r="B32" s="26"/>
      <c r="C32" s="25"/>
      <c r="D32" s="26" t="s">
        <v>41</v>
      </c>
      <c r="E32" s="26" t="s">
        <v>42</v>
      </c>
      <c r="F32" s="25"/>
      <c r="G32" s="54" t="s">
        <v>43</v>
      </c>
      <c r="I32" s="1"/>
      <c r="J32" s="5"/>
      <c r="K32" s="6" t="s">
        <v>7</v>
      </c>
      <c r="L32" s="6" t="s">
        <v>8</v>
      </c>
      <c r="M32" s="6" t="s">
        <v>9</v>
      </c>
      <c r="N32" s="6" t="s">
        <v>10</v>
      </c>
      <c r="O32" s="1"/>
    </row>
    <row r="33" spans="2:15" ht="15" x14ac:dyDescent="0.2">
      <c r="B33" s="26"/>
      <c r="C33" s="25"/>
      <c r="D33" s="26" t="s">
        <v>44</v>
      </c>
      <c r="E33" s="26" t="s">
        <v>45</v>
      </c>
      <c r="F33" s="25"/>
      <c r="G33" s="54" t="s">
        <v>46</v>
      </c>
      <c r="I33" s="1"/>
      <c r="J33" s="7"/>
      <c r="K33" s="7" t="s">
        <v>11</v>
      </c>
      <c r="L33" s="7" t="s">
        <v>11</v>
      </c>
      <c r="M33" s="7" t="s">
        <v>12</v>
      </c>
      <c r="N33" s="7" t="s">
        <v>12</v>
      </c>
      <c r="O33" s="1"/>
    </row>
    <row r="34" spans="2:15" ht="15" x14ac:dyDescent="0.2">
      <c r="B34" s="27"/>
      <c r="C34" s="25"/>
      <c r="D34" s="26" t="s">
        <v>47</v>
      </c>
      <c r="E34" s="26" t="s">
        <v>48</v>
      </c>
      <c r="F34" s="25"/>
      <c r="G34" s="54" t="s">
        <v>49</v>
      </c>
      <c r="I34" s="1"/>
      <c r="J34" s="8" t="s">
        <v>13</v>
      </c>
      <c r="K34" s="9" t="s">
        <v>14</v>
      </c>
      <c r="L34" s="9" t="s">
        <v>15</v>
      </c>
      <c r="M34" s="9" t="s">
        <v>16</v>
      </c>
      <c r="N34" s="9" t="s">
        <v>17</v>
      </c>
      <c r="O34" s="1"/>
    </row>
    <row r="35" spans="2:15" ht="15" x14ac:dyDescent="0.2">
      <c r="B35" s="46" t="s">
        <v>50</v>
      </c>
      <c r="C35" s="23" t="s">
        <v>75</v>
      </c>
      <c r="D35" s="35">
        <f>-G16</f>
        <v>-17386</v>
      </c>
      <c r="E35" s="35">
        <f>D67</f>
        <v>17386</v>
      </c>
      <c r="F35" s="23"/>
      <c r="G35" s="35">
        <f>D35+E35</f>
        <v>0</v>
      </c>
      <c r="I35" s="1"/>
      <c r="J35" s="10">
        <v>43466</v>
      </c>
      <c r="K35" s="21">
        <f>172060+(801+21)</f>
        <v>172882</v>
      </c>
      <c r="L35" s="75">
        <v>172882</v>
      </c>
      <c r="M35" s="11">
        <f t="shared" ref="M35:M42" si="4">K35-L35</f>
        <v>0</v>
      </c>
      <c r="N35" s="11">
        <f>+M35</f>
        <v>0</v>
      </c>
      <c r="O35" s="1"/>
    </row>
    <row r="36" spans="2:15" ht="15" x14ac:dyDescent="0.2">
      <c r="B36" s="55" t="s">
        <v>52</v>
      </c>
      <c r="C36" s="25" t="s">
        <v>79</v>
      </c>
      <c r="D36" s="43">
        <f>-G17</f>
        <v>-294493</v>
      </c>
      <c r="E36" s="43">
        <f>E67</f>
        <v>196328</v>
      </c>
      <c r="F36" s="25"/>
      <c r="G36" s="43">
        <f>D36+E36</f>
        <v>-98165</v>
      </c>
      <c r="I36" s="1"/>
      <c r="J36" s="12">
        <v>43497</v>
      </c>
      <c r="K36" s="21">
        <f>138081+(663+18)</f>
        <v>138762</v>
      </c>
      <c r="L36" s="76">
        <v>138762</v>
      </c>
      <c r="M36" s="13">
        <f t="shared" si="4"/>
        <v>0</v>
      </c>
      <c r="N36" s="13">
        <f>N35+M36</f>
        <v>0</v>
      </c>
      <c r="O36" s="1"/>
    </row>
    <row r="37" spans="2:15" ht="15" x14ac:dyDescent="0.2">
      <c r="B37" s="55" t="s">
        <v>54</v>
      </c>
      <c r="C37" s="56" t="s">
        <v>83</v>
      </c>
      <c r="D37" s="45">
        <f>-G18</f>
        <v>112512</v>
      </c>
      <c r="E37" s="45">
        <f>G67</f>
        <v>0</v>
      </c>
      <c r="F37" s="56"/>
      <c r="G37" s="45">
        <f>D37+E37</f>
        <v>112512</v>
      </c>
      <c r="I37" s="1"/>
      <c r="J37" s="12">
        <v>43525</v>
      </c>
      <c r="K37" s="21">
        <f>138561+(660+17)</f>
        <v>139238</v>
      </c>
      <c r="L37" s="76">
        <v>139238</v>
      </c>
      <c r="M37" s="13">
        <f t="shared" si="4"/>
        <v>0</v>
      </c>
      <c r="N37" s="13">
        <f t="shared" ref="N37:N40" si="5">N36+M37</f>
        <v>0</v>
      </c>
      <c r="O37" s="1"/>
    </row>
    <row r="38" spans="2:15" ht="15" x14ac:dyDescent="0.2">
      <c r="B38" s="27" t="s">
        <v>56</v>
      </c>
      <c r="C38" s="57"/>
      <c r="D38" s="58"/>
      <c r="E38" s="58"/>
      <c r="F38" s="59" t="s">
        <v>57</v>
      </c>
      <c r="G38" s="45">
        <f>G35+G36+G37</f>
        <v>14347</v>
      </c>
      <c r="I38" s="1"/>
      <c r="J38" s="12">
        <v>43556</v>
      </c>
      <c r="K38" s="21">
        <f>177203+(831+22)</f>
        <v>178056</v>
      </c>
      <c r="L38" s="76">
        <v>178056</v>
      </c>
      <c r="M38" s="13">
        <f t="shared" si="4"/>
        <v>0</v>
      </c>
      <c r="N38" s="13">
        <f t="shared" si="5"/>
        <v>0</v>
      </c>
      <c r="O38" s="1"/>
    </row>
    <row r="39" spans="2:15" ht="15" x14ac:dyDescent="0.2">
      <c r="B39" s="60"/>
      <c r="G39" s="61"/>
      <c r="I39" s="1"/>
      <c r="J39" s="12">
        <v>43586</v>
      </c>
      <c r="K39" s="21">
        <f>186406+(860+23)</f>
        <v>187289</v>
      </c>
      <c r="L39" s="76">
        <v>187289</v>
      </c>
      <c r="M39" s="13">
        <f t="shared" si="4"/>
        <v>0</v>
      </c>
      <c r="N39" s="13">
        <f t="shared" si="5"/>
        <v>0</v>
      </c>
      <c r="O39" s="1"/>
    </row>
    <row r="40" spans="2:15" ht="15" x14ac:dyDescent="0.2">
      <c r="B40" s="28">
        <v>9</v>
      </c>
      <c r="C40" s="62" t="s">
        <v>58</v>
      </c>
      <c r="D40" s="30"/>
      <c r="E40" s="30"/>
      <c r="F40" s="31"/>
      <c r="G40" s="63">
        <f>G25+G38</f>
        <v>152311.48000000056</v>
      </c>
      <c r="I40" s="1"/>
      <c r="J40" s="14">
        <v>43617</v>
      </c>
      <c r="K40" s="77">
        <f>220397+(1033+27)</f>
        <v>221457</v>
      </c>
      <c r="L40" s="77">
        <f>221457</f>
        <v>221457</v>
      </c>
      <c r="M40" s="15">
        <f t="shared" si="4"/>
        <v>0</v>
      </c>
      <c r="N40" s="15">
        <f t="shared" si="5"/>
        <v>0</v>
      </c>
      <c r="O40" s="1"/>
    </row>
    <row r="41" spans="2:15" ht="15" x14ac:dyDescent="0.2">
      <c r="B41" s="60"/>
      <c r="G41" s="61"/>
      <c r="I41" s="1"/>
      <c r="J41" s="12">
        <v>43647</v>
      </c>
      <c r="K41" s="75">
        <f>212808+(1016+27)</f>
        <v>213851</v>
      </c>
      <c r="L41" s="75">
        <v>213851</v>
      </c>
      <c r="M41" s="13">
        <f t="shared" si="4"/>
        <v>0</v>
      </c>
      <c r="N41" s="13">
        <f>N40+M41</f>
        <v>0</v>
      </c>
      <c r="O41" s="1"/>
    </row>
    <row r="42" spans="2:15" ht="15" x14ac:dyDescent="0.2">
      <c r="B42" s="28">
        <v>10</v>
      </c>
      <c r="C42" s="62" t="s">
        <v>85</v>
      </c>
      <c r="D42" s="30"/>
      <c r="E42" s="30"/>
      <c r="F42" s="31"/>
      <c r="G42" s="63">
        <f>G40/6</f>
        <v>25385.246666666761</v>
      </c>
      <c r="I42" s="1"/>
      <c r="J42" s="14">
        <v>43678</v>
      </c>
      <c r="K42" s="77">
        <f>210773+(990+26)</f>
        <v>211789</v>
      </c>
      <c r="L42" s="77">
        <v>211789</v>
      </c>
      <c r="M42" s="15">
        <f t="shared" si="4"/>
        <v>0</v>
      </c>
      <c r="N42" s="15">
        <f>N41+M42</f>
        <v>0</v>
      </c>
      <c r="O42" s="1"/>
    </row>
    <row r="43" spans="2:15" ht="15" x14ac:dyDescent="0.2">
      <c r="I43" s="1"/>
      <c r="J43" s="1"/>
      <c r="K43" s="1"/>
      <c r="L43" s="1"/>
      <c r="M43" s="1"/>
      <c r="N43" s="1"/>
      <c r="O43" s="1"/>
    </row>
    <row r="44" spans="2:15" ht="15" x14ac:dyDescent="0.2">
      <c r="B44" s="23"/>
      <c r="C44" s="64" t="s">
        <v>60</v>
      </c>
      <c r="D44" s="65"/>
      <c r="E44" s="65"/>
      <c r="F44" s="65"/>
      <c r="G44" s="66"/>
      <c r="I44" s="1"/>
      <c r="J44" s="16" t="s">
        <v>18</v>
      </c>
      <c r="K44" s="17"/>
      <c r="L44" s="17"/>
      <c r="M44" s="18"/>
      <c r="N44" s="19">
        <f>N40</f>
        <v>0</v>
      </c>
      <c r="O44" s="1"/>
    </row>
    <row r="45" spans="2:15" ht="15" x14ac:dyDescent="0.2">
      <c r="B45" s="23"/>
      <c r="C45" s="67"/>
      <c r="D45" s="67"/>
      <c r="E45" s="67"/>
      <c r="F45" s="67"/>
      <c r="G45" s="33"/>
      <c r="I45" s="1"/>
      <c r="J45" s="1"/>
      <c r="K45" s="1"/>
      <c r="L45" s="1"/>
      <c r="M45" s="1"/>
      <c r="N45" s="20"/>
      <c r="O45" s="1"/>
    </row>
    <row r="46" spans="2:15" ht="15" x14ac:dyDescent="0.2">
      <c r="B46" s="26">
        <v>11</v>
      </c>
      <c r="C46" s="68" t="s">
        <v>61</v>
      </c>
      <c r="D46" s="68"/>
      <c r="E46" s="68"/>
      <c r="F46" s="68"/>
      <c r="G46" s="69">
        <f>G19</f>
        <v>199367</v>
      </c>
      <c r="I46" s="1"/>
      <c r="J46" s="16" t="s">
        <v>19</v>
      </c>
      <c r="K46" s="17"/>
      <c r="L46" s="17"/>
      <c r="M46" s="18"/>
      <c r="N46" s="19">
        <f>N44/6</f>
        <v>0</v>
      </c>
      <c r="O46" s="1"/>
    </row>
    <row r="47" spans="2:15" ht="15" x14ac:dyDescent="0.2">
      <c r="B47" s="26">
        <v>12</v>
      </c>
      <c r="C47" s="68" t="s">
        <v>62</v>
      </c>
      <c r="D47" s="68"/>
      <c r="E47" s="68"/>
      <c r="F47" s="68"/>
      <c r="G47" s="70">
        <f>G38</f>
        <v>14347</v>
      </c>
      <c r="I47" s="1"/>
      <c r="J47" s="1"/>
      <c r="K47" s="1"/>
      <c r="L47" s="1"/>
      <c r="M47" s="1"/>
      <c r="N47" s="1"/>
      <c r="O47" s="1"/>
    </row>
    <row r="48" spans="2:15" x14ac:dyDescent="0.2">
      <c r="B48" s="26"/>
      <c r="C48" s="68"/>
      <c r="D48" s="68"/>
      <c r="E48" s="68"/>
      <c r="F48" s="68"/>
      <c r="G48" s="69"/>
    </row>
    <row r="49" spans="2:7" ht="15" thickBot="1" x14ac:dyDescent="0.25">
      <c r="B49" s="26">
        <v>13</v>
      </c>
      <c r="C49" s="68" t="s">
        <v>63</v>
      </c>
      <c r="D49" s="68"/>
      <c r="E49" s="68"/>
      <c r="F49" s="68"/>
      <c r="G49" s="71">
        <f>G46+G47</f>
        <v>213714</v>
      </c>
    </row>
    <row r="50" spans="2:7" ht="15" thickTop="1" x14ac:dyDescent="0.2">
      <c r="B50" s="26"/>
      <c r="C50" s="68"/>
      <c r="D50" s="68"/>
      <c r="E50" s="68"/>
      <c r="F50" s="68"/>
      <c r="G50" s="69"/>
    </row>
    <row r="51" spans="2:7" x14ac:dyDescent="0.2">
      <c r="B51" s="26">
        <v>14</v>
      </c>
      <c r="C51" s="68" t="s">
        <v>64</v>
      </c>
      <c r="D51" s="68"/>
      <c r="E51" s="68"/>
      <c r="F51" s="68"/>
      <c r="G51" s="69">
        <f>G40</f>
        <v>152311.48000000056</v>
      </c>
    </row>
    <row r="52" spans="2:7" x14ac:dyDescent="0.2">
      <c r="B52" s="26"/>
      <c r="C52" s="68"/>
      <c r="D52" s="68"/>
      <c r="E52" s="68"/>
      <c r="F52" s="68"/>
      <c r="G52" s="69"/>
    </row>
    <row r="53" spans="2:7" x14ac:dyDescent="0.2">
      <c r="B53" s="26">
        <v>15</v>
      </c>
      <c r="C53" s="68" t="s">
        <v>65</v>
      </c>
      <c r="D53" s="68"/>
      <c r="E53" s="68"/>
      <c r="F53" s="68"/>
      <c r="G53" s="70">
        <f>SUM(F20:F25)</f>
        <v>-61402.519999999437</v>
      </c>
    </row>
    <row r="54" spans="2:7" x14ac:dyDescent="0.2">
      <c r="B54" s="26"/>
      <c r="C54" s="68"/>
      <c r="D54" s="68"/>
      <c r="E54" s="68"/>
      <c r="F54" s="68"/>
      <c r="G54" s="69"/>
    </row>
    <row r="55" spans="2:7" ht="15" thickBot="1" x14ac:dyDescent="0.25">
      <c r="B55" s="26">
        <v>16</v>
      </c>
      <c r="C55" s="68" t="s">
        <v>66</v>
      </c>
      <c r="D55" s="68"/>
      <c r="E55" s="68"/>
      <c r="F55" s="68"/>
      <c r="G55" s="71">
        <f>G51-G53</f>
        <v>213714</v>
      </c>
    </row>
    <row r="56" spans="2:7" ht="15" thickTop="1" x14ac:dyDescent="0.2">
      <c r="B56" s="56"/>
      <c r="C56" s="72"/>
      <c r="D56" s="72"/>
      <c r="E56" s="72"/>
      <c r="F56" s="72"/>
      <c r="G56" s="73"/>
    </row>
    <row r="58" spans="2:7" x14ac:dyDescent="0.2">
      <c r="B58" t="s">
        <v>67</v>
      </c>
    </row>
    <row r="59" spans="2:7" x14ac:dyDescent="0.2">
      <c r="B59" s="60"/>
      <c r="C59" s="23"/>
      <c r="D59" s="24" t="s">
        <v>68</v>
      </c>
      <c r="E59" s="24" t="s">
        <v>68</v>
      </c>
      <c r="F59" s="24" t="s">
        <v>68</v>
      </c>
      <c r="G59" s="55"/>
    </row>
    <row r="60" spans="2:7" x14ac:dyDescent="0.2">
      <c r="B60" s="60"/>
      <c r="C60" s="27" t="s">
        <v>13</v>
      </c>
      <c r="D60" s="27" t="s">
        <v>76</v>
      </c>
      <c r="E60" s="27" t="s">
        <v>80</v>
      </c>
      <c r="F60" s="27" t="s">
        <v>84</v>
      </c>
      <c r="G60" s="55"/>
    </row>
    <row r="61" spans="2:7" x14ac:dyDescent="0.2">
      <c r="C61" s="36">
        <v>43466</v>
      </c>
      <c r="D61" s="34">
        <v>8693</v>
      </c>
      <c r="E61" s="34">
        <v>0</v>
      </c>
      <c r="F61" s="35">
        <v>0</v>
      </c>
      <c r="G61" s="42"/>
    </row>
    <row r="62" spans="2:7" x14ac:dyDescent="0.2">
      <c r="C62" s="39">
        <v>43497</v>
      </c>
      <c r="D62" s="40">
        <v>8693</v>
      </c>
      <c r="E62" s="40">
        <v>0</v>
      </c>
      <c r="F62" s="43">
        <v>0</v>
      </c>
      <c r="G62" s="42"/>
    </row>
    <row r="63" spans="2:7" x14ac:dyDescent="0.2">
      <c r="C63" s="39">
        <v>43525</v>
      </c>
      <c r="D63" s="40">
        <v>0</v>
      </c>
      <c r="E63" s="40">
        <v>49082</v>
      </c>
      <c r="F63" s="43">
        <v>0</v>
      </c>
      <c r="G63" s="42"/>
    </row>
    <row r="64" spans="2:7" x14ac:dyDescent="0.2">
      <c r="C64" s="39">
        <v>43556</v>
      </c>
      <c r="D64" s="40">
        <v>0</v>
      </c>
      <c r="E64" s="40">
        <v>49082</v>
      </c>
      <c r="F64" s="43">
        <v>0</v>
      </c>
      <c r="G64" s="42"/>
    </row>
    <row r="65" spans="3:7" x14ac:dyDescent="0.2">
      <c r="C65" s="39">
        <v>43586</v>
      </c>
      <c r="D65" s="40">
        <v>0</v>
      </c>
      <c r="E65" s="40">
        <v>49082</v>
      </c>
      <c r="F65" s="43">
        <v>0</v>
      </c>
      <c r="G65" s="42"/>
    </row>
    <row r="66" spans="3:7" x14ac:dyDescent="0.2">
      <c r="C66" s="48">
        <v>43617</v>
      </c>
      <c r="D66" s="40">
        <v>0</v>
      </c>
      <c r="E66" s="49">
        <v>49082</v>
      </c>
      <c r="F66" s="45">
        <v>0</v>
      </c>
      <c r="G66" s="42"/>
    </row>
    <row r="67" spans="3:7" x14ac:dyDescent="0.2">
      <c r="C67" s="74" t="s">
        <v>72</v>
      </c>
      <c r="D67" s="63">
        <f>SUM(D61:D66)</f>
        <v>17386</v>
      </c>
      <c r="E67" s="63">
        <f>SUM(E61:E66)</f>
        <v>196328</v>
      </c>
      <c r="F67" s="63">
        <f>SUM(F61:F66)</f>
        <v>0</v>
      </c>
      <c r="G67" s="42"/>
    </row>
  </sheetData>
  <mergeCells count="2">
    <mergeCell ref="B5:G6"/>
    <mergeCell ref="J5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Previous 2018-00075</vt:lpstr>
      <vt:lpstr>Previous 2018-00306</vt:lpstr>
      <vt:lpstr>Previous 2019-00171</vt:lpstr>
      <vt:lpstr>Current 2019-00380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2019-10-28T11:51:22Z</dcterms:created>
  <dcterms:modified xsi:type="dcterms:W3CDTF">2019-12-06T19:18:39Z</dcterms:modified>
</cp:coreProperties>
</file>