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19-00380 - 2 yr Review\DR1\Files for Uploading\Response 2\"/>
    </mc:Choice>
  </mc:AlternateContent>
  <bookViews>
    <workbookView xWindow="0" yWindow="0" windowWidth="22680" windowHeight="8070" activeTab="3"/>
  </bookViews>
  <sheets>
    <sheet name="Previous 2018-00075" sheetId="1" r:id="rId1"/>
    <sheet name="Previous 2018-00306" sheetId="2" r:id="rId2"/>
    <sheet name="Previous 2019-00171" sheetId="3" r:id="rId3"/>
    <sheet name="Current 2019-0038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4" l="1"/>
  <c r="E33" i="4" s="1"/>
  <c r="E63" i="4"/>
  <c r="D63" i="4"/>
  <c r="D33" i="4"/>
  <c r="G33" i="4" s="1"/>
  <c r="E32" i="4"/>
  <c r="D32" i="4"/>
  <c r="G32" i="4" s="1"/>
  <c r="E31" i="4"/>
  <c r="D31" i="4"/>
  <c r="G31" i="4" s="1"/>
  <c r="G34" i="4" s="1"/>
  <c r="G43" i="4" s="1"/>
  <c r="F23" i="4"/>
  <c r="D23" i="4"/>
  <c r="D22" i="4"/>
  <c r="F22" i="4" s="1"/>
  <c r="D21" i="4"/>
  <c r="F21" i="4" s="1"/>
  <c r="D20" i="4"/>
  <c r="F20" i="4" s="1"/>
  <c r="F19" i="4"/>
  <c r="D19" i="4"/>
  <c r="F18" i="4"/>
  <c r="D18" i="4"/>
  <c r="F17" i="4"/>
  <c r="D17" i="4"/>
  <c r="G16" i="4"/>
  <c r="G17" i="4" s="1"/>
  <c r="G18" i="4" s="1"/>
  <c r="G19" i="4" s="1"/>
  <c r="F16" i="4"/>
  <c r="D16" i="4"/>
  <c r="G15" i="4"/>
  <c r="G42" i="4" s="1"/>
  <c r="G45" i="4" l="1"/>
  <c r="G49" i="4"/>
  <c r="G20" i="4"/>
  <c r="G21" i="4" s="1"/>
  <c r="G36" i="4" l="1"/>
  <c r="G22" i="4"/>
  <c r="G23" i="4" s="1"/>
  <c r="G38" i="4" l="1"/>
  <c r="G47" i="4"/>
  <c r="G51" i="4" s="1"/>
  <c r="F63" i="3" l="1"/>
  <c r="E63" i="3"/>
  <c r="E32" i="3" s="1"/>
  <c r="G32" i="3" s="1"/>
  <c r="D63" i="3"/>
  <c r="E33" i="3"/>
  <c r="D33" i="3"/>
  <c r="G33" i="3" s="1"/>
  <c r="D32" i="3"/>
  <c r="E31" i="3"/>
  <c r="D31" i="3"/>
  <c r="G31" i="3" s="1"/>
  <c r="D23" i="3"/>
  <c r="F23" i="3" s="1"/>
  <c r="F22" i="3"/>
  <c r="D22" i="3"/>
  <c r="D21" i="3"/>
  <c r="F21" i="3" s="1"/>
  <c r="F20" i="3"/>
  <c r="D20" i="3"/>
  <c r="D19" i="3"/>
  <c r="F19" i="3" s="1"/>
  <c r="D18" i="3"/>
  <c r="F18" i="3" s="1"/>
  <c r="D17" i="3"/>
  <c r="F17" i="3" s="1"/>
  <c r="D16" i="3"/>
  <c r="F16" i="3" s="1"/>
  <c r="G49" i="3" s="1"/>
  <c r="G15" i="3"/>
  <c r="G42" i="3" s="1"/>
  <c r="G34" i="3" l="1"/>
  <c r="G43" i="3" s="1"/>
  <c r="G45" i="3" s="1"/>
  <c r="G16" i="3"/>
  <c r="G17" i="3" s="1"/>
  <c r="G18" i="3" s="1"/>
  <c r="G19" i="3" s="1"/>
  <c r="G20" i="3" s="1"/>
  <c r="G21" i="3" s="1"/>
  <c r="G22" i="3" l="1"/>
  <c r="G23" i="3" s="1"/>
  <c r="G36" i="3"/>
  <c r="G38" i="3" l="1"/>
  <c r="G47" i="3"/>
  <c r="G51" i="3" s="1"/>
  <c r="F63" i="2" l="1"/>
  <c r="E33" i="2" s="1"/>
  <c r="E63" i="2"/>
  <c r="E32" i="2" s="1"/>
  <c r="D63" i="2"/>
  <c r="G42" i="2"/>
  <c r="D33" i="2"/>
  <c r="D32" i="2"/>
  <c r="E31" i="2"/>
  <c r="D31" i="2"/>
  <c r="G31" i="2" s="1"/>
  <c r="D23" i="2"/>
  <c r="F23" i="2" s="1"/>
  <c r="F22" i="2"/>
  <c r="D22" i="2"/>
  <c r="D21" i="2"/>
  <c r="F21" i="2" s="1"/>
  <c r="D20" i="2"/>
  <c r="F20" i="2" s="1"/>
  <c r="D19" i="2"/>
  <c r="F19" i="2" s="1"/>
  <c r="D18" i="2"/>
  <c r="F18" i="2" s="1"/>
  <c r="D17" i="2"/>
  <c r="F17" i="2" s="1"/>
  <c r="D16" i="2"/>
  <c r="F16" i="2" s="1"/>
  <c r="G49" i="2" s="1"/>
  <c r="G15" i="2"/>
  <c r="G16" i="2" s="1"/>
  <c r="G17" i="2" s="1"/>
  <c r="G18" i="2" s="1"/>
  <c r="G19" i="2" s="1"/>
  <c r="G20" i="2" s="1"/>
  <c r="G21" i="2" s="1"/>
  <c r="G22" i="2" l="1"/>
  <c r="G23" i="2" s="1"/>
  <c r="G32" i="2"/>
  <c r="G34" i="2" s="1"/>
  <c r="G33" i="2"/>
  <c r="G43" i="2" l="1"/>
  <c r="G45" i="2" s="1"/>
  <c r="G36" i="2"/>
  <c r="G47" i="2" l="1"/>
  <c r="G51" i="2" s="1"/>
  <c r="G38" i="2"/>
  <c r="F63" i="1" l="1"/>
  <c r="E33" i="1" s="1"/>
  <c r="G33" i="1" s="1"/>
  <c r="E63" i="1"/>
  <c r="E32" i="1" s="1"/>
  <c r="D63" i="1"/>
  <c r="G42" i="1"/>
  <c r="D33" i="1"/>
  <c r="D32" i="1"/>
  <c r="E31" i="1"/>
  <c r="G31" i="1" s="1"/>
  <c r="D31" i="1"/>
  <c r="D23" i="1"/>
  <c r="F23" i="1" s="1"/>
  <c r="D22" i="1"/>
  <c r="F22" i="1" s="1"/>
  <c r="F21" i="1"/>
  <c r="D21" i="1"/>
  <c r="D20" i="1"/>
  <c r="F20" i="1" s="1"/>
  <c r="D19" i="1"/>
  <c r="F19" i="1" s="1"/>
  <c r="D18" i="1"/>
  <c r="F18" i="1" s="1"/>
  <c r="D17" i="1"/>
  <c r="F17" i="1" s="1"/>
  <c r="F16" i="1"/>
  <c r="G49" i="1" s="1"/>
  <c r="D16" i="1"/>
  <c r="G15" i="1"/>
  <c r="G32" i="1" l="1"/>
  <c r="G34" i="1" s="1"/>
  <c r="G43" i="1" s="1"/>
  <c r="G45" i="1" s="1"/>
  <c r="G16" i="1"/>
  <c r="G17" i="1" s="1"/>
  <c r="G18" i="1" s="1"/>
  <c r="G19" i="1" s="1"/>
  <c r="G20" i="1" s="1"/>
  <c r="G21" i="1" s="1"/>
  <c r="G36" i="1" l="1"/>
  <c r="G22" i="1"/>
  <c r="G23" i="1" s="1"/>
  <c r="G47" i="1" l="1"/>
  <c r="G51" i="1" s="1"/>
  <c r="G38" i="1"/>
</calcChain>
</file>

<file path=xl/sharedStrings.xml><?xml version="1.0" encoding="utf-8"?>
<sst xmlns="http://schemas.openxmlformats.org/spreadsheetml/2006/main" count="280" uniqueCount="76">
  <si>
    <t>South Kentucky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</si>
  <si>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</si>
  <si>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</si>
  <si>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</si>
  <si>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</si>
  <si>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</si>
  <si>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</si>
  <si>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</si>
  <si>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</si>
  <si>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</si>
  <si>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</si>
  <si>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</si>
  <si>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</si>
  <si>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</si>
  <si>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</si>
  <si>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</si>
  <si>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</si>
  <si>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</si>
  <si>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2016-00335 (Over)/Under-Recovery</t>
  </si>
  <si>
    <t>1b</t>
  </si>
  <si>
    <t>From Case No. 2017-00071 (Over)/Under-Recovery</t>
  </si>
  <si>
    <t>1c</t>
  </si>
  <si>
    <t>From Case No. 2017-00326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</si>
  <si>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</si>
  <si>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</si>
  <si>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</si>
  <si>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</si>
  <si>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2017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</si>
  <si>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</si>
  <si>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</si>
  <si>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</si>
  <si>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</si>
  <si>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</si>
  <si>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</si>
  <si>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</si>
  <si>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</si>
  <si>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</si>
  <si>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</si>
  <si>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</si>
  <si>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</si>
  <si>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</si>
  <si>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</si>
  <si>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2016-00335 Recovery</t>
  </si>
  <si>
    <t>8b</t>
  </si>
  <si>
    <t>Case No. 2017-00071 Recovery</t>
  </si>
  <si>
    <t>8c</t>
  </si>
  <si>
    <t>Case No. 2017-00326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</si>
  <si>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</si>
  <si>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</si>
  <si>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</si>
  <si>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Monthly recovery (per month for six months)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</si>
  <si>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</si>
  <si>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</si>
  <si>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</si>
  <si>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</si>
  <si>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</si>
  <si>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</si>
  <si>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 (reflects rounding differences)</t>
  </si>
  <si>
    <t>Amortization Detail, Column 3, Line 8:</t>
  </si>
  <si>
    <t>Case No.</t>
  </si>
  <si>
    <t>2016-00335</t>
  </si>
  <si>
    <t>2017-00071</t>
  </si>
  <si>
    <t>2017-00326</t>
  </si>
  <si>
    <t xml:space="preserve">Totals  </t>
  </si>
  <si>
    <t>From Case No. 2018-00075 (Over)/Under-Recovery</t>
  </si>
  <si>
    <t>Less Adjustment for Order amounts remaining to be amortized at end of review period June 2018</t>
  </si>
  <si>
    <t>Case No. 2018-00075 Recovery</t>
  </si>
  <si>
    <t>2018-00075</t>
  </si>
  <si>
    <t>From Case No. 2018-00306 (Over)/Under-Recovery</t>
  </si>
  <si>
    <t>Less Adjustment for Order amounts remaining to be amortized at end of review period December 2018</t>
  </si>
  <si>
    <t>Case No. 2018-00306 Recovery</t>
  </si>
  <si>
    <t>2018-00306</t>
  </si>
  <si>
    <t>From Case No. 2019-00171 (Over)/Under-Recovery</t>
  </si>
  <si>
    <t>Less Adjustment for Order amounts remaining to be amortized at end of review period June 2019</t>
  </si>
  <si>
    <t>Case No. 2019-00171 Recovery</t>
  </si>
  <si>
    <t>2019-00171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</si>
</sst>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5" fontId="0" fillId="0" borderId="10" xfId="0" applyNumberFormat="1" applyFill="1" applyBorder="1"/>
    <xf numFmtId="0" fontId="0" fillId="0" borderId="3" xfId="0" applyBorder="1"/>
    <xf numFmtId="5" fontId="0" fillId="0" borderId="7" xfId="0" applyNumberFormat="1" applyBorder="1"/>
    <xf numFmtId="164" fontId="0" fillId="0" borderId="7" xfId="0" applyNumberFormat="1" applyBorder="1" applyAlignment="1">
      <alignment horizontal="right"/>
    </xf>
    <xf numFmtId="5" fontId="0" fillId="0" borderId="7" xfId="0" applyNumberFormat="1" applyFill="1" applyBorder="1"/>
    <xf numFmtId="5" fontId="0" fillId="0" borderId="1" xfId="0" applyNumberFormat="1" applyFill="1" applyBorder="1"/>
    <xf numFmtId="5" fontId="0" fillId="0" borderId="1" xfId="0" applyNumberFormat="1" applyBorder="1"/>
    <xf numFmtId="164" fontId="0" fillId="0" borderId="8" xfId="0" applyNumberFormat="1" applyBorder="1" applyAlignment="1">
      <alignment horizontal="right"/>
    </xf>
    <xf numFmtId="5" fontId="0" fillId="0" borderId="8" xfId="0" applyNumberFormat="1" applyFill="1" applyBorder="1"/>
    <xf numFmtId="5" fontId="0" fillId="0" borderId="14" xfId="0" applyNumberFormat="1" applyFill="1" applyBorder="1"/>
    <xf numFmtId="5" fontId="0" fillId="0" borderId="14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5" fontId="0" fillId="0" borderId="9" xfId="0" applyNumberFormat="1" applyFill="1" applyBorder="1"/>
    <xf numFmtId="5" fontId="0" fillId="0" borderId="4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5" xfId="0" applyFill="1" applyBorder="1"/>
    <xf numFmtId="5" fontId="0" fillId="2" borderId="6" xfId="0" applyNumberFormat="1" applyFill="1" applyBorder="1"/>
    <xf numFmtId="5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1" xfId="0" applyBorder="1"/>
    <xf numFmtId="5" fontId="0" fillId="0" borderId="10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0" xfId="0" applyBorder="1"/>
    <xf numFmtId="5" fontId="0" fillId="0" borderId="15" xfId="0" applyNumberFormat="1" applyBorder="1"/>
    <xf numFmtId="5" fontId="0" fillId="0" borderId="6" xfId="0" applyNumberFormat="1" applyBorder="1"/>
    <xf numFmtId="165" fontId="0" fillId="0" borderId="16" xfId="1" applyNumberFormat="1" applyFont="1" applyBorder="1"/>
    <xf numFmtId="165" fontId="0" fillId="0" borderId="6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4" t="s">
        <v>0</v>
      </c>
      <c r="C3" s="55"/>
      <c r="D3" s="55"/>
      <c r="E3" s="55"/>
      <c r="F3" s="55"/>
      <c r="G3" s="56"/>
    </row>
    <row r="4" spans="2:7" x14ac:dyDescent="0.2">
      <c r="B4" s="57"/>
      <c r="C4" s="58"/>
      <c r="D4" s="58"/>
      <c r="E4" s="58"/>
      <c r="F4" s="58"/>
      <c r="G4" s="59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0" t="s">
        <v>16</v>
      </c>
      <c r="D11" s="61"/>
      <c r="E11" s="61"/>
      <c r="F11" s="61"/>
      <c r="G11" s="62"/>
    </row>
    <row r="12" spans="2:7" x14ac:dyDescent="0.2">
      <c r="B12" s="2" t="s">
        <v>17</v>
      </c>
      <c r="C12" s="8" t="s">
        <v>18</v>
      </c>
      <c r="D12" s="8"/>
      <c r="E12" s="8"/>
      <c r="F12" s="9"/>
      <c r="G12" s="10">
        <v>-91367</v>
      </c>
    </row>
    <row r="13" spans="2:7" x14ac:dyDescent="0.2">
      <c r="B13" s="4" t="s">
        <v>19</v>
      </c>
      <c r="C13" s="8" t="s">
        <v>20</v>
      </c>
      <c r="D13" s="8"/>
      <c r="E13" s="8"/>
      <c r="F13" s="9"/>
      <c r="G13" s="10">
        <v>218727</v>
      </c>
    </row>
    <row r="14" spans="2:7" x14ac:dyDescent="0.2">
      <c r="B14" s="4" t="s">
        <v>21</v>
      </c>
      <c r="C14" s="8" t="s">
        <v>22</v>
      </c>
      <c r="D14" s="8"/>
      <c r="E14" s="8"/>
      <c r="F14" s="9"/>
      <c r="G14" s="10">
        <v>-205728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-78368</v>
      </c>
    </row>
    <row r="16" spans="2:7" x14ac:dyDescent="0.2">
      <c r="B16" s="4">
        <v>2</v>
      </c>
      <c r="C16" s="13">
        <v>42917</v>
      </c>
      <c r="D16" s="14">
        <f>1210364-2106</f>
        <v>1208258</v>
      </c>
      <c r="E16" s="15">
        <v>1209394.17</v>
      </c>
      <c r="F16" s="16">
        <f t="shared" ref="F16:F23" si="0">D16-E16</f>
        <v>-1136.1699999999255</v>
      </c>
      <c r="G16" s="12">
        <f t="shared" ref="G16:G23" si="1">G15+F16</f>
        <v>-79504.169999999925</v>
      </c>
    </row>
    <row r="17" spans="2:7" x14ac:dyDescent="0.2">
      <c r="B17" s="4">
        <v>3</v>
      </c>
      <c r="C17" s="17">
        <v>42948</v>
      </c>
      <c r="D17" s="18">
        <f>1115132-2062</f>
        <v>1113070</v>
      </c>
      <c r="E17" s="19">
        <v>1240929.24</v>
      </c>
      <c r="F17" s="20">
        <f t="shared" si="0"/>
        <v>-127859.23999999999</v>
      </c>
      <c r="G17" s="21">
        <f t="shared" si="1"/>
        <v>-207363.40999999992</v>
      </c>
    </row>
    <row r="18" spans="2:7" x14ac:dyDescent="0.2">
      <c r="B18" s="4">
        <v>4</v>
      </c>
      <c r="C18" s="17">
        <v>42979</v>
      </c>
      <c r="D18" s="18">
        <f>777795-1845</f>
        <v>775950</v>
      </c>
      <c r="E18" s="19">
        <v>1065116.02</v>
      </c>
      <c r="F18" s="20">
        <f t="shared" si="0"/>
        <v>-289166.02</v>
      </c>
      <c r="G18" s="21">
        <f t="shared" si="1"/>
        <v>-496529.42999999993</v>
      </c>
    </row>
    <row r="19" spans="2:7" x14ac:dyDescent="0.2">
      <c r="B19" s="4">
        <v>5</v>
      </c>
      <c r="C19" s="17">
        <v>43009</v>
      </c>
      <c r="D19" s="18">
        <f>977832-2036</f>
        <v>975796</v>
      </c>
      <c r="E19" s="19">
        <v>847206.28</v>
      </c>
      <c r="F19" s="20">
        <f t="shared" si="0"/>
        <v>128589.71999999997</v>
      </c>
      <c r="G19" s="21">
        <f t="shared" si="1"/>
        <v>-367939.70999999996</v>
      </c>
    </row>
    <row r="20" spans="2:7" x14ac:dyDescent="0.2">
      <c r="B20" s="4">
        <v>6</v>
      </c>
      <c r="C20" s="17">
        <v>43040</v>
      </c>
      <c r="D20" s="18">
        <f>1280809-2383</f>
        <v>1278426</v>
      </c>
      <c r="E20" s="19">
        <v>956883.15</v>
      </c>
      <c r="F20" s="20">
        <f t="shared" si="0"/>
        <v>321542.84999999998</v>
      </c>
      <c r="G20" s="21">
        <f t="shared" si="1"/>
        <v>-46396.859999999986</v>
      </c>
    </row>
    <row r="21" spans="2:7" x14ac:dyDescent="0.2">
      <c r="B21" s="4">
        <v>7</v>
      </c>
      <c r="C21" s="17">
        <v>43070</v>
      </c>
      <c r="D21" s="18">
        <f>1516333-2076</f>
        <v>1514257</v>
      </c>
      <c r="E21" s="19">
        <v>1458816.74</v>
      </c>
      <c r="F21" s="22">
        <f t="shared" si="0"/>
        <v>55440.260000000009</v>
      </c>
      <c r="G21" s="23">
        <f t="shared" si="1"/>
        <v>9043.4000000000233</v>
      </c>
    </row>
    <row r="22" spans="2:7" x14ac:dyDescent="0.2">
      <c r="B22" s="24" t="s">
        <v>25</v>
      </c>
      <c r="C22" s="13">
        <v>43101</v>
      </c>
      <c r="D22" s="14">
        <f>1718963-1899</f>
        <v>1717064</v>
      </c>
      <c r="E22" s="15">
        <v>1795516.41</v>
      </c>
      <c r="F22" s="16">
        <f t="shared" si="0"/>
        <v>-78452.409999999916</v>
      </c>
      <c r="G22" s="12">
        <f t="shared" si="1"/>
        <v>-69409.009999999893</v>
      </c>
    </row>
    <row r="23" spans="2:7" x14ac:dyDescent="0.2">
      <c r="B23" s="25" t="s">
        <v>26</v>
      </c>
      <c r="C23" s="26">
        <v>43132</v>
      </c>
      <c r="D23" s="27">
        <f>810023-1250</f>
        <v>808773</v>
      </c>
      <c r="E23" s="28">
        <v>1377894.16</v>
      </c>
      <c r="F23" s="22">
        <f t="shared" si="0"/>
        <v>-569121.15999999992</v>
      </c>
      <c r="G23" s="23">
        <f t="shared" si="1"/>
        <v>-638530.16999999981</v>
      </c>
    </row>
    <row r="24" spans="2:7" x14ac:dyDescent="0.2">
      <c r="B24" s="5"/>
      <c r="C24" s="29" t="s">
        <v>27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42</v>
      </c>
      <c r="D31" s="12">
        <f>-G12</f>
        <v>91367</v>
      </c>
      <c r="E31" s="12">
        <f>D63</f>
        <v>-91367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44</v>
      </c>
      <c r="D32" s="21">
        <f>-G13</f>
        <v>-218727</v>
      </c>
      <c r="E32" s="21">
        <f>E63</f>
        <v>182275</v>
      </c>
      <c r="F32" s="3"/>
      <c r="G32" s="21">
        <f>D32+E32</f>
        <v>-36452</v>
      </c>
    </row>
    <row r="33" spans="2:7" x14ac:dyDescent="0.2">
      <c r="B33" s="33" t="s">
        <v>45</v>
      </c>
      <c r="C33" s="34" t="s">
        <v>46</v>
      </c>
      <c r="D33" s="23">
        <f>-G14</f>
        <v>205728</v>
      </c>
      <c r="E33" s="23">
        <f>F63</f>
        <v>0</v>
      </c>
      <c r="F33" s="34"/>
      <c r="G33" s="23">
        <f>D33+E33</f>
        <v>205728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169276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178319.40000000002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29719.900000000005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-78368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169276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90908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178319.40000000002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50">
        <f>SUM(F16:F21)</f>
        <v>87411.400000000023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90908</v>
      </c>
    </row>
    <row r="52" spans="2:7" ht="15" thickTop="1" x14ac:dyDescent="0.2">
      <c r="B52" s="34"/>
      <c r="C52" s="51"/>
      <c r="D52" s="51"/>
      <c r="E52" s="51"/>
      <c r="F52" s="51"/>
      <c r="G52" s="52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60</v>
      </c>
      <c r="E56" s="5" t="s">
        <v>61</v>
      </c>
      <c r="F56" s="5" t="s">
        <v>62</v>
      </c>
    </row>
    <row r="57" spans="2:7" x14ac:dyDescent="0.2">
      <c r="C57" s="13">
        <v>42917</v>
      </c>
      <c r="D57" s="14">
        <v>-18274</v>
      </c>
      <c r="E57" s="14">
        <v>0</v>
      </c>
      <c r="F57" s="12">
        <v>0</v>
      </c>
    </row>
    <row r="58" spans="2:7" x14ac:dyDescent="0.2">
      <c r="C58" s="17">
        <v>42948</v>
      </c>
      <c r="D58" s="18">
        <v>-18274</v>
      </c>
      <c r="E58" s="18">
        <v>36455</v>
      </c>
      <c r="F58" s="21">
        <v>0</v>
      </c>
    </row>
    <row r="59" spans="2:7" x14ac:dyDescent="0.2">
      <c r="C59" s="17">
        <v>42979</v>
      </c>
      <c r="D59" s="18">
        <v>-18274</v>
      </c>
      <c r="E59" s="18">
        <v>36455</v>
      </c>
      <c r="F59" s="21">
        <v>0</v>
      </c>
    </row>
    <row r="60" spans="2:7" x14ac:dyDescent="0.2">
      <c r="C60" s="17">
        <v>43009</v>
      </c>
      <c r="D60" s="18">
        <v>-18274</v>
      </c>
      <c r="E60" s="18">
        <v>36455</v>
      </c>
      <c r="F60" s="21">
        <v>0</v>
      </c>
    </row>
    <row r="61" spans="2:7" x14ac:dyDescent="0.2">
      <c r="C61" s="17">
        <v>43040</v>
      </c>
      <c r="D61" s="18">
        <v>-18271</v>
      </c>
      <c r="E61" s="18">
        <v>36455</v>
      </c>
      <c r="F61" s="21">
        <v>0</v>
      </c>
    </row>
    <row r="62" spans="2:7" x14ac:dyDescent="0.2">
      <c r="C62" s="26">
        <v>43070</v>
      </c>
      <c r="D62" s="27">
        <v>0</v>
      </c>
      <c r="E62" s="27">
        <v>36455</v>
      </c>
      <c r="F62" s="23">
        <v>0</v>
      </c>
    </row>
    <row r="63" spans="2:7" x14ac:dyDescent="0.2">
      <c r="C63" s="53" t="s">
        <v>63</v>
      </c>
      <c r="D63" s="41">
        <f>SUM(D57:D62)</f>
        <v>-91367</v>
      </c>
      <c r="E63" s="41">
        <f>SUM(E57:E62)</f>
        <v>182275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4" t="s">
        <v>0</v>
      </c>
      <c r="C3" s="55"/>
      <c r="D3" s="55"/>
      <c r="E3" s="55"/>
      <c r="F3" s="55"/>
      <c r="G3" s="56"/>
    </row>
    <row r="4" spans="2:7" x14ac:dyDescent="0.2">
      <c r="B4" s="57"/>
      <c r="C4" s="58"/>
      <c r="D4" s="58"/>
      <c r="E4" s="58"/>
      <c r="F4" s="58"/>
      <c r="G4" s="59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0" t="s">
        <v>16</v>
      </c>
      <c r="D11" s="61"/>
      <c r="E11" s="61"/>
      <c r="F11" s="61"/>
      <c r="G11" s="62"/>
    </row>
    <row r="12" spans="2:7" x14ac:dyDescent="0.2">
      <c r="B12" s="2" t="s">
        <v>17</v>
      </c>
      <c r="C12" s="8" t="s">
        <v>20</v>
      </c>
      <c r="D12" s="8"/>
      <c r="E12" s="8"/>
      <c r="F12" s="9"/>
      <c r="G12" s="10">
        <v>36452</v>
      </c>
    </row>
    <row r="13" spans="2:7" x14ac:dyDescent="0.2">
      <c r="B13" s="4" t="s">
        <v>19</v>
      </c>
      <c r="C13" s="8" t="s">
        <v>22</v>
      </c>
      <c r="D13" s="8"/>
      <c r="E13" s="8"/>
      <c r="F13" s="9"/>
      <c r="G13" s="10">
        <v>-205728</v>
      </c>
    </row>
    <row r="14" spans="2:7" x14ac:dyDescent="0.2">
      <c r="B14" s="4" t="s">
        <v>21</v>
      </c>
      <c r="C14" s="8" t="s">
        <v>64</v>
      </c>
      <c r="D14" s="8"/>
      <c r="E14" s="8"/>
      <c r="F14" s="9"/>
      <c r="G14" s="10">
        <v>178319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9043</v>
      </c>
    </row>
    <row r="16" spans="2:7" x14ac:dyDescent="0.2">
      <c r="B16" s="4">
        <v>2</v>
      </c>
      <c r="C16" s="13">
        <v>43101</v>
      </c>
      <c r="D16" s="14">
        <f>1718963-1899</f>
        <v>1717064</v>
      </c>
      <c r="E16" s="15">
        <v>1795516.41</v>
      </c>
      <c r="F16" s="16">
        <f t="shared" ref="F16:F23" si="0">D16-E16</f>
        <v>-78452.409999999916</v>
      </c>
      <c r="G16" s="12">
        <f t="shared" ref="G16:G23" si="1">G15+F16</f>
        <v>-69409.409999999916</v>
      </c>
    </row>
    <row r="17" spans="2:7" x14ac:dyDescent="0.2">
      <c r="B17" s="4">
        <v>3</v>
      </c>
      <c r="C17" s="17">
        <v>43132</v>
      </c>
      <c r="D17" s="18">
        <f>810023-1250</f>
        <v>808773</v>
      </c>
      <c r="E17" s="19">
        <v>1377894.16</v>
      </c>
      <c r="F17" s="20">
        <f t="shared" si="0"/>
        <v>-569121.15999999992</v>
      </c>
      <c r="G17" s="21">
        <f t="shared" si="1"/>
        <v>-638530.56999999983</v>
      </c>
    </row>
    <row r="18" spans="2:7" x14ac:dyDescent="0.2">
      <c r="B18" s="4">
        <v>4</v>
      </c>
      <c r="C18" s="17">
        <v>43160</v>
      </c>
      <c r="D18" s="18">
        <f>511802-832</f>
        <v>510970</v>
      </c>
      <c r="E18" s="19">
        <v>681712.26</v>
      </c>
      <c r="F18" s="20">
        <f t="shared" si="0"/>
        <v>-170742.26</v>
      </c>
      <c r="G18" s="21">
        <f t="shared" si="1"/>
        <v>-809272.82999999984</v>
      </c>
    </row>
    <row r="19" spans="2:7" x14ac:dyDescent="0.2">
      <c r="B19" s="4">
        <v>5</v>
      </c>
      <c r="C19" s="17">
        <v>43191</v>
      </c>
      <c r="D19" s="18">
        <f>793627-1532</f>
        <v>792095</v>
      </c>
      <c r="E19" s="19">
        <v>498350.77</v>
      </c>
      <c r="F19" s="20">
        <f t="shared" si="0"/>
        <v>293744.23</v>
      </c>
      <c r="G19" s="21">
        <f t="shared" si="1"/>
        <v>-515528.59999999986</v>
      </c>
    </row>
    <row r="20" spans="2:7" x14ac:dyDescent="0.2">
      <c r="B20" s="4">
        <v>6</v>
      </c>
      <c r="C20" s="17">
        <v>43221</v>
      </c>
      <c r="D20" s="18">
        <f>838999-1629</f>
        <v>837370</v>
      </c>
      <c r="E20" s="19">
        <v>744468.09</v>
      </c>
      <c r="F20" s="20">
        <f t="shared" si="0"/>
        <v>92901.910000000033</v>
      </c>
      <c r="G20" s="21">
        <f t="shared" si="1"/>
        <v>-422626.68999999983</v>
      </c>
    </row>
    <row r="21" spans="2:7" x14ac:dyDescent="0.2">
      <c r="B21" s="4">
        <v>7</v>
      </c>
      <c r="C21" s="17">
        <v>43252</v>
      </c>
      <c r="D21" s="18">
        <f>1032496-1773</f>
        <v>1030723</v>
      </c>
      <c r="E21" s="19">
        <v>899401.15</v>
      </c>
      <c r="F21" s="22">
        <f t="shared" si="0"/>
        <v>131321.84999999998</v>
      </c>
      <c r="G21" s="23">
        <f t="shared" si="1"/>
        <v>-291304.83999999985</v>
      </c>
    </row>
    <row r="22" spans="2:7" x14ac:dyDescent="0.2">
      <c r="B22" s="24" t="s">
        <v>25</v>
      </c>
      <c r="C22" s="13">
        <v>43282</v>
      </c>
      <c r="D22" s="14">
        <f>993609-1740</f>
        <v>991869</v>
      </c>
      <c r="E22" s="15">
        <v>1055960.1299999999</v>
      </c>
      <c r="F22" s="16">
        <f t="shared" si="0"/>
        <v>-64091.129999999888</v>
      </c>
      <c r="G22" s="12">
        <f t="shared" si="1"/>
        <v>-355395.96999999974</v>
      </c>
    </row>
    <row r="23" spans="2:7" x14ac:dyDescent="0.2">
      <c r="B23" s="25" t="s">
        <v>26</v>
      </c>
      <c r="C23" s="26">
        <v>43313</v>
      </c>
      <c r="D23" s="27">
        <f>864932-1576</f>
        <v>863356</v>
      </c>
      <c r="E23" s="28">
        <v>1077895.83</v>
      </c>
      <c r="F23" s="22">
        <f t="shared" si="0"/>
        <v>-214539.83000000007</v>
      </c>
      <c r="G23" s="23">
        <f t="shared" si="1"/>
        <v>-569935.79999999981</v>
      </c>
    </row>
    <row r="24" spans="2:7" x14ac:dyDescent="0.2">
      <c r="B24" s="5"/>
      <c r="C24" s="29" t="s">
        <v>65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44</v>
      </c>
      <c r="D31" s="12">
        <f>-G12</f>
        <v>-36452</v>
      </c>
      <c r="E31" s="12">
        <f>D63</f>
        <v>36452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46</v>
      </c>
      <c r="D32" s="21">
        <f>-G13</f>
        <v>205728</v>
      </c>
      <c r="E32" s="21">
        <f>E63</f>
        <v>-171440</v>
      </c>
      <c r="F32" s="3"/>
      <c r="G32" s="21">
        <f>D32+E32</f>
        <v>34288</v>
      </c>
    </row>
    <row r="33" spans="2:7" x14ac:dyDescent="0.2">
      <c r="B33" s="33" t="s">
        <v>45</v>
      </c>
      <c r="C33" s="34" t="s">
        <v>66</v>
      </c>
      <c r="D33" s="23">
        <f>-G14</f>
        <v>-178319</v>
      </c>
      <c r="E33" s="23">
        <f>F63</f>
        <v>0</v>
      </c>
      <c r="F33" s="34"/>
      <c r="G33" s="23">
        <f>D33+E33</f>
        <v>-178319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-144031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-435335.83999999985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-72555.973333333313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9043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-144031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-134988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-435335.83999999985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50">
        <f>SUM(F16:F21)</f>
        <v>-300347.83999999985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-134988</v>
      </c>
    </row>
    <row r="52" spans="2:7" ht="15" thickTop="1" x14ac:dyDescent="0.2">
      <c r="B52" s="34"/>
      <c r="C52" s="51"/>
      <c r="D52" s="51"/>
      <c r="E52" s="51"/>
      <c r="F52" s="51"/>
      <c r="G52" s="52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61</v>
      </c>
      <c r="E56" s="5" t="s">
        <v>62</v>
      </c>
      <c r="F56" s="5" t="s">
        <v>67</v>
      </c>
    </row>
    <row r="57" spans="2:7" x14ac:dyDescent="0.2">
      <c r="C57" s="13">
        <v>43101</v>
      </c>
      <c r="D57" s="14">
        <v>36452</v>
      </c>
      <c r="E57" s="14">
        <v>0</v>
      </c>
      <c r="F57" s="12">
        <v>0</v>
      </c>
    </row>
    <row r="58" spans="2:7" x14ac:dyDescent="0.2">
      <c r="C58" s="17">
        <v>43132</v>
      </c>
      <c r="D58" s="18">
        <v>0</v>
      </c>
      <c r="E58" s="18">
        <v>-34288</v>
      </c>
      <c r="F58" s="21">
        <v>0</v>
      </c>
    </row>
    <row r="59" spans="2:7" x14ac:dyDescent="0.2">
      <c r="C59" s="17">
        <v>43160</v>
      </c>
      <c r="D59" s="18">
        <v>0</v>
      </c>
      <c r="E59" s="18">
        <v>-34288</v>
      </c>
      <c r="F59" s="21">
        <v>0</v>
      </c>
    </row>
    <row r="60" spans="2:7" x14ac:dyDescent="0.2">
      <c r="C60" s="17">
        <v>43191</v>
      </c>
      <c r="D60" s="18">
        <v>0</v>
      </c>
      <c r="E60" s="18">
        <v>-34288</v>
      </c>
      <c r="F60" s="21">
        <v>0</v>
      </c>
    </row>
    <row r="61" spans="2:7" x14ac:dyDescent="0.2">
      <c r="C61" s="17">
        <v>43221</v>
      </c>
      <c r="D61" s="18">
        <v>0</v>
      </c>
      <c r="E61" s="18">
        <v>-34288</v>
      </c>
      <c r="F61" s="21">
        <v>0</v>
      </c>
    </row>
    <row r="62" spans="2:7" x14ac:dyDescent="0.2">
      <c r="C62" s="26">
        <v>43252</v>
      </c>
      <c r="D62" s="27">
        <v>0</v>
      </c>
      <c r="E62" s="27">
        <v>-34288</v>
      </c>
      <c r="F62" s="23">
        <v>0</v>
      </c>
    </row>
    <row r="63" spans="2:7" x14ac:dyDescent="0.2">
      <c r="C63" s="53" t="s">
        <v>63</v>
      </c>
      <c r="D63" s="41">
        <f>SUM(D57:D62)</f>
        <v>36452</v>
      </c>
      <c r="E63" s="41">
        <f>SUM(E57:E62)</f>
        <v>-171440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4" t="s">
        <v>0</v>
      </c>
      <c r="C3" s="55"/>
      <c r="D3" s="55"/>
      <c r="E3" s="55"/>
      <c r="F3" s="55"/>
      <c r="G3" s="56"/>
    </row>
    <row r="4" spans="2:7" x14ac:dyDescent="0.2">
      <c r="B4" s="57"/>
      <c r="C4" s="58"/>
      <c r="D4" s="58"/>
      <c r="E4" s="58"/>
      <c r="F4" s="58"/>
      <c r="G4" s="59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0" t="s">
        <v>16</v>
      </c>
      <c r="D11" s="61"/>
      <c r="E11" s="61"/>
      <c r="F11" s="61"/>
      <c r="G11" s="62"/>
    </row>
    <row r="12" spans="2:7" x14ac:dyDescent="0.2">
      <c r="B12" s="2" t="s">
        <v>17</v>
      </c>
      <c r="C12" s="8" t="s">
        <v>22</v>
      </c>
      <c r="D12" s="8"/>
      <c r="E12" s="8"/>
      <c r="F12" s="9"/>
      <c r="G12" s="10">
        <v>-34288</v>
      </c>
    </row>
    <row r="13" spans="2:7" x14ac:dyDescent="0.2">
      <c r="B13" s="4" t="s">
        <v>19</v>
      </c>
      <c r="C13" s="8" t="s">
        <v>64</v>
      </c>
      <c r="D13" s="8"/>
      <c r="E13" s="8"/>
      <c r="F13" s="9"/>
      <c r="G13" s="10">
        <v>178319</v>
      </c>
    </row>
    <row r="14" spans="2:7" x14ac:dyDescent="0.2">
      <c r="B14" s="4" t="s">
        <v>21</v>
      </c>
      <c r="C14" s="8" t="s">
        <v>68</v>
      </c>
      <c r="D14" s="8"/>
      <c r="E14" s="8"/>
      <c r="F14" s="9"/>
      <c r="G14" s="10">
        <v>-435336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-291305</v>
      </c>
    </row>
    <row r="16" spans="2:7" x14ac:dyDescent="0.2">
      <c r="B16" s="4">
        <v>2</v>
      </c>
      <c r="C16" s="13">
        <v>43282</v>
      </c>
      <c r="D16" s="14">
        <f>993609-1740</f>
        <v>991869</v>
      </c>
      <c r="E16" s="15">
        <v>1055960.1299999999</v>
      </c>
      <c r="F16" s="16">
        <f t="shared" ref="F16:F23" si="0">D16-E16</f>
        <v>-64091.129999999888</v>
      </c>
      <c r="G16" s="12">
        <f t="shared" ref="G16:G23" si="1">G15+F16</f>
        <v>-355396.12999999989</v>
      </c>
    </row>
    <row r="17" spans="2:7" x14ac:dyDescent="0.2">
      <c r="B17" s="4">
        <v>3</v>
      </c>
      <c r="C17" s="17">
        <v>43313</v>
      </c>
      <c r="D17" s="18">
        <f>864932-1576</f>
        <v>863356</v>
      </c>
      <c r="E17" s="19">
        <v>1077895.83</v>
      </c>
      <c r="F17" s="20">
        <f t="shared" si="0"/>
        <v>-214539.83000000007</v>
      </c>
      <c r="G17" s="21">
        <f t="shared" si="1"/>
        <v>-569935.96</v>
      </c>
    </row>
    <row r="18" spans="2:7" x14ac:dyDescent="0.2">
      <c r="B18" s="4">
        <v>4</v>
      </c>
      <c r="C18" s="17">
        <v>43344</v>
      </c>
      <c r="D18" s="18">
        <f>860888-1683</f>
        <v>859205</v>
      </c>
      <c r="E18" s="19">
        <v>926295.34</v>
      </c>
      <c r="F18" s="20">
        <f t="shared" si="0"/>
        <v>-67090.339999999967</v>
      </c>
      <c r="G18" s="21">
        <f t="shared" si="1"/>
        <v>-637026.29999999993</v>
      </c>
    </row>
    <row r="19" spans="2:7" x14ac:dyDescent="0.2">
      <c r="B19" s="4">
        <v>5</v>
      </c>
      <c r="C19" s="17">
        <v>43374</v>
      </c>
      <c r="D19" s="18">
        <f>829776-1700</f>
        <v>828076</v>
      </c>
      <c r="E19" s="19">
        <v>864876.11</v>
      </c>
      <c r="F19" s="20">
        <f t="shared" si="0"/>
        <v>-36800.109999999986</v>
      </c>
      <c r="G19" s="21">
        <f t="shared" si="1"/>
        <v>-673826.40999999992</v>
      </c>
    </row>
    <row r="20" spans="2:7" x14ac:dyDescent="0.2">
      <c r="B20" s="4">
        <v>6</v>
      </c>
      <c r="C20" s="17">
        <v>43405</v>
      </c>
      <c r="D20" s="18">
        <f>1107841-1775</f>
        <v>1106066</v>
      </c>
      <c r="E20" s="19">
        <v>962464.71</v>
      </c>
      <c r="F20" s="20">
        <f t="shared" si="0"/>
        <v>143601.29000000004</v>
      </c>
      <c r="G20" s="21">
        <f t="shared" si="1"/>
        <v>-530225.11999999988</v>
      </c>
    </row>
    <row r="21" spans="2:7" x14ac:dyDescent="0.2">
      <c r="B21" s="4">
        <v>7</v>
      </c>
      <c r="C21" s="17">
        <v>43435</v>
      </c>
      <c r="D21" s="18">
        <f>1352038-1844</f>
        <v>1350194</v>
      </c>
      <c r="E21" s="19">
        <v>1211091.54</v>
      </c>
      <c r="F21" s="22">
        <f t="shared" si="0"/>
        <v>139102.45999999996</v>
      </c>
      <c r="G21" s="23">
        <f t="shared" si="1"/>
        <v>-391122.65999999992</v>
      </c>
    </row>
    <row r="22" spans="2:7" x14ac:dyDescent="0.2">
      <c r="B22" s="24" t="s">
        <v>25</v>
      </c>
      <c r="C22" s="13">
        <v>43466</v>
      </c>
      <c r="D22" s="14">
        <f>1223636-1607</f>
        <v>1222029</v>
      </c>
      <c r="E22" s="15">
        <v>1310216.1200000001</v>
      </c>
      <c r="F22" s="16">
        <f t="shared" si="0"/>
        <v>-88187.120000000112</v>
      </c>
      <c r="G22" s="12">
        <f t="shared" si="1"/>
        <v>-479309.78</v>
      </c>
    </row>
    <row r="23" spans="2:7" x14ac:dyDescent="0.2">
      <c r="B23" s="25" t="s">
        <v>26</v>
      </c>
      <c r="C23" s="26">
        <v>43497</v>
      </c>
      <c r="D23" s="27">
        <f>807216-1330</f>
        <v>805886</v>
      </c>
      <c r="E23" s="28">
        <v>1307642.6100000001</v>
      </c>
      <c r="F23" s="22">
        <f t="shared" si="0"/>
        <v>-501756.6100000001</v>
      </c>
      <c r="G23" s="23">
        <f t="shared" si="1"/>
        <v>-981066.39000000013</v>
      </c>
    </row>
    <row r="24" spans="2:7" x14ac:dyDescent="0.2">
      <c r="B24" s="5"/>
      <c r="C24" s="29" t="s">
        <v>69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46</v>
      </c>
      <c r="D31" s="12">
        <f>-G12</f>
        <v>34288</v>
      </c>
      <c r="E31" s="12">
        <f>D63</f>
        <v>-34288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66</v>
      </c>
      <c r="D32" s="21">
        <f>-G13</f>
        <v>-178319</v>
      </c>
      <c r="E32" s="21">
        <f>E63</f>
        <v>118880</v>
      </c>
      <c r="F32" s="3"/>
      <c r="G32" s="21">
        <f>D32+E32</f>
        <v>-59439</v>
      </c>
    </row>
    <row r="33" spans="2:7" x14ac:dyDescent="0.2">
      <c r="B33" s="33" t="s">
        <v>45</v>
      </c>
      <c r="C33" s="34" t="s">
        <v>70</v>
      </c>
      <c r="D33" s="23">
        <f>-G14</f>
        <v>435336</v>
      </c>
      <c r="E33" s="23">
        <f>F63</f>
        <v>0</v>
      </c>
      <c r="F33" s="34"/>
      <c r="G33" s="23">
        <f>D33+E33</f>
        <v>435336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375897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-15225.659999999916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-2537.609999999986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-291305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375897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84592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-15225.659999999916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50">
        <f>SUM(F16:F21)</f>
        <v>-99817.659999999916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84592</v>
      </c>
    </row>
    <row r="52" spans="2:7" ht="15" thickTop="1" x14ac:dyDescent="0.2">
      <c r="B52" s="34"/>
      <c r="C52" s="51"/>
      <c r="D52" s="51"/>
      <c r="E52" s="51"/>
      <c r="F52" s="51"/>
      <c r="G52" s="52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62</v>
      </c>
      <c r="E56" s="5" t="s">
        <v>67</v>
      </c>
      <c r="F56" s="5" t="s">
        <v>71</v>
      </c>
    </row>
    <row r="57" spans="2:7" x14ac:dyDescent="0.2">
      <c r="C57" s="13">
        <v>43282</v>
      </c>
      <c r="D57" s="14">
        <v>-34288</v>
      </c>
      <c r="E57" s="14">
        <v>0</v>
      </c>
      <c r="F57" s="12">
        <v>0</v>
      </c>
    </row>
    <row r="58" spans="2:7" x14ac:dyDescent="0.2">
      <c r="C58" s="17">
        <v>43313</v>
      </c>
      <c r="D58" s="18">
        <v>0</v>
      </c>
      <c r="E58" s="18">
        <v>0</v>
      </c>
      <c r="F58" s="21">
        <v>0</v>
      </c>
    </row>
    <row r="59" spans="2:7" x14ac:dyDescent="0.2">
      <c r="C59" s="17">
        <v>43344</v>
      </c>
      <c r="D59" s="18">
        <v>0</v>
      </c>
      <c r="E59" s="18">
        <v>29720</v>
      </c>
      <c r="F59" s="21">
        <v>0</v>
      </c>
    </row>
    <row r="60" spans="2:7" x14ac:dyDescent="0.2">
      <c r="C60" s="17">
        <v>43374</v>
      </c>
      <c r="D60" s="18">
        <v>0</v>
      </c>
      <c r="E60" s="18">
        <v>29720</v>
      </c>
      <c r="F60" s="21">
        <v>0</v>
      </c>
    </row>
    <row r="61" spans="2:7" x14ac:dyDescent="0.2">
      <c r="C61" s="17">
        <v>43405</v>
      </c>
      <c r="D61" s="18">
        <v>0</v>
      </c>
      <c r="E61" s="18">
        <v>29720</v>
      </c>
      <c r="F61" s="21">
        <v>0</v>
      </c>
    </row>
    <row r="62" spans="2:7" x14ac:dyDescent="0.2">
      <c r="C62" s="26">
        <v>43435</v>
      </c>
      <c r="D62" s="27">
        <v>0</v>
      </c>
      <c r="E62" s="27">
        <v>29720</v>
      </c>
      <c r="F62" s="23">
        <v>0</v>
      </c>
    </row>
    <row r="63" spans="2:7" x14ac:dyDescent="0.2">
      <c r="C63" s="53" t="s">
        <v>63</v>
      </c>
      <c r="D63" s="41">
        <f>SUM(D57:D62)</f>
        <v>-34288</v>
      </c>
      <c r="E63" s="41">
        <f>SUM(E57:E62)</f>
        <v>118880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abSelected="1" workbookViewId="0"/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4" t="s">
        <v>0</v>
      </c>
      <c r="C3" s="55"/>
      <c r="D3" s="55"/>
      <c r="E3" s="55"/>
      <c r="F3" s="55"/>
      <c r="G3" s="56"/>
    </row>
    <row r="4" spans="2:7" x14ac:dyDescent="0.2">
      <c r="B4" s="57"/>
      <c r="C4" s="58"/>
      <c r="D4" s="58"/>
      <c r="E4" s="58"/>
      <c r="F4" s="58"/>
      <c r="G4" s="59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0" t="s">
        <v>16</v>
      </c>
      <c r="D11" s="61"/>
      <c r="E11" s="61"/>
      <c r="F11" s="61"/>
      <c r="G11" s="62"/>
    </row>
    <row r="12" spans="2:7" x14ac:dyDescent="0.2">
      <c r="B12" s="2" t="s">
        <v>17</v>
      </c>
      <c r="C12" s="8" t="s">
        <v>64</v>
      </c>
      <c r="D12" s="8"/>
      <c r="E12" s="8"/>
      <c r="F12" s="9"/>
      <c r="G12" s="10">
        <v>59439</v>
      </c>
    </row>
    <row r="13" spans="2:7" x14ac:dyDescent="0.2">
      <c r="B13" s="4" t="s">
        <v>19</v>
      </c>
      <c r="C13" s="8" t="s">
        <v>68</v>
      </c>
      <c r="D13" s="8"/>
      <c r="E13" s="8"/>
      <c r="F13" s="9"/>
      <c r="G13" s="10">
        <v>-435336</v>
      </c>
    </row>
    <row r="14" spans="2:7" x14ac:dyDescent="0.2">
      <c r="B14" s="4" t="s">
        <v>21</v>
      </c>
      <c r="C14" s="8" t="s">
        <v>72</v>
      </c>
      <c r="D14" s="8"/>
      <c r="E14" s="8"/>
      <c r="F14" s="9"/>
      <c r="G14" s="10">
        <v>-15226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-391123</v>
      </c>
    </row>
    <row r="16" spans="2:7" x14ac:dyDescent="0.2">
      <c r="B16" s="4">
        <v>2</v>
      </c>
      <c r="C16" s="13">
        <v>43466</v>
      </c>
      <c r="D16" s="14">
        <f>1223636-1607</f>
        <v>1222029</v>
      </c>
      <c r="E16" s="15">
        <v>1310216.1200000001</v>
      </c>
      <c r="F16" s="16">
        <f t="shared" ref="F16:F23" si="0">D16-E16</f>
        <v>-88187.120000000112</v>
      </c>
      <c r="G16" s="12">
        <f t="shared" ref="G16:G23" si="1">G15+F16</f>
        <v>-479310.12000000011</v>
      </c>
    </row>
    <row r="17" spans="2:7" x14ac:dyDescent="0.2">
      <c r="B17" s="4">
        <v>3</v>
      </c>
      <c r="C17" s="17">
        <v>43497</v>
      </c>
      <c r="D17" s="18">
        <f>807216-1330</f>
        <v>805886</v>
      </c>
      <c r="E17" s="19">
        <v>1307642.6100000001</v>
      </c>
      <c r="F17" s="20">
        <f t="shared" si="0"/>
        <v>-501756.6100000001</v>
      </c>
      <c r="G17" s="21">
        <f t="shared" si="1"/>
        <v>-981066.73000000021</v>
      </c>
    </row>
    <row r="18" spans="2:7" x14ac:dyDescent="0.2">
      <c r="B18" s="4">
        <v>4</v>
      </c>
      <c r="C18" s="17">
        <v>43525</v>
      </c>
      <c r="D18" s="18">
        <f>858307-1322</f>
        <v>856985</v>
      </c>
      <c r="E18" s="19">
        <v>713480.77</v>
      </c>
      <c r="F18" s="20">
        <f t="shared" si="0"/>
        <v>143504.22999999998</v>
      </c>
      <c r="G18" s="21">
        <f t="shared" si="1"/>
        <v>-837562.50000000023</v>
      </c>
    </row>
    <row r="19" spans="2:7" x14ac:dyDescent="0.2">
      <c r="B19" s="4">
        <v>5</v>
      </c>
      <c r="C19" s="17">
        <v>43556</v>
      </c>
      <c r="D19" s="18">
        <f>809987-1663</f>
        <v>808324</v>
      </c>
      <c r="E19" s="19">
        <v>647496.03</v>
      </c>
      <c r="F19" s="20">
        <f t="shared" si="0"/>
        <v>160827.96999999997</v>
      </c>
      <c r="G19" s="21">
        <f t="shared" si="1"/>
        <v>-676734.53000000026</v>
      </c>
    </row>
    <row r="20" spans="2:7" x14ac:dyDescent="0.2">
      <c r="B20" s="4">
        <v>6</v>
      </c>
      <c r="C20" s="17">
        <v>43586</v>
      </c>
      <c r="D20" s="18">
        <f>868542-1720</f>
        <v>866822</v>
      </c>
      <c r="E20" s="19">
        <v>682675.93</v>
      </c>
      <c r="F20" s="20">
        <f t="shared" si="0"/>
        <v>184146.06999999995</v>
      </c>
      <c r="G20" s="21">
        <f t="shared" si="1"/>
        <v>-492588.46000000031</v>
      </c>
    </row>
    <row r="21" spans="2:7" x14ac:dyDescent="0.2">
      <c r="B21" s="4">
        <v>7</v>
      </c>
      <c r="C21" s="17">
        <v>43617</v>
      </c>
      <c r="D21" s="18">
        <f>1089012-2066</f>
        <v>1086946</v>
      </c>
      <c r="E21" s="19">
        <v>843120.36</v>
      </c>
      <c r="F21" s="22">
        <f t="shared" si="0"/>
        <v>243825.64</v>
      </c>
      <c r="G21" s="23">
        <f t="shared" si="1"/>
        <v>-248762.8200000003</v>
      </c>
    </row>
    <row r="22" spans="2:7" x14ac:dyDescent="0.2">
      <c r="B22" s="24" t="s">
        <v>25</v>
      </c>
      <c r="C22" s="13">
        <v>43647</v>
      </c>
      <c r="D22" s="14">
        <f>1221549-2031</f>
        <v>1219518</v>
      </c>
      <c r="E22" s="15">
        <v>1078673.81</v>
      </c>
      <c r="F22" s="16">
        <f t="shared" si="0"/>
        <v>140844.18999999994</v>
      </c>
      <c r="G22" s="12">
        <f t="shared" si="1"/>
        <v>-107918.63000000035</v>
      </c>
    </row>
    <row r="23" spans="2:7" x14ac:dyDescent="0.2">
      <c r="B23" s="25" t="s">
        <v>26</v>
      </c>
      <c r="C23" s="26">
        <v>43678</v>
      </c>
      <c r="D23" s="27">
        <f>1158141-1974</f>
        <v>1156167</v>
      </c>
      <c r="E23" s="28">
        <v>1159366.47</v>
      </c>
      <c r="F23" s="22">
        <f t="shared" si="0"/>
        <v>-3199.4699999999721</v>
      </c>
      <c r="G23" s="23">
        <f t="shared" si="1"/>
        <v>-111118.10000000033</v>
      </c>
    </row>
    <row r="24" spans="2:7" x14ac:dyDescent="0.2">
      <c r="B24" s="5"/>
      <c r="C24" s="29" t="s">
        <v>73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66</v>
      </c>
      <c r="D31" s="12">
        <f>-G12</f>
        <v>-59439</v>
      </c>
      <c r="E31" s="12">
        <f>D63</f>
        <v>59439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70</v>
      </c>
      <c r="D32" s="21">
        <f>-G13</f>
        <v>435336</v>
      </c>
      <c r="E32" s="21">
        <f>E63</f>
        <v>-290224</v>
      </c>
      <c r="F32" s="3"/>
      <c r="G32" s="21">
        <f>D32+E32</f>
        <v>145112</v>
      </c>
    </row>
    <row r="33" spans="2:7" x14ac:dyDescent="0.2">
      <c r="B33" s="33" t="s">
        <v>45</v>
      </c>
      <c r="C33" s="34" t="s">
        <v>74</v>
      </c>
      <c r="D33" s="23">
        <f>-G14</f>
        <v>15226</v>
      </c>
      <c r="E33" s="23">
        <f>F63</f>
        <v>0</v>
      </c>
      <c r="F33" s="34"/>
      <c r="G33" s="23">
        <f>D33+E33</f>
        <v>15226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160338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-88424.820000000298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-14737.47000000005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-391123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160338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-230785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-88424.820000000298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50">
        <f>SUM(F16:F21)</f>
        <v>142360.1799999997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-230785</v>
      </c>
    </row>
    <row r="52" spans="2:7" ht="15" thickTop="1" x14ac:dyDescent="0.2">
      <c r="B52" s="34"/>
      <c r="C52" s="51"/>
      <c r="D52" s="51"/>
      <c r="E52" s="51"/>
      <c r="F52" s="51"/>
      <c r="G52" s="52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67</v>
      </c>
      <c r="E56" s="5" t="s">
        <v>71</v>
      </c>
      <c r="F56" s="5" t="s">
        <v>75</v>
      </c>
    </row>
    <row r="57" spans="2:7" x14ac:dyDescent="0.2">
      <c r="C57" s="13">
        <v>43466</v>
      </c>
      <c r="D57" s="14">
        <v>29720</v>
      </c>
      <c r="E57" s="14">
        <v>0</v>
      </c>
      <c r="F57" s="12">
        <v>0</v>
      </c>
    </row>
    <row r="58" spans="2:7" x14ac:dyDescent="0.2">
      <c r="C58" s="17">
        <v>43497</v>
      </c>
      <c r="D58" s="18">
        <v>29719</v>
      </c>
      <c r="E58" s="18">
        <v>0</v>
      </c>
      <c r="F58" s="21">
        <v>0</v>
      </c>
    </row>
    <row r="59" spans="2:7" x14ac:dyDescent="0.2">
      <c r="C59" s="17">
        <v>43525</v>
      </c>
      <c r="D59" s="18">
        <v>0</v>
      </c>
      <c r="E59" s="18">
        <v>-72556</v>
      </c>
      <c r="F59" s="21">
        <v>0</v>
      </c>
    </row>
    <row r="60" spans="2:7" x14ac:dyDescent="0.2">
      <c r="C60" s="17">
        <v>43556</v>
      </c>
      <c r="D60" s="18">
        <v>0</v>
      </c>
      <c r="E60" s="18">
        <v>-72556</v>
      </c>
      <c r="F60" s="21">
        <v>0</v>
      </c>
    </row>
    <row r="61" spans="2:7" x14ac:dyDescent="0.2">
      <c r="C61" s="17">
        <v>43586</v>
      </c>
      <c r="D61" s="18">
        <v>0</v>
      </c>
      <c r="E61" s="18">
        <v>-72556</v>
      </c>
      <c r="F61" s="21">
        <v>0</v>
      </c>
    </row>
    <row r="62" spans="2:7" x14ac:dyDescent="0.2">
      <c r="C62" s="26">
        <v>43617</v>
      </c>
      <c r="D62" s="27">
        <v>0</v>
      </c>
      <c r="E62" s="27">
        <v>-72556</v>
      </c>
      <c r="F62" s="23">
        <v>0</v>
      </c>
    </row>
    <row r="63" spans="2:7" x14ac:dyDescent="0.2">
      <c r="C63" s="53" t="s">
        <v>63</v>
      </c>
      <c r="D63" s="41">
        <f>SUM(D57:D62)</f>
        <v>59439</v>
      </c>
      <c r="E63" s="41">
        <f>SUM(E57:E62)</f>
        <v>-290224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Previous 2018-00075</vt:lpstr>
      <vt:lpstr>Previous 2018-00306</vt:lpstr>
      <vt:lpstr>Previous 2019-00171</vt:lpstr>
      <vt:lpstr>Current 2019-00380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2019-10-28T11:51:22Z</dcterms:created>
  <dcterms:modified xsi:type="dcterms:W3CDTF">2019-12-09T13:04:03Z</dcterms:modified>
</cp:coreProperties>
</file>