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4" l="1"/>
  <c r="E37" i="4" s="1"/>
  <c r="E67" i="4"/>
  <c r="E36" i="4" s="1"/>
  <c r="D67" i="4"/>
  <c r="E35" i="4" s="1"/>
  <c r="D37" i="4"/>
  <c r="D36" i="4"/>
  <c r="D35" i="4"/>
  <c r="E27" i="4"/>
  <c r="D27" i="4"/>
  <c r="F27" i="4" s="1"/>
  <c r="E26" i="4"/>
  <c r="D26" i="4"/>
  <c r="E25" i="4"/>
  <c r="D25" i="4"/>
  <c r="F25" i="4" s="1"/>
  <c r="E24" i="4"/>
  <c r="D24" i="4"/>
  <c r="F24" i="4" s="1"/>
  <c r="E23" i="4"/>
  <c r="D23" i="4"/>
  <c r="F23" i="4" s="1"/>
  <c r="E22" i="4"/>
  <c r="D22" i="4"/>
  <c r="E21" i="4"/>
  <c r="D21" i="4"/>
  <c r="F21" i="4" s="1"/>
  <c r="E20" i="4"/>
  <c r="D20" i="4"/>
  <c r="F20" i="4" s="1"/>
  <c r="G19" i="4"/>
  <c r="G46" i="4" s="1"/>
  <c r="L22" i="4"/>
  <c r="K22" i="4"/>
  <c r="L21" i="4"/>
  <c r="K21" i="4"/>
  <c r="M21" i="4" s="1"/>
  <c r="L20" i="4"/>
  <c r="K20" i="4"/>
  <c r="L19" i="4"/>
  <c r="K19" i="4"/>
  <c r="M19" i="4" s="1"/>
  <c r="L18" i="4"/>
  <c r="K18" i="4"/>
  <c r="L17" i="4"/>
  <c r="K17" i="4"/>
  <c r="M17" i="4" s="1"/>
  <c r="L16" i="4"/>
  <c r="K16" i="4"/>
  <c r="L15" i="4"/>
  <c r="K15" i="4"/>
  <c r="M15" i="4" s="1"/>
  <c r="N15" i="4" s="1"/>
  <c r="M18" i="4" l="1"/>
  <c r="M22" i="4"/>
  <c r="G35" i="4"/>
  <c r="M16" i="4"/>
  <c r="N16" i="4" s="1"/>
  <c r="N17" i="4" s="1"/>
  <c r="N18" i="4" s="1"/>
  <c r="N19" i="4" s="1"/>
  <c r="N20" i="4" s="1"/>
  <c r="M20" i="4"/>
  <c r="F22" i="4"/>
  <c r="G53" i="4" s="1"/>
  <c r="F26" i="4"/>
  <c r="G20" i="4"/>
  <c r="G21" i="4" s="1"/>
  <c r="G36" i="4"/>
  <c r="G37" i="4"/>
  <c r="L22" i="3"/>
  <c r="K22" i="3"/>
  <c r="M22" i="3" s="1"/>
  <c r="M21" i="3"/>
  <c r="L21" i="3"/>
  <c r="K21" i="3"/>
  <c r="L20" i="3"/>
  <c r="K20" i="3"/>
  <c r="M20" i="3" s="1"/>
  <c r="M19" i="3"/>
  <c r="L19" i="3"/>
  <c r="K19" i="3"/>
  <c r="L18" i="3"/>
  <c r="K18" i="3"/>
  <c r="M18" i="3" s="1"/>
  <c r="M17" i="3"/>
  <c r="L17" i="3"/>
  <c r="K17" i="3"/>
  <c r="L16" i="3"/>
  <c r="K16" i="3"/>
  <c r="M16" i="3" s="1"/>
  <c r="M15" i="3"/>
  <c r="N15" i="3" s="1"/>
  <c r="N16" i="3" s="1"/>
  <c r="N17" i="3" s="1"/>
  <c r="L15" i="3"/>
  <c r="K15" i="3"/>
  <c r="F67" i="3"/>
  <c r="E37" i="3" s="1"/>
  <c r="E67" i="3"/>
  <c r="E36" i="3" s="1"/>
  <c r="D67" i="3"/>
  <c r="D37" i="3"/>
  <c r="D36" i="3"/>
  <c r="E35" i="3"/>
  <c r="D35" i="3"/>
  <c r="G35" i="3" s="1"/>
  <c r="F27" i="3"/>
  <c r="E27" i="3"/>
  <c r="D27" i="3"/>
  <c r="E26" i="3"/>
  <c r="D26" i="3"/>
  <c r="F26" i="3" s="1"/>
  <c r="F25" i="3"/>
  <c r="E25" i="3"/>
  <c r="D25" i="3"/>
  <c r="E24" i="3"/>
  <c r="D24" i="3"/>
  <c r="F24" i="3" s="1"/>
  <c r="F23" i="3"/>
  <c r="E23" i="3"/>
  <c r="D23" i="3"/>
  <c r="E22" i="3"/>
  <c r="D22" i="3"/>
  <c r="F22" i="3" s="1"/>
  <c r="F21" i="3"/>
  <c r="E21" i="3"/>
  <c r="D21" i="3"/>
  <c r="E20" i="3"/>
  <c r="D20" i="3"/>
  <c r="F20" i="3" s="1"/>
  <c r="G19" i="3"/>
  <c r="G46" i="3" s="1"/>
  <c r="N21" i="4" l="1"/>
  <c r="N22" i="4" s="1"/>
  <c r="N24" i="4"/>
  <c r="N26" i="4" s="1"/>
  <c r="G38" i="4"/>
  <c r="G47" i="4" s="1"/>
  <c r="G49" i="4" s="1"/>
  <c r="G22" i="4"/>
  <c r="G23" i="4" s="1"/>
  <c r="G24" i="4" s="1"/>
  <c r="G25" i="4" s="1"/>
  <c r="G40" i="4" s="1"/>
  <c r="N18" i="3"/>
  <c r="N19" i="3" s="1"/>
  <c r="N20" i="3" s="1"/>
  <c r="G36" i="3"/>
  <c r="G38" i="3" s="1"/>
  <c r="G47" i="3" s="1"/>
  <c r="G49" i="3" s="1"/>
  <c r="G37" i="3"/>
  <c r="G53" i="3"/>
  <c r="G20" i="3"/>
  <c r="G21" i="3" s="1"/>
  <c r="G22" i="3" s="1"/>
  <c r="G23" i="3" s="1"/>
  <c r="G24" i="3" s="1"/>
  <c r="G25" i="3" s="1"/>
  <c r="G26" i="4" l="1"/>
  <c r="G27" i="4" s="1"/>
  <c r="G51" i="4"/>
  <c r="G55" i="4" s="1"/>
  <c r="G42" i="4"/>
  <c r="N21" i="3"/>
  <c r="N22" i="3" s="1"/>
  <c r="N24" i="3"/>
  <c r="N26" i="3" s="1"/>
  <c r="G40" i="3"/>
  <c r="G26" i="3"/>
  <c r="G27" i="3" s="1"/>
  <c r="G51" i="3" l="1"/>
  <c r="G55" i="3" s="1"/>
  <c r="G42" i="3"/>
  <c r="L22" i="2" l="1"/>
  <c r="K22" i="2"/>
  <c r="M22" i="2" s="1"/>
  <c r="L21" i="2"/>
  <c r="K21" i="2"/>
  <c r="M21" i="2" s="1"/>
  <c r="L20" i="2"/>
  <c r="K20" i="2"/>
  <c r="M20" i="2" s="1"/>
  <c r="L19" i="2"/>
  <c r="K19" i="2"/>
  <c r="M19" i="2" s="1"/>
  <c r="L18" i="2"/>
  <c r="K18" i="2"/>
  <c r="M18" i="2" s="1"/>
  <c r="L17" i="2"/>
  <c r="K17" i="2"/>
  <c r="M17" i="2" s="1"/>
  <c r="L16" i="2"/>
  <c r="K16" i="2"/>
  <c r="M16" i="2" s="1"/>
  <c r="L15" i="2"/>
  <c r="K15" i="2"/>
  <c r="M15" i="2" s="1"/>
  <c r="N15" i="2" s="1"/>
  <c r="F67" i="2"/>
  <c r="E67" i="2"/>
  <c r="E36" i="2" s="1"/>
  <c r="G36" i="2" s="1"/>
  <c r="D67" i="2"/>
  <c r="E37" i="2"/>
  <c r="D37" i="2"/>
  <c r="G37" i="2" s="1"/>
  <c r="D36" i="2"/>
  <c r="E35" i="2"/>
  <c r="D35" i="2"/>
  <c r="G35" i="2" s="1"/>
  <c r="E27" i="2"/>
  <c r="F27" i="2" s="1"/>
  <c r="D27" i="2"/>
  <c r="E26" i="2"/>
  <c r="D26" i="2"/>
  <c r="F26" i="2" s="1"/>
  <c r="E25" i="2"/>
  <c r="F25" i="2" s="1"/>
  <c r="D25" i="2"/>
  <c r="E24" i="2"/>
  <c r="D24" i="2"/>
  <c r="F24" i="2" s="1"/>
  <c r="E23" i="2"/>
  <c r="F23" i="2" s="1"/>
  <c r="D23" i="2"/>
  <c r="E22" i="2"/>
  <c r="D22" i="2"/>
  <c r="F22" i="2" s="1"/>
  <c r="E21" i="2"/>
  <c r="F21" i="2" s="1"/>
  <c r="D21" i="2"/>
  <c r="E20" i="2"/>
  <c r="D20" i="2"/>
  <c r="F20" i="2" s="1"/>
  <c r="G19" i="2"/>
  <c r="G46" i="2" s="1"/>
  <c r="N16" i="2" l="1"/>
  <c r="N17" i="2" s="1"/>
  <c r="N18" i="2" s="1"/>
  <c r="N19" i="2" s="1"/>
  <c r="N20" i="2" s="1"/>
  <c r="G53" i="2"/>
  <c r="G38" i="2"/>
  <c r="G47" i="2" s="1"/>
  <c r="G49" i="2" s="1"/>
  <c r="G20" i="2"/>
  <c r="G21" i="2" s="1"/>
  <c r="G22" i="2" s="1"/>
  <c r="G23" i="2" s="1"/>
  <c r="G24" i="2" s="1"/>
  <c r="G25" i="2" s="1"/>
  <c r="N21" i="2" l="1"/>
  <c r="N22" i="2" s="1"/>
  <c r="N24" i="2"/>
  <c r="N26" i="2" s="1"/>
  <c r="G26" i="2"/>
  <c r="G27" i="2" s="1"/>
  <c r="G40" i="2"/>
  <c r="G42" i="2" l="1"/>
  <c r="G51" i="2"/>
  <c r="G55" i="2" s="1"/>
  <c r="L22" i="1" l="1"/>
  <c r="K22" i="1"/>
  <c r="M22" i="1" s="1"/>
  <c r="L21" i="1"/>
  <c r="K21" i="1"/>
  <c r="M21" i="1" s="1"/>
  <c r="L20" i="1"/>
  <c r="K20" i="1"/>
  <c r="M20" i="1" s="1"/>
  <c r="L19" i="1"/>
  <c r="K19" i="1"/>
  <c r="M19" i="1" s="1"/>
  <c r="L18" i="1"/>
  <c r="K18" i="1"/>
  <c r="M18" i="1" s="1"/>
  <c r="L17" i="1"/>
  <c r="K17" i="1"/>
  <c r="M17" i="1" s="1"/>
  <c r="L16" i="1"/>
  <c r="K16" i="1"/>
  <c r="M16" i="1" s="1"/>
  <c r="L15" i="1"/>
  <c r="K15" i="1"/>
  <c r="M15" i="1" s="1"/>
  <c r="N15" i="1" s="1"/>
  <c r="N16" i="1" s="1"/>
  <c r="N17" i="1" s="1"/>
  <c r="F67" i="1"/>
  <c r="E67" i="1"/>
  <c r="E36" i="1" s="1"/>
  <c r="D67" i="1"/>
  <c r="E37" i="1"/>
  <c r="D37" i="1"/>
  <c r="G37" i="1" s="1"/>
  <c r="D36" i="1"/>
  <c r="G36" i="1" s="1"/>
  <c r="E35" i="1"/>
  <c r="D35" i="1"/>
  <c r="G35" i="1" s="1"/>
  <c r="G38" i="1" s="1"/>
  <c r="G47" i="1" s="1"/>
  <c r="F27" i="1"/>
  <c r="E27" i="1"/>
  <c r="D27" i="1"/>
  <c r="E26" i="1"/>
  <c r="D26" i="1"/>
  <c r="F26" i="1" s="1"/>
  <c r="F25" i="1"/>
  <c r="E25" i="1"/>
  <c r="D25" i="1"/>
  <c r="E24" i="1"/>
  <c r="D24" i="1"/>
  <c r="F24" i="1" s="1"/>
  <c r="F23" i="1"/>
  <c r="E23" i="1"/>
  <c r="D23" i="1"/>
  <c r="E22" i="1"/>
  <c r="D22" i="1"/>
  <c r="F22" i="1" s="1"/>
  <c r="F21" i="1"/>
  <c r="E21" i="1"/>
  <c r="D21" i="1"/>
  <c r="E20" i="1"/>
  <c r="D20" i="1"/>
  <c r="F20" i="1" s="1"/>
  <c r="G19" i="1"/>
  <c r="G46" i="1" s="1"/>
  <c r="N18" i="1" l="1"/>
  <c r="N19" i="1" s="1"/>
  <c r="N20" i="1" s="1"/>
  <c r="G53" i="1"/>
  <c r="G49" i="1"/>
  <c r="G20" i="1"/>
  <c r="G21" i="1" s="1"/>
  <c r="G22" i="1" s="1"/>
  <c r="G23" i="1" s="1"/>
  <c r="G24" i="1" s="1"/>
  <c r="G25" i="1" s="1"/>
  <c r="N24" i="1" l="1"/>
  <c r="N26" i="1" s="1"/>
  <c r="N21" i="1"/>
  <c r="N22" i="1" s="1"/>
  <c r="G26" i="1"/>
  <c r="G27" i="1" s="1"/>
  <c r="G40" i="1"/>
  <c r="G42" i="1" l="1"/>
  <c r="G51" i="1"/>
  <c r="G55" i="1" s="1"/>
</calcChain>
</file>

<file path=xl/sharedStrings.xml><?xml version="1.0" encoding="utf-8"?>
<sst xmlns="http://schemas.openxmlformats.org/spreadsheetml/2006/main" count="372" uniqueCount="85">
  <si>
    <t>Rate E:  See Excel Columns B through G</t>
  </si>
  <si>
    <t>Fleming Mason - Calculation of (Over)/Under Recovery</t>
  </si>
  <si>
    <t>Rate E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</si>
  <si>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</si>
  <si>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</si>
  <si>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</si>
  <si>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</si>
  <si>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</si>
  <si>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</si>
  <si>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</si>
  <si>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</si>
  <si>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</si>
  <si>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</si>
  <si>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</si>
  <si>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</si>
  <si>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</si>
  <si>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</si>
  <si>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</si>
  <si>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</si>
  <si>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</si>
  <si>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</si>
  <si>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</si>
  <si>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</si>
  <si>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</si>
  <si>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</si>
  <si>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</si>
  <si>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</si>
  <si>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</si>
  <si>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</si>
  <si>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</si>
  <si>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</si>
  <si>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</si>
  <si>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</si>
  <si>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</si>
  <si>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</si>
  <si>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</si>
  <si>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</si>
  <si>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</si>
  <si>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</si>
  <si>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</si>
  <si>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</si>
  <si>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</si>
  <si>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</si>
  <si>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</si>
  <si>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</si>
  <si>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</si>
  <si>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</si>
  <si>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</si>
  <si>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</si>
  <si>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</si>
  <si>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</si>
  <si>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</si>
  <si>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</si>
  <si>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</si>
  <si>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</si>
  <si>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</si>
  <si>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</si>
  <si>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</si>
  <si>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</si>
  <si>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</si>
  <si>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</si>
  <si>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</si>
  <si>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</si>
  <si>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</si>
  <si>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</si>
  <si>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</si>
  <si>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Fleming-Mason Energy Cooperative - Calculation of (Over)/Under Recovery - Direct Surcharge Pass-Throughs</t>
  </si>
  <si>
    <t>Steam, Rate C, Rate G, and Rate H</t>
  </si>
  <si>
    <t>(1)</t>
  </si>
  <si>
    <t>Cumulative 6-month (Over)/Under Recovery</t>
  </si>
  <si>
    <t>Monthly Recovery (per month for six months)</t>
  </si>
  <si>
    <t>Steam, Rates C, G, and H:  See Excel Columns J through N</t>
  </si>
  <si>
    <t>From Case No. 2018-00075 (Over)/Under-Recovery</t>
  </si>
  <si>
    <t>Less Adjustment for Order amounts remaining to be amortized at end of review period June 2017</t>
  </si>
  <si>
    <t>Case No. 2018-00075 Recovery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</si>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</sst>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$-409]mmm\-yy;@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/>
    <xf numFmtId="0" fontId="4" fillId="0" borderId="0" xfId="1"/>
    <xf numFmtId="0" fontId="2" fillId="0" borderId="0" xfId="1" applyFont="1"/>
    <xf numFmtId="0" fontId="1" fillId="0" borderId="7" xfId="1" applyFont="1" applyBorder="1"/>
    <xf numFmtId="0" fontId="1" fillId="0" borderId="7" xfId="1" applyFont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17" fontId="6" fillId="0" borderId="7" xfId="2" applyNumberFormat="1" applyFont="1" applyFill="1" applyBorder="1"/>
    <xf numFmtId="5" fontId="1" fillId="0" borderId="8" xfId="3" applyNumberFormat="1" applyFont="1" applyBorder="1" applyAlignment="1">
      <alignment horizontal="right"/>
    </xf>
    <xf numFmtId="5" fontId="1" fillId="0" borderId="0" xfId="3" applyNumberFormat="1" applyFont="1" applyBorder="1" applyAlignment="1">
      <alignment horizontal="right"/>
    </xf>
    <xf numFmtId="5" fontId="1" fillId="0" borderId="7" xfId="1" applyNumberFormat="1" applyFont="1" applyBorder="1"/>
    <xf numFmtId="17" fontId="6" fillId="0" borderId="8" xfId="2" applyNumberFormat="1" applyFont="1" applyFill="1" applyBorder="1"/>
    <xf numFmtId="5" fontId="1" fillId="0" borderId="8" xfId="1" applyNumberFormat="1" applyFont="1" applyBorder="1"/>
    <xf numFmtId="17" fontId="6" fillId="0" borderId="9" xfId="2" applyNumberFormat="1" applyFont="1" applyFill="1" applyBorder="1"/>
    <xf numFmtId="5" fontId="1" fillId="0" borderId="9" xfId="1" applyNumberFormat="1" applyFont="1" applyBorder="1"/>
    <xf numFmtId="0" fontId="1" fillId="0" borderId="0" xfId="1" applyFont="1"/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5" fontId="1" fillId="0" borderId="10" xfId="1" applyNumberFormat="1" applyFont="1" applyBorder="1"/>
    <xf numFmtId="5" fontId="1" fillId="0" borderId="0" xfId="1" applyNumberFormat="1" applyFont="1"/>
    <xf numFmtId="5" fontId="1" fillId="0" borderId="8" xfId="3" applyNumberFormat="1" applyFont="1" applyFill="1" applyBorder="1" applyAlignment="1">
      <alignment horizontal="right"/>
    </xf>
    <xf numFmtId="5" fontId="1" fillId="0" borderId="0" xfId="3" applyNumberFormat="1" applyFont="1" applyFill="1" applyBorder="1" applyAlignment="1">
      <alignment horizontal="right"/>
    </xf>
    <xf numFmtId="5" fontId="1" fillId="0" borderId="8" xfId="1" applyNumberFormat="1" applyFont="1" applyFill="1" applyBorder="1"/>
    <xf numFmtId="5" fontId="1" fillId="0" borderId="9" xfId="1" applyNumberFormat="1" applyFont="1" applyFill="1" applyBorder="1"/>
    <xf numFmtId="5" fontId="1" fillId="0" borderId="7" xfId="1" applyNumberFormat="1" applyFont="1" applyFill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sqref="A1:A2"/>
    </sheetView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71</v>
      </c>
    </row>
    <row r="3" spans="1:14" ht="15" x14ac:dyDescent="0.2">
      <c r="J3" s="56"/>
      <c r="K3" s="56"/>
      <c r="L3" s="56"/>
      <c r="M3" s="56"/>
      <c r="N3" s="56"/>
    </row>
    <row r="4" spans="1:14" ht="15" x14ac:dyDescent="0.2">
      <c r="J4" s="56"/>
      <c r="K4" s="56"/>
      <c r="L4" s="56"/>
      <c r="M4" s="56"/>
      <c r="N4" s="56"/>
    </row>
    <row r="5" spans="1:14" x14ac:dyDescent="0.2">
      <c r="B5" s="87" t="s">
        <v>1</v>
      </c>
      <c r="C5" s="88"/>
      <c r="D5" s="88"/>
      <c r="E5" s="88"/>
      <c r="F5" s="88"/>
      <c r="G5" s="89"/>
      <c r="J5" s="96" t="s">
        <v>66</v>
      </c>
      <c r="K5" s="97"/>
      <c r="L5" s="97"/>
      <c r="M5" s="97"/>
      <c r="N5" s="98"/>
    </row>
    <row r="6" spans="1:14" x14ac:dyDescent="0.2">
      <c r="B6" s="90"/>
      <c r="C6" s="91"/>
      <c r="D6" s="91"/>
      <c r="E6" s="91"/>
      <c r="F6" s="91"/>
      <c r="G6" s="92"/>
      <c r="J6" s="99"/>
      <c r="K6" s="100"/>
      <c r="L6" s="100"/>
      <c r="M6" s="100"/>
      <c r="N6" s="101"/>
    </row>
    <row r="7" spans="1:14" ht="14.25" customHeight="1" x14ac:dyDescent="0.2">
      <c r="D7" s="54"/>
      <c r="E7" s="54"/>
      <c r="J7" s="56"/>
      <c r="K7" s="56"/>
      <c r="L7" s="56"/>
      <c r="M7" s="56"/>
      <c r="N7" s="56"/>
    </row>
    <row r="8" spans="1:14" ht="15.75" x14ac:dyDescent="0.25">
      <c r="B8" s="55" t="s">
        <v>2</v>
      </c>
      <c r="D8" s="1"/>
      <c r="E8" s="1"/>
      <c r="J8" s="57" t="s">
        <v>67</v>
      </c>
      <c r="K8" s="56"/>
      <c r="L8" s="56"/>
      <c r="M8" s="56"/>
      <c r="N8" s="56"/>
    </row>
    <row r="9" spans="1:14" ht="15" x14ac:dyDescent="0.2">
      <c r="D9" s="1"/>
      <c r="E9" s="1"/>
      <c r="J9" s="56"/>
      <c r="K9" s="56"/>
      <c r="L9" s="56"/>
      <c r="M9" s="56"/>
      <c r="N9" s="56"/>
    </row>
    <row r="10" spans="1:14" x14ac:dyDescent="0.2">
      <c r="B10" s="2"/>
      <c r="C10" s="2"/>
      <c r="D10" s="2"/>
      <c r="E10" s="3" t="s">
        <v>3</v>
      </c>
      <c r="F10" s="2"/>
      <c r="G10" s="2"/>
      <c r="J10" s="58"/>
      <c r="K10" s="58"/>
      <c r="L10" s="59" t="s">
        <v>3</v>
      </c>
      <c r="M10" s="58"/>
      <c r="N10" s="58"/>
    </row>
    <row r="11" spans="1:14" x14ac:dyDescent="0.2">
      <c r="B11" s="4"/>
      <c r="C11" s="4"/>
      <c r="D11" s="5" t="s">
        <v>4</v>
      </c>
      <c r="E11" s="5" t="s">
        <v>5</v>
      </c>
      <c r="F11" s="4"/>
      <c r="G11" s="4"/>
      <c r="J11" s="60"/>
      <c r="K11" s="61" t="s">
        <v>4</v>
      </c>
      <c r="L11" s="61" t="s">
        <v>5</v>
      </c>
      <c r="M11" s="60"/>
      <c r="N11" s="60"/>
    </row>
    <row r="12" spans="1:14" x14ac:dyDescent="0.2">
      <c r="B12" s="4"/>
      <c r="C12" s="4"/>
      <c r="D12" s="5" t="s">
        <v>6</v>
      </c>
      <c r="E12" s="5" t="s">
        <v>7</v>
      </c>
      <c r="F12" s="5" t="s">
        <v>8</v>
      </c>
      <c r="G12" s="5" t="s">
        <v>9</v>
      </c>
      <c r="J12" s="60"/>
      <c r="K12" s="61" t="s">
        <v>6</v>
      </c>
      <c r="L12" s="61" t="s">
        <v>7</v>
      </c>
      <c r="M12" s="61" t="s">
        <v>8</v>
      </c>
      <c r="N12" s="61" t="s">
        <v>9</v>
      </c>
    </row>
    <row r="13" spans="1:14" x14ac:dyDescent="0.2">
      <c r="B13" s="6"/>
      <c r="C13" s="6"/>
      <c r="D13" s="6" t="s">
        <v>10</v>
      </c>
      <c r="E13" s="6" t="s">
        <v>10</v>
      </c>
      <c r="F13" s="6" t="s">
        <v>11</v>
      </c>
      <c r="G13" s="6" t="s">
        <v>11</v>
      </c>
      <c r="J13" s="62"/>
      <c r="K13" s="62" t="s">
        <v>10</v>
      </c>
      <c r="L13" s="62" t="s">
        <v>10</v>
      </c>
      <c r="M13" s="62" t="s">
        <v>11</v>
      </c>
      <c r="N13" s="62" t="s">
        <v>11</v>
      </c>
    </row>
    <row r="14" spans="1:14" x14ac:dyDescent="0.2">
      <c r="B14" s="7" t="s">
        <v>12</v>
      </c>
      <c r="C14" s="7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J14" s="63" t="s">
        <v>13</v>
      </c>
      <c r="K14" s="64" t="s">
        <v>68</v>
      </c>
      <c r="L14" s="64" t="s">
        <v>14</v>
      </c>
      <c r="M14" s="64" t="s">
        <v>15</v>
      </c>
      <c r="N14" s="64" t="s">
        <v>16</v>
      </c>
    </row>
    <row r="15" spans="1:14" x14ac:dyDescent="0.2">
      <c r="B15" s="3">
        <v>1</v>
      </c>
      <c r="C15" s="93" t="s">
        <v>18</v>
      </c>
      <c r="D15" s="94"/>
      <c r="E15" s="94"/>
      <c r="F15" s="94"/>
      <c r="G15" s="95"/>
      <c r="J15" s="65">
        <v>42917</v>
      </c>
      <c r="K15" s="66">
        <f>148018+132081+167634+50286</f>
        <v>498019</v>
      </c>
      <c r="L15" s="67">
        <f>167634+148018+83316+49649+50286-884</f>
        <v>498019</v>
      </c>
      <c r="M15" s="68">
        <f t="shared" ref="M15:M22" si="0">K15-L15</f>
        <v>0</v>
      </c>
      <c r="N15" s="68">
        <f>M15</f>
        <v>0</v>
      </c>
    </row>
    <row r="16" spans="1:14" x14ac:dyDescent="0.2">
      <c r="B16" s="3" t="s">
        <v>19</v>
      </c>
      <c r="C16" s="9" t="s">
        <v>20</v>
      </c>
      <c r="D16" s="9"/>
      <c r="E16" s="9"/>
      <c r="F16" s="10"/>
      <c r="G16" s="11">
        <v>-39187</v>
      </c>
      <c r="J16" s="69">
        <v>42948</v>
      </c>
      <c r="K16" s="66">
        <f>147997+143635+162561+37330</f>
        <v>491523</v>
      </c>
      <c r="L16" s="67">
        <f>162561+147997+86106+58516+37330-987</f>
        <v>491523</v>
      </c>
      <c r="M16" s="70">
        <f t="shared" si="0"/>
        <v>0</v>
      </c>
      <c r="N16" s="70">
        <f>N15+M16</f>
        <v>0</v>
      </c>
    </row>
    <row r="17" spans="2:14" x14ac:dyDescent="0.2">
      <c r="B17" s="5" t="s">
        <v>21</v>
      </c>
      <c r="C17" s="9" t="s">
        <v>22</v>
      </c>
      <c r="D17" s="9"/>
      <c r="E17" s="9"/>
      <c r="F17" s="10"/>
      <c r="G17" s="11">
        <v>77998</v>
      </c>
      <c r="J17" s="69">
        <v>42979</v>
      </c>
      <c r="K17" s="66">
        <f>103804+91516+121169+40322</f>
        <v>356811</v>
      </c>
      <c r="L17" s="66">
        <f>121169+103804+48077+43910+40322-471</f>
        <v>356811</v>
      </c>
      <c r="M17" s="70">
        <f t="shared" si="0"/>
        <v>0</v>
      </c>
      <c r="N17" s="70">
        <f t="shared" ref="N17:N20" si="1">N16+M17</f>
        <v>0</v>
      </c>
    </row>
    <row r="18" spans="2:14" x14ac:dyDescent="0.2">
      <c r="B18" s="5" t="s">
        <v>23</v>
      </c>
      <c r="C18" s="9" t="s">
        <v>24</v>
      </c>
      <c r="D18" s="9"/>
      <c r="E18" s="9"/>
      <c r="F18" s="10"/>
      <c r="G18" s="11">
        <v>191141</v>
      </c>
      <c r="J18" s="69">
        <v>43009</v>
      </c>
      <c r="K18" s="66">
        <f>129059+121917+153197+45235</f>
        <v>449408</v>
      </c>
      <c r="L18" s="66">
        <f>153197+129059+68404+54182+45235-669</f>
        <v>449408</v>
      </c>
      <c r="M18" s="70">
        <f t="shared" si="0"/>
        <v>0</v>
      </c>
      <c r="N18" s="70">
        <f t="shared" si="1"/>
        <v>0</v>
      </c>
    </row>
    <row r="19" spans="2:14" x14ac:dyDescent="0.2">
      <c r="B19" s="6" t="s">
        <v>25</v>
      </c>
      <c r="C19" s="9" t="s">
        <v>26</v>
      </c>
      <c r="D19" s="9"/>
      <c r="E19" s="9"/>
      <c r="F19" s="12"/>
      <c r="G19" s="13">
        <f>G16+G17+G18</f>
        <v>229952</v>
      </c>
      <c r="J19" s="69">
        <v>43040</v>
      </c>
      <c r="K19" s="66">
        <f>169714+125609+183153+41546</f>
        <v>520022</v>
      </c>
      <c r="L19" s="70">
        <f>183153+169714+67503+58600+41546-494</f>
        <v>520022</v>
      </c>
      <c r="M19" s="70">
        <f t="shared" si="0"/>
        <v>0</v>
      </c>
      <c r="N19" s="70">
        <f t="shared" si="1"/>
        <v>0</v>
      </c>
    </row>
    <row r="20" spans="2:14" x14ac:dyDescent="0.2">
      <c r="B20" s="5">
        <v>2</v>
      </c>
      <c r="C20" s="14">
        <v>42917</v>
      </c>
      <c r="D20" s="15">
        <f>397796-490</f>
        <v>397306</v>
      </c>
      <c r="E20" s="16">
        <f>550900.19+884</f>
        <v>551784.18999999994</v>
      </c>
      <c r="F20" s="17">
        <f t="shared" ref="F20:F27" si="2">D20-E20</f>
        <v>-154478.18999999994</v>
      </c>
      <c r="G20" s="13">
        <f>G19+F20</f>
        <v>75473.810000000056</v>
      </c>
      <c r="J20" s="71">
        <v>43070</v>
      </c>
      <c r="K20" s="70">
        <f>173920+101587+176467+48866</f>
        <v>500840</v>
      </c>
      <c r="L20" s="72">
        <f>176467+173920+56212+45839+48866-464</f>
        <v>500840</v>
      </c>
      <c r="M20" s="72">
        <f t="shared" si="0"/>
        <v>0</v>
      </c>
      <c r="N20" s="72">
        <f t="shared" si="1"/>
        <v>0</v>
      </c>
    </row>
    <row r="21" spans="2:14" x14ac:dyDescent="0.2">
      <c r="B21" s="5">
        <v>3</v>
      </c>
      <c r="C21" s="18">
        <v>42948</v>
      </c>
      <c r="D21" s="19">
        <f>370085-481</f>
        <v>369604</v>
      </c>
      <c r="E21" s="20">
        <f>341712.17+987</f>
        <v>342699.17</v>
      </c>
      <c r="F21" s="21">
        <f t="shared" si="2"/>
        <v>26904.830000000016</v>
      </c>
      <c r="G21" s="22">
        <f t="shared" ref="G21:G27" si="3">G20+F21</f>
        <v>102378.64000000007</v>
      </c>
      <c r="J21" s="69">
        <v>43101</v>
      </c>
      <c r="K21" s="68">
        <f>168603+116963+161848+33210</f>
        <v>480624</v>
      </c>
      <c r="L21" s="68">
        <f>161848+168603+66696+50760+33210-493</f>
        <v>480624</v>
      </c>
      <c r="M21" s="70">
        <f t="shared" si="0"/>
        <v>0</v>
      </c>
      <c r="N21" s="70">
        <f>N20+M21</f>
        <v>0</v>
      </c>
    </row>
    <row r="22" spans="2:14" x14ac:dyDescent="0.2">
      <c r="B22" s="5">
        <v>4</v>
      </c>
      <c r="C22" s="18">
        <v>42979</v>
      </c>
      <c r="D22" s="19">
        <f>261674-431</f>
        <v>261243</v>
      </c>
      <c r="E22" s="20">
        <f>309700.65+471</f>
        <v>310171.65000000002</v>
      </c>
      <c r="F22" s="21">
        <f t="shared" si="2"/>
        <v>-48928.650000000023</v>
      </c>
      <c r="G22" s="22">
        <f t="shared" si="3"/>
        <v>53449.990000000049</v>
      </c>
      <c r="J22" s="71">
        <v>43132</v>
      </c>
      <c r="K22" s="72">
        <f>108968+78049+111684+22861</f>
        <v>321562</v>
      </c>
      <c r="L22" s="72">
        <f>111684+108968+43297+35299+22861-547</f>
        <v>321562</v>
      </c>
      <c r="M22" s="72">
        <f t="shared" si="0"/>
        <v>0</v>
      </c>
      <c r="N22" s="72">
        <f>N21+M22</f>
        <v>0</v>
      </c>
    </row>
    <row r="23" spans="2:14" x14ac:dyDescent="0.2">
      <c r="B23" s="5">
        <v>5</v>
      </c>
      <c r="C23" s="18">
        <v>43009</v>
      </c>
      <c r="D23" s="19">
        <f>322032-475</f>
        <v>321557</v>
      </c>
      <c r="E23" s="20">
        <f>233172.59+669</f>
        <v>233841.59</v>
      </c>
      <c r="F23" s="21">
        <f t="shared" si="2"/>
        <v>87715.41</v>
      </c>
      <c r="G23" s="22">
        <f t="shared" si="3"/>
        <v>141165.40000000005</v>
      </c>
      <c r="J23" s="73"/>
      <c r="K23" s="73"/>
      <c r="L23" s="73"/>
      <c r="M23" s="73"/>
      <c r="N23" s="73"/>
    </row>
    <row r="24" spans="2:14" x14ac:dyDescent="0.2">
      <c r="B24" s="5">
        <v>6</v>
      </c>
      <c r="C24" s="18">
        <v>43040</v>
      </c>
      <c r="D24" s="19">
        <f>441426-556</f>
        <v>440870</v>
      </c>
      <c r="E24" s="20">
        <f>502021.39+494</f>
        <v>502515.39</v>
      </c>
      <c r="F24" s="21">
        <f t="shared" si="2"/>
        <v>-61645.390000000014</v>
      </c>
      <c r="G24" s="22">
        <f t="shared" si="3"/>
        <v>79520.010000000038</v>
      </c>
      <c r="J24" s="74" t="s">
        <v>69</v>
      </c>
      <c r="K24" s="75"/>
      <c r="L24" s="75"/>
      <c r="M24" s="76"/>
      <c r="N24" s="77">
        <f>N20</f>
        <v>0</v>
      </c>
    </row>
    <row r="25" spans="2:14" x14ac:dyDescent="0.2">
      <c r="B25" s="5">
        <v>7</v>
      </c>
      <c r="C25" s="18">
        <v>43070</v>
      </c>
      <c r="D25" s="19">
        <f>514188-484</f>
        <v>513704</v>
      </c>
      <c r="E25" s="20">
        <f>699839.34+464</f>
        <v>700303.34</v>
      </c>
      <c r="F25" s="23">
        <f t="shared" si="2"/>
        <v>-186599.33999999997</v>
      </c>
      <c r="G25" s="24">
        <f t="shared" si="3"/>
        <v>-107079.32999999993</v>
      </c>
      <c r="J25" s="73"/>
      <c r="K25" s="73"/>
      <c r="L25" s="73"/>
      <c r="M25" s="73"/>
      <c r="N25" s="78"/>
    </row>
    <row r="26" spans="2:14" x14ac:dyDescent="0.2">
      <c r="B26" s="25" t="s">
        <v>27</v>
      </c>
      <c r="C26" s="14">
        <v>43101</v>
      </c>
      <c r="D26" s="15">
        <f>561009-471</f>
        <v>560538</v>
      </c>
      <c r="E26" s="16">
        <f>560119.1+493</f>
        <v>560612.1</v>
      </c>
      <c r="F26" s="17">
        <f t="shared" si="2"/>
        <v>-74.099999999976717</v>
      </c>
      <c r="G26" s="13">
        <f t="shared" si="3"/>
        <v>-107153.42999999991</v>
      </c>
      <c r="J26" s="74" t="s">
        <v>70</v>
      </c>
      <c r="K26" s="75"/>
      <c r="L26" s="75"/>
      <c r="M26" s="76"/>
      <c r="N26" s="77">
        <f>N24/6</f>
        <v>0</v>
      </c>
    </row>
    <row r="27" spans="2:14" ht="15" x14ac:dyDescent="0.2">
      <c r="B27" s="26" t="s">
        <v>28</v>
      </c>
      <c r="C27" s="27">
        <v>43132</v>
      </c>
      <c r="D27" s="28">
        <f>279269-310</f>
        <v>278959</v>
      </c>
      <c r="E27" s="29">
        <f>366357.93+547</f>
        <v>366904.93</v>
      </c>
      <c r="F27" s="23">
        <f t="shared" si="2"/>
        <v>-87945.93</v>
      </c>
      <c r="G27" s="24">
        <f t="shared" si="3"/>
        <v>-195099.3599999999</v>
      </c>
      <c r="J27" s="56"/>
      <c r="K27" s="56"/>
      <c r="L27" s="56"/>
      <c r="M27" s="56"/>
      <c r="N27" s="56"/>
    </row>
    <row r="28" spans="2:14" x14ac:dyDescent="0.2">
      <c r="B28" s="6"/>
      <c r="C28" s="30" t="s">
        <v>29</v>
      </c>
      <c r="D28" s="31"/>
      <c r="E28" s="31"/>
      <c r="F28" s="31"/>
      <c r="G28" s="32"/>
    </row>
    <row r="29" spans="2:14" x14ac:dyDescent="0.2">
      <c r="B29" s="3"/>
      <c r="C29" s="2"/>
      <c r="D29" s="2"/>
      <c r="E29" s="2"/>
      <c r="F29" s="2"/>
      <c r="G29" s="13"/>
    </row>
    <row r="30" spans="2:14" x14ac:dyDescent="0.2">
      <c r="B30" s="5"/>
      <c r="C30" s="4"/>
      <c r="D30" s="5" t="s">
        <v>30</v>
      </c>
      <c r="E30" s="5" t="s">
        <v>31</v>
      </c>
      <c r="F30" s="4"/>
      <c r="G30" s="22"/>
    </row>
    <row r="31" spans="2:14" x14ac:dyDescent="0.2">
      <c r="B31" s="5">
        <v>8</v>
      </c>
      <c r="C31" s="4"/>
      <c r="D31" s="5" t="s">
        <v>32</v>
      </c>
      <c r="E31" s="5" t="s">
        <v>33</v>
      </c>
      <c r="F31" s="4"/>
      <c r="G31" s="33" t="s">
        <v>30</v>
      </c>
    </row>
    <row r="32" spans="2:14" x14ac:dyDescent="0.2">
      <c r="B32" s="5"/>
      <c r="C32" s="4"/>
      <c r="D32" s="5" t="s">
        <v>34</v>
      </c>
      <c r="E32" s="5" t="s">
        <v>35</v>
      </c>
      <c r="F32" s="4"/>
      <c r="G32" s="33" t="s">
        <v>36</v>
      </c>
    </row>
    <row r="33" spans="2:7" x14ac:dyDescent="0.2">
      <c r="B33" s="5"/>
      <c r="C33" s="4"/>
      <c r="D33" s="5" t="s">
        <v>37</v>
      </c>
      <c r="E33" s="5" t="s">
        <v>38</v>
      </c>
      <c r="F33" s="4"/>
      <c r="G33" s="33" t="s">
        <v>39</v>
      </c>
    </row>
    <row r="34" spans="2:7" x14ac:dyDescent="0.2">
      <c r="B34" s="6"/>
      <c r="C34" s="4"/>
      <c r="D34" s="5" t="s">
        <v>40</v>
      </c>
      <c r="E34" s="5" t="s">
        <v>41</v>
      </c>
      <c r="F34" s="4"/>
      <c r="G34" s="33" t="s">
        <v>42</v>
      </c>
    </row>
    <row r="35" spans="2:7" x14ac:dyDescent="0.2">
      <c r="B35" s="25" t="s">
        <v>43</v>
      </c>
      <c r="C35" s="2" t="s">
        <v>44</v>
      </c>
      <c r="D35" s="13">
        <f>-G16</f>
        <v>39187</v>
      </c>
      <c r="E35" s="13">
        <f>D67</f>
        <v>-39187</v>
      </c>
      <c r="F35" s="2"/>
      <c r="G35" s="13">
        <f>D35+E35</f>
        <v>0</v>
      </c>
    </row>
    <row r="36" spans="2:7" x14ac:dyDescent="0.2">
      <c r="B36" s="34" t="s">
        <v>45</v>
      </c>
      <c r="C36" s="4" t="s">
        <v>46</v>
      </c>
      <c r="D36" s="22">
        <f>-G17</f>
        <v>-77998</v>
      </c>
      <c r="E36" s="22">
        <f>E67</f>
        <v>64995</v>
      </c>
      <c r="F36" s="4"/>
      <c r="G36" s="22">
        <f>D36+E36</f>
        <v>-13003</v>
      </c>
    </row>
    <row r="37" spans="2:7" x14ac:dyDescent="0.2">
      <c r="B37" s="34" t="s">
        <v>47</v>
      </c>
      <c r="C37" s="35" t="s">
        <v>48</v>
      </c>
      <c r="D37" s="24">
        <f>-G18</f>
        <v>-191141</v>
      </c>
      <c r="E37" s="24">
        <f>F67</f>
        <v>0</v>
      </c>
      <c r="F37" s="35"/>
      <c r="G37" s="24">
        <f>D37+E37</f>
        <v>-191141</v>
      </c>
    </row>
    <row r="38" spans="2:7" x14ac:dyDescent="0.2">
      <c r="B38" s="6" t="s">
        <v>49</v>
      </c>
      <c r="C38" s="36"/>
      <c r="D38" s="37"/>
      <c r="E38" s="37"/>
      <c r="F38" s="38" t="s">
        <v>50</v>
      </c>
      <c r="G38" s="24">
        <f>G35+G36+G37</f>
        <v>-204144</v>
      </c>
    </row>
    <row r="39" spans="2:7" x14ac:dyDescent="0.2">
      <c r="B39" s="39"/>
      <c r="G39" s="40"/>
    </row>
    <row r="40" spans="2:7" x14ac:dyDescent="0.2">
      <c r="B40" s="7">
        <v>9</v>
      </c>
      <c r="C40" s="41" t="s">
        <v>51</v>
      </c>
      <c r="D40" s="9"/>
      <c r="E40" s="9"/>
      <c r="F40" s="10"/>
      <c r="G40" s="42">
        <f>G25+G38</f>
        <v>-311223.32999999996</v>
      </c>
    </row>
    <row r="41" spans="2:7" x14ac:dyDescent="0.2">
      <c r="B41" s="39"/>
      <c r="G41" s="40"/>
    </row>
    <row r="42" spans="2:7" x14ac:dyDescent="0.2">
      <c r="B42" s="7">
        <v>10</v>
      </c>
      <c r="C42" s="41" t="s">
        <v>52</v>
      </c>
      <c r="D42" s="9"/>
      <c r="E42" s="9"/>
      <c r="F42" s="10"/>
      <c r="G42" s="42">
        <f>G40/6</f>
        <v>-51870.554999999993</v>
      </c>
    </row>
    <row r="44" spans="2:7" x14ac:dyDescent="0.2">
      <c r="B44" s="2"/>
      <c r="C44" s="43" t="s">
        <v>53</v>
      </c>
      <c r="D44" s="44"/>
      <c r="E44" s="44"/>
      <c r="F44" s="44"/>
      <c r="G44" s="45"/>
    </row>
    <row r="45" spans="2:7" x14ac:dyDescent="0.2">
      <c r="B45" s="2"/>
      <c r="C45" s="46"/>
      <c r="D45" s="46"/>
      <c r="E45" s="46"/>
      <c r="F45" s="46"/>
      <c r="G45" s="12"/>
    </row>
    <row r="46" spans="2:7" x14ac:dyDescent="0.2">
      <c r="B46" s="5">
        <v>11</v>
      </c>
      <c r="C46" s="47" t="s">
        <v>54</v>
      </c>
      <c r="D46" s="47"/>
      <c r="E46" s="47"/>
      <c r="F46" s="47"/>
      <c r="G46" s="48">
        <f>G19</f>
        <v>229952</v>
      </c>
    </row>
    <row r="47" spans="2:7" x14ac:dyDescent="0.2">
      <c r="B47" s="5">
        <v>12</v>
      </c>
      <c r="C47" s="47" t="s">
        <v>55</v>
      </c>
      <c r="D47" s="47"/>
      <c r="E47" s="47"/>
      <c r="F47" s="47"/>
      <c r="G47" s="49">
        <f>G38</f>
        <v>-204144</v>
      </c>
    </row>
    <row r="48" spans="2:7" x14ac:dyDescent="0.2">
      <c r="B48" s="5"/>
      <c r="C48" s="47"/>
      <c r="D48" s="47"/>
      <c r="E48" s="47"/>
      <c r="F48" s="47"/>
      <c r="G48" s="48"/>
    </row>
    <row r="49" spans="2:7" ht="15" thickBot="1" x14ac:dyDescent="0.25">
      <c r="B49" s="5">
        <v>13</v>
      </c>
      <c r="C49" s="47" t="s">
        <v>56</v>
      </c>
      <c r="D49" s="47"/>
      <c r="E49" s="47"/>
      <c r="F49" s="47"/>
      <c r="G49" s="50">
        <f>G46+G47</f>
        <v>25808</v>
      </c>
    </row>
    <row r="50" spans="2:7" ht="15" thickTop="1" x14ac:dyDescent="0.2">
      <c r="B50" s="5"/>
      <c r="C50" s="47"/>
      <c r="D50" s="47"/>
      <c r="E50" s="47"/>
      <c r="F50" s="47"/>
      <c r="G50" s="48"/>
    </row>
    <row r="51" spans="2:7" x14ac:dyDescent="0.2">
      <c r="B51" s="5">
        <v>14</v>
      </c>
      <c r="C51" s="47" t="s">
        <v>57</v>
      </c>
      <c r="D51" s="47"/>
      <c r="E51" s="47"/>
      <c r="F51" s="47"/>
      <c r="G51" s="48">
        <f>G40</f>
        <v>-311223.32999999996</v>
      </c>
    </row>
    <row r="52" spans="2:7" x14ac:dyDescent="0.2">
      <c r="B52" s="5"/>
      <c r="C52" s="47"/>
      <c r="D52" s="47"/>
      <c r="E52" s="47"/>
      <c r="F52" s="47"/>
      <c r="G52" s="48"/>
    </row>
    <row r="53" spans="2:7" x14ac:dyDescent="0.2">
      <c r="B53" s="5">
        <v>15</v>
      </c>
      <c r="C53" s="47" t="s">
        <v>58</v>
      </c>
      <c r="D53" s="47"/>
      <c r="E53" s="47"/>
      <c r="F53" s="47"/>
      <c r="G53" s="49">
        <f>SUM(F20:F25)</f>
        <v>-337031.32999999996</v>
      </c>
    </row>
    <row r="54" spans="2:7" x14ac:dyDescent="0.2">
      <c r="B54" s="5"/>
      <c r="C54" s="47"/>
      <c r="D54" s="47"/>
      <c r="E54" s="47"/>
      <c r="F54" s="47"/>
      <c r="G54" s="48"/>
    </row>
    <row r="55" spans="2:7" ht="15" thickBot="1" x14ac:dyDescent="0.25">
      <c r="B55" s="5">
        <v>16</v>
      </c>
      <c r="C55" s="47" t="s">
        <v>59</v>
      </c>
      <c r="D55" s="47"/>
      <c r="E55" s="47"/>
      <c r="F55" s="47"/>
      <c r="G55" s="50">
        <f>G51-G53</f>
        <v>25808</v>
      </c>
    </row>
    <row r="56" spans="2:7" ht="15" thickTop="1" x14ac:dyDescent="0.2">
      <c r="B56" s="35"/>
      <c r="C56" s="51"/>
      <c r="D56" s="51"/>
      <c r="E56" s="51"/>
      <c r="F56" s="51"/>
      <c r="G56" s="52"/>
    </row>
    <row r="58" spans="2:7" x14ac:dyDescent="0.2">
      <c r="B58" t="s">
        <v>60</v>
      </c>
    </row>
    <row r="59" spans="2:7" x14ac:dyDescent="0.2">
      <c r="B59" s="39"/>
      <c r="C59" s="2"/>
      <c r="D59" s="3" t="s">
        <v>61</v>
      </c>
      <c r="E59" s="3" t="s">
        <v>61</v>
      </c>
      <c r="F59" s="3" t="s">
        <v>61</v>
      </c>
    </row>
    <row r="60" spans="2:7" x14ac:dyDescent="0.2">
      <c r="B60" s="39"/>
      <c r="C60" s="6" t="s">
        <v>13</v>
      </c>
      <c r="D60" s="6" t="s">
        <v>62</v>
      </c>
      <c r="E60" s="6" t="s">
        <v>63</v>
      </c>
      <c r="F60" s="6" t="s">
        <v>64</v>
      </c>
    </row>
    <row r="61" spans="2:7" x14ac:dyDescent="0.2">
      <c r="C61" s="14">
        <v>42917</v>
      </c>
      <c r="D61" s="15">
        <v>-7838</v>
      </c>
      <c r="E61" s="15">
        <v>0</v>
      </c>
      <c r="F61" s="13">
        <v>0</v>
      </c>
    </row>
    <row r="62" spans="2:7" x14ac:dyDescent="0.2">
      <c r="C62" s="18">
        <v>42948</v>
      </c>
      <c r="D62" s="19">
        <v>-7838</v>
      </c>
      <c r="E62" s="19">
        <v>12999</v>
      </c>
      <c r="F62" s="22">
        <v>0</v>
      </c>
    </row>
    <row r="63" spans="2:7" x14ac:dyDescent="0.2">
      <c r="C63" s="18">
        <v>42979</v>
      </c>
      <c r="D63" s="19">
        <v>-7838</v>
      </c>
      <c r="E63" s="19">
        <v>12999</v>
      </c>
      <c r="F63" s="22">
        <v>0</v>
      </c>
    </row>
    <row r="64" spans="2:7" x14ac:dyDescent="0.2">
      <c r="C64" s="18">
        <v>43009</v>
      </c>
      <c r="D64" s="19">
        <v>-7838</v>
      </c>
      <c r="E64" s="19">
        <v>12999</v>
      </c>
      <c r="F64" s="22">
        <v>0</v>
      </c>
    </row>
    <row r="65" spans="3:6" x14ac:dyDescent="0.2">
      <c r="C65" s="18">
        <v>43040</v>
      </c>
      <c r="D65" s="19">
        <v>-7835</v>
      </c>
      <c r="E65" s="19">
        <v>12999</v>
      </c>
      <c r="F65" s="22">
        <v>0</v>
      </c>
    </row>
    <row r="66" spans="3:6" x14ac:dyDescent="0.2">
      <c r="C66" s="27">
        <v>43070</v>
      </c>
      <c r="D66" s="28">
        <v>0</v>
      </c>
      <c r="E66" s="28">
        <v>12999</v>
      </c>
      <c r="F66" s="24">
        <v>0</v>
      </c>
    </row>
    <row r="67" spans="3:6" x14ac:dyDescent="0.2">
      <c r="C67" s="53" t="s">
        <v>65</v>
      </c>
      <c r="D67" s="42">
        <f>SUM(D61:D66)</f>
        <v>-39187</v>
      </c>
      <c r="E67" s="42">
        <f>SUM(E61:E66)</f>
        <v>64995</v>
      </c>
      <c r="F67" s="42">
        <f>SUM(F61:F66)</f>
        <v>0</v>
      </c>
    </row>
  </sheetData>
  <mergeCells count="3">
    <mergeCell ref="B5:G6"/>
    <mergeCell ref="C15:G15"/>
    <mergeCell ref="J5:N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J15" sqref="J15"/>
    </sheetView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71</v>
      </c>
    </row>
    <row r="3" spans="1:14" ht="15" x14ac:dyDescent="0.2">
      <c r="J3" s="56"/>
      <c r="K3" s="56"/>
      <c r="L3" s="56"/>
      <c r="M3" s="56"/>
      <c r="N3" s="56"/>
    </row>
    <row r="4" spans="1:14" ht="15" x14ac:dyDescent="0.2">
      <c r="J4" s="56"/>
      <c r="K4" s="56"/>
      <c r="L4" s="56"/>
      <c r="M4" s="56"/>
      <c r="N4" s="56"/>
    </row>
    <row r="5" spans="1:14" x14ac:dyDescent="0.2">
      <c r="B5" s="87" t="s">
        <v>1</v>
      </c>
      <c r="C5" s="88"/>
      <c r="D5" s="88"/>
      <c r="E5" s="88"/>
      <c r="F5" s="88"/>
      <c r="G5" s="89"/>
      <c r="J5" s="96" t="s">
        <v>66</v>
      </c>
      <c r="K5" s="97"/>
      <c r="L5" s="97"/>
      <c r="M5" s="97"/>
      <c r="N5" s="98"/>
    </row>
    <row r="6" spans="1:14" x14ac:dyDescent="0.2">
      <c r="B6" s="90"/>
      <c r="C6" s="91"/>
      <c r="D6" s="91"/>
      <c r="E6" s="91"/>
      <c r="F6" s="91"/>
      <c r="G6" s="92"/>
      <c r="J6" s="99"/>
      <c r="K6" s="100"/>
      <c r="L6" s="100"/>
      <c r="M6" s="100"/>
      <c r="N6" s="101"/>
    </row>
    <row r="7" spans="1:14" ht="15" x14ac:dyDescent="0.2">
      <c r="J7" s="56"/>
      <c r="K7" s="56"/>
      <c r="L7" s="56"/>
      <c r="M7" s="56"/>
      <c r="N7" s="56"/>
    </row>
    <row r="8" spans="1:14" ht="15.75" x14ac:dyDescent="0.25">
      <c r="B8" s="55" t="s">
        <v>2</v>
      </c>
      <c r="J8" s="57" t="s">
        <v>67</v>
      </c>
      <c r="K8" s="56"/>
      <c r="L8" s="56"/>
      <c r="M8" s="56"/>
      <c r="N8" s="56"/>
    </row>
    <row r="9" spans="1:14" ht="15" x14ac:dyDescent="0.2">
      <c r="J9" s="56"/>
      <c r="K9" s="56"/>
      <c r="L9" s="56"/>
      <c r="M9" s="56"/>
      <c r="N9" s="56"/>
    </row>
    <row r="10" spans="1:14" x14ac:dyDescent="0.2">
      <c r="B10" s="2"/>
      <c r="C10" s="2"/>
      <c r="D10" s="2"/>
      <c r="E10" s="3" t="s">
        <v>3</v>
      </c>
      <c r="F10" s="2"/>
      <c r="G10" s="2"/>
      <c r="J10" s="58"/>
      <c r="K10" s="58"/>
      <c r="L10" s="59" t="s">
        <v>3</v>
      </c>
      <c r="M10" s="58"/>
      <c r="N10" s="58"/>
    </row>
    <row r="11" spans="1:14" x14ac:dyDescent="0.2">
      <c r="B11" s="4"/>
      <c r="C11" s="4"/>
      <c r="D11" s="5" t="s">
        <v>4</v>
      </c>
      <c r="E11" s="5" t="s">
        <v>5</v>
      </c>
      <c r="F11" s="4"/>
      <c r="G11" s="4"/>
      <c r="J11" s="60"/>
      <c r="K11" s="61" t="s">
        <v>4</v>
      </c>
      <c r="L11" s="61" t="s">
        <v>5</v>
      </c>
      <c r="M11" s="60"/>
      <c r="N11" s="60"/>
    </row>
    <row r="12" spans="1:14" x14ac:dyDescent="0.2">
      <c r="B12" s="4"/>
      <c r="C12" s="4"/>
      <c r="D12" s="5" t="s">
        <v>6</v>
      </c>
      <c r="E12" s="5" t="s">
        <v>7</v>
      </c>
      <c r="F12" s="5" t="s">
        <v>8</v>
      </c>
      <c r="G12" s="5" t="s">
        <v>9</v>
      </c>
      <c r="J12" s="60"/>
      <c r="K12" s="61" t="s">
        <v>6</v>
      </c>
      <c r="L12" s="61" t="s">
        <v>7</v>
      </c>
      <c r="M12" s="61" t="s">
        <v>8</v>
      </c>
      <c r="N12" s="61" t="s">
        <v>9</v>
      </c>
    </row>
    <row r="13" spans="1:14" x14ac:dyDescent="0.2">
      <c r="B13" s="6"/>
      <c r="C13" s="6"/>
      <c r="D13" s="6" t="s">
        <v>10</v>
      </c>
      <c r="E13" s="6" t="s">
        <v>10</v>
      </c>
      <c r="F13" s="6" t="s">
        <v>11</v>
      </c>
      <c r="G13" s="6" t="s">
        <v>11</v>
      </c>
      <c r="J13" s="62"/>
      <c r="K13" s="62" t="s">
        <v>10</v>
      </c>
      <c r="L13" s="62" t="s">
        <v>10</v>
      </c>
      <c r="M13" s="62" t="s">
        <v>11</v>
      </c>
      <c r="N13" s="62" t="s">
        <v>11</v>
      </c>
    </row>
    <row r="14" spans="1:14" x14ac:dyDescent="0.2">
      <c r="B14" s="7" t="s">
        <v>12</v>
      </c>
      <c r="C14" s="7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J14" s="63" t="s">
        <v>13</v>
      </c>
      <c r="K14" s="64" t="s">
        <v>68</v>
      </c>
      <c r="L14" s="64" t="s">
        <v>14</v>
      </c>
      <c r="M14" s="64" t="s">
        <v>15</v>
      </c>
      <c r="N14" s="64" t="s">
        <v>16</v>
      </c>
    </row>
    <row r="15" spans="1:14" x14ac:dyDescent="0.2">
      <c r="B15" s="3">
        <v>1</v>
      </c>
      <c r="C15" s="93" t="s">
        <v>18</v>
      </c>
      <c r="D15" s="94"/>
      <c r="E15" s="94"/>
      <c r="F15" s="94"/>
      <c r="G15" s="95"/>
      <c r="J15" s="65">
        <v>43101</v>
      </c>
      <c r="K15" s="79">
        <f>168603+116963+161848+33210</f>
        <v>480624</v>
      </c>
      <c r="L15" s="80">
        <f>161848+168603+66696+50760+33210-493</f>
        <v>480624</v>
      </c>
      <c r="M15" s="68">
        <f t="shared" ref="M15:M22" si="0">K15-L15</f>
        <v>0</v>
      </c>
      <c r="N15" s="70">
        <f>M15</f>
        <v>0</v>
      </c>
    </row>
    <row r="16" spans="1:14" x14ac:dyDescent="0.2">
      <c r="B16" s="3" t="s">
        <v>19</v>
      </c>
      <c r="C16" s="9" t="s">
        <v>22</v>
      </c>
      <c r="D16" s="9"/>
      <c r="E16" s="9"/>
      <c r="F16" s="10"/>
      <c r="G16" s="11">
        <v>13003</v>
      </c>
      <c r="J16" s="69">
        <v>43132</v>
      </c>
      <c r="K16" s="79">
        <f>108968+78049+111684+22861</f>
        <v>321562</v>
      </c>
      <c r="L16" s="80">
        <f>111684+108968+43297+35299+22861-547</f>
        <v>321562</v>
      </c>
      <c r="M16" s="70">
        <f t="shared" si="0"/>
        <v>0</v>
      </c>
      <c r="N16" s="70">
        <f>N15+M16</f>
        <v>0</v>
      </c>
    </row>
    <row r="17" spans="2:14" x14ac:dyDescent="0.2">
      <c r="B17" s="5" t="s">
        <v>21</v>
      </c>
      <c r="C17" s="9" t="s">
        <v>24</v>
      </c>
      <c r="D17" s="9"/>
      <c r="E17" s="9"/>
      <c r="F17" s="10"/>
      <c r="G17" s="11">
        <v>191141</v>
      </c>
      <c r="J17" s="69">
        <v>43160</v>
      </c>
      <c r="K17" s="79">
        <f>72848+45696+73416+9992</f>
        <v>201952</v>
      </c>
      <c r="L17" s="79">
        <f>73416+72848+24041+21854+9992-199</f>
        <v>201952</v>
      </c>
      <c r="M17" s="70">
        <f t="shared" si="0"/>
        <v>0</v>
      </c>
      <c r="N17" s="70">
        <f t="shared" ref="N17:N20" si="1">N16+M17</f>
        <v>0</v>
      </c>
    </row>
    <row r="18" spans="2:14" x14ac:dyDescent="0.2">
      <c r="B18" s="5" t="s">
        <v>23</v>
      </c>
      <c r="C18" s="9" t="s">
        <v>72</v>
      </c>
      <c r="D18" s="9"/>
      <c r="E18" s="9"/>
      <c r="F18" s="10"/>
      <c r="G18" s="11">
        <v>-311223</v>
      </c>
      <c r="J18" s="69">
        <v>43191</v>
      </c>
      <c r="K18" s="79">
        <f>128849+89240+128580+24344</f>
        <v>371013</v>
      </c>
      <c r="L18" s="79">
        <f>128580+128849+50462+39488+24344-710</f>
        <v>371013</v>
      </c>
      <c r="M18" s="70">
        <f t="shared" si="0"/>
        <v>0</v>
      </c>
      <c r="N18" s="70">
        <f t="shared" si="1"/>
        <v>0</v>
      </c>
    </row>
    <row r="19" spans="2:14" x14ac:dyDescent="0.2">
      <c r="B19" s="6" t="s">
        <v>25</v>
      </c>
      <c r="C19" s="9" t="s">
        <v>26</v>
      </c>
      <c r="D19" s="9"/>
      <c r="E19" s="9"/>
      <c r="F19" s="12"/>
      <c r="G19" s="13">
        <f>G16+G17+G18</f>
        <v>-107079</v>
      </c>
      <c r="J19" s="69">
        <v>43221</v>
      </c>
      <c r="K19" s="79">
        <f>125876+96633+145113+33300</f>
        <v>400922</v>
      </c>
      <c r="L19" s="81">
        <f>145113+125876+53648+43529+33300-544</f>
        <v>400922</v>
      </c>
      <c r="M19" s="70">
        <f t="shared" si="0"/>
        <v>0</v>
      </c>
      <c r="N19" s="70">
        <f t="shared" si="1"/>
        <v>0</v>
      </c>
    </row>
    <row r="20" spans="2:14" x14ac:dyDescent="0.2">
      <c r="B20" s="5">
        <v>2</v>
      </c>
      <c r="C20" s="14">
        <v>43101</v>
      </c>
      <c r="D20" s="15">
        <f>561009-471</f>
        <v>560538</v>
      </c>
      <c r="E20" s="16">
        <f>560119.1+493</f>
        <v>560612.1</v>
      </c>
      <c r="F20" s="17">
        <f t="shared" ref="F20:F27" si="2">D20-E20</f>
        <v>-74.099999999976717</v>
      </c>
      <c r="G20" s="13">
        <f t="shared" ref="G20:G27" si="3">G19+F20</f>
        <v>-107153.09999999998</v>
      </c>
      <c r="J20" s="71">
        <v>43252</v>
      </c>
      <c r="K20" s="81">
        <f>138184+104831+155191+35833</f>
        <v>434039</v>
      </c>
      <c r="L20" s="82">
        <f>155191+138184+54694+50635+35833-498</f>
        <v>434039</v>
      </c>
      <c r="M20" s="72">
        <f t="shared" si="0"/>
        <v>0</v>
      </c>
      <c r="N20" s="72">
        <f t="shared" si="1"/>
        <v>0</v>
      </c>
    </row>
    <row r="21" spans="2:14" x14ac:dyDescent="0.2">
      <c r="B21" s="5">
        <v>3</v>
      </c>
      <c r="C21" s="18">
        <v>43132</v>
      </c>
      <c r="D21" s="19">
        <f>279269-310</f>
        <v>278959</v>
      </c>
      <c r="E21" s="20">
        <f>366357.93+547</f>
        <v>366904.93</v>
      </c>
      <c r="F21" s="21">
        <f t="shared" si="2"/>
        <v>-87945.93</v>
      </c>
      <c r="G21" s="22">
        <f t="shared" si="3"/>
        <v>-195099.02999999997</v>
      </c>
      <c r="J21" s="69">
        <v>43282</v>
      </c>
      <c r="K21" s="83">
        <f>91792+92475+109649+38219</f>
        <v>332135</v>
      </c>
      <c r="L21" s="83">
        <f>109649+91792+52262+40709+38219-496</f>
        <v>332135</v>
      </c>
      <c r="M21" s="70">
        <f t="shared" si="0"/>
        <v>0</v>
      </c>
      <c r="N21" s="70">
        <f>N20+M21</f>
        <v>0</v>
      </c>
    </row>
    <row r="22" spans="2:14" x14ac:dyDescent="0.2">
      <c r="B22" s="5">
        <v>4</v>
      </c>
      <c r="C22" s="18">
        <v>43160</v>
      </c>
      <c r="D22" s="19">
        <f>179461-209</f>
        <v>179252</v>
      </c>
      <c r="E22" s="20">
        <f>91867.59+199</f>
        <v>92066.59</v>
      </c>
      <c r="F22" s="21">
        <f t="shared" si="2"/>
        <v>87185.41</v>
      </c>
      <c r="G22" s="22">
        <f t="shared" si="3"/>
        <v>-107913.61999999997</v>
      </c>
      <c r="J22" s="71">
        <v>43313</v>
      </c>
      <c r="K22" s="82">
        <f>35266+93066+58155+30644</f>
        <v>217131</v>
      </c>
      <c r="L22" s="82">
        <f>58155+35266+48718+44875+30644-527</f>
        <v>217131</v>
      </c>
      <c r="M22" s="72">
        <f t="shared" si="0"/>
        <v>0</v>
      </c>
      <c r="N22" s="72">
        <f>N21+M22</f>
        <v>0</v>
      </c>
    </row>
    <row r="23" spans="2:14" x14ac:dyDescent="0.2">
      <c r="B23" s="5">
        <v>5</v>
      </c>
      <c r="C23" s="18">
        <v>43191</v>
      </c>
      <c r="D23" s="19">
        <f>276288-388</f>
        <v>275900</v>
      </c>
      <c r="E23" s="20">
        <f>67860.86+710</f>
        <v>68570.86</v>
      </c>
      <c r="F23" s="21">
        <f t="shared" si="2"/>
        <v>207329.14</v>
      </c>
      <c r="G23" s="22">
        <f t="shared" si="3"/>
        <v>99415.520000000048</v>
      </c>
      <c r="J23" s="73"/>
      <c r="K23" s="73"/>
      <c r="L23" s="73"/>
      <c r="M23" s="73"/>
      <c r="N23" s="73"/>
    </row>
    <row r="24" spans="2:14" x14ac:dyDescent="0.2">
      <c r="B24" s="5">
        <v>6</v>
      </c>
      <c r="C24" s="18">
        <v>43221</v>
      </c>
      <c r="D24" s="19">
        <f>291835-416</f>
        <v>291419</v>
      </c>
      <c r="E24" s="20">
        <f>452464.84+544</f>
        <v>453008.84</v>
      </c>
      <c r="F24" s="21">
        <f t="shared" si="2"/>
        <v>-161589.84000000003</v>
      </c>
      <c r="G24" s="22">
        <f t="shared" si="3"/>
        <v>-62174.319999999978</v>
      </c>
      <c r="J24" s="74" t="s">
        <v>69</v>
      </c>
      <c r="K24" s="75"/>
      <c r="L24" s="75"/>
      <c r="M24" s="76"/>
      <c r="N24" s="77">
        <f>N20</f>
        <v>0</v>
      </c>
    </row>
    <row r="25" spans="2:14" x14ac:dyDescent="0.2">
      <c r="B25" s="5">
        <v>7</v>
      </c>
      <c r="C25" s="18">
        <v>43252</v>
      </c>
      <c r="D25" s="19">
        <f>353324-454</f>
        <v>352870</v>
      </c>
      <c r="E25" s="20">
        <f>376035.86+498</f>
        <v>376533.86</v>
      </c>
      <c r="F25" s="23">
        <f t="shared" si="2"/>
        <v>-23663.859999999986</v>
      </c>
      <c r="G25" s="24">
        <f t="shared" si="3"/>
        <v>-85838.179999999964</v>
      </c>
      <c r="J25" s="73"/>
      <c r="K25" s="73"/>
      <c r="L25" s="73"/>
      <c r="M25" s="73"/>
      <c r="N25" s="78"/>
    </row>
    <row r="26" spans="2:14" x14ac:dyDescent="0.2">
      <c r="B26" s="25" t="s">
        <v>27</v>
      </c>
      <c r="C26" s="14">
        <v>43282</v>
      </c>
      <c r="D26" s="15">
        <f>332817-447</f>
        <v>332370</v>
      </c>
      <c r="E26" s="16">
        <f>438093.69+496</f>
        <v>438589.69</v>
      </c>
      <c r="F26" s="17">
        <f t="shared" si="2"/>
        <v>-106219.69</v>
      </c>
      <c r="G26" s="13">
        <f t="shared" si="3"/>
        <v>-192057.86999999997</v>
      </c>
      <c r="J26" s="74" t="s">
        <v>70</v>
      </c>
      <c r="K26" s="75"/>
      <c r="L26" s="75"/>
      <c r="M26" s="76"/>
      <c r="N26" s="77">
        <f>N24/6</f>
        <v>0</v>
      </c>
    </row>
    <row r="27" spans="2:14" ht="15" x14ac:dyDescent="0.2">
      <c r="B27" s="26" t="s">
        <v>28</v>
      </c>
      <c r="C27" s="27">
        <v>43313</v>
      </c>
      <c r="D27" s="28">
        <f>303603-406</f>
        <v>303197</v>
      </c>
      <c r="E27" s="29">
        <f>328251.24+527</f>
        <v>328778.23999999999</v>
      </c>
      <c r="F27" s="23">
        <f t="shared" si="2"/>
        <v>-25581.239999999991</v>
      </c>
      <c r="G27" s="24">
        <f t="shared" si="3"/>
        <v>-217639.10999999996</v>
      </c>
      <c r="J27" s="56"/>
      <c r="K27" s="56"/>
      <c r="L27" s="56"/>
      <c r="M27" s="56"/>
      <c r="N27" s="56"/>
    </row>
    <row r="28" spans="2:14" x14ac:dyDescent="0.2">
      <c r="B28" s="6"/>
      <c r="C28" s="30" t="s">
        <v>73</v>
      </c>
      <c r="D28" s="31"/>
      <c r="E28" s="31"/>
      <c r="F28" s="31"/>
      <c r="G28" s="32"/>
    </row>
    <row r="29" spans="2:14" x14ac:dyDescent="0.2">
      <c r="B29" s="3"/>
      <c r="C29" s="2"/>
      <c r="D29" s="2"/>
      <c r="E29" s="2"/>
      <c r="F29" s="2"/>
      <c r="G29" s="13"/>
    </row>
    <row r="30" spans="2:14" x14ac:dyDescent="0.2">
      <c r="B30" s="5"/>
      <c r="C30" s="4"/>
      <c r="D30" s="5" t="s">
        <v>30</v>
      </c>
      <c r="E30" s="5" t="s">
        <v>31</v>
      </c>
      <c r="F30" s="4"/>
      <c r="G30" s="22"/>
    </row>
    <row r="31" spans="2:14" x14ac:dyDescent="0.2">
      <c r="B31" s="5">
        <v>8</v>
      </c>
      <c r="C31" s="4"/>
      <c r="D31" s="5" t="s">
        <v>32</v>
      </c>
      <c r="E31" s="5" t="s">
        <v>33</v>
      </c>
      <c r="F31" s="4"/>
      <c r="G31" s="33" t="s">
        <v>30</v>
      </c>
    </row>
    <row r="32" spans="2:14" x14ac:dyDescent="0.2">
      <c r="B32" s="5"/>
      <c r="C32" s="4"/>
      <c r="D32" s="5" t="s">
        <v>34</v>
      </c>
      <c r="E32" s="5" t="s">
        <v>35</v>
      </c>
      <c r="F32" s="4"/>
      <c r="G32" s="33" t="s">
        <v>36</v>
      </c>
    </row>
    <row r="33" spans="2:7" x14ac:dyDescent="0.2">
      <c r="B33" s="5"/>
      <c r="C33" s="4"/>
      <c r="D33" s="5" t="s">
        <v>37</v>
      </c>
      <c r="E33" s="5" t="s">
        <v>38</v>
      </c>
      <c r="F33" s="4"/>
      <c r="G33" s="33" t="s">
        <v>39</v>
      </c>
    </row>
    <row r="34" spans="2:7" x14ac:dyDescent="0.2">
      <c r="B34" s="6"/>
      <c r="C34" s="4"/>
      <c r="D34" s="5" t="s">
        <v>40</v>
      </c>
      <c r="E34" s="5" t="s">
        <v>41</v>
      </c>
      <c r="F34" s="4"/>
      <c r="G34" s="33" t="s">
        <v>42</v>
      </c>
    </row>
    <row r="35" spans="2:7" x14ac:dyDescent="0.2">
      <c r="B35" s="25" t="s">
        <v>43</v>
      </c>
      <c r="C35" s="2" t="s">
        <v>46</v>
      </c>
      <c r="D35" s="13">
        <f>-G16</f>
        <v>-13003</v>
      </c>
      <c r="E35" s="13">
        <f>D67</f>
        <v>13003</v>
      </c>
      <c r="F35" s="2"/>
      <c r="G35" s="13">
        <f>D35+E35</f>
        <v>0</v>
      </c>
    </row>
    <row r="36" spans="2:7" x14ac:dyDescent="0.2">
      <c r="B36" s="34" t="s">
        <v>45</v>
      </c>
      <c r="C36" s="4" t="s">
        <v>48</v>
      </c>
      <c r="D36" s="22">
        <f>-G17</f>
        <v>-191141</v>
      </c>
      <c r="E36" s="22">
        <f>E67</f>
        <v>159285</v>
      </c>
      <c r="F36" s="4"/>
      <c r="G36" s="22">
        <f>D36+E36</f>
        <v>-31856</v>
      </c>
    </row>
    <row r="37" spans="2:7" x14ac:dyDescent="0.2">
      <c r="B37" s="34" t="s">
        <v>47</v>
      </c>
      <c r="C37" s="35" t="s">
        <v>74</v>
      </c>
      <c r="D37" s="24">
        <f>-G18</f>
        <v>311223</v>
      </c>
      <c r="E37" s="24">
        <f>F67</f>
        <v>0</v>
      </c>
      <c r="F37" s="35"/>
      <c r="G37" s="24">
        <f>D37+E37</f>
        <v>311223</v>
      </c>
    </row>
    <row r="38" spans="2:7" x14ac:dyDescent="0.2">
      <c r="B38" s="6" t="s">
        <v>49</v>
      </c>
      <c r="C38" s="36"/>
      <c r="D38" s="37"/>
      <c r="E38" s="37"/>
      <c r="F38" s="38" t="s">
        <v>50</v>
      </c>
      <c r="G38" s="24">
        <f>G35+G36+G37</f>
        <v>279367</v>
      </c>
    </row>
    <row r="39" spans="2:7" x14ac:dyDescent="0.2">
      <c r="B39" s="39"/>
      <c r="G39" s="40"/>
    </row>
    <row r="40" spans="2:7" x14ac:dyDescent="0.2">
      <c r="B40" s="7">
        <v>9</v>
      </c>
      <c r="C40" s="41" t="s">
        <v>51</v>
      </c>
      <c r="D40" s="9"/>
      <c r="E40" s="9"/>
      <c r="F40" s="10"/>
      <c r="G40" s="42">
        <f>G25+G38</f>
        <v>193528.82000000004</v>
      </c>
    </row>
    <row r="41" spans="2:7" x14ac:dyDescent="0.2">
      <c r="B41" s="39"/>
      <c r="G41" s="40"/>
    </row>
    <row r="42" spans="2:7" x14ac:dyDescent="0.2">
      <c r="B42" s="7">
        <v>10</v>
      </c>
      <c r="C42" s="41" t="s">
        <v>52</v>
      </c>
      <c r="D42" s="9"/>
      <c r="E42" s="9"/>
      <c r="F42" s="10"/>
      <c r="G42" s="42">
        <f>G40/6</f>
        <v>32254.803333333341</v>
      </c>
    </row>
    <row r="44" spans="2:7" x14ac:dyDescent="0.2">
      <c r="B44" s="2"/>
      <c r="C44" s="43" t="s">
        <v>53</v>
      </c>
      <c r="D44" s="44"/>
      <c r="E44" s="44"/>
      <c r="F44" s="44"/>
      <c r="G44" s="45"/>
    </row>
    <row r="45" spans="2:7" x14ac:dyDescent="0.2">
      <c r="B45" s="2"/>
      <c r="C45" s="46"/>
      <c r="D45" s="46"/>
      <c r="E45" s="46"/>
      <c r="F45" s="46"/>
      <c r="G45" s="12"/>
    </row>
    <row r="46" spans="2:7" x14ac:dyDescent="0.2">
      <c r="B46" s="5">
        <v>11</v>
      </c>
      <c r="C46" s="47" t="s">
        <v>54</v>
      </c>
      <c r="D46" s="47"/>
      <c r="E46" s="47"/>
      <c r="F46" s="47"/>
      <c r="G46" s="48">
        <f>G19</f>
        <v>-107079</v>
      </c>
    </row>
    <row r="47" spans="2:7" x14ac:dyDescent="0.2">
      <c r="B47" s="5">
        <v>12</v>
      </c>
      <c r="C47" s="47" t="s">
        <v>55</v>
      </c>
      <c r="D47" s="47"/>
      <c r="E47" s="47"/>
      <c r="F47" s="47"/>
      <c r="G47" s="49">
        <f>G38</f>
        <v>279367</v>
      </c>
    </row>
    <row r="48" spans="2:7" x14ac:dyDescent="0.2">
      <c r="B48" s="5"/>
      <c r="C48" s="47"/>
      <c r="D48" s="47"/>
      <c r="E48" s="47"/>
      <c r="F48" s="47"/>
      <c r="G48" s="48"/>
    </row>
    <row r="49" spans="2:7" ht="15" thickBot="1" x14ac:dyDescent="0.25">
      <c r="B49" s="5">
        <v>13</v>
      </c>
      <c r="C49" s="47" t="s">
        <v>56</v>
      </c>
      <c r="D49" s="47"/>
      <c r="E49" s="47"/>
      <c r="F49" s="47"/>
      <c r="G49" s="50">
        <f>G46+G47</f>
        <v>172288</v>
      </c>
    </row>
    <row r="50" spans="2:7" ht="15" thickTop="1" x14ac:dyDescent="0.2">
      <c r="B50" s="5"/>
      <c r="C50" s="47"/>
      <c r="D50" s="47"/>
      <c r="E50" s="47"/>
      <c r="F50" s="47"/>
      <c r="G50" s="48"/>
    </row>
    <row r="51" spans="2:7" x14ac:dyDescent="0.2">
      <c r="B51" s="5">
        <v>14</v>
      </c>
      <c r="C51" s="47" t="s">
        <v>57</v>
      </c>
      <c r="D51" s="47"/>
      <c r="E51" s="47"/>
      <c r="F51" s="47"/>
      <c r="G51" s="48">
        <f>G40</f>
        <v>193528.82000000004</v>
      </c>
    </row>
    <row r="52" spans="2:7" x14ac:dyDescent="0.2">
      <c r="B52" s="5"/>
      <c r="C52" s="47"/>
      <c r="D52" s="47"/>
      <c r="E52" s="47"/>
      <c r="F52" s="47"/>
      <c r="G52" s="48"/>
    </row>
    <row r="53" spans="2:7" x14ac:dyDescent="0.2">
      <c r="B53" s="5">
        <v>15</v>
      </c>
      <c r="C53" s="47" t="s">
        <v>58</v>
      </c>
      <c r="D53" s="47"/>
      <c r="E53" s="47"/>
      <c r="F53" s="47"/>
      <c r="G53" s="49">
        <f>SUM(F20:F25)</f>
        <v>21240.820000000036</v>
      </c>
    </row>
    <row r="54" spans="2:7" x14ac:dyDescent="0.2">
      <c r="B54" s="5"/>
      <c r="C54" s="47"/>
      <c r="D54" s="47"/>
      <c r="E54" s="47"/>
      <c r="F54" s="47"/>
      <c r="G54" s="48"/>
    </row>
    <row r="55" spans="2:7" ht="15" thickBot="1" x14ac:dyDescent="0.25">
      <c r="B55" s="5">
        <v>16</v>
      </c>
      <c r="C55" s="47" t="s">
        <v>59</v>
      </c>
      <c r="D55" s="47"/>
      <c r="E55" s="47"/>
      <c r="F55" s="47"/>
      <c r="G55" s="50">
        <f>G51-G53</f>
        <v>172288</v>
      </c>
    </row>
    <row r="56" spans="2:7" ht="15" thickTop="1" x14ac:dyDescent="0.2">
      <c r="B56" s="35"/>
      <c r="C56" s="51"/>
      <c r="D56" s="51"/>
      <c r="E56" s="51"/>
      <c r="F56" s="51"/>
      <c r="G56" s="52"/>
    </row>
    <row r="58" spans="2:7" x14ac:dyDescent="0.2">
      <c r="B58" t="s">
        <v>60</v>
      </c>
    </row>
    <row r="59" spans="2:7" x14ac:dyDescent="0.2">
      <c r="B59" s="39"/>
      <c r="C59" s="2"/>
      <c r="D59" s="3" t="s">
        <v>61</v>
      </c>
      <c r="E59" s="3" t="s">
        <v>61</v>
      </c>
      <c r="F59" s="3" t="s">
        <v>61</v>
      </c>
    </row>
    <row r="60" spans="2:7" x14ac:dyDescent="0.2">
      <c r="B60" s="39"/>
      <c r="C60" s="6" t="s">
        <v>13</v>
      </c>
      <c r="D60" s="6" t="s">
        <v>63</v>
      </c>
      <c r="E60" s="6" t="s">
        <v>64</v>
      </c>
      <c r="F60" s="6" t="s">
        <v>75</v>
      </c>
    </row>
    <row r="61" spans="2:7" x14ac:dyDescent="0.2">
      <c r="C61" s="14">
        <v>43101</v>
      </c>
      <c r="D61" s="15">
        <v>13003</v>
      </c>
      <c r="E61" s="13">
        <v>0</v>
      </c>
      <c r="F61" s="13">
        <v>0</v>
      </c>
    </row>
    <row r="62" spans="2:7" x14ac:dyDescent="0.2">
      <c r="C62" s="18">
        <v>43132</v>
      </c>
      <c r="D62" s="19">
        <v>0</v>
      </c>
      <c r="E62" s="22">
        <v>31857</v>
      </c>
      <c r="F62" s="22">
        <v>0</v>
      </c>
    </row>
    <row r="63" spans="2:7" x14ac:dyDescent="0.2">
      <c r="C63" s="18">
        <v>43160</v>
      </c>
      <c r="D63" s="19">
        <v>0</v>
      </c>
      <c r="E63" s="22">
        <v>31857</v>
      </c>
      <c r="F63" s="22">
        <v>0</v>
      </c>
    </row>
    <row r="64" spans="2:7" x14ac:dyDescent="0.2">
      <c r="C64" s="18">
        <v>43191</v>
      </c>
      <c r="D64" s="19">
        <v>0</v>
      </c>
      <c r="E64" s="22">
        <v>31857</v>
      </c>
      <c r="F64" s="22">
        <v>0</v>
      </c>
    </row>
    <row r="65" spans="3:6" x14ac:dyDescent="0.2">
      <c r="C65" s="18">
        <v>43221</v>
      </c>
      <c r="D65" s="19">
        <v>0</v>
      </c>
      <c r="E65" s="22">
        <v>31857</v>
      </c>
      <c r="F65" s="22">
        <v>0</v>
      </c>
    </row>
    <row r="66" spans="3:6" x14ac:dyDescent="0.2">
      <c r="C66" s="27">
        <v>43252</v>
      </c>
      <c r="D66" s="28">
        <v>0</v>
      </c>
      <c r="E66" s="24">
        <v>31857</v>
      </c>
      <c r="F66" s="24">
        <v>0</v>
      </c>
    </row>
    <row r="67" spans="3:6" x14ac:dyDescent="0.2">
      <c r="C67" s="53" t="s">
        <v>65</v>
      </c>
      <c r="D67" s="42">
        <f>SUM(D61:D66)</f>
        <v>13003</v>
      </c>
      <c r="E67" s="42">
        <f>SUM(E61:E66)</f>
        <v>159285</v>
      </c>
      <c r="F67" s="42">
        <f>SUM(F61:F66)</f>
        <v>0</v>
      </c>
    </row>
  </sheetData>
  <mergeCells count="3">
    <mergeCell ref="B5:G6"/>
    <mergeCell ref="C15:G15"/>
    <mergeCell ref="J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3" sqref="A3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10" max="14" width="15.625" customWidth="1"/>
  </cols>
  <sheetData>
    <row r="1" spans="1:14" x14ac:dyDescent="0.2">
      <c r="A1" t="s">
        <v>0</v>
      </c>
    </row>
    <row r="2" spans="1:14" x14ac:dyDescent="0.2">
      <c r="A2" t="s">
        <v>71</v>
      </c>
    </row>
    <row r="3" spans="1:14" ht="15" x14ac:dyDescent="0.2">
      <c r="J3" s="56"/>
      <c r="K3" s="56"/>
      <c r="L3" s="56"/>
      <c r="M3" s="56"/>
      <c r="N3" s="56"/>
    </row>
    <row r="4" spans="1:14" ht="15" x14ac:dyDescent="0.2">
      <c r="J4" s="56"/>
      <c r="K4" s="56"/>
      <c r="L4" s="56"/>
      <c r="M4" s="56"/>
      <c r="N4" s="56"/>
    </row>
    <row r="5" spans="1:14" x14ac:dyDescent="0.2">
      <c r="B5" s="87" t="s">
        <v>1</v>
      </c>
      <c r="C5" s="88"/>
      <c r="D5" s="88"/>
      <c r="E5" s="88"/>
      <c r="F5" s="88"/>
      <c r="G5" s="89"/>
      <c r="J5" s="96" t="s">
        <v>66</v>
      </c>
      <c r="K5" s="97"/>
      <c r="L5" s="97"/>
      <c r="M5" s="97"/>
      <c r="N5" s="98"/>
    </row>
    <row r="6" spans="1:14" x14ac:dyDescent="0.2">
      <c r="B6" s="90"/>
      <c r="C6" s="91"/>
      <c r="D6" s="91"/>
      <c r="E6" s="91"/>
      <c r="F6" s="91"/>
      <c r="G6" s="92"/>
      <c r="J6" s="99"/>
      <c r="K6" s="100"/>
      <c r="L6" s="100"/>
      <c r="M6" s="100"/>
      <c r="N6" s="101"/>
    </row>
    <row r="7" spans="1:14" ht="15" x14ac:dyDescent="0.2">
      <c r="J7" s="56"/>
      <c r="K7" s="56"/>
      <c r="L7" s="56"/>
      <c r="M7" s="56"/>
      <c r="N7" s="56"/>
    </row>
    <row r="8" spans="1:14" ht="15.75" x14ac:dyDescent="0.25">
      <c r="B8" s="55" t="s">
        <v>2</v>
      </c>
      <c r="J8" s="57" t="s">
        <v>67</v>
      </c>
      <c r="K8" s="56"/>
      <c r="L8" s="56"/>
      <c r="M8" s="56"/>
      <c r="N8" s="56"/>
    </row>
    <row r="9" spans="1:14" ht="15" x14ac:dyDescent="0.2">
      <c r="J9" s="56"/>
      <c r="K9" s="56"/>
      <c r="L9" s="56"/>
      <c r="M9" s="56"/>
      <c r="N9" s="56"/>
    </row>
    <row r="10" spans="1:14" x14ac:dyDescent="0.2">
      <c r="B10" s="2"/>
      <c r="C10" s="2"/>
      <c r="D10" s="2"/>
      <c r="E10" s="3" t="s">
        <v>3</v>
      </c>
      <c r="F10" s="2"/>
      <c r="G10" s="2"/>
      <c r="J10" s="58"/>
      <c r="K10" s="58"/>
      <c r="L10" s="59" t="s">
        <v>3</v>
      </c>
      <c r="M10" s="58"/>
      <c r="N10" s="58"/>
    </row>
    <row r="11" spans="1:14" x14ac:dyDescent="0.2">
      <c r="B11" s="4"/>
      <c r="C11" s="4"/>
      <c r="D11" s="5" t="s">
        <v>4</v>
      </c>
      <c r="E11" s="5" t="s">
        <v>5</v>
      </c>
      <c r="F11" s="4"/>
      <c r="G11" s="4"/>
      <c r="J11" s="60"/>
      <c r="K11" s="61" t="s">
        <v>4</v>
      </c>
      <c r="L11" s="61" t="s">
        <v>5</v>
      </c>
      <c r="M11" s="60"/>
      <c r="N11" s="60"/>
    </row>
    <row r="12" spans="1:14" x14ac:dyDescent="0.2">
      <c r="B12" s="4"/>
      <c r="C12" s="4"/>
      <c r="D12" s="5" t="s">
        <v>6</v>
      </c>
      <c r="E12" s="5" t="s">
        <v>7</v>
      </c>
      <c r="F12" s="5" t="s">
        <v>8</v>
      </c>
      <c r="G12" s="5" t="s">
        <v>9</v>
      </c>
      <c r="J12" s="60"/>
      <c r="K12" s="61" t="s">
        <v>6</v>
      </c>
      <c r="L12" s="61" t="s">
        <v>7</v>
      </c>
      <c r="M12" s="61" t="s">
        <v>8</v>
      </c>
      <c r="N12" s="61" t="s">
        <v>9</v>
      </c>
    </row>
    <row r="13" spans="1:14" x14ac:dyDescent="0.2">
      <c r="B13" s="6"/>
      <c r="C13" s="6"/>
      <c r="D13" s="6" t="s">
        <v>10</v>
      </c>
      <c r="E13" s="6" t="s">
        <v>10</v>
      </c>
      <c r="F13" s="6" t="s">
        <v>11</v>
      </c>
      <c r="G13" s="6" t="s">
        <v>11</v>
      </c>
      <c r="J13" s="62"/>
      <c r="K13" s="62" t="s">
        <v>10</v>
      </c>
      <c r="L13" s="62" t="s">
        <v>10</v>
      </c>
      <c r="M13" s="62" t="s">
        <v>11</v>
      </c>
      <c r="N13" s="62" t="s">
        <v>11</v>
      </c>
    </row>
    <row r="14" spans="1:14" x14ac:dyDescent="0.2">
      <c r="B14" s="7" t="s">
        <v>12</v>
      </c>
      <c r="C14" s="7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J14" s="63" t="s">
        <v>13</v>
      </c>
      <c r="K14" s="64" t="s">
        <v>68</v>
      </c>
      <c r="L14" s="64" t="s">
        <v>14</v>
      </c>
      <c r="M14" s="64" t="s">
        <v>15</v>
      </c>
      <c r="N14" s="64" t="s">
        <v>16</v>
      </c>
    </row>
    <row r="15" spans="1:14" x14ac:dyDescent="0.2">
      <c r="B15" s="3">
        <v>1</v>
      </c>
      <c r="C15" s="93" t="s">
        <v>18</v>
      </c>
      <c r="D15" s="94"/>
      <c r="E15" s="94"/>
      <c r="F15" s="94"/>
      <c r="G15" s="95"/>
      <c r="J15" s="65">
        <v>43282</v>
      </c>
      <c r="K15" s="79">
        <f>91792+92475+109649+38219</f>
        <v>332135</v>
      </c>
      <c r="L15" s="80">
        <f>109649+91792+52262+40709+38219-496</f>
        <v>332135</v>
      </c>
      <c r="M15" s="68">
        <f t="shared" ref="M15:M22" si="0">K15-L15</f>
        <v>0</v>
      </c>
      <c r="N15" s="70">
        <f>M15</f>
        <v>0</v>
      </c>
    </row>
    <row r="16" spans="1:14" x14ac:dyDescent="0.2">
      <c r="B16" s="3" t="s">
        <v>19</v>
      </c>
      <c r="C16" s="9" t="s">
        <v>24</v>
      </c>
      <c r="D16" s="9"/>
      <c r="E16" s="9"/>
      <c r="F16" s="10"/>
      <c r="G16" s="11">
        <v>31856</v>
      </c>
      <c r="J16" s="69">
        <v>43313</v>
      </c>
      <c r="K16" s="79">
        <f>35266+93066+58155+30644</f>
        <v>217131</v>
      </c>
      <c r="L16" s="80">
        <f>58155+35266+48718+44875+30644-527</f>
        <v>217131</v>
      </c>
      <c r="M16" s="70">
        <f t="shared" si="0"/>
        <v>0</v>
      </c>
      <c r="N16" s="70">
        <f>N15+M16</f>
        <v>0</v>
      </c>
    </row>
    <row r="17" spans="2:14" x14ac:dyDescent="0.2">
      <c r="B17" s="5" t="s">
        <v>21</v>
      </c>
      <c r="C17" s="9" t="s">
        <v>72</v>
      </c>
      <c r="D17" s="9"/>
      <c r="E17" s="9"/>
      <c r="F17" s="10"/>
      <c r="G17" s="11">
        <v>-311223</v>
      </c>
      <c r="J17" s="69">
        <v>43344</v>
      </c>
      <c r="K17" s="79">
        <f>111140+96467+135331+35479</f>
        <v>378417</v>
      </c>
      <c r="L17" s="79">
        <f>135331+111140+51537+44952+35479-22</f>
        <v>378417</v>
      </c>
      <c r="M17" s="70">
        <f t="shared" si="0"/>
        <v>0</v>
      </c>
      <c r="N17" s="70">
        <f t="shared" ref="N17:N20" si="1">N16+M17</f>
        <v>0</v>
      </c>
    </row>
    <row r="18" spans="2:14" x14ac:dyDescent="0.2">
      <c r="B18" s="5" t="s">
        <v>23</v>
      </c>
      <c r="C18" s="9" t="s">
        <v>76</v>
      </c>
      <c r="D18" s="9"/>
      <c r="E18" s="9"/>
      <c r="F18" s="10"/>
      <c r="G18" s="11">
        <v>193529</v>
      </c>
      <c r="J18" s="69">
        <v>43374</v>
      </c>
      <c r="K18" s="79">
        <f>111283+104768+142306+31763</f>
        <v>390120</v>
      </c>
      <c r="L18" s="79">
        <f>142306+111283+55553+49237+31763-22</f>
        <v>390120</v>
      </c>
      <c r="M18" s="70">
        <f t="shared" si="0"/>
        <v>0</v>
      </c>
      <c r="N18" s="70">
        <f t="shared" si="1"/>
        <v>0</v>
      </c>
    </row>
    <row r="19" spans="2:14" x14ac:dyDescent="0.2">
      <c r="B19" s="6" t="s">
        <v>25</v>
      </c>
      <c r="C19" s="9" t="s">
        <v>26</v>
      </c>
      <c r="D19" s="9"/>
      <c r="E19" s="9"/>
      <c r="F19" s="12"/>
      <c r="G19" s="13">
        <f>G16+G17+G18</f>
        <v>-85838</v>
      </c>
      <c r="J19" s="69">
        <v>43405</v>
      </c>
      <c r="K19" s="79">
        <f>139823+114438+156216+20176</f>
        <v>430653</v>
      </c>
      <c r="L19" s="81">
        <f>156216+139823+66593+47868+20176-23</f>
        <v>430653</v>
      </c>
      <c r="M19" s="70">
        <f t="shared" si="0"/>
        <v>0</v>
      </c>
      <c r="N19" s="70">
        <f t="shared" si="1"/>
        <v>0</v>
      </c>
    </row>
    <row r="20" spans="2:14" x14ac:dyDescent="0.2">
      <c r="B20" s="5">
        <v>2</v>
      </c>
      <c r="C20" s="14">
        <v>43282</v>
      </c>
      <c r="D20" s="15">
        <f>332817-447</f>
        <v>332370</v>
      </c>
      <c r="E20" s="16">
        <f>438093.69+496</f>
        <v>438589.69</v>
      </c>
      <c r="F20" s="17">
        <f t="shared" ref="F20:F27" si="2">D20-E20</f>
        <v>-106219.69</v>
      </c>
      <c r="G20" s="13">
        <f t="shared" ref="G20:G27" si="3">G19+F20</f>
        <v>-192057.69</v>
      </c>
      <c r="J20" s="71">
        <v>43435</v>
      </c>
      <c r="K20" s="81">
        <f>171519+125211+196271+7445</f>
        <v>500446</v>
      </c>
      <c r="L20" s="82">
        <f>196271+171519+75913+49322+7445-24</f>
        <v>500446</v>
      </c>
      <c r="M20" s="72">
        <f t="shared" si="0"/>
        <v>0</v>
      </c>
      <c r="N20" s="72">
        <f t="shared" si="1"/>
        <v>0</v>
      </c>
    </row>
    <row r="21" spans="2:14" x14ac:dyDescent="0.2">
      <c r="B21" s="5">
        <v>3</v>
      </c>
      <c r="C21" s="18">
        <v>43313</v>
      </c>
      <c r="D21" s="19">
        <f>303603-406</f>
        <v>303197</v>
      </c>
      <c r="E21" s="20">
        <f>328251.24+527</f>
        <v>328778.23999999999</v>
      </c>
      <c r="F21" s="21">
        <f t="shared" si="2"/>
        <v>-25581.239999999991</v>
      </c>
      <c r="G21" s="22">
        <f t="shared" si="3"/>
        <v>-217638.93</v>
      </c>
      <c r="J21" s="69">
        <v>43466</v>
      </c>
      <c r="K21" s="83">
        <f>124478+96774+137830+6494</f>
        <v>365576</v>
      </c>
      <c r="L21" s="83">
        <f>137830+124478+52223+44572+6494-21</f>
        <v>365576</v>
      </c>
      <c r="M21" s="70">
        <f t="shared" si="0"/>
        <v>0</v>
      </c>
      <c r="N21" s="70">
        <f>N20+M21</f>
        <v>0</v>
      </c>
    </row>
    <row r="22" spans="2:14" x14ac:dyDescent="0.2">
      <c r="B22" s="5">
        <v>4</v>
      </c>
      <c r="C22" s="18">
        <v>43344</v>
      </c>
      <c r="D22" s="19">
        <f>296897-428</f>
        <v>296469</v>
      </c>
      <c r="E22" s="20">
        <f>278739.65+22</f>
        <v>278761.65000000002</v>
      </c>
      <c r="F22" s="21">
        <f t="shared" si="2"/>
        <v>17707.349999999977</v>
      </c>
      <c r="G22" s="22">
        <f t="shared" si="3"/>
        <v>-199931.58000000002</v>
      </c>
      <c r="J22" s="71">
        <v>43497</v>
      </c>
      <c r="K22" s="82">
        <f>87619+74618+95096+5370</f>
        <v>262703</v>
      </c>
      <c r="L22" s="82">
        <f>95096+87619+38833+35803+5370-18</f>
        <v>262703</v>
      </c>
      <c r="M22" s="72">
        <f t="shared" si="0"/>
        <v>0</v>
      </c>
      <c r="N22" s="72">
        <f>N21+M22</f>
        <v>0</v>
      </c>
    </row>
    <row r="23" spans="2:14" x14ac:dyDescent="0.2">
      <c r="B23" s="5">
        <v>5</v>
      </c>
      <c r="C23" s="18">
        <v>43374</v>
      </c>
      <c r="D23" s="19">
        <f>294010-428</f>
        <v>293582</v>
      </c>
      <c r="E23" s="20">
        <f>393997.6+22</f>
        <v>394019.6</v>
      </c>
      <c r="F23" s="21">
        <f t="shared" si="2"/>
        <v>-100437.59999999998</v>
      </c>
      <c r="G23" s="22">
        <f t="shared" si="3"/>
        <v>-300369.18</v>
      </c>
      <c r="J23" s="73"/>
      <c r="K23" s="73"/>
      <c r="L23" s="73"/>
      <c r="M23" s="73"/>
      <c r="N23" s="73"/>
    </row>
    <row r="24" spans="2:14" x14ac:dyDescent="0.2">
      <c r="B24" s="5">
        <v>6</v>
      </c>
      <c r="C24" s="18">
        <v>43405</v>
      </c>
      <c r="D24" s="19">
        <f>377359-447</f>
        <v>376912</v>
      </c>
      <c r="E24" s="20">
        <f>325751.99+23</f>
        <v>325774.99</v>
      </c>
      <c r="F24" s="21">
        <f t="shared" si="2"/>
        <v>51137.010000000009</v>
      </c>
      <c r="G24" s="22">
        <f t="shared" si="3"/>
        <v>-249232.16999999998</v>
      </c>
      <c r="J24" s="74" t="s">
        <v>69</v>
      </c>
      <c r="K24" s="75"/>
      <c r="L24" s="75"/>
      <c r="M24" s="76"/>
      <c r="N24" s="77">
        <f>N20</f>
        <v>0</v>
      </c>
    </row>
    <row r="25" spans="2:14" x14ac:dyDescent="0.2">
      <c r="B25" s="5">
        <v>7</v>
      </c>
      <c r="C25" s="18">
        <v>43435</v>
      </c>
      <c r="D25" s="19">
        <f>461963-466</f>
        <v>461497</v>
      </c>
      <c r="E25" s="20">
        <f>394129.1+24</f>
        <v>394153.1</v>
      </c>
      <c r="F25" s="23">
        <f t="shared" si="2"/>
        <v>67343.900000000023</v>
      </c>
      <c r="G25" s="24">
        <f t="shared" si="3"/>
        <v>-181888.26999999996</v>
      </c>
      <c r="J25" s="73"/>
      <c r="K25" s="73"/>
      <c r="L25" s="73"/>
      <c r="M25" s="73"/>
      <c r="N25" s="78"/>
    </row>
    <row r="26" spans="2:14" x14ac:dyDescent="0.2">
      <c r="B26" s="25" t="s">
        <v>27</v>
      </c>
      <c r="C26" s="14">
        <v>43466</v>
      </c>
      <c r="D26" s="15">
        <f>442244-407</f>
        <v>441837</v>
      </c>
      <c r="E26" s="16">
        <f>449933.18+21</f>
        <v>449954.18</v>
      </c>
      <c r="F26" s="17">
        <f t="shared" si="2"/>
        <v>-8117.179999999993</v>
      </c>
      <c r="G26" s="13">
        <f t="shared" si="3"/>
        <v>-190005.44999999995</v>
      </c>
      <c r="J26" s="74" t="s">
        <v>70</v>
      </c>
      <c r="K26" s="75"/>
      <c r="L26" s="75"/>
      <c r="M26" s="76"/>
      <c r="N26" s="77">
        <f>N24/6</f>
        <v>0</v>
      </c>
    </row>
    <row r="27" spans="2:14" ht="15" x14ac:dyDescent="0.2">
      <c r="B27" s="26" t="s">
        <v>28</v>
      </c>
      <c r="C27" s="27">
        <v>43497</v>
      </c>
      <c r="D27" s="28">
        <f>285726-336</f>
        <v>285390</v>
      </c>
      <c r="E27" s="29">
        <f>184208.47+18</f>
        <v>184226.47</v>
      </c>
      <c r="F27" s="23">
        <f t="shared" si="2"/>
        <v>101163.53</v>
      </c>
      <c r="G27" s="24">
        <f t="shared" si="3"/>
        <v>-88841.919999999955</v>
      </c>
      <c r="J27" s="56"/>
      <c r="K27" s="56"/>
      <c r="L27" s="56"/>
      <c r="M27" s="56"/>
      <c r="N27" s="56"/>
    </row>
    <row r="28" spans="2:14" x14ac:dyDescent="0.2">
      <c r="B28" s="6"/>
      <c r="C28" s="30" t="s">
        <v>77</v>
      </c>
      <c r="D28" s="31"/>
      <c r="E28" s="31"/>
      <c r="F28" s="31"/>
      <c r="G28" s="32"/>
    </row>
    <row r="29" spans="2:14" x14ac:dyDescent="0.2">
      <c r="B29" s="3"/>
      <c r="C29" s="2"/>
      <c r="D29" s="2"/>
      <c r="E29" s="2"/>
      <c r="F29" s="2"/>
      <c r="G29" s="13"/>
    </row>
    <row r="30" spans="2:14" x14ac:dyDescent="0.2">
      <c r="B30" s="5"/>
      <c r="C30" s="4"/>
      <c r="D30" s="5" t="s">
        <v>30</v>
      </c>
      <c r="E30" s="5" t="s">
        <v>31</v>
      </c>
      <c r="F30" s="4"/>
      <c r="G30" s="22"/>
    </row>
    <row r="31" spans="2:14" x14ac:dyDescent="0.2">
      <c r="B31" s="5">
        <v>8</v>
      </c>
      <c r="C31" s="4"/>
      <c r="D31" s="5" t="s">
        <v>32</v>
      </c>
      <c r="E31" s="5" t="s">
        <v>33</v>
      </c>
      <c r="F31" s="4"/>
      <c r="G31" s="33" t="s">
        <v>30</v>
      </c>
    </row>
    <row r="32" spans="2:14" x14ac:dyDescent="0.2">
      <c r="B32" s="5"/>
      <c r="C32" s="4"/>
      <c r="D32" s="5" t="s">
        <v>34</v>
      </c>
      <c r="E32" s="5" t="s">
        <v>35</v>
      </c>
      <c r="F32" s="4"/>
      <c r="G32" s="33" t="s">
        <v>36</v>
      </c>
    </row>
    <row r="33" spans="2:7" x14ac:dyDescent="0.2">
      <c r="B33" s="5"/>
      <c r="C33" s="4"/>
      <c r="D33" s="5" t="s">
        <v>37</v>
      </c>
      <c r="E33" s="5" t="s">
        <v>38</v>
      </c>
      <c r="F33" s="4"/>
      <c r="G33" s="33" t="s">
        <v>39</v>
      </c>
    </row>
    <row r="34" spans="2:7" x14ac:dyDescent="0.2">
      <c r="B34" s="6"/>
      <c r="C34" s="4"/>
      <c r="D34" s="5" t="s">
        <v>40</v>
      </c>
      <c r="E34" s="5" t="s">
        <v>41</v>
      </c>
      <c r="F34" s="4"/>
      <c r="G34" s="33" t="s">
        <v>42</v>
      </c>
    </row>
    <row r="35" spans="2:7" x14ac:dyDescent="0.2">
      <c r="B35" s="25" t="s">
        <v>43</v>
      </c>
      <c r="C35" s="2" t="s">
        <v>48</v>
      </c>
      <c r="D35" s="13">
        <f>-G16</f>
        <v>-31856</v>
      </c>
      <c r="E35" s="13">
        <f>D67</f>
        <v>31856</v>
      </c>
      <c r="F35" s="2"/>
      <c r="G35" s="13">
        <f>D35+E35</f>
        <v>0</v>
      </c>
    </row>
    <row r="36" spans="2:7" x14ac:dyDescent="0.2">
      <c r="B36" s="34" t="s">
        <v>45</v>
      </c>
      <c r="C36" s="4" t="s">
        <v>74</v>
      </c>
      <c r="D36" s="22">
        <f>-G17</f>
        <v>311223</v>
      </c>
      <c r="E36" s="22">
        <f>E67</f>
        <v>-207484</v>
      </c>
      <c r="F36" s="4"/>
      <c r="G36" s="22">
        <f>D36+E36</f>
        <v>103739</v>
      </c>
    </row>
    <row r="37" spans="2:7" x14ac:dyDescent="0.2">
      <c r="B37" s="34" t="s">
        <v>47</v>
      </c>
      <c r="C37" s="35" t="s">
        <v>78</v>
      </c>
      <c r="D37" s="24">
        <f>-G18</f>
        <v>-193529</v>
      </c>
      <c r="E37" s="24">
        <f>F67</f>
        <v>0</v>
      </c>
      <c r="F37" s="35"/>
      <c r="G37" s="24">
        <f>D37+E37</f>
        <v>-193529</v>
      </c>
    </row>
    <row r="38" spans="2:7" x14ac:dyDescent="0.2">
      <c r="B38" s="6" t="s">
        <v>49</v>
      </c>
      <c r="C38" s="36"/>
      <c r="D38" s="37"/>
      <c r="E38" s="37"/>
      <c r="F38" s="38" t="s">
        <v>50</v>
      </c>
      <c r="G38" s="24">
        <f>G35+G36+G37</f>
        <v>-89790</v>
      </c>
    </row>
    <row r="39" spans="2:7" x14ac:dyDescent="0.2">
      <c r="B39" s="39"/>
      <c r="G39" s="40"/>
    </row>
    <row r="40" spans="2:7" x14ac:dyDescent="0.2">
      <c r="B40" s="7">
        <v>9</v>
      </c>
      <c r="C40" s="41" t="s">
        <v>51</v>
      </c>
      <c r="D40" s="9"/>
      <c r="E40" s="9"/>
      <c r="F40" s="10"/>
      <c r="G40" s="42">
        <f>G25+G38</f>
        <v>-271678.26999999996</v>
      </c>
    </row>
    <row r="41" spans="2:7" x14ac:dyDescent="0.2">
      <c r="B41" s="39"/>
      <c r="G41" s="40"/>
    </row>
    <row r="42" spans="2:7" x14ac:dyDescent="0.2">
      <c r="B42" s="7">
        <v>10</v>
      </c>
      <c r="C42" s="41" t="s">
        <v>52</v>
      </c>
      <c r="D42" s="9"/>
      <c r="E42" s="9"/>
      <c r="F42" s="10"/>
      <c r="G42" s="42">
        <f>G40/6</f>
        <v>-45279.711666666662</v>
      </c>
    </row>
    <row r="44" spans="2:7" x14ac:dyDescent="0.2">
      <c r="B44" s="2"/>
      <c r="C44" s="43" t="s">
        <v>53</v>
      </c>
      <c r="D44" s="44"/>
      <c r="E44" s="44"/>
      <c r="F44" s="44"/>
      <c r="G44" s="45"/>
    </row>
    <row r="45" spans="2:7" x14ac:dyDescent="0.2">
      <c r="B45" s="2"/>
      <c r="C45" s="46"/>
      <c r="D45" s="46"/>
      <c r="E45" s="46"/>
      <c r="F45" s="46"/>
      <c r="G45" s="12"/>
    </row>
    <row r="46" spans="2:7" x14ac:dyDescent="0.2">
      <c r="B46" s="5">
        <v>11</v>
      </c>
      <c r="C46" s="47" t="s">
        <v>54</v>
      </c>
      <c r="D46" s="47"/>
      <c r="E46" s="47"/>
      <c r="F46" s="47"/>
      <c r="G46" s="48">
        <f>G19</f>
        <v>-85838</v>
      </c>
    </row>
    <row r="47" spans="2:7" x14ac:dyDescent="0.2">
      <c r="B47" s="5">
        <v>12</v>
      </c>
      <c r="C47" s="47" t="s">
        <v>55</v>
      </c>
      <c r="D47" s="47"/>
      <c r="E47" s="47"/>
      <c r="F47" s="47"/>
      <c r="G47" s="49">
        <f>G38</f>
        <v>-89790</v>
      </c>
    </row>
    <row r="48" spans="2:7" x14ac:dyDescent="0.2">
      <c r="B48" s="5"/>
      <c r="C48" s="47"/>
      <c r="D48" s="47"/>
      <c r="E48" s="47"/>
      <c r="F48" s="47"/>
      <c r="G48" s="48"/>
    </row>
    <row r="49" spans="2:7" ht="15" thickBot="1" x14ac:dyDescent="0.25">
      <c r="B49" s="5">
        <v>13</v>
      </c>
      <c r="C49" s="47" t="s">
        <v>56</v>
      </c>
      <c r="D49" s="47"/>
      <c r="E49" s="47"/>
      <c r="F49" s="47"/>
      <c r="G49" s="50">
        <f>G46+G47</f>
        <v>-175628</v>
      </c>
    </row>
    <row r="50" spans="2:7" ht="15" thickTop="1" x14ac:dyDescent="0.2">
      <c r="B50" s="5"/>
      <c r="C50" s="47"/>
      <c r="D50" s="47"/>
      <c r="E50" s="47"/>
      <c r="F50" s="47"/>
      <c r="G50" s="48"/>
    </row>
    <row r="51" spans="2:7" x14ac:dyDescent="0.2">
      <c r="B51" s="5">
        <v>14</v>
      </c>
      <c r="C51" s="47" t="s">
        <v>57</v>
      </c>
      <c r="D51" s="47"/>
      <c r="E51" s="47"/>
      <c r="F51" s="47"/>
      <c r="G51" s="48">
        <f>G40</f>
        <v>-271678.26999999996</v>
      </c>
    </row>
    <row r="52" spans="2:7" x14ac:dyDescent="0.2">
      <c r="B52" s="5"/>
      <c r="C52" s="47"/>
      <c r="D52" s="47"/>
      <c r="E52" s="47"/>
      <c r="F52" s="47"/>
      <c r="G52" s="48"/>
    </row>
    <row r="53" spans="2:7" x14ac:dyDescent="0.2">
      <c r="B53" s="5">
        <v>15</v>
      </c>
      <c r="C53" s="47" t="s">
        <v>58</v>
      </c>
      <c r="D53" s="47"/>
      <c r="E53" s="47"/>
      <c r="F53" s="47"/>
      <c r="G53" s="49">
        <f>SUM(F20:F25)</f>
        <v>-96050.26999999996</v>
      </c>
    </row>
    <row r="54" spans="2:7" x14ac:dyDescent="0.2">
      <c r="B54" s="5"/>
      <c r="C54" s="47"/>
      <c r="D54" s="47"/>
      <c r="E54" s="47"/>
      <c r="F54" s="47"/>
      <c r="G54" s="48"/>
    </row>
    <row r="55" spans="2:7" ht="15" thickBot="1" x14ac:dyDescent="0.25">
      <c r="B55" s="5">
        <v>16</v>
      </c>
      <c r="C55" s="47" t="s">
        <v>59</v>
      </c>
      <c r="D55" s="47"/>
      <c r="E55" s="47"/>
      <c r="F55" s="47"/>
      <c r="G55" s="50">
        <f>G51-G53</f>
        <v>-175628</v>
      </c>
    </row>
    <row r="56" spans="2:7" ht="15" thickTop="1" x14ac:dyDescent="0.2">
      <c r="B56" s="35"/>
      <c r="C56" s="51"/>
      <c r="D56" s="51"/>
      <c r="E56" s="51"/>
      <c r="F56" s="51"/>
      <c r="G56" s="52"/>
    </row>
    <row r="58" spans="2:7" x14ac:dyDescent="0.2">
      <c r="B58" t="s">
        <v>60</v>
      </c>
    </row>
    <row r="59" spans="2:7" x14ac:dyDescent="0.2">
      <c r="B59" s="39"/>
      <c r="C59" s="2"/>
      <c r="D59" s="3" t="s">
        <v>61</v>
      </c>
      <c r="E59" s="3" t="s">
        <v>61</v>
      </c>
      <c r="F59" s="3" t="s">
        <v>61</v>
      </c>
    </row>
    <row r="60" spans="2:7" x14ac:dyDescent="0.2">
      <c r="B60" s="39"/>
      <c r="C60" s="6" t="s">
        <v>13</v>
      </c>
      <c r="D60" s="6" t="s">
        <v>64</v>
      </c>
      <c r="E60" s="6" t="s">
        <v>75</v>
      </c>
      <c r="F60" s="6" t="s">
        <v>79</v>
      </c>
    </row>
    <row r="61" spans="2:7" x14ac:dyDescent="0.2">
      <c r="C61" s="14">
        <v>43282</v>
      </c>
      <c r="D61" s="15">
        <v>31856</v>
      </c>
      <c r="E61" s="13">
        <v>0</v>
      </c>
      <c r="F61" s="13">
        <v>0</v>
      </c>
    </row>
    <row r="62" spans="2:7" x14ac:dyDescent="0.2">
      <c r="C62" s="18">
        <v>43313</v>
      </c>
      <c r="D62" s="19">
        <v>0</v>
      </c>
      <c r="E62" s="22">
        <v>0</v>
      </c>
      <c r="F62" s="22">
        <v>0</v>
      </c>
    </row>
    <row r="63" spans="2:7" x14ac:dyDescent="0.2">
      <c r="C63" s="18">
        <v>43344</v>
      </c>
      <c r="D63" s="19">
        <v>0</v>
      </c>
      <c r="E63" s="22">
        <v>-51871</v>
      </c>
      <c r="F63" s="22">
        <v>0</v>
      </c>
    </row>
    <row r="64" spans="2:7" x14ac:dyDescent="0.2">
      <c r="C64" s="18">
        <v>43374</v>
      </c>
      <c r="D64" s="19">
        <v>0</v>
      </c>
      <c r="E64" s="22">
        <v>-51871</v>
      </c>
      <c r="F64" s="22">
        <v>0</v>
      </c>
    </row>
    <row r="65" spans="3:6" x14ac:dyDescent="0.2">
      <c r="C65" s="18">
        <v>43405</v>
      </c>
      <c r="D65" s="19">
        <v>0</v>
      </c>
      <c r="E65" s="22">
        <v>-51871</v>
      </c>
      <c r="F65" s="22">
        <v>0</v>
      </c>
    </row>
    <row r="66" spans="3:6" x14ac:dyDescent="0.2">
      <c r="C66" s="27">
        <v>43435</v>
      </c>
      <c r="D66" s="28">
        <v>0</v>
      </c>
      <c r="E66" s="24">
        <v>-51871</v>
      </c>
      <c r="F66" s="24">
        <v>0</v>
      </c>
    </row>
    <row r="67" spans="3:6" x14ac:dyDescent="0.2">
      <c r="C67" s="53" t="s">
        <v>65</v>
      </c>
      <c r="D67" s="42">
        <f>SUM(D61:D66)</f>
        <v>31856</v>
      </c>
      <c r="E67" s="42">
        <f>SUM(E61:E66)</f>
        <v>-207484</v>
      </c>
      <c r="F67" s="42">
        <f>SUM(F61:F66)</f>
        <v>0</v>
      </c>
    </row>
  </sheetData>
  <mergeCells count="3">
    <mergeCell ref="B5:G6"/>
    <mergeCell ref="C15:G15"/>
    <mergeCell ref="J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C51" sqref="C50:C51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10" max="14" width="15.625" customWidth="1"/>
  </cols>
  <sheetData>
    <row r="1" spans="1:15" x14ac:dyDescent="0.2">
      <c r="A1" t="s">
        <v>0</v>
      </c>
    </row>
    <row r="2" spans="1:15" x14ac:dyDescent="0.2">
      <c r="A2" t="s">
        <v>71</v>
      </c>
    </row>
    <row r="3" spans="1:15" ht="15" x14ac:dyDescent="0.2">
      <c r="J3" s="56"/>
      <c r="K3" s="56"/>
      <c r="L3" s="56"/>
      <c r="M3" s="56"/>
      <c r="N3" s="56"/>
    </row>
    <row r="4" spans="1:15" ht="15" x14ac:dyDescent="0.2">
      <c r="J4" s="56"/>
      <c r="K4" s="56"/>
      <c r="L4" s="56"/>
      <c r="M4" s="56"/>
      <c r="N4" s="56"/>
    </row>
    <row r="5" spans="1:15" x14ac:dyDescent="0.2">
      <c r="B5" s="87" t="s">
        <v>1</v>
      </c>
      <c r="C5" s="88"/>
      <c r="D5" s="88"/>
      <c r="E5" s="88"/>
      <c r="F5" s="88"/>
      <c r="G5" s="89"/>
      <c r="J5" s="96" t="s">
        <v>66</v>
      </c>
      <c r="K5" s="97"/>
      <c r="L5" s="97"/>
      <c r="M5" s="97"/>
      <c r="N5" s="98"/>
    </row>
    <row r="6" spans="1:15" x14ac:dyDescent="0.2">
      <c r="B6" s="90"/>
      <c r="C6" s="91"/>
      <c r="D6" s="91"/>
      <c r="E6" s="91"/>
      <c r="F6" s="91"/>
      <c r="G6" s="92"/>
      <c r="J6" s="99"/>
      <c r="K6" s="100"/>
      <c r="L6" s="100"/>
      <c r="M6" s="100"/>
      <c r="N6" s="101"/>
    </row>
    <row r="7" spans="1:15" ht="15" x14ac:dyDescent="0.2">
      <c r="J7" s="56"/>
      <c r="K7" s="56"/>
      <c r="L7" s="56"/>
      <c r="M7" s="56"/>
      <c r="N7" s="56"/>
    </row>
    <row r="8" spans="1:15" ht="15.75" x14ac:dyDescent="0.25">
      <c r="B8" s="55" t="s">
        <v>2</v>
      </c>
      <c r="J8" s="57" t="s">
        <v>67</v>
      </c>
      <c r="K8" s="56"/>
      <c r="L8" s="56"/>
      <c r="M8" s="56"/>
      <c r="N8" s="56"/>
    </row>
    <row r="10" spans="1:15" ht="15" customHeight="1" x14ac:dyDescent="0.2">
      <c r="B10" s="2"/>
      <c r="C10" s="2"/>
      <c r="D10" s="2"/>
      <c r="E10" s="3" t="s">
        <v>3</v>
      </c>
      <c r="F10" s="2"/>
      <c r="G10" s="2"/>
      <c r="I10" s="56"/>
      <c r="J10" s="58"/>
      <c r="K10" s="58"/>
      <c r="L10" s="59" t="s">
        <v>3</v>
      </c>
      <c r="M10" s="58"/>
      <c r="N10" s="58"/>
      <c r="O10" s="56"/>
    </row>
    <row r="11" spans="1:15" ht="15" customHeight="1" x14ac:dyDescent="0.2">
      <c r="B11" s="4"/>
      <c r="C11" s="4"/>
      <c r="D11" s="5" t="s">
        <v>4</v>
      </c>
      <c r="E11" s="5" t="s">
        <v>5</v>
      </c>
      <c r="F11" s="4"/>
      <c r="G11" s="4"/>
      <c r="I11" s="56"/>
      <c r="J11" s="60"/>
      <c r="K11" s="61" t="s">
        <v>4</v>
      </c>
      <c r="L11" s="61" t="s">
        <v>5</v>
      </c>
      <c r="M11" s="60"/>
      <c r="N11" s="60"/>
      <c r="O11" s="56"/>
    </row>
    <row r="12" spans="1:15" ht="15" x14ac:dyDescent="0.2">
      <c r="B12" s="4"/>
      <c r="C12" s="4"/>
      <c r="D12" s="5" t="s">
        <v>6</v>
      </c>
      <c r="E12" s="5" t="s">
        <v>7</v>
      </c>
      <c r="F12" s="5" t="s">
        <v>8</v>
      </c>
      <c r="G12" s="5" t="s">
        <v>9</v>
      </c>
      <c r="I12" s="56"/>
      <c r="J12" s="60"/>
      <c r="K12" s="61" t="s">
        <v>6</v>
      </c>
      <c r="L12" s="61" t="s">
        <v>7</v>
      </c>
      <c r="M12" s="61" t="s">
        <v>8</v>
      </c>
      <c r="N12" s="61" t="s">
        <v>9</v>
      </c>
      <c r="O12" s="56"/>
    </row>
    <row r="13" spans="1:15" ht="15" x14ac:dyDescent="0.2">
      <c r="B13" s="6"/>
      <c r="C13" s="6"/>
      <c r="D13" s="6" t="s">
        <v>10</v>
      </c>
      <c r="E13" s="6" t="s">
        <v>10</v>
      </c>
      <c r="F13" s="6" t="s">
        <v>11</v>
      </c>
      <c r="G13" s="6" t="s">
        <v>11</v>
      </c>
      <c r="I13" s="56"/>
      <c r="J13" s="62"/>
      <c r="K13" s="62" t="s">
        <v>10</v>
      </c>
      <c r="L13" s="62" t="s">
        <v>10</v>
      </c>
      <c r="M13" s="62" t="s">
        <v>11</v>
      </c>
      <c r="N13" s="62" t="s">
        <v>11</v>
      </c>
      <c r="O13" s="56"/>
    </row>
    <row r="14" spans="1:15" ht="15" x14ac:dyDescent="0.2">
      <c r="B14" s="7" t="s">
        <v>12</v>
      </c>
      <c r="C14" s="7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I14" s="56"/>
      <c r="J14" s="63" t="s">
        <v>13</v>
      </c>
      <c r="K14" s="64" t="s">
        <v>68</v>
      </c>
      <c r="L14" s="64" t="s">
        <v>14</v>
      </c>
      <c r="M14" s="64" t="s">
        <v>15</v>
      </c>
      <c r="N14" s="64" t="s">
        <v>16</v>
      </c>
      <c r="O14" s="56"/>
    </row>
    <row r="15" spans="1:15" ht="15" x14ac:dyDescent="0.2">
      <c r="B15" s="3">
        <v>1</v>
      </c>
      <c r="C15" s="84" t="s">
        <v>18</v>
      </c>
      <c r="D15" s="85"/>
      <c r="E15" s="85"/>
      <c r="F15" s="85"/>
      <c r="G15" s="86"/>
      <c r="I15" s="56"/>
      <c r="J15" s="65">
        <v>43466</v>
      </c>
      <c r="K15" s="79">
        <f>124478+96774+137830+6494</f>
        <v>365576</v>
      </c>
      <c r="L15" s="80">
        <f>137830+124478+52223+44572+6494-21</f>
        <v>365576</v>
      </c>
      <c r="M15" s="68">
        <f t="shared" ref="M15:M22" si="0">K15-L15</f>
        <v>0</v>
      </c>
      <c r="N15" s="70">
        <f>M15</f>
        <v>0</v>
      </c>
      <c r="O15" s="56"/>
    </row>
    <row r="16" spans="1:15" ht="15" x14ac:dyDescent="0.2">
      <c r="B16" s="3" t="s">
        <v>19</v>
      </c>
      <c r="C16" s="9" t="s">
        <v>72</v>
      </c>
      <c r="D16" s="9"/>
      <c r="E16" s="9"/>
      <c r="F16" s="10"/>
      <c r="G16" s="11">
        <v>-103739</v>
      </c>
      <c r="I16" s="56"/>
      <c r="J16" s="69">
        <v>43497</v>
      </c>
      <c r="K16" s="79">
        <f>87619+74618+95096+5370</f>
        <v>262703</v>
      </c>
      <c r="L16" s="80">
        <f>95096+87619+38833+35803+5370-18</f>
        <v>262703</v>
      </c>
      <c r="M16" s="70">
        <f t="shared" si="0"/>
        <v>0</v>
      </c>
      <c r="N16" s="70">
        <f>N15+M16</f>
        <v>0</v>
      </c>
      <c r="O16" s="56"/>
    </row>
    <row r="17" spans="2:15" ht="15" x14ac:dyDescent="0.2">
      <c r="B17" s="5" t="s">
        <v>21</v>
      </c>
      <c r="C17" s="9" t="s">
        <v>76</v>
      </c>
      <c r="D17" s="9"/>
      <c r="E17" s="9"/>
      <c r="F17" s="10"/>
      <c r="G17" s="11">
        <v>193529</v>
      </c>
      <c r="I17" s="56"/>
      <c r="J17" s="69">
        <v>43525</v>
      </c>
      <c r="K17" s="79">
        <f>78773+75915+94417+5349</f>
        <v>254454</v>
      </c>
      <c r="L17" s="79">
        <f>94417+78773+39744+36188+5349-17</f>
        <v>254454</v>
      </c>
      <c r="M17" s="70">
        <f t="shared" si="0"/>
        <v>0</v>
      </c>
      <c r="N17" s="70">
        <f t="shared" ref="N17:N20" si="1">N16+M17</f>
        <v>0</v>
      </c>
      <c r="O17" s="56"/>
    </row>
    <row r="18" spans="2:15" ht="15" x14ac:dyDescent="0.2">
      <c r="B18" s="5" t="s">
        <v>23</v>
      </c>
      <c r="C18" s="9" t="s">
        <v>80</v>
      </c>
      <c r="D18" s="9"/>
      <c r="E18" s="9"/>
      <c r="F18" s="10"/>
      <c r="G18" s="11">
        <v>-271678</v>
      </c>
      <c r="I18" s="56"/>
      <c r="J18" s="69">
        <v>43556</v>
      </c>
      <c r="K18" s="79">
        <f>124811+95152+162439+6714</f>
        <v>389116</v>
      </c>
      <c r="L18" s="79">
        <f>162439+124811+49432+45742+6714-22</f>
        <v>389116</v>
      </c>
      <c r="M18" s="70">
        <f t="shared" si="0"/>
        <v>0</v>
      </c>
      <c r="N18" s="70">
        <f t="shared" si="1"/>
        <v>0</v>
      </c>
      <c r="O18" s="56"/>
    </row>
    <row r="19" spans="2:15" ht="15" x14ac:dyDescent="0.2">
      <c r="B19" s="6" t="s">
        <v>25</v>
      </c>
      <c r="C19" s="9" t="s">
        <v>26</v>
      </c>
      <c r="D19" s="9"/>
      <c r="E19" s="9"/>
      <c r="F19" s="12"/>
      <c r="G19" s="13">
        <f>G16+G17+G18</f>
        <v>-181888</v>
      </c>
      <c r="I19" s="56"/>
      <c r="J19" s="69">
        <v>43586</v>
      </c>
      <c r="K19" s="79">
        <f>117471+85979+162706+6950</f>
        <v>373106</v>
      </c>
      <c r="L19" s="81">
        <f>162706+117471+42315+43687+6950-23</f>
        <v>373106</v>
      </c>
      <c r="M19" s="70">
        <f t="shared" si="0"/>
        <v>0</v>
      </c>
      <c r="N19" s="70">
        <f t="shared" si="1"/>
        <v>0</v>
      </c>
      <c r="O19" s="56"/>
    </row>
    <row r="20" spans="2:15" ht="15" x14ac:dyDescent="0.2">
      <c r="B20" s="5">
        <v>2</v>
      </c>
      <c r="C20" s="14">
        <v>43466</v>
      </c>
      <c r="D20" s="15">
        <f>442244-407</f>
        <v>441837</v>
      </c>
      <c r="E20" s="16">
        <f>449933.18+21</f>
        <v>449954.18</v>
      </c>
      <c r="F20" s="17">
        <f t="shared" ref="F20:F27" si="2">D20-E20</f>
        <v>-8117.179999999993</v>
      </c>
      <c r="G20" s="13">
        <f t="shared" ref="G20:G27" si="3">G19+F20</f>
        <v>-190005.18</v>
      </c>
      <c r="I20" s="56"/>
      <c r="J20" s="71">
        <v>43617</v>
      </c>
      <c r="K20" s="81">
        <f>123434+101906+174430+11145</f>
        <v>410915</v>
      </c>
      <c r="L20" s="82">
        <f>174430+123434+50707+51226+11145-27</f>
        <v>410915</v>
      </c>
      <c r="M20" s="72">
        <f t="shared" si="0"/>
        <v>0</v>
      </c>
      <c r="N20" s="72">
        <f t="shared" si="1"/>
        <v>0</v>
      </c>
      <c r="O20" s="56"/>
    </row>
    <row r="21" spans="2:15" ht="15" x14ac:dyDescent="0.2">
      <c r="B21" s="5">
        <v>3</v>
      </c>
      <c r="C21" s="18">
        <v>43497</v>
      </c>
      <c r="D21" s="19">
        <f>285726-336</f>
        <v>285390</v>
      </c>
      <c r="E21" s="20">
        <f>184208.47+18</f>
        <v>184226.47</v>
      </c>
      <c r="F21" s="21">
        <f t="shared" si="2"/>
        <v>101163.53</v>
      </c>
      <c r="G21" s="22">
        <f t="shared" si="3"/>
        <v>-88841.65</v>
      </c>
      <c r="I21" s="56"/>
      <c r="J21" s="69">
        <v>43647</v>
      </c>
      <c r="K21" s="83">
        <f>132906+84713+188258+32551</f>
        <v>438428</v>
      </c>
      <c r="L21" s="83">
        <f>188258+132906+39162+45578+32551-27</f>
        <v>438428</v>
      </c>
      <c r="M21" s="70">
        <f t="shared" si="0"/>
        <v>0</v>
      </c>
      <c r="N21" s="70">
        <f>N20+M21</f>
        <v>0</v>
      </c>
      <c r="O21" s="56"/>
    </row>
    <row r="22" spans="2:15" ht="15" x14ac:dyDescent="0.2">
      <c r="B22" s="5">
        <v>4</v>
      </c>
      <c r="C22" s="18">
        <v>43525</v>
      </c>
      <c r="D22" s="19">
        <f>300356-334</f>
        <v>300022</v>
      </c>
      <c r="E22" s="20">
        <f>266807.22+17</f>
        <v>266824.21999999997</v>
      </c>
      <c r="F22" s="21">
        <f t="shared" si="2"/>
        <v>33197.780000000028</v>
      </c>
      <c r="G22" s="22">
        <f t="shared" si="3"/>
        <v>-55643.869999999966</v>
      </c>
      <c r="I22" s="56"/>
      <c r="J22" s="71">
        <v>43678</v>
      </c>
      <c r="K22" s="82">
        <f>135238+86119+191928+50949</f>
        <v>464234</v>
      </c>
      <c r="L22" s="82">
        <f>191928+135238+36909+49236+50949-26</f>
        <v>464234</v>
      </c>
      <c r="M22" s="72">
        <f t="shared" si="0"/>
        <v>0</v>
      </c>
      <c r="N22" s="72">
        <f>N21+M22</f>
        <v>0</v>
      </c>
      <c r="O22" s="56"/>
    </row>
    <row r="23" spans="2:15" ht="15" x14ac:dyDescent="0.2">
      <c r="B23" s="5">
        <v>5</v>
      </c>
      <c r="C23" s="18">
        <v>43556</v>
      </c>
      <c r="D23" s="19">
        <f>281652-421</f>
        <v>281231</v>
      </c>
      <c r="E23" s="20">
        <f>266470.19+22</f>
        <v>266492.19</v>
      </c>
      <c r="F23" s="21">
        <f t="shared" si="2"/>
        <v>14738.809999999998</v>
      </c>
      <c r="G23" s="22">
        <f t="shared" si="3"/>
        <v>-40905.059999999969</v>
      </c>
      <c r="I23" s="56"/>
      <c r="J23" s="73"/>
      <c r="K23" s="73"/>
      <c r="L23" s="73"/>
      <c r="M23" s="73"/>
      <c r="N23" s="73"/>
      <c r="O23" s="56"/>
    </row>
    <row r="24" spans="2:15" ht="15" x14ac:dyDescent="0.2">
      <c r="B24" s="5">
        <v>6</v>
      </c>
      <c r="C24" s="18">
        <v>43586</v>
      </c>
      <c r="D24" s="19">
        <f>285213-435</f>
        <v>284778</v>
      </c>
      <c r="E24" s="20">
        <f>400743.9+23</f>
        <v>400766.9</v>
      </c>
      <c r="F24" s="21">
        <f t="shared" si="2"/>
        <v>-115988.90000000002</v>
      </c>
      <c r="G24" s="22">
        <f t="shared" si="3"/>
        <v>-156893.96</v>
      </c>
      <c r="I24" s="56"/>
      <c r="J24" s="74" t="s">
        <v>69</v>
      </c>
      <c r="K24" s="75"/>
      <c r="L24" s="75"/>
      <c r="M24" s="76"/>
      <c r="N24" s="77">
        <f>N20</f>
        <v>0</v>
      </c>
      <c r="O24" s="56"/>
    </row>
    <row r="25" spans="2:15" ht="15" x14ac:dyDescent="0.2">
      <c r="B25" s="5">
        <v>7</v>
      </c>
      <c r="C25" s="18">
        <v>43617</v>
      </c>
      <c r="D25" s="19">
        <f>366751-523</f>
        <v>366228</v>
      </c>
      <c r="E25" s="20">
        <f>311059.66+27</f>
        <v>311086.65999999997</v>
      </c>
      <c r="F25" s="23">
        <f t="shared" si="2"/>
        <v>55141.340000000026</v>
      </c>
      <c r="G25" s="24">
        <f t="shared" si="3"/>
        <v>-101752.61999999997</v>
      </c>
      <c r="I25" s="56"/>
      <c r="J25" s="73"/>
      <c r="K25" s="73"/>
      <c r="L25" s="73"/>
      <c r="M25" s="73"/>
      <c r="N25" s="78"/>
      <c r="O25" s="56"/>
    </row>
    <row r="26" spans="2:15" ht="15" x14ac:dyDescent="0.2">
      <c r="B26" s="25" t="s">
        <v>27</v>
      </c>
      <c r="C26" s="14">
        <v>43647</v>
      </c>
      <c r="D26" s="15">
        <f>417199-514</f>
        <v>416685</v>
      </c>
      <c r="E26" s="16">
        <f>539003.66+27</f>
        <v>539030.66</v>
      </c>
      <c r="F26" s="17">
        <f t="shared" si="2"/>
        <v>-122345.66000000003</v>
      </c>
      <c r="G26" s="13">
        <f t="shared" si="3"/>
        <v>-224098.28</v>
      </c>
      <c r="I26" s="56"/>
      <c r="J26" s="74" t="s">
        <v>70</v>
      </c>
      <c r="K26" s="75"/>
      <c r="L26" s="75"/>
      <c r="M26" s="76"/>
      <c r="N26" s="77">
        <f>N24/6</f>
        <v>0</v>
      </c>
      <c r="O26" s="56"/>
    </row>
    <row r="27" spans="2:15" ht="15" x14ac:dyDescent="0.2">
      <c r="B27" s="26" t="s">
        <v>28</v>
      </c>
      <c r="C27" s="27">
        <v>43678</v>
      </c>
      <c r="D27" s="28">
        <f>392501-499</f>
        <v>392002</v>
      </c>
      <c r="E27" s="29">
        <f>457929.32+26</f>
        <v>457955.32</v>
      </c>
      <c r="F27" s="23">
        <f t="shared" si="2"/>
        <v>-65953.320000000007</v>
      </c>
      <c r="G27" s="24">
        <f t="shared" si="3"/>
        <v>-290051.59999999998</v>
      </c>
      <c r="I27" s="56"/>
      <c r="J27" s="56"/>
      <c r="K27" s="56"/>
      <c r="L27" s="56"/>
      <c r="M27" s="56"/>
      <c r="N27" s="56"/>
      <c r="O27" s="56"/>
    </row>
    <row r="28" spans="2:15" x14ac:dyDescent="0.2">
      <c r="B28" s="6"/>
      <c r="C28" s="30" t="s">
        <v>81</v>
      </c>
      <c r="D28" s="31"/>
      <c r="E28" s="31"/>
      <c r="F28" s="31"/>
      <c r="G28" s="32"/>
    </row>
    <row r="29" spans="2:15" x14ac:dyDescent="0.2">
      <c r="B29" s="3"/>
      <c r="C29" s="2"/>
      <c r="D29" s="2"/>
      <c r="E29" s="2"/>
      <c r="F29" s="2"/>
      <c r="G29" s="13"/>
    </row>
    <row r="30" spans="2:15" x14ac:dyDescent="0.2">
      <c r="B30" s="5"/>
      <c r="C30" s="4"/>
      <c r="D30" s="5" t="s">
        <v>30</v>
      </c>
      <c r="E30" s="5" t="s">
        <v>31</v>
      </c>
      <c r="F30" s="4"/>
      <c r="G30" s="22"/>
    </row>
    <row r="31" spans="2:15" x14ac:dyDescent="0.2">
      <c r="B31" s="5">
        <v>8</v>
      </c>
      <c r="C31" s="4"/>
      <c r="D31" s="5" t="s">
        <v>32</v>
      </c>
      <c r="E31" s="5" t="s">
        <v>33</v>
      </c>
      <c r="F31" s="4"/>
      <c r="G31" s="33" t="s">
        <v>30</v>
      </c>
    </row>
    <row r="32" spans="2:15" x14ac:dyDescent="0.2">
      <c r="B32" s="5"/>
      <c r="C32" s="4"/>
      <c r="D32" s="5" t="s">
        <v>34</v>
      </c>
      <c r="E32" s="5" t="s">
        <v>35</v>
      </c>
      <c r="F32" s="4"/>
      <c r="G32" s="33" t="s">
        <v>36</v>
      </c>
    </row>
    <row r="33" spans="2:7" x14ac:dyDescent="0.2">
      <c r="B33" s="5"/>
      <c r="C33" s="4"/>
      <c r="D33" s="5" t="s">
        <v>37</v>
      </c>
      <c r="E33" s="5" t="s">
        <v>38</v>
      </c>
      <c r="F33" s="4"/>
      <c r="G33" s="33" t="s">
        <v>39</v>
      </c>
    </row>
    <row r="34" spans="2:7" x14ac:dyDescent="0.2">
      <c r="B34" s="6"/>
      <c r="C34" s="4"/>
      <c r="D34" s="5" t="s">
        <v>40</v>
      </c>
      <c r="E34" s="5" t="s">
        <v>41</v>
      </c>
      <c r="F34" s="4"/>
      <c r="G34" s="33" t="s">
        <v>42</v>
      </c>
    </row>
    <row r="35" spans="2:7" x14ac:dyDescent="0.2">
      <c r="B35" s="25" t="s">
        <v>43</v>
      </c>
      <c r="C35" s="2" t="s">
        <v>74</v>
      </c>
      <c r="D35" s="13">
        <f>-G16</f>
        <v>103739</v>
      </c>
      <c r="E35" s="13">
        <f>D67</f>
        <v>-103739</v>
      </c>
      <c r="F35" s="2"/>
      <c r="G35" s="13">
        <f>D35+E35</f>
        <v>0</v>
      </c>
    </row>
    <row r="36" spans="2:7" x14ac:dyDescent="0.2">
      <c r="B36" s="34" t="s">
        <v>45</v>
      </c>
      <c r="C36" s="4" t="s">
        <v>78</v>
      </c>
      <c r="D36" s="22">
        <f>-G17</f>
        <v>-193529</v>
      </c>
      <c r="E36" s="22">
        <f>E67</f>
        <v>129020</v>
      </c>
      <c r="F36" s="4"/>
      <c r="G36" s="22">
        <f>D36+E36</f>
        <v>-64509</v>
      </c>
    </row>
    <row r="37" spans="2:7" x14ac:dyDescent="0.2">
      <c r="B37" s="34" t="s">
        <v>47</v>
      </c>
      <c r="C37" s="35" t="s">
        <v>82</v>
      </c>
      <c r="D37" s="24">
        <f>-G18</f>
        <v>271678</v>
      </c>
      <c r="E37" s="24">
        <f>F67</f>
        <v>0</v>
      </c>
      <c r="F37" s="35"/>
      <c r="G37" s="24">
        <f>D37+E37</f>
        <v>271678</v>
      </c>
    </row>
    <row r="38" spans="2:7" x14ac:dyDescent="0.2">
      <c r="B38" s="6" t="s">
        <v>49</v>
      </c>
      <c r="C38" s="36"/>
      <c r="D38" s="37"/>
      <c r="E38" s="37"/>
      <c r="F38" s="38" t="s">
        <v>50</v>
      </c>
      <c r="G38" s="24">
        <f>G35+G36+G37</f>
        <v>207169</v>
      </c>
    </row>
    <row r="39" spans="2:7" x14ac:dyDescent="0.2">
      <c r="B39" s="39"/>
      <c r="G39" s="40"/>
    </row>
    <row r="40" spans="2:7" x14ac:dyDescent="0.2">
      <c r="B40" s="7">
        <v>9</v>
      </c>
      <c r="C40" s="41" t="s">
        <v>51</v>
      </c>
      <c r="D40" s="9"/>
      <c r="E40" s="9"/>
      <c r="F40" s="10"/>
      <c r="G40" s="42">
        <f>G25+G38</f>
        <v>105416.38000000003</v>
      </c>
    </row>
    <row r="41" spans="2:7" x14ac:dyDescent="0.2">
      <c r="B41" s="39"/>
      <c r="G41" s="40"/>
    </row>
    <row r="42" spans="2:7" x14ac:dyDescent="0.2">
      <c r="B42" s="7">
        <v>10</v>
      </c>
      <c r="C42" s="41" t="s">
        <v>84</v>
      </c>
      <c r="D42" s="9"/>
      <c r="E42" s="9"/>
      <c r="F42" s="10"/>
      <c r="G42" s="42">
        <f>G40/6</f>
        <v>17569.396666666671</v>
      </c>
    </row>
    <row r="44" spans="2:7" x14ac:dyDescent="0.2">
      <c r="B44" s="2"/>
      <c r="C44" s="43" t="s">
        <v>53</v>
      </c>
      <c r="D44" s="44"/>
      <c r="E44" s="44"/>
      <c r="F44" s="44"/>
      <c r="G44" s="45"/>
    </row>
    <row r="45" spans="2:7" x14ac:dyDescent="0.2">
      <c r="B45" s="2"/>
      <c r="C45" s="46"/>
      <c r="D45" s="46"/>
      <c r="E45" s="46"/>
      <c r="F45" s="46"/>
      <c r="G45" s="12"/>
    </row>
    <row r="46" spans="2:7" x14ac:dyDescent="0.2">
      <c r="B46" s="5">
        <v>11</v>
      </c>
      <c r="C46" s="47" t="s">
        <v>54</v>
      </c>
      <c r="D46" s="47"/>
      <c r="E46" s="47"/>
      <c r="F46" s="47"/>
      <c r="G46" s="48">
        <f>G19</f>
        <v>-181888</v>
      </c>
    </row>
    <row r="47" spans="2:7" x14ac:dyDescent="0.2">
      <c r="B47" s="5">
        <v>12</v>
      </c>
      <c r="C47" s="47" t="s">
        <v>55</v>
      </c>
      <c r="D47" s="47"/>
      <c r="E47" s="47"/>
      <c r="F47" s="47"/>
      <c r="G47" s="49">
        <f>G38</f>
        <v>207169</v>
      </c>
    </row>
    <row r="48" spans="2:7" x14ac:dyDescent="0.2">
      <c r="B48" s="5"/>
      <c r="C48" s="47"/>
      <c r="D48" s="47"/>
      <c r="E48" s="47"/>
      <c r="F48" s="47"/>
      <c r="G48" s="48"/>
    </row>
    <row r="49" spans="2:7" ht="15" thickBot="1" x14ac:dyDescent="0.25">
      <c r="B49" s="5">
        <v>13</v>
      </c>
      <c r="C49" s="47" t="s">
        <v>56</v>
      </c>
      <c r="D49" s="47"/>
      <c r="E49" s="47"/>
      <c r="F49" s="47"/>
      <c r="G49" s="50">
        <f>G46+G47</f>
        <v>25281</v>
      </c>
    </row>
    <row r="50" spans="2:7" ht="15" thickTop="1" x14ac:dyDescent="0.2">
      <c r="B50" s="5"/>
      <c r="C50" s="47"/>
      <c r="D50" s="47"/>
      <c r="E50" s="47"/>
      <c r="F50" s="47"/>
      <c r="G50" s="48"/>
    </row>
    <row r="51" spans="2:7" x14ac:dyDescent="0.2">
      <c r="B51" s="5">
        <v>14</v>
      </c>
      <c r="C51" s="47" t="s">
        <v>57</v>
      </c>
      <c r="D51" s="47"/>
      <c r="E51" s="47"/>
      <c r="F51" s="47"/>
      <c r="G51" s="48">
        <f>G40</f>
        <v>105416.38000000003</v>
      </c>
    </row>
    <row r="52" spans="2:7" x14ac:dyDescent="0.2">
      <c r="B52" s="5"/>
      <c r="C52" s="47"/>
      <c r="D52" s="47"/>
      <c r="E52" s="47"/>
      <c r="F52" s="47"/>
      <c r="G52" s="48"/>
    </row>
    <row r="53" spans="2:7" x14ac:dyDescent="0.2">
      <c r="B53" s="5">
        <v>15</v>
      </c>
      <c r="C53" s="47" t="s">
        <v>58</v>
      </c>
      <c r="D53" s="47"/>
      <c r="E53" s="47"/>
      <c r="F53" s="47"/>
      <c r="G53" s="49">
        <f>SUM(F20:F25)</f>
        <v>80135.380000000034</v>
      </c>
    </row>
    <row r="54" spans="2:7" x14ac:dyDescent="0.2">
      <c r="B54" s="5"/>
      <c r="C54" s="47"/>
      <c r="D54" s="47"/>
      <c r="E54" s="47"/>
      <c r="F54" s="47"/>
      <c r="G54" s="48"/>
    </row>
    <row r="55" spans="2:7" ht="15" thickBot="1" x14ac:dyDescent="0.25">
      <c r="B55" s="5">
        <v>16</v>
      </c>
      <c r="C55" s="47" t="s">
        <v>59</v>
      </c>
      <c r="D55" s="47"/>
      <c r="E55" s="47"/>
      <c r="F55" s="47"/>
      <c r="G55" s="50">
        <f>G51-G53</f>
        <v>25281</v>
      </c>
    </row>
    <row r="56" spans="2:7" ht="15" thickTop="1" x14ac:dyDescent="0.2">
      <c r="B56" s="35"/>
      <c r="C56" s="51"/>
      <c r="D56" s="51"/>
      <c r="E56" s="51"/>
      <c r="F56" s="51"/>
      <c r="G56" s="52"/>
    </row>
    <row r="58" spans="2:7" x14ac:dyDescent="0.2">
      <c r="B58" t="s">
        <v>60</v>
      </c>
    </row>
    <row r="59" spans="2:7" x14ac:dyDescent="0.2">
      <c r="B59" s="39"/>
      <c r="C59" s="2"/>
      <c r="D59" s="3" t="s">
        <v>61</v>
      </c>
      <c r="E59" s="3" t="s">
        <v>61</v>
      </c>
      <c r="F59" s="3" t="s">
        <v>61</v>
      </c>
    </row>
    <row r="60" spans="2:7" x14ac:dyDescent="0.2">
      <c r="B60" s="39"/>
      <c r="C60" s="6" t="s">
        <v>13</v>
      </c>
      <c r="D60" s="6" t="s">
        <v>75</v>
      </c>
      <c r="E60" s="6" t="s">
        <v>79</v>
      </c>
      <c r="F60" s="6" t="s">
        <v>83</v>
      </c>
    </row>
    <row r="61" spans="2:7" x14ac:dyDescent="0.2">
      <c r="C61" s="14">
        <v>43466</v>
      </c>
      <c r="D61" s="15">
        <v>-51871</v>
      </c>
      <c r="E61" s="13">
        <v>0</v>
      </c>
      <c r="F61" s="13">
        <v>0</v>
      </c>
    </row>
    <row r="62" spans="2:7" x14ac:dyDescent="0.2">
      <c r="C62" s="18">
        <v>43497</v>
      </c>
      <c r="D62" s="19">
        <v>-51868</v>
      </c>
      <c r="E62" s="22">
        <v>0</v>
      </c>
      <c r="F62" s="22">
        <v>0</v>
      </c>
    </row>
    <row r="63" spans="2:7" x14ac:dyDescent="0.2">
      <c r="C63" s="18">
        <v>43525</v>
      </c>
      <c r="D63" s="19">
        <v>0</v>
      </c>
      <c r="E63" s="22">
        <v>32255</v>
      </c>
      <c r="F63" s="22">
        <v>0</v>
      </c>
    </row>
    <row r="64" spans="2:7" x14ac:dyDescent="0.2">
      <c r="C64" s="18">
        <v>43556</v>
      </c>
      <c r="D64" s="19">
        <v>0</v>
      </c>
      <c r="E64" s="22">
        <v>32255</v>
      </c>
      <c r="F64" s="22">
        <v>0</v>
      </c>
    </row>
    <row r="65" spans="3:6" x14ac:dyDescent="0.2">
      <c r="C65" s="18">
        <v>43586</v>
      </c>
      <c r="D65" s="19">
        <v>0</v>
      </c>
      <c r="E65" s="22">
        <v>32255</v>
      </c>
      <c r="F65" s="22">
        <v>0</v>
      </c>
    </row>
    <row r="66" spans="3:6" x14ac:dyDescent="0.2">
      <c r="C66" s="27">
        <v>43617</v>
      </c>
      <c r="D66" s="28">
        <v>0</v>
      </c>
      <c r="E66" s="24">
        <v>32255</v>
      </c>
      <c r="F66" s="24">
        <v>0</v>
      </c>
    </row>
    <row r="67" spans="3:6" x14ac:dyDescent="0.2">
      <c r="C67" s="53" t="s">
        <v>65</v>
      </c>
      <c r="D67" s="42">
        <f>SUM(D61:D66)</f>
        <v>-103739</v>
      </c>
      <c r="E67" s="42">
        <f>SUM(E61:E66)</f>
        <v>129020</v>
      </c>
      <c r="F67" s="42">
        <f>SUM(F61:F66)</f>
        <v>0</v>
      </c>
    </row>
  </sheetData>
  <mergeCells count="2">
    <mergeCell ref="B5:G6"/>
    <mergeCell ref="J5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2019-12-06T19:16:22Z</dcterms:modified>
</cp:coreProperties>
</file>