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icing\Share\000 - PSC Cases\PSC Case 2019-00378 - Green Energy Tariff\DR1 dated 11-18-19\"/>
    </mc:Choice>
  </mc:AlternateContent>
  <bookViews>
    <workbookView xWindow="0" yWindow="0" windowWidth="28800" windowHeight="12300"/>
  </bookViews>
  <sheets>
    <sheet name="Summary" sheetId="9" r:id="rId1"/>
    <sheet name="per KWH" sheetId="7" r:id="rId2"/>
    <sheet name="FCR" sheetId="4" r:id="rId3"/>
    <sheet name="Background" sheetId="1" r:id="rId4"/>
    <sheet name="Green Tariff Customer" sheetId="2" state="hidden" r:id="rId5"/>
    <sheet name="Walmart Lease(old)" sheetId="3" state="hidden" r:id="rId6"/>
    <sheet name="Walmart (2)" sheetId="5" state="hidden" r:id="rId7"/>
  </sheets>
  <definedNames>
    <definedName name="_xlnm.Print_Area" localSheetId="3">Background!$A$1:$K$86</definedName>
    <definedName name="_xlnm.Print_Area" localSheetId="2">FCR!$A$1:$M$172</definedName>
    <definedName name="_xlnm.Print_Area" localSheetId="0">Summary!$A$1:$G$30</definedName>
    <definedName name="_xlnm.Print_Titles" localSheetId="2">FCR!$A:$A</definedName>
    <definedName name="_xlnm.Print_Titles" localSheetId="1">'per KWH'!$A:$H,'per KWH'!$1:$2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4" l="1"/>
  <c r="A69" i="1" l="1"/>
  <c r="A70" i="1" s="1"/>
  <c r="A71" i="1" s="1"/>
  <c r="A72" i="1" s="1"/>
  <c r="A73" i="1" s="1"/>
  <c r="A74" i="1" s="1"/>
  <c r="A75" i="1" s="1"/>
  <c r="A76" i="1" s="1"/>
  <c r="A77" i="1" s="1"/>
  <c r="A78" i="1" s="1"/>
  <c r="A79" i="1" s="1"/>
  <c r="A80" i="1" s="1"/>
  <c r="A81" i="1" s="1"/>
  <c r="A82" i="1" s="1"/>
  <c r="A83" i="1" s="1"/>
  <c r="A84" i="1" s="1"/>
  <c r="A85" i="1" s="1"/>
  <c r="A86" i="1" s="1"/>
  <c r="B1" i="7" l="1"/>
  <c r="T51" i="7" l="1"/>
  <c r="Q51" i="7"/>
  <c r="N51" i="7"/>
  <c r="K51" i="7"/>
  <c r="A70" i="7" l="1"/>
  <c r="A71" i="7" s="1"/>
  <c r="A72" i="7" s="1"/>
  <c r="A73" i="7" s="1"/>
  <c r="A74" i="7" s="1"/>
  <c r="A75" i="7" s="1"/>
  <c r="A23" i="9"/>
  <c r="R55" i="7"/>
  <c r="S46" i="7"/>
  <c r="S45" i="7"/>
  <c r="P46" i="7"/>
  <c r="P45" i="7"/>
  <c r="P42" i="7"/>
  <c r="L55" i="7"/>
  <c r="M46" i="7"/>
  <c r="M45" i="7"/>
  <c r="J42" i="7"/>
  <c r="C55" i="7"/>
  <c r="O55" i="7" s="1"/>
  <c r="D51" i="7"/>
  <c r="D42" i="7"/>
  <c r="S42" i="7" s="1"/>
  <c r="I55" i="7" l="1"/>
  <c r="M42" i="7"/>
  <c r="C54" i="4" l="1"/>
  <c r="C55" i="4"/>
  <c r="C56" i="4"/>
  <c r="C57" i="4"/>
  <c r="C58" i="4"/>
  <c r="C59" i="4"/>
  <c r="C60" i="4"/>
  <c r="C61" i="4"/>
  <c r="C62" i="4"/>
  <c r="C63" i="4"/>
  <c r="C64" i="4"/>
  <c r="C65" i="4"/>
  <c r="C66" i="4"/>
  <c r="C67" i="4"/>
  <c r="C68" i="4"/>
  <c r="C43" i="4"/>
  <c r="C44" i="4"/>
  <c r="C45" i="4"/>
  <c r="C46" i="4"/>
  <c r="C47" i="4"/>
  <c r="C48" i="4"/>
  <c r="C49" i="4"/>
  <c r="C50" i="4"/>
  <c r="C51" i="4"/>
  <c r="C52" i="4"/>
  <c r="C53" i="4"/>
  <c r="A6" i="9" l="1"/>
  <c r="A7" i="9" s="1"/>
  <c r="A8" i="9" s="1"/>
  <c r="A9" i="9" s="1"/>
  <c r="A10" i="9" s="1"/>
  <c r="A11" i="9" s="1"/>
  <c r="A12" i="9" s="1"/>
  <c r="A13" i="9" s="1"/>
  <c r="A14" i="9" s="1"/>
  <c r="A15" i="9" s="1"/>
  <c r="A16" i="9" s="1"/>
  <c r="A17" i="9" s="1"/>
  <c r="A18" i="9" s="1"/>
  <c r="A19" i="9" s="1"/>
  <c r="A20" i="9" s="1"/>
  <c r="A21" i="9" s="1"/>
  <c r="A22" i="9" s="1"/>
  <c r="A24" i="9" s="1"/>
  <c r="A25" i="9" s="1"/>
  <c r="A26" i="9" s="1"/>
  <c r="A27" i="9" s="1"/>
  <c r="A28" i="9" s="1"/>
  <c r="A29" i="9" s="1"/>
  <c r="A30" i="9" s="1"/>
  <c r="B29" i="9" l="1"/>
  <c r="B28" i="9"/>
  <c r="A6" i="4" l="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C29" i="4"/>
  <c r="C30" i="4"/>
  <c r="C31" i="4"/>
  <c r="C32" i="4"/>
  <c r="C33" i="4"/>
  <c r="C34" i="4"/>
  <c r="C35" i="4"/>
  <c r="C36" i="4"/>
  <c r="C37" i="4"/>
  <c r="C38" i="4"/>
  <c r="C39" i="4"/>
  <c r="C40" i="4"/>
  <c r="C41" i="4"/>
  <c r="C42" i="4"/>
  <c r="E28" i="4"/>
  <c r="F28" i="4"/>
  <c r="G28" i="4"/>
  <c r="H28" i="4"/>
  <c r="I28" i="4"/>
  <c r="J28" i="4"/>
  <c r="D28" i="4"/>
  <c r="C79" i="4"/>
  <c r="C28" i="4" s="1"/>
  <c r="D80" i="4" l="1"/>
  <c r="E80" i="4" l="1"/>
  <c r="E29" i="4" s="1"/>
  <c r="D29" i="4"/>
  <c r="F15" i="4"/>
  <c r="F80" i="4" l="1"/>
  <c r="F29" i="4" s="1"/>
  <c r="D81" i="4"/>
  <c r="D30" i="4" s="1"/>
  <c r="G80" i="4"/>
  <c r="G29" i="4" s="1"/>
  <c r="E81" i="4" l="1"/>
  <c r="E30" i="4" s="1"/>
  <c r="K86" i="1"/>
  <c r="D55" i="7" s="1"/>
  <c r="M55" i="7" l="1"/>
  <c r="N55" i="7" s="1"/>
  <c r="N62" i="7" s="1"/>
  <c r="E22" i="9" s="1"/>
  <c r="J55" i="7"/>
  <c r="K55" i="7" s="1"/>
  <c r="K62" i="7" s="1"/>
  <c r="D22" i="9" s="1"/>
  <c r="S55" i="7"/>
  <c r="T55" i="7" s="1"/>
  <c r="T62" i="7" s="1"/>
  <c r="G22" i="9" s="1"/>
  <c r="P55" i="7"/>
  <c r="Q55" i="7" s="1"/>
  <c r="Q62" i="7" s="1"/>
  <c r="F22" i="9" s="1"/>
  <c r="E55" i="7"/>
  <c r="E62" i="7" s="1"/>
  <c r="C22" i="9" s="1"/>
  <c r="F81" i="4"/>
  <c r="G81" i="4" s="1"/>
  <c r="G30" i="4" s="1"/>
  <c r="D82" i="4"/>
  <c r="E82" i="4" s="1"/>
  <c r="E31" i="4" s="1"/>
  <c r="F30" i="4" l="1"/>
  <c r="D31" i="4"/>
  <c r="D83" i="4"/>
  <c r="D32" i="4" s="1"/>
  <c r="F82" i="4"/>
  <c r="D13" i="7"/>
  <c r="S29" i="7"/>
  <c r="P29" i="7"/>
  <c r="M29" i="7"/>
  <c r="J29" i="7"/>
  <c r="C25" i="7"/>
  <c r="C23" i="7"/>
  <c r="E23" i="7" s="1"/>
  <c r="C22" i="7"/>
  <c r="E22" i="7" s="1"/>
  <c r="T19" i="7"/>
  <c r="G7" i="9" s="1"/>
  <c r="Q19" i="7"/>
  <c r="F7" i="9" s="1"/>
  <c r="N19" i="7"/>
  <c r="E7" i="9" s="1"/>
  <c r="K19" i="7"/>
  <c r="D7" i="9" s="1"/>
  <c r="C19" i="7"/>
  <c r="E19" i="7" s="1"/>
  <c r="C8" i="9" s="1"/>
  <c r="J11" i="7"/>
  <c r="J9" i="7"/>
  <c r="A2" i="7"/>
  <c r="A3" i="7" s="1"/>
  <c r="A4" i="7" s="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J42" i="5"/>
  <c r="A41" i="7" l="1"/>
  <c r="A42" i="7" s="1"/>
  <c r="A43" i="7" s="1"/>
  <c r="C46" i="7"/>
  <c r="E46" i="7" s="1"/>
  <c r="C45" i="7"/>
  <c r="E45" i="7" s="1"/>
  <c r="E47" i="7" s="1"/>
  <c r="C42" i="7"/>
  <c r="E42" i="7" s="1"/>
  <c r="E59" i="7" s="1"/>
  <c r="C19" i="9" s="1"/>
  <c r="C9" i="9"/>
  <c r="E83" i="4"/>
  <c r="J13" i="7"/>
  <c r="G82" i="4"/>
  <c r="G31" i="4" s="1"/>
  <c r="F31" i="4"/>
  <c r="E25" i="7"/>
  <c r="I21" i="7"/>
  <c r="K21" i="7" s="1"/>
  <c r="D8" i="9" s="1"/>
  <c r="M11" i="7"/>
  <c r="M9" i="7"/>
  <c r="M13" i="7" l="1"/>
  <c r="I45" i="7"/>
  <c r="K45" i="7" s="1"/>
  <c r="I42" i="7"/>
  <c r="K42" i="7" s="1"/>
  <c r="K59" i="7" s="1"/>
  <c r="D19" i="9" s="1"/>
  <c r="I46" i="7"/>
  <c r="K46" i="7" s="1"/>
  <c r="A45" i="7"/>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44" i="7"/>
  <c r="E60" i="7"/>
  <c r="C20" i="9" s="1"/>
  <c r="E51" i="7"/>
  <c r="E32" i="4"/>
  <c r="F83" i="4"/>
  <c r="D84" i="4"/>
  <c r="E27" i="7"/>
  <c r="E29" i="7" s="1"/>
  <c r="C10" i="9"/>
  <c r="L21" i="7"/>
  <c r="N21" i="7" s="1"/>
  <c r="E8" i="9" s="1"/>
  <c r="P9" i="7"/>
  <c r="P11" i="7"/>
  <c r="I161" i="5"/>
  <c r="J161" i="5" s="1"/>
  <c r="D161" i="5"/>
  <c r="D160" i="5"/>
  <c r="D159" i="5"/>
  <c r="I160" i="5" s="1"/>
  <c r="J160" i="5" s="1"/>
  <c r="D158" i="5"/>
  <c r="D157" i="5"/>
  <c r="I158" i="5" s="1"/>
  <c r="J158" i="5" s="1"/>
  <c r="D156" i="5"/>
  <c r="I157" i="5" s="1"/>
  <c r="J157" i="5" s="1"/>
  <c r="D155" i="5"/>
  <c r="D154" i="5"/>
  <c r="I155" i="5" s="1"/>
  <c r="J155" i="5" s="1"/>
  <c r="I153" i="5"/>
  <c r="J153" i="5" s="1"/>
  <c r="D153" i="5"/>
  <c r="D152" i="5"/>
  <c r="D151" i="5"/>
  <c r="I152" i="5" s="1"/>
  <c r="J152" i="5" s="1"/>
  <c r="D150" i="5"/>
  <c r="D149" i="5"/>
  <c r="I150" i="5" s="1"/>
  <c r="J150" i="5" s="1"/>
  <c r="D148" i="5"/>
  <c r="I149" i="5" s="1"/>
  <c r="J149" i="5" s="1"/>
  <c r="D147" i="5"/>
  <c r="D146" i="5"/>
  <c r="I147" i="5" s="1"/>
  <c r="J147" i="5" s="1"/>
  <c r="I145" i="5"/>
  <c r="J145" i="5" s="1"/>
  <c r="D145" i="5"/>
  <c r="D144" i="5"/>
  <c r="D143" i="5"/>
  <c r="I144" i="5" s="1"/>
  <c r="J144" i="5" s="1"/>
  <c r="G142" i="5"/>
  <c r="D142" i="5"/>
  <c r="D141" i="5"/>
  <c r="D140" i="5"/>
  <c r="D139" i="5"/>
  <c r="D138" i="5"/>
  <c r="I139" i="5" s="1"/>
  <c r="J139" i="5" s="1"/>
  <c r="D137" i="5"/>
  <c r="D95" i="5"/>
  <c r="F95" i="5" s="1"/>
  <c r="D89" i="5"/>
  <c r="F89" i="5" s="1"/>
  <c r="C89" i="5"/>
  <c r="C95" i="5" s="1"/>
  <c r="U86" i="5"/>
  <c r="R86" i="5"/>
  <c r="O86" i="5"/>
  <c r="F86" i="5"/>
  <c r="O85" i="5"/>
  <c r="C85" i="5"/>
  <c r="C86" i="5" s="1"/>
  <c r="D74" i="5"/>
  <c r="C74" i="5"/>
  <c r="E74" i="5" s="1"/>
  <c r="U73" i="5"/>
  <c r="U85" i="5" s="1"/>
  <c r="R73" i="5"/>
  <c r="R85" i="5" s="1"/>
  <c r="O73" i="5"/>
  <c r="L73" i="5"/>
  <c r="L85" i="5" s="1"/>
  <c r="D73" i="5"/>
  <c r="D85" i="5" s="1"/>
  <c r="C73" i="5"/>
  <c r="F72" i="5"/>
  <c r="F85" i="5" s="1"/>
  <c r="C72" i="5"/>
  <c r="G72" i="5" s="1"/>
  <c r="U71" i="5"/>
  <c r="R71" i="5"/>
  <c r="O71" i="5"/>
  <c r="L71" i="5"/>
  <c r="R69" i="5"/>
  <c r="S69" i="5" s="1"/>
  <c r="P69" i="5"/>
  <c r="O69" i="5"/>
  <c r="L69" i="5"/>
  <c r="M69" i="5" s="1"/>
  <c r="F69" i="5"/>
  <c r="D69" i="5"/>
  <c r="C69" i="5"/>
  <c r="E64" i="5"/>
  <c r="L64" i="5" s="1"/>
  <c r="U63" i="5"/>
  <c r="E63" i="5"/>
  <c r="R63" i="5" s="1"/>
  <c r="U62" i="5"/>
  <c r="R62" i="5"/>
  <c r="E62" i="5"/>
  <c r="G55" i="5"/>
  <c r="S55" i="5" s="1"/>
  <c r="E55" i="5"/>
  <c r="U48" i="5"/>
  <c r="R48" i="5"/>
  <c r="O48" i="5"/>
  <c r="L48" i="5"/>
  <c r="D48" i="5"/>
  <c r="F48" i="5" s="1"/>
  <c r="U47" i="5"/>
  <c r="R47" i="5"/>
  <c r="O47" i="5"/>
  <c r="L47" i="5"/>
  <c r="D47" i="5"/>
  <c r="F47" i="5" s="1"/>
  <c r="U42" i="5"/>
  <c r="R42" i="5"/>
  <c r="O42" i="5"/>
  <c r="L42" i="5"/>
  <c r="K42" i="5"/>
  <c r="T42" i="5" s="1"/>
  <c r="V42" i="5" s="1"/>
  <c r="D42" i="5"/>
  <c r="F42" i="5" s="1"/>
  <c r="C42" i="5"/>
  <c r="U37" i="5"/>
  <c r="U80" i="5" s="1"/>
  <c r="U91" i="5" s="1"/>
  <c r="R37" i="5"/>
  <c r="R80" i="5" s="1"/>
  <c r="R91" i="5" s="1"/>
  <c r="O37" i="5"/>
  <c r="O80" i="5" s="1"/>
  <c r="O91" i="5" s="1"/>
  <c r="L37" i="5"/>
  <c r="L80" i="5" s="1"/>
  <c r="L91" i="5" s="1"/>
  <c r="D37" i="5"/>
  <c r="D80" i="5" s="1"/>
  <c r="D91" i="5" s="1"/>
  <c r="F91" i="5" s="1"/>
  <c r="D33" i="5"/>
  <c r="F33" i="5" s="1"/>
  <c r="F76" i="5" s="1"/>
  <c r="F87" i="5" s="1"/>
  <c r="C31" i="5"/>
  <c r="E31" i="5" s="1"/>
  <c r="C30" i="5"/>
  <c r="E30" i="5" s="1"/>
  <c r="C29" i="5"/>
  <c r="U26" i="5"/>
  <c r="S26" i="5"/>
  <c r="P26" i="5"/>
  <c r="M26" i="5"/>
  <c r="C26" i="5"/>
  <c r="E26" i="5" s="1"/>
  <c r="U21" i="5"/>
  <c r="U89" i="5" s="1"/>
  <c r="R21" i="5"/>
  <c r="R89" i="5" s="1"/>
  <c r="O21" i="5"/>
  <c r="O89" i="5" s="1"/>
  <c r="L21" i="5"/>
  <c r="L89" i="5" s="1"/>
  <c r="U20" i="5"/>
  <c r="U95" i="5" s="1"/>
  <c r="R20" i="5"/>
  <c r="R95" i="5" s="1"/>
  <c r="O20" i="5"/>
  <c r="O95" i="5" s="1"/>
  <c r="L20" i="5"/>
  <c r="L95" i="5" s="1"/>
  <c r="U19" i="5"/>
  <c r="R19" i="5"/>
  <c r="O19" i="5"/>
  <c r="L19" i="5"/>
  <c r="U17" i="5"/>
  <c r="R17" i="5"/>
  <c r="O17" i="5"/>
  <c r="L17" i="5"/>
  <c r="U16" i="5"/>
  <c r="R16" i="5"/>
  <c r="O16" i="5"/>
  <c r="L16" i="5"/>
  <c r="U12" i="5"/>
  <c r="R12" i="5"/>
  <c r="O12" i="5"/>
  <c r="L12" i="5"/>
  <c r="U11" i="5"/>
  <c r="R11" i="5"/>
  <c r="O11" i="5"/>
  <c r="L11" i="5"/>
  <c r="U9" i="5"/>
  <c r="R9" i="5"/>
  <c r="Q28" i="5" s="1"/>
  <c r="S28" i="5" s="1"/>
  <c r="O9" i="5"/>
  <c r="N71" i="5" s="1"/>
  <c r="L9" i="5"/>
  <c r="K71" i="5" s="1"/>
  <c r="M71" i="5" s="1"/>
  <c r="A2" i="5"/>
  <c r="A3" i="5" s="1"/>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B1" i="5"/>
  <c r="P13" i="7" l="1"/>
  <c r="L42" i="7"/>
  <c r="N42" i="7" s="1"/>
  <c r="N59" i="7" s="1"/>
  <c r="E19" i="9" s="1"/>
  <c r="L46" i="7"/>
  <c r="N46" i="7" s="1"/>
  <c r="L45" i="7"/>
  <c r="N45" i="7" s="1"/>
  <c r="N47" i="7" s="1"/>
  <c r="K47" i="7"/>
  <c r="I151" i="5"/>
  <c r="J151" i="5" s="1"/>
  <c r="E85" i="5"/>
  <c r="I143" i="5"/>
  <c r="J143" i="5" s="1"/>
  <c r="I148" i="5"/>
  <c r="J148" i="5" s="1"/>
  <c r="I156" i="5"/>
  <c r="J156" i="5" s="1"/>
  <c r="F32" i="4"/>
  <c r="G83" i="4"/>
  <c r="G32" i="4" s="1"/>
  <c r="I159" i="5"/>
  <c r="J159" i="5" s="1"/>
  <c r="E84" i="4"/>
  <c r="D33" i="4"/>
  <c r="U64" i="5"/>
  <c r="O63" i="5"/>
  <c r="I146" i="5"/>
  <c r="J146" i="5" s="1"/>
  <c r="I154" i="5"/>
  <c r="J154" i="5" s="1"/>
  <c r="C11" i="9"/>
  <c r="G86" i="5"/>
  <c r="E86" i="5"/>
  <c r="P71" i="5"/>
  <c r="G26" i="5"/>
  <c r="Q42" i="5"/>
  <c r="S42" i="5" s="1"/>
  <c r="G69" i="5"/>
  <c r="Q71" i="5"/>
  <c r="S71" i="5" s="1"/>
  <c r="E89" i="5"/>
  <c r="M42" i="5"/>
  <c r="O64" i="5"/>
  <c r="I141" i="5"/>
  <c r="J141" i="5" s="1"/>
  <c r="N42" i="5"/>
  <c r="P42" i="5" s="1"/>
  <c r="K48" i="5"/>
  <c r="N48" i="5" s="1"/>
  <c r="P48" i="5" s="1"/>
  <c r="R64" i="5"/>
  <c r="S96" i="5" s="1"/>
  <c r="E69" i="5"/>
  <c r="I142" i="5"/>
  <c r="J142" i="5" s="1"/>
  <c r="E31" i="7"/>
  <c r="S11" i="7"/>
  <c r="O21" i="7"/>
  <c r="Q21" i="7" s="1"/>
  <c r="F8" i="9" s="1"/>
  <c r="S9" i="7"/>
  <c r="F37" i="5"/>
  <c r="F80" i="5" s="1"/>
  <c r="D76" i="5"/>
  <c r="D87" i="5" s="1"/>
  <c r="C47" i="5"/>
  <c r="E42" i="5"/>
  <c r="C48" i="5"/>
  <c r="G42" i="5"/>
  <c r="M55" i="5"/>
  <c r="P55" i="5"/>
  <c r="C76" i="5"/>
  <c r="E73" i="5"/>
  <c r="U69" i="5"/>
  <c r="V69" i="5" s="1"/>
  <c r="V26" i="5"/>
  <c r="V96" i="5"/>
  <c r="T89" i="5"/>
  <c r="C33" i="5"/>
  <c r="G29" i="5"/>
  <c r="Q89" i="5"/>
  <c r="T71" i="5"/>
  <c r="V71" i="5" s="1"/>
  <c r="T28" i="5"/>
  <c r="V28" i="5" s="1"/>
  <c r="M48" i="5"/>
  <c r="K28" i="5"/>
  <c r="M28" i="5" s="1"/>
  <c r="V55" i="5"/>
  <c r="N28" i="5"/>
  <c r="P28" i="5" s="1"/>
  <c r="K47" i="5"/>
  <c r="E96" i="5"/>
  <c r="L62" i="5"/>
  <c r="E95" i="5"/>
  <c r="G95" i="5"/>
  <c r="G89" i="5"/>
  <c r="G96" i="5"/>
  <c r="O62" i="5"/>
  <c r="L63" i="5"/>
  <c r="G85" i="5"/>
  <c r="C87" i="5"/>
  <c r="I138" i="5"/>
  <c r="J138" i="5" s="1"/>
  <c r="I137" i="5"/>
  <c r="J137" i="5" s="1"/>
  <c r="I140" i="5"/>
  <c r="J140" i="5" s="1"/>
  <c r="K60" i="7" l="1"/>
  <c r="D20" i="9" s="1"/>
  <c r="O46" i="7"/>
  <c r="Q46" i="7" s="1"/>
  <c r="O45" i="7"/>
  <c r="Q45" i="7" s="1"/>
  <c r="Q47" i="7" s="1"/>
  <c r="O42" i="7"/>
  <c r="Q42" i="7" s="1"/>
  <c r="Q59" i="7" s="1"/>
  <c r="F19" i="9" s="1"/>
  <c r="S13" i="7"/>
  <c r="N60" i="7"/>
  <c r="E20" i="9" s="1"/>
  <c r="E58" i="7"/>
  <c r="E66" i="7"/>
  <c r="T48" i="5"/>
  <c r="V48" i="5" s="1"/>
  <c r="Q48" i="5"/>
  <c r="S48" i="5" s="1"/>
  <c r="E33" i="4"/>
  <c r="F84" i="4"/>
  <c r="D85" i="4"/>
  <c r="D34" i="4" s="1"/>
  <c r="C12" i="9"/>
  <c r="R21" i="7"/>
  <c r="T21" i="7" s="1"/>
  <c r="G8" i="9" s="1"/>
  <c r="N47" i="5"/>
  <c r="P47" i="5" s="1"/>
  <c r="P49" i="5" s="1"/>
  <c r="Q47" i="5"/>
  <c r="S47" i="5" s="1"/>
  <c r="S49" i="5" s="1"/>
  <c r="T47" i="5"/>
  <c r="V47" i="5" s="1"/>
  <c r="V49" i="5" s="1"/>
  <c r="M47" i="5"/>
  <c r="M49" i="5" s="1"/>
  <c r="G47" i="5"/>
  <c r="E47" i="5"/>
  <c r="K89" i="5"/>
  <c r="M96" i="5"/>
  <c r="S89" i="5"/>
  <c r="Q95" i="5"/>
  <c r="S95" i="5" s="1"/>
  <c r="G33" i="5"/>
  <c r="G35" i="5" s="1"/>
  <c r="E33" i="5"/>
  <c r="E35" i="5" s="1"/>
  <c r="E87" i="5"/>
  <c r="E88" i="5" s="1"/>
  <c r="E90" i="5" s="1"/>
  <c r="G87" i="5"/>
  <c r="G88" i="5" s="1"/>
  <c r="G90" i="5" s="1"/>
  <c r="T95" i="5"/>
  <c r="V95" i="5" s="1"/>
  <c r="V89" i="5"/>
  <c r="E76" i="5"/>
  <c r="E78" i="5" s="1"/>
  <c r="G76" i="5"/>
  <c r="G78" i="5" s="1"/>
  <c r="P96" i="5"/>
  <c r="N89" i="5"/>
  <c r="E48" i="5"/>
  <c r="G48" i="5"/>
  <c r="Q60" i="7" l="1"/>
  <c r="F20" i="9" s="1"/>
  <c r="R46" i="7"/>
  <c r="T46" i="7" s="1"/>
  <c r="R45" i="7"/>
  <c r="T45" i="7" s="1"/>
  <c r="T47" i="7" s="1"/>
  <c r="R42" i="7"/>
  <c r="T42" i="7" s="1"/>
  <c r="T59" i="7" s="1"/>
  <c r="G19" i="9" s="1"/>
  <c r="E85" i="4"/>
  <c r="E34" i="4" s="1"/>
  <c r="G84" i="4"/>
  <c r="G33" i="4" s="1"/>
  <c r="F33" i="4"/>
  <c r="C28" i="9"/>
  <c r="C18" i="9"/>
  <c r="E49" i="5"/>
  <c r="G49" i="5"/>
  <c r="G91" i="5"/>
  <c r="E91" i="5"/>
  <c r="E37" i="5"/>
  <c r="E109" i="5" s="1"/>
  <c r="G37" i="5"/>
  <c r="G109" i="5" s="1"/>
  <c r="E80" i="5"/>
  <c r="E82" i="5" s="1"/>
  <c r="N95" i="5"/>
  <c r="P95" i="5" s="1"/>
  <c r="P89" i="5"/>
  <c r="G80" i="5"/>
  <c r="M89" i="5"/>
  <c r="K95" i="5"/>
  <c r="M95" i="5" s="1"/>
  <c r="T60" i="7" l="1"/>
  <c r="G20" i="9" s="1"/>
  <c r="F85" i="4"/>
  <c r="G85" i="4" s="1"/>
  <c r="G34" i="4" s="1"/>
  <c r="D86" i="4"/>
  <c r="D35" i="4" s="1"/>
  <c r="G39" i="5"/>
  <c r="G51" i="5" s="1"/>
  <c r="G82" i="5"/>
  <c r="G121" i="5"/>
  <c r="G115" i="5"/>
  <c r="E39" i="5"/>
  <c r="E51" i="5" s="1"/>
  <c r="F34" i="4" l="1"/>
  <c r="E86" i="4"/>
  <c r="D87" i="4" s="1"/>
  <c r="D36" i="4" s="1"/>
  <c r="E121" i="5"/>
  <c r="E115" i="5"/>
  <c r="F10" i="4"/>
  <c r="F9" i="4"/>
  <c r="K6" i="4"/>
  <c r="E35" i="4" l="1"/>
  <c r="F86" i="4"/>
  <c r="G86" i="4" s="1"/>
  <c r="G35" i="4" s="1"/>
  <c r="E87" i="4"/>
  <c r="E36" i="4" s="1"/>
  <c r="F35" i="4"/>
  <c r="K81" i="4"/>
  <c r="K85" i="4"/>
  <c r="K89" i="4"/>
  <c r="K93" i="4"/>
  <c r="K97" i="4"/>
  <c r="K101" i="4"/>
  <c r="K105" i="4"/>
  <c r="K109" i="4"/>
  <c r="K113" i="4"/>
  <c r="K117" i="4"/>
  <c r="K79" i="4"/>
  <c r="L79" i="4" s="1"/>
  <c r="K95" i="4"/>
  <c r="K107" i="4"/>
  <c r="K119" i="4"/>
  <c r="K88" i="4"/>
  <c r="K96" i="4"/>
  <c r="K108" i="4"/>
  <c r="K116" i="4"/>
  <c r="K82" i="4"/>
  <c r="K86" i="4"/>
  <c r="K90" i="4"/>
  <c r="K94" i="4"/>
  <c r="K98" i="4"/>
  <c r="K102" i="4"/>
  <c r="K106" i="4"/>
  <c r="K110" i="4"/>
  <c r="K114" i="4"/>
  <c r="K118" i="4"/>
  <c r="K83" i="4"/>
  <c r="K87" i="4"/>
  <c r="K91" i="4"/>
  <c r="K99" i="4"/>
  <c r="K103" i="4"/>
  <c r="K111" i="4"/>
  <c r="K115" i="4"/>
  <c r="K84" i="4"/>
  <c r="K92" i="4"/>
  <c r="K100" i="4"/>
  <c r="K104" i="4"/>
  <c r="K112" i="4"/>
  <c r="K80" i="4"/>
  <c r="I80" i="4"/>
  <c r="I81" i="4"/>
  <c r="I30" i="4" s="1"/>
  <c r="I82" i="4"/>
  <c r="I31" i="4" s="1"/>
  <c r="I83" i="4"/>
  <c r="I32" i="4" s="1"/>
  <c r="I84" i="4"/>
  <c r="I33" i="4" s="1"/>
  <c r="I85" i="4"/>
  <c r="I34" i="4" s="1"/>
  <c r="I86" i="4"/>
  <c r="I35" i="4" s="1"/>
  <c r="M119" i="4"/>
  <c r="M68" i="4" s="1"/>
  <c r="H117" i="4"/>
  <c r="H66" i="4" s="1"/>
  <c r="M115" i="4"/>
  <c r="M64" i="4" s="1"/>
  <c r="H113" i="4"/>
  <c r="H62" i="4" s="1"/>
  <c r="M111" i="4"/>
  <c r="M60" i="4" s="1"/>
  <c r="H109" i="4"/>
  <c r="H58" i="4" s="1"/>
  <c r="M107" i="4"/>
  <c r="M56" i="4" s="1"/>
  <c r="H105" i="4"/>
  <c r="H54" i="4" s="1"/>
  <c r="H103" i="4"/>
  <c r="H52" i="4" s="1"/>
  <c r="H101" i="4"/>
  <c r="H50" i="4" s="1"/>
  <c r="H99" i="4"/>
  <c r="H48" i="4" s="1"/>
  <c r="H97" i="4"/>
  <c r="H46" i="4" s="1"/>
  <c r="H95" i="4"/>
  <c r="H44" i="4" s="1"/>
  <c r="H93" i="4"/>
  <c r="H42" i="4" s="1"/>
  <c r="H91" i="4"/>
  <c r="H40" i="4" s="1"/>
  <c r="H89" i="4"/>
  <c r="H38" i="4" s="1"/>
  <c r="H87" i="4"/>
  <c r="H85" i="4"/>
  <c r="H34" i="4" s="1"/>
  <c r="H83" i="4"/>
  <c r="H32" i="4" s="1"/>
  <c r="H81" i="4"/>
  <c r="H30" i="4" s="1"/>
  <c r="M116" i="4"/>
  <c r="M65" i="4" s="1"/>
  <c r="H114" i="4"/>
  <c r="H63" i="4" s="1"/>
  <c r="M108" i="4"/>
  <c r="M57" i="4" s="1"/>
  <c r="H106" i="4"/>
  <c r="H55" i="4" s="1"/>
  <c r="H119" i="4"/>
  <c r="H68" i="4" s="1"/>
  <c r="M117" i="4"/>
  <c r="M66" i="4" s="1"/>
  <c r="H115" i="4"/>
  <c r="H64" i="4" s="1"/>
  <c r="M113" i="4"/>
  <c r="M62" i="4" s="1"/>
  <c r="H111" i="4"/>
  <c r="H60" i="4" s="1"/>
  <c r="M109" i="4"/>
  <c r="M58" i="4" s="1"/>
  <c r="H107" i="4"/>
  <c r="H56" i="4" s="1"/>
  <c r="M105" i="4"/>
  <c r="M54" i="4" s="1"/>
  <c r="H104" i="4"/>
  <c r="H53" i="4" s="1"/>
  <c r="H102" i="4"/>
  <c r="H51" i="4" s="1"/>
  <c r="H100" i="4"/>
  <c r="H49" i="4" s="1"/>
  <c r="H98" i="4"/>
  <c r="H47" i="4" s="1"/>
  <c r="H96" i="4"/>
  <c r="H45" i="4" s="1"/>
  <c r="H94" i="4"/>
  <c r="H43" i="4" s="1"/>
  <c r="H92" i="4"/>
  <c r="H41" i="4" s="1"/>
  <c r="H90" i="4"/>
  <c r="H39" i="4" s="1"/>
  <c r="H88" i="4"/>
  <c r="H37" i="4" s="1"/>
  <c r="H86" i="4"/>
  <c r="H35" i="4" s="1"/>
  <c r="H84" i="4"/>
  <c r="H82" i="4"/>
  <c r="H31" i="4" s="1"/>
  <c r="H80" i="4"/>
  <c r="H29" i="4" s="1"/>
  <c r="M118" i="4"/>
  <c r="M67" i="4" s="1"/>
  <c r="H116" i="4"/>
  <c r="H65" i="4" s="1"/>
  <c r="M114" i="4"/>
  <c r="M63" i="4" s="1"/>
  <c r="H112" i="4"/>
  <c r="H61" i="4" s="1"/>
  <c r="M110" i="4"/>
  <c r="M59" i="4" s="1"/>
  <c r="H108" i="4"/>
  <c r="H57" i="4" s="1"/>
  <c r="M106" i="4"/>
  <c r="M55" i="4" s="1"/>
  <c r="H118" i="4"/>
  <c r="H67" i="4" s="1"/>
  <c r="M112" i="4"/>
  <c r="M61" i="4" s="1"/>
  <c r="H110" i="4"/>
  <c r="H59" i="4" s="1"/>
  <c r="D133" i="3"/>
  <c r="D134" i="3"/>
  <c r="D135" i="3"/>
  <c r="I136" i="3" s="1"/>
  <c r="J136" i="3" s="1"/>
  <c r="D136" i="3"/>
  <c r="D137" i="3"/>
  <c r="D138" i="3"/>
  <c r="D139" i="3"/>
  <c r="D140" i="3"/>
  <c r="D141" i="3"/>
  <c r="D142" i="3"/>
  <c r="I142" i="3" s="1"/>
  <c r="J142" i="3" s="1"/>
  <c r="D143" i="3"/>
  <c r="I143" i="3" s="1"/>
  <c r="J143" i="3" s="1"/>
  <c r="D144" i="3"/>
  <c r="I144" i="3" s="1"/>
  <c r="J144" i="3" s="1"/>
  <c r="D145" i="3"/>
  <c r="D146" i="3"/>
  <c r="I147" i="3" s="1"/>
  <c r="J147" i="3" s="1"/>
  <c r="D147" i="3"/>
  <c r="D148" i="3"/>
  <c r="I148" i="3" s="1"/>
  <c r="J148" i="3" s="1"/>
  <c r="D149" i="3"/>
  <c r="D150" i="3"/>
  <c r="D151" i="3"/>
  <c r="D152" i="3"/>
  <c r="I152" i="3" s="1"/>
  <c r="J152" i="3" s="1"/>
  <c r="D153" i="3"/>
  <c r="D154" i="3"/>
  <c r="I151" i="3"/>
  <c r="J151" i="3" s="1"/>
  <c r="I135" i="3"/>
  <c r="J135" i="3" s="1"/>
  <c r="I138" i="3"/>
  <c r="J138" i="3" s="1"/>
  <c r="I139" i="3"/>
  <c r="J139" i="3" s="1"/>
  <c r="I140" i="3"/>
  <c r="J140" i="3" s="1"/>
  <c r="I146" i="3"/>
  <c r="J146" i="3" s="1"/>
  <c r="I87" i="4" l="1"/>
  <c r="I36" i="4" s="1"/>
  <c r="F87" i="4"/>
  <c r="D88" i="4"/>
  <c r="D37" i="4" s="1"/>
  <c r="I149" i="3"/>
  <c r="J149" i="3" s="1"/>
  <c r="I153" i="3"/>
  <c r="J153" i="3" s="1"/>
  <c r="I150" i="3"/>
  <c r="J150" i="3" s="1"/>
  <c r="I145" i="3"/>
  <c r="J145" i="3" s="1"/>
  <c r="I141" i="3"/>
  <c r="J141" i="3" s="1"/>
  <c r="I137" i="3"/>
  <c r="J137" i="3" s="1"/>
  <c r="I134" i="3"/>
  <c r="J134" i="3" s="1"/>
  <c r="G87" i="4"/>
  <c r="G36" i="4" s="1"/>
  <c r="F36" i="4"/>
  <c r="J84" i="4"/>
  <c r="J33" i="4" s="1"/>
  <c r="H33" i="4"/>
  <c r="J80" i="4"/>
  <c r="J29" i="4" s="1"/>
  <c r="I29" i="4"/>
  <c r="M79" i="4"/>
  <c r="M28" i="4" s="1"/>
  <c r="L28" i="4"/>
  <c r="H36" i="4"/>
  <c r="J83" i="4"/>
  <c r="J32" i="4" s="1"/>
  <c r="J82" i="4"/>
  <c r="J31" i="4" s="1"/>
  <c r="J85" i="4"/>
  <c r="J34" i="4" s="1"/>
  <c r="J86" i="4"/>
  <c r="J35" i="4" s="1"/>
  <c r="J81" i="4"/>
  <c r="J30" i="4" s="1"/>
  <c r="I133" i="3"/>
  <c r="J133" i="3" s="1"/>
  <c r="I154" i="3"/>
  <c r="J154" i="3" s="1"/>
  <c r="U82" i="3"/>
  <c r="U69" i="3"/>
  <c r="U81" i="3" s="1"/>
  <c r="U67" i="3"/>
  <c r="R82" i="3"/>
  <c r="R69" i="3"/>
  <c r="R81" i="3" s="1"/>
  <c r="R67" i="3"/>
  <c r="R65" i="3"/>
  <c r="S65" i="3" s="1"/>
  <c r="O82" i="3"/>
  <c r="O69" i="3"/>
  <c r="O81" i="3" s="1"/>
  <c r="O67" i="3"/>
  <c r="O65" i="3"/>
  <c r="P65" i="3" s="1"/>
  <c r="L69" i="3"/>
  <c r="L81" i="3" s="1"/>
  <c r="L67" i="3"/>
  <c r="L65" i="3"/>
  <c r="M65" i="3" s="1"/>
  <c r="F82" i="3"/>
  <c r="D91" i="3"/>
  <c r="F91" i="3" s="1"/>
  <c r="D85" i="3"/>
  <c r="F85" i="3" s="1"/>
  <c r="C85" i="3"/>
  <c r="C91" i="3" s="1"/>
  <c r="C81" i="3"/>
  <c r="C83" i="3" s="1"/>
  <c r="C70" i="3"/>
  <c r="C69" i="3"/>
  <c r="C72" i="3" s="1"/>
  <c r="C44" i="2"/>
  <c r="C43" i="2"/>
  <c r="C68" i="3"/>
  <c r="C65" i="3"/>
  <c r="F68" i="3"/>
  <c r="F81" i="3" s="1"/>
  <c r="F65" i="3"/>
  <c r="D70" i="3"/>
  <c r="D69" i="3"/>
  <c r="D81" i="3" s="1"/>
  <c r="D65" i="3"/>
  <c r="E60" i="3"/>
  <c r="U60" i="3" s="1"/>
  <c r="E58" i="3"/>
  <c r="G138" i="3"/>
  <c r="E59" i="3" s="1"/>
  <c r="D157" i="3"/>
  <c r="D156" i="3"/>
  <c r="D155" i="3"/>
  <c r="J87" i="4" l="1"/>
  <c r="J36" i="4" s="1"/>
  <c r="E88" i="4"/>
  <c r="E37" i="4" s="1"/>
  <c r="G81" i="3"/>
  <c r="C82" i="3"/>
  <c r="G82" i="3" s="1"/>
  <c r="L87" i="4"/>
  <c r="L36" i="4" s="1"/>
  <c r="E92" i="3"/>
  <c r="E81" i="3"/>
  <c r="G65" i="3"/>
  <c r="I88" i="4"/>
  <c r="I37" i="4" s="1"/>
  <c r="I157" i="3"/>
  <c r="J157" i="3" s="1"/>
  <c r="G68" i="3"/>
  <c r="L80" i="4"/>
  <c r="L29" i="4" s="1"/>
  <c r="L84" i="4"/>
  <c r="L33" i="4" s="1"/>
  <c r="L83" i="4"/>
  <c r="L32" i="4" s="1"/>
  <c r="L81" i="4"/>
  <c r="L85" i="4"/>
  <c r="L34" i="4" s="1"/>
  <c r="L86" i="4"/>
  <c r="L35" i="4" s="1"/>
  <c r="L82" i="4"/>
  <c r="L31" i="4" s="1"/>
  <c r="I156" i="3"/>
  <c r="J156" i="3" s="1"/>
  <c r="I155" i="3"/>
  <c r="J155" i="3" s="1"/>
  <c r="O59" i="3"/>
  <c r="L59" i="3"/>
  <c r="E70" i="3"/>
  <c r="G85" i="3"/>
  <c r="E65" i="3"/>
  <c r="O60" i="3"/>
  <c r="G91" i="3"/>
  <c r="E91" i="3"/>
  <c r="E69" i="3"/>
  <c r="R59" i="3"/>
  <c r="L58" i="3"/>
  <c r="R60" i="3"/>
  <c r="E82" i="3"/>
  <c r="R58" i="3"/>
  <c r="U58" i="3"/>
  <c r="E85" i="3"/>
  <c r="L60" i="3"/>
  <c r="U59" i="3"/>
  <c r="O58" i="3"/>
  <c r="G92" i="3"/>
  <c r="S26" i="3"/>
  <c r="P26" i="3"/>
  <c r="M26" i="3"/>
  <c r="K42" i="3"/>
  <c r="K44" i="3" s="1"/>
  <c r="U44" i="3"/>
  <c r="U43" i="3"/>
  <c r="U42" i="3"/>
  <c r="R44" i="3"/>
  <c r="R43" i="3"/>
  <c r="R42" i="3"/>
  <c r="O44" i="3"/>
  <c r="O43" i="3"/>
  <c r="O42" i="3"/>
  <c r="L44" i="3"/>
  <c r="L43" i="3"/>
  <c r="L42" i="3"/>
  <c r="U37" i="3"/>
  <c r="U76" i="3" s="1"/>
  <c r="U87" i="3" s="1"/>
  <c r="R37" i="3"/>
  <c r="R76" i="3" s="1"/>
  <c r="R87" i="3" s="1"/>
  <c r="O37" i="3"/>
  <c r="O76" i="3" s="1"/>
  <c r="O87" i="3" s="1"/>
  <c r="L37" i="3"/>
  <c r="L76" i="3" s="1"/>
  <c r="L87" i="3" s="1"/>
  <c r="U26" i="3"/>
  <c r="U65" i="3" s="1"/>
  <c r="V65" i="3" s="1"/>
  <c r="G51" i="3"/>
  <c r="V51" i="3" s="1"/>
  <c r="E51" i="3"/>
  <c r="M51" i="3" s="1"/>
  <c r="D44" i="3"/>
  <c r="F44" i="3" s="1"/>
  <c r="D43" i="3"/>
  <c r="F43" i="3" s="1"/>
  <c r="D42" i="3"/>
  <c r="F42" i="3" s="1"/>
  <c r="C42" i="3"/>
  <c r="D37" i="3"/>
  <c r="D33" i="3"/>
  <c r="C31" i="3"/>
  <c r="E31" i="3" s="1"/>
  <c r="C30" i="3"/>
  <c r="E30" i="3" s="1"/>
  <c r="C29" i="3"/>
  <c r="G29" i="3" s="1"/>
  <c r="C26" i="3"/>
  <c r="G26" i="3" s="1"/>
  <c r="U21" i="3"/>
  <c r="U85" i="3" s="1"/>
  <c r="U20" i="3"/>
  <c r="U91" i="3" s="1"/>
  <c r="U19" i="3"/>
  <c r="U17" i="3"/>
  <c r="U16" i="3"/>
  <c r="U12" i="3"/>
  <c r="U11" i="3"/>
  <c r="U9" i="3"/>
  <c r="R21" i="3"/>
  <c r="R85" i="3" s="1"/>
  <c r="R20" i="3"/>
  <c r="R91" i="3" s="1"/>
  <c r="R19" i="3"/>
  <c r="R17" i="3"/>
  <c r="R16" i="3"/>
  <c r="R12" i="3"/>
  <c r="R11" i="3"/>
  <c r="R9" i="3"/>
  <c r="O21" i="3"/>
  <c r="O85" i="3" s="1"/>
  <c r="O20" i="3"/>
  <c r="O91" i="3" s="1"/>
  <c r="O19" i="3"/>
  <c r="O17" i="3"/>
  <c r="O16" i="3"/>
  <c r="O12" i="3"/>
  <c r="O11" i="3"/>
  <c r="O9" i="3"/>
  <c r="L21" i="3"/>
  <c r="L85" i="3" s="1"/>
  <c r="L20" i="3"/>
  <c r="L91" i="3" s="1"/>
  <c r="L19" i="3"/>
  <c r="L17" i="3"/>
  <c r="L16" i="3"/>
  <c r="L12" i="3"/>
  <c r="L11" i="3"/>
  <c r="L9" i="3"/>
  <c r="K67" i="3" s="1"/>
  <c r="M67" i="3" s="1"/>
  <c r="F88" i="4" l="1"/>
  <c r="D89" i="4"/>
  <c r="E89" i="4" s="1"/>
  <c r="E26" i="3"/>
  <c r="E42" i="3"/>
  <c r="G88" i="4"/>
  <c r="F37" i="4"/>
  <c r="M80" i="4"/>
  <c r="M29" i="4" s="1"/>
  <c r="L30" i="4"/>
  <c r="Q42" i="3"/>
  <c r="S42" i="3"/>
  <c r="N28" i="3"/>
  <c r="P28" i="3" s="1"/>
  <c r="N67" i="3"/>
  <c r="P67" i="3" s="1"/>
  <c r="Q28" i="3"/>
  <c r="S28" i="3" s="1"/>
  <c r="Q67" i="3"/>
  <c r="S67" i="3" s="1"/>
  <c r="T28" i="3"/>
  <c r="V28" i="3" s="1"/>
  <c r="T67" i="3"/>
  <c r="V67" i="3" s="1"/>
  <c r="V92" i="3"/>
  <c r="T85" i="3"/>
  <c r="V26" i="3"/>
  <c r="S92" i="3"/>
  <c r="Q85" i="3"/>
  <c r="K28" i="3"/>
  <c r="M28" i="3" s="1"/>
  <c r="N85" i="3"/>
  <c r="P92" i="3"/>
  <c r="K85" i="3"/>
  <c r="M92" i="3"/>
  <c r="F33" i="3"/>
  <c r="F72" i="3" s="1"/>
  <c r="D72" i="3"/>
  <c r="F37" i="3"/>
  <c r="F76" i="3" s="1"/>
  <c r="D76" i="3"/>
  <c r="D87" i="3" s="1"/>
  <c r="F87" i="3" s="1"/>
  <c r="M44" i="3"/>
  <c r="N44" i="3"/>
  <c r="P44" i="3" s="1"/>
  <c r="T44" i="3"/>
  <c r="V44" i="3" s="1"/>
  <c r="Q44" i="3"/>
  <c r="S44" i="3" s="1"/>
  <c r="C44" i="3"/>
  <c r="C43" i="3"/>
  <c r="G42" i="3"/>
  <c r="P51" i="3"/>
  <c r="C33" i="3"/>
  <c r="N42" i="3"/>
  <c r="P42" i="3" s="1"/>
  <c r="M42" i="3"/>
  <c r="S51" i="3"/>
  <c r="K43" i="3"/>
  <c r="T42" i="3"/>
  <c r="V42" i="3" s="1"/>
  <c r="T64" i="2"/>
  <c r="Q64" i="2"/>
  <c r="N64" i="2"/>
  <c r="K64" i="2"/>
  <c r="S55" i="2"/>
  <c r="S44" i="2"/>
  <c r="S42" i="2"/>
  <c r="S40" i="2"/>
  <c r="T40" i="2" s="1"/>
  <c r="P55" i="2"/>
  <c r="P44" i="2"/>
  <c r="P42" i="2"/>
  <c r="P40" i="2"/>
  <c r="Q40" i="2" s="1"/>
  <c r="M55" i="2"/>
  <c r="M44" i="2"/>
  <c r="M42" i="2"/>
  <c r="M40" i="2"/>
  <c r="N40" i="2" s="1"/>
  <c r="J55" i="2"/>
  <c r="J44" i="2"/>
  <c r="J42" i="2"/>
  <c r="J40" i="2"/>
  <c r="K40" i="2" s="1"/>
  <c r="C55" i="2"/>
  <c r="E44" i="2"/>
  <c r="C46" i="2"/>
  <c r="C40" i="2"/>
  <c r="D44" i="2"/>
  <c r="D43" i="2"/>
  <c r="D55" i="2" s="1"/>
  <c r="D40" i="2"/>
  <c r="S29" i="2"/>
  <c r="S50" i="2" s="1"/>
  <c r="P29" i="2"/>
  <c r="P50" i="2" s="1"/>
  <c r="M29" i="2"/>
  <c r="M50" i="2" s="1"/>
  <c r="J29" i="2"/>
  <c r="J59" i="2" s="1"/>
  <c r="T19" i="2"/>
  <c r="Q19" i="2"/>
  <c r="N19" i="2"/>
  <c r="K19" i="2"/>
  <c r="D29" i="2"/>
  <c r="D50" i="2" s="1"/>
  <c r="D59" i="2" s="1"/>
  <c r="D25" i="2"/>
  <c r="D46" i="2" s="1"/>
  <c r="D57" i="2" s="1"/>
  <c r="C25" i="2"/>
  <c r="C23" i="2"/>
  <c r="E23" i="2" s="1"/>
  <c r="C22" i="2"/>
  <c r="E22" i="2" s="1"/>
  <c r="C19" i="2"/>
  <c r="E19" i="2" s="1"/>
  <c r="J13" i="2"/>
  <c r="M13" i="2" s="1"/>
  <c r="P13" i="2" s="1"/>
  <c r="S13" i="2" s="1"/>
  <c r="J11" i="2"/>
  <c r="M11" i="2" s="1"/>
  <c r="P11" i="2" s="1"/>
  <c r="S11" i="2" s="1"/>
  <c r="J9" i="2"/>
  <c r="M9" i="2" s="1"/>
  <c r="P9" i="2" s="1"/>
  <c r="S9" i="2" s="1"/>
  <c r="R21" i="2" s="1"/>
  <c r="T21" i="2" s="1"/>
  <c r="H74" i="1"/>
  <c r="F74" i="1"/>
  <c r="D52" i="7" s="1"/>
  <c r="E52" i="7" s="1"/>
  <c r="E53" i="7" l="1"/>
  <c r="E61" i="7" s="1"/>
  <c r="Q52" i="7"/>
  <c r="Q53" i="7" s="1"/>
  <c r="Q61" i="7" s="1"/>
  <c r="F21" i="9" s="1"/>
  <c r="K52" i="7"/>
  <c r="K53" i="7" s="1"/>
  <c r="K61" i="7" s="1"/>
  <c r="D21" i="9" s="1"/>
  <c r="T52" i="7"/>
  <c r="T53" i="7" s="1"/>
  <c r="T61" i="7" s="1"/>
  <c r="G21" i="9" s="1"/>
  <c r="N52" i="7"/>
  <c r="N53" i="7" s="1"/>
  <c r="N61" i="7" s="1"/>
  <c r="E21" i="9" s="1"/>
  <c r="D38" i="4"/>
  <c r="M81" i="4"/>
  <c r="M82" i="4" s="1"/>
  <c r="E38" i="4"/>
  <c r="F89" i="4"/>
  <c r="I89" i="4"/>
  <c r="I38" i="4" s="1"/>
  <c r="D90" i="4"/>
  <c r="E90" i="4" s="1"/>
  <c r="G37" i="4"/>
  <c r="J88" i="4"/>
  <c r="D92" i="5"/>
  <c r="D88" i="3"/>
  <c r="F88" i="3" s="1"/>
  <c r="D60" i="2"/>
  <c r="Q91" i="3"/>
  <c r="S91" i="3" s="1"/>
  <c r="S85" i="3"/>
  <c r="T91" i="3"/>
  <c r="V91" i="3" s="1"/>
  <c r="V85" i="3"/>
  <c r="M85" i="3"/>
  <c r="K91" i="3"/>
  <c r="M91" i="3" s="1"/>
  <c r="N91" i="3"/>
  <c r="P91" i="3" s="1"/>
  <c r="P85" i="3"/>
  <c r="D83" i="3"/>
  <c r="E83" i="3" s="1"/>
  <c r="E84" i="3" s="1"/>
  <c r="E86" i="3" s="1"/>
  <c r="E72" i="3"/>
  <c r="E74" i="3" s="1"/>
  <c r="F83" i="3"/>
  <c r="G83" i="3" s="1"/>
  <c r="G84" i="3" s="1"/>
  <c r="G86" i="3" s="1"/>
  <c r="G72" i="3"/>
  <c r="G74" i="3" s="1"/>
  <c r="E33" i="3"/>
  <c r="E35" i="3" s="1"/>
  <c r="G33" i="3"/>
  <c r="G35" i="3" s="1"/>
  <c r="M43" i="3"/>
  <c r="N43" i="3"/>
  <c r="P43" i="3" s="1"/>
  <c r="P45" i="3" s="1"/>
  <c r="T43" i="3"/>
  <c r="V43" i="3" s="1"/>
  <c r="V45" i="3" s="1"/>
  <c r="Q43" i="3"/>
  <c r="S43" i="3" s="1"/>
  <c r="S45" i="3" s="1"/>
  <c r="E43" i="3"/>
  <c r="G43" i="3"/>
  <c r="G44" i="3"/>
  <c r="E44" i="3"/>
  <c r="M45" i="3"/>
  <c r="E55" i="2"/>
  <c r="C56" i="2"/>
  <c r="O42" i="2"/>
  <c r="Q42" i="2" s="1"/>
  <c r="E40" i="2"/>
  <c r="E46" i="2"/>
  <c r="M59" i="2"/>
  <c r="S59" i="2"/>
  <c r="J50" i="2"/>
  <c r="L42" i="2"/>
  <c r="N42" i="2" s="1"/>
  <c r="R42" i="2"/>
  <c r="T42" i="2" s="1"/>
  <c r="I42" i="2"/>
  <c r="K42" i="2" s="1"/>
  <c r="P59" i="2"/>
  <c r="E43" i="2"/>
  <c r="E25" i="2"/>
  <c r="E27" i="2" s="1"/>
  <c r="E29" i="2" s="1"/>
  <c r="I21" i="2"/>
  <c r="K21" i="2" s="1"/>
  <c r="L21" i="2"/>
  <c r="N21" i="2" s="1"/>
  <c r="O21" i="2"/>
  <c r="Q21" i="2" s="1"/>
  <c r="F58" i="1"/>
  <c r="E58" i="1"/>
  <c r="D58" i="1"/>
  <c r="F57" i="1"/>
  <c r="E57" i="1"/>
  <c r="D57" i="1"/>
  <c r="C58" i="1"/>
  <c r="C57" i="1"/>
  <c r="C21" i="9" l="1"/>
  <c r="C23" i="9" s="1"/>
  <c r="E64" i="7"/>
  <c r="E67" i="7" s="1"/>
  <c r="E68" i="7" s="1"/>
  <c r="D68" i="7" s="1"/>
  <c r="M30" i="4"/>
  <c r="E39" i="4"/>
  <c r="I90" i="4"/>
  <c r="I39" i="4" s="1"/>
  <c r="F90" i="4"/>
  <c r="D91" i="4"/>
  <c r="D40" i="4" s="1"/>
  <c r="J37" i="4"/>
  <c r="L88" i="4"/>
  <c r="L37" i="4" s="1"/>
  <c r="G89" i="4"/>
  <c r="F38" i="4"/>
  <c r="D39" i="4"/>
  <c r="M83" i="4"/>
  <c r="M31" i="4"/>
  <c r="R92" i="5"/>
  <c r="R88" i="3"/>
  <c r="P60" i="2"/>
  <c r="F92" i="5"/>
  <c r="G92" i="5" s="1"/>
  <c r="E92" i="5"/>
  <c r="U92" i="5"/>
  <c r="U88" i="3"/>
  <c r="S60" i="2"/>
  <c r="L92" i="5"/>
  <c r="L88" i="3"/>
  <c r="J60" i="2"/>
  <c r="O92" i="5"/>
  <c r="O88" i="3"/>
  <c r="M60" i="2"/>
  <c r="G76" i="3"/>
  <c r="G88" i="3"/>
  <c r="G87" i="3"/>
  <c r="E76" i="3"/>
  <c r="E87" i="3"/>
  <c r="E88" i="3"/>
  <c r="G45" i="3"/>
  <c r="G37" i="3"/>
  <c r="E37" i="3"/>
  <c r="E45" i="3"/>
  <c r="C57" i="2"/>
  <c r="E57" i="2" s="1"/>
  <c r="E56" i="2"/>
  <c r="E31" i="2"/>
  <c r="E75" i="2"/>
  <c r="E48" i="2"/>
  <c r="E50" i="2" s="1"/>
  <c r="J31" i="1"/>
  <c r="J33" i="1" s="1"/>
  <c r="I31" i="1"/>
  <c r="I33" i="1" s="1"/>
  <c r="H31" i="1"/>
  <c r="H33" i="1" s="1"/>
  <c r="G31" i="1"/>
  <c r="G33" i="1" s="1"/>
  <c r="B1" i="3"/>
  <c r="B1" i="2"/>
  <c r="G38" i="4" l="1"/>
  <c r="J89" i="4"/>
  <c r="G90" i="4"/>
  <c r="F39" i="4"/>
  <c r="E91" i="4"/>
  <c r="M84" i="4"/>
  <c r="M32" i="4"/>
  <c r="P14" i="7"/>
  <c r="R13" i="5"/>
  <c r="R13" i="3"/>
  <c r="P14" i="2"/>
  <c r="S14" i="7"/>
  <c r="U13" i="5"/>
  <c r="U13" i="3"/>
  <c r="S14" i="2"/>
  <c r="J14" i="7"/>
  <c r="L13" i="5"/>
  <c r="L13" i="3"/>
  <c r="J14" i="2"/>
  <c r="E108" i="5"/>
  <c r="E111" i="5" s="1"/>
  <c r="E93" i="5"/>
  <c r="E98" i="5" s="1"/>
  <c r="E100" i="5" s="1"/>
  <c r="M14" i="7"/>
  <c r="O13" i="5"/>
  <c r="O13" i="3"/>
  <c r="M14" i="2"/>
  <c r="G108" i="5"/>
  <c r="G111" i="5" s="1"/>
  <c r="G93" i="5"/>
  <c r="G98" i="5" s="1"/>
  <c r="G100" i="5" s="1"/>
  <c r="G89" i="3"/>
  <c r="G94" i="3" s="1"/>
  <c r="E89" i="3"/>
  <c r="E94" i="3" s="1"/>
  <c r="E78" i="3"/>
  <c r="E96" i="3" s="1"/>
  <c r="E104" i="3"/>
  <c r="G39" i="3"/>
  <c r="G47" i="3" s="1"/>
  <c r="G105" i="3"/>
  <c r="G78" i="3"/>
  <c r="G104" i="3"/>
  <c r="E39" i="3"/>
  <c r="E47" i="3" s="1"/>
  <c r="E105" i="3"/>
  <c r="E58" i="2"/>
  <c r="E87" i="2"/>
  <c r="E81" i="2"/>
  <c r="E52" i="2"/>
  <c r="E40" i="4" l="1"/>
  <c r="I91" i="4"/>
  <c r="I40" i="4" s="1"/>
  <c r="D92" i="4"/>
  <c r="D41" i="4" s="1"/>
  <c r="F91" i="4"/>
  <c r="J38" i="4"/>
  <c r="L89" i="4"/>
  <c r="L38" i="4" s="1"/>
  <c r="G39" i="4"/>
  <c r="J90" i="4"/>
  <c r="M85" i="4"/>
  <c r="M33" i="4"/>
  <c r="L23" i="7"/>
  <c r="K81" i="3"/>
  <c r="K30" i="3"/>
  <c r="K69" i="3"/>
  <c r="R23" i="2"/>
  <c r="R55" i="2"/>
  <c r="R44" i="2"/>
  <c r="O55" i="2"/>
  <c r="O23" i="2"/>
  <c r="O44" i="2"/>
  <c r="G96" i="3"/>
  <c r="G116" i="3" s="1"/>
  <c r="L55" i="2"/>
  <c r="L44" i="2"/>
  <c r="L23" i="2"/>
  <c r="E120" i="5"/>
  <c r="E123" i="5" s="1"/>
  <c r="E114" i="5"/>
  <c r="E117" i="5" s="1"/>
  <c r="K30" i="5"/>
  <c r="K73" i="5"/>
  <c r="K85" i="5"/>
  <c r="T69" i="3"/>
  <c r="T30" i="3"/>
  <c r="T81" i="3"/>
  <c r="Q81" i="3"/>
  <c r="Q30" i="3"/>
  <c r="Q69" i="3"/>
  <c r="N30" i="3"/>
  <c r="N69" i="3"/>
  <c r="N81" i="3"/>
  <c r="I23" i="7"/>
  <c r="T85" i="5"/>
  <c r="T30" i="5"/>
  <c r="T73" i="5"/>
  <c r="Q85" i="5"/>
  <c r="Q30" i="5"/>
  <c r="Q73" i="5"/>
  <c r="G120" i="5"/>
  <c r="G123" i="5" s="1"/>
  <c r="G114" i="5"/>
  <c r="G117" i="5" s="1"/>
  <c r="N85" i="5"/>
  <c r="N30" i="5"/>
  <c r="N73" i="5"/>
  <c r="I55" i="2"/>
  <c r="I23" i="2"/>
  <c r="I44" i="2"/>
  <c r="R23" i="7"/>
  <c r="O23" i="7"/>
  <c r="E116" i="3"/>
  <c r="E110" i="3"/>
  <c r="E117" i="3"/>
  <c r="E111" i="3"/>
  <c r="G111" i="3"/>
  <c r="G117" i="3"/>
  <c r="E107" i="3"/>
  <c r="G107" i="3"/>
  <c r="E60" i="2"/>
  <c r="E59" i="2"/>
  <c r="G110" i="3" l="1"/>
  <c r="F40" i="4"/>
  <c r="G91" i="4"/>
  <c r="J39" i="4"/>
  <c r="L90" i="4"/>
  <c r="L39" i="4" s="1"/>
  <c r="E92" i="4"/>
  <c r="M86" i="4"/>
  <c r="M34" i="4"/>
  <c r="O46" i="2"/>
  <c r="Q44" i="2"/>
  <c r="K44" i="2"/>
  <c r="I46" i="2"/>
  <c r="N32" i="5"/>
  <c r="P30" i="5"/>
  <c r="Q75" i="5"/>
  <c r="S73" i="5"/>
  <c r="V30" i="5"/>
  <c r="T32" i="5"/>
  <c r="Q71" i="3"/>
  <c r="S69" i="3"/>
  <c r="V30" i="3"/>
  <c r="T32" i="3"/>
  <c r="M30" i="5"/>
  <c r="K32" i="5"/>
  <c r="L46" i="2"/>
  <c r="N44" i="2"/>
  <c r="O25" i="2"/>
  <c r="Q23" i="2"/>
  <c r="T23" i="2"/>
  <c r="R25" i="2"/>
  <c r="L25" i="7"/>
  <c r="N23" i="7"/>
  <c r="E9" i="9" s="1"/>
  <c r="P73" i="5"/>
  <c r="N75" i="5"/>
  <c r="P30" i="3"/>
  <c r="N32" i="3"/>
  <c r="M73" i="5"/>
  <c r="K75" i="5"/>
  <c r="R56" i="2"/>
  <c r="T55" i="2"/>
  <c r="T23" i="7"/>
  <c r="G9" i="9" s="1"/>
  <c r="R25" i="7"/>
  <c r="I25" i="2"/>
  <c r="K23" i="2"/>
  <c r="N86" i="5"/>
  <c r="P86" i="5" s="1"/>
  <c r="P85" i="5"/>
  <c r="N87" i="5"/>
  <c r="S30" i="5"/>
  <c r="Q32" i="5"/>
  <c r="T87" i="5"/>
  <c r="V85" i="5"/>
  <c r="T86" i="5"/>
  <c r="V86" i="5" s="1"/>
  <c r="N82" i="3"/>
  <c r="P82" i="3" s="1"/>
  <c r="N83" i="3"/>
  <c r="P81" i="3"/>
  <c r="Q32" i="3"/>
  <c r="S30" i="3"/>
  <c r="V69" i="3"/>
  <c r="T71" i="3"/>
  <c r="L56" i="2"/>
  <c r="N55" i="2"/>
  <c r="O56" i="2"/>
  <c r="Q55" i="2"/>
  <c r="M69" i="3"/>
  <c r="K71" i="3"/>
  <c r="T75" i="5"/>
  <c r="V73" i="5"/>
  <c r="T83" i="3"/>
  <c r="V81" i="3"/>
  <c r="T82" i="3"/>
  <c r="V82" i="3" s="1"/>
  <c r="N23" i="2"/>
  <c r="L25" i="2"/>
  <c r="M81" i="3"/>
  <c r="K82" i="3"/>
  <c r="M82" i="3" s="1"/>
  <c r="K83" i="3"/>
  <c r="O25" i="7"/>
  <c r="Q23" i="7"/>
  <c r="F9" i="9" s="1"/>
  <c r="K55" i="2"/>
  <c r="I56" i="2"/>
  <c r="Q87" i="5"/>
  <c r="Q86" i="5"/>
  <c r="S86" i="5" s="1"/>
  <c r="S85" i="5"/>
  <c r="I25" i="7"/>
  <c r="K23" i="7"/>
  <c r="D9" i="9" s="1"/>
  <c r="P69" i="3"/>
  <c r="N71" i="3"/>
  <c r="S81" i="3"/>
  <c r="Q82" i="3"/>
  <c r="S82" i="3" s="1"/>
  <c r="Q83" i="3"/>
  <c r="K87" i="5"/>
  <c r="K86" i="5"/>
  <c r="M86" i="5" s="1"/>
  <c r="M85" i="5"/>
  <c r="T44" i="2"/>
  <c r="R46" i="2"/>
  <c r="K32" i="3"/>
  <c r="M30" i="3"/>
  <c r="G113" i="3"/>
  <c r="E113" i="3"/>
  <c r="E119" i="3"/>
  <c r="G119" i="3"/>
  <c r="E62" i="2"/>
  <c r="E66" i="2" s="1"/>
  <c r="E74" i="2"/>
  <c r="E77" i="2" s="1"/>
  <c r="F92" i="4" l="1"/>
  <c r="D93" i="4"/>
  <c r="E41" i="4"/>
  <c r="I92" i="4"/>
  <c r="I41" i="4" s="1"/>
  <c r="G40" i="4"/>
  <c r="J91" i="4"/>
  <c r="M87" i="4"/>
  <c r="M35" i="4"/>
  <c r="O57" i="2"/>
  <c r="Q56" i="2"/>
  <c r="L57" i="2"/>
  <c r="N56" i="2"/>
  <c r="K56" i="2"/>
  <c r="I57" i="2"/>
  <c r="R57" i="2"/>
  <c r="T56" i="2"/>
  <c r="E86" i="2"/>
  <c r="E89" i="2" s="1"/>
  <c r="E80" i="2"/>
  <c r="E83" i="2" s="1"/>
  <c r="A2" i="3"/>
  <c r="A3" i="3" s="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2" i="2"/>
  <c r="A3" i="2" s="1"/>
  <c r="D42" i="4" l="1"/>
  <c r="L91" i="4"/>
  <c r="L40" i="4" s="1"/>
  <c r="J40" i="4"/>
  <c r="E93" i="4"/>
  <c r="E42" i="4" s="1"/>
  <c r="F41" i="4"/>
  <c r="G92" i="4"/>
  <c r="M36" i="4"/>
  <c r="M88" i="4"/>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G41" i="4" l="1"/>
  <c r="J92" i="4"/>
  <c r="I93" i="4"/>
  <c r="I42" i="4" s="1"/>
  <c r="F93" i="4"/>
  <c r="F42" i="4" s="1"/>
  <c r="D94" i="4"/>
  <c r="M89" i="4"/>
  <c r="M37" i="4"/>
  <c r="F25" i="1"/>
  <c r="F26" i="1" s="1"/>
  <c r="F29" i="1" s="1"/>
  <c r="E25" i="1"/>
  <c r="E26" i="1" s="1"/>
  <c r="E29" i="1" s="1"/>
  <c r="D25" i="1"/>
  <c r="D26" i="1" s="1"/>
  <c r="D29" i="1" s="1"/>
  <c r="C25" i="1"/>
  <c r="C26" i="1" s="1"/>
  <c r="C29" i="1" s="1"/>
  <c r="A2" i="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E94" i="4" l="1"/>
  <c r="E43" i="4" s="1"/>
  <c r="D43" i="4"/>
  <c r="G93" i="4"/>
  <c r="G42" i="4" s="1"/>
  <c r="I94" i="4"/>
  <c r="I43" i="4" s="1"/>
  <c r="D95" i="4"/>
  <c r="D44" i="4" s="1"/>
  <c r="F94" i="4"/>
  <c r="F43" i="4" s="1"/>
  <c r="L92" i="4"/>
  <c r="L41" i="4" s="1"/>
  <c r="J41" i="4"/>
  <c r="M90" i="4"/>
  <c r="M38" i="4"/>
  <c r="S25" i="7"/>
  <c r="U32" i="5"/>
  <c r="U32" i="3"/>
  <c r="S25" i="2"/>
  <c r="M25" i="7"/>
  <c r="O32" i="5"/>
  <c r="O32" i="3"/>
  <c r="M25" i="2"/>
  <c r="J25" i="7"/>
  <c r="L32" i="5"/>
  <c r="L32" i="3"/>
  <c r="J25" i="2"/>
  <c r="P25" i="7"/>
  <c r="R32" i="5"/>
  <c r="R32" i="3"/>
  <c r="P25" i="2"/>
  <c r="A45" i="1"/>
  <c r="A46" i="1" s="1"/>
  <c r="A47" i="1" s="1"/>
  <c r="A48" i="1" s="1"/>
  <c r="A49" i="1" s="1"/>
  <c r="A50" i="1" s="1"/>
  <c r="A51" i="1" s="1"/>
  <c r="A52" i="1" s="1"/>
  <c r="E95" i="4" l="1"/>
  <c r="E44" i="4" s="1"/>
  <c r="G94" i="4"/>
  <c r="G43" i="4" s="1"/>
  <c r="J93" i="4"/>
  <c r="J42" i="4" s="1"/>
  <c r="M91" i="4"/>
  <c r="M39" i="4"/>
  <c r="J57" i="2"/>
  <c r="K57" i="2" s="1"/>
  <c r="K58" i="2" s="1"/>
  <c r="J46" i="2"/>
  <c r="K46" i="2" s="1"/>
  <c r="K48" i="2" s="1"/>
  <c r="K50" i="2" s="1"/>
  <c r="K25" i="2"/>
  <c r="K27" i="2" s="1"/>
  <c r="M57" i="2"/>
  <c r="N57" i="2" s="1"/>
  <c r="N58" i="2" s="1"/>
  <c r="M46" i="2"/>
  <c r="N46" i="2" s="1"/>
  <c r="N48" i="2" s="1"/>
  <c r="N25" i="2"/>
  <c r="N27" i="2" s="1"/>
  <c r="S46" i="2"/>
  <c r="T46" i="2" s="1"/>
  <c r="T48" i="2" s="1"/>
  <c r="S57" i="2"/>
  <c r="T57" i="2" s="1"/>
  <c r="T58" i="2" s="1"/>
  <c r="T25" i="2"/>
  <c r="T27" i="2" s="1"/>
  <c r="R71" i="3"/>
  <c r="S32" i="3"/>
  <c r="S35" i="3" s="1"/>
  <c r="L71" i="3"/>
  <c r="M32" i="3"/>
  <c r="M35" i="3" s="1"/>
  <c r="O71" i="3"/>
  <c r="P32" i="3"/>
  <c r="P35" i="3" s="1"/>
  <c r="U71" i="3"/>
  <c r="V32" i="3"/>
  <c r="V35" i="3" s="1"/>
  <c r="R75" i="5"/>
  <c r="S32" i="5"/>
  <c r="S35" i="5" s="1"/>
  <c r="L75" i="5"/>
  <c r="M32" i="5"/>
  <c r="M35" i="5" s="1"/>
  <c r="O75" i="5"/>
  <c r="P32" i="5"/>
  <c r="P35" i="5" s="1"/>
  <c r="U75" i="5"/>
  <c r="V32" i="5"/>
  <c r="V35" i="5" s="1"/>
  <c r="P57" i="2"/>
  <c r="Q57" i="2" s="1"/>
  <c r="Q58" i="2" s="1"/>
  <c r="P46" i="2"/>
  <c r="Q46" i="2" s="1"/>
  <c r="Q48" i="2" s="1"/>
  <c r="Q25" i="2"/>
  <c r="Q27" i="2" s="1"/>
  <c r="Q25" i="7"/>
  <c r="K25" i="7"/>
  <c r="N25" i="7"/>
  <c r="T25" i="7"/>
  <c r="A53" i="1"/>
  <c r="A54" i="1" s="1"/>
  <c r="A55" i="1" s="1"/>
  <c r="A56" i="1" s="1"/>
  <c r="A57" i="1" s="1"/>
  <c r="A58" i="1" s="1"/>
  <c r="A59" i="1" s="1"/>
  <c r="A60" i="1" s="1"/>
  <c r="A61" i="1" s="1"/>
  <c r="A62" i="1" s="1"/>
  <c r="A63" i="1" s="1"/>
  <c r="A64" i="1" s="1"/>
  <c r="A65" i="1" s="1"/>
  <c r="A66" i="1" s="1"/>
  <c r="A67" i="1" s="1"/>
  <c r="A68" i="1" s="1"/>
  <c r="J94" i="4" l="1"/>
  <c r="J43" i="4" s="1"/>
  <c r="L93" i="4"/>
  <c r="L42" i="4" s="1"/>
  <c r="F95" i="4"/>
  <c r="F44" i="4" s="1"/>
  <c r="D96" i="4"/>
  <c r="D45" i="4" s="1"/>
  <c r="I95" i="4"/>
  <c r="I44" i="4" s="1"/>
  <c r="N27" i="7"/>
  <c r="N29" i="7" s="1"/>
  <c r="E10" i="9"/>
  <c r="Q27" i="7"/>
  <c r="Q29" i="7" s="1"/>
  <c r="F10" i="9"/>
  <c r="T27" i="7"/>
  <c r="T29" i="7" s="1"/>
  <c r="G10" i="9"/>
  <c r="K27" i="7"/>
  <c r="K29" i="7" s="1"/>
  <c r="D10" i="9"/>
  <c r="M40" i="4"/>
  <c r="M92" i="4"/>
  <c r="O87" i="5"/>
  <c r="P87" i="5" s="1"/>
  <c r="P88" i="5" s="1"/>
  <c r="P90" i="5" s="1"/>
  <c r="P75" i="5"/>
  <c r="P78" i="5" s="1"/>
  <c r="V37" i="5"/>
  <c r="V109" i="5" s="1"/>
  <c r="M37" i="5"/>
  <c r="M109" i="5" s="1"/>
  <c r="V37" i="3"/>
  <c r="V105" i="3" s="1"/>
  <c r="M37" i="3"/>
  <c r="M105" i="3" s="1"/>
  <c r="T29" i="2"/>
  <c r="T75" i="2" s="1"/>
  <c r="N50" i="2"/>
  <c r="N52" i="2" s="1"/>
  <c r="K59" i="2"/>
  <c r="K60" i="2"/>
  <c r="Q29" i="2"/>
  <c r="Q75" i="2" s="1"/>
  <c r="U87" i="5"/>
  <c r="V87" i="5" s="1"/>
  <c r="V88" i="5" s="1"/>
  <c r="V90" i="5" s="1"/>
  <c r="V75" i="5"/>
  <c r="V78" i="5" s="1"/>
  <c r="L87" i="5"/>
  <c r="M87" i="5" s="1"/>
  <c r="M88" i="5" s="1"/>
  <c r="M90" i="5" s="1"/>
  <c r="M75" i="5"/>
  <c r="M78" i="5" s="1"/>
  <c r="U83" i="3"/>
  <c r="V83" i="3" s="1"/>
  <c r="V84" i="3" s="1"/>
  <c r="V86" i="3" s="1"/>
  <c r="V71" i="3"/>
  <c r="V74" i="3" s="1"/>
  <c r="V76" i="3" s="1"/>
  <c r="L83" i="3"/>
  <c r="M83" i="3" s="1"/>
  <c r="M84" i="3" s="1"/>
  <c r="M86" i="3" s="1"/>
  <c r="M71" i="3"/>
  <c r="M74" i="3" s="1"/>
  <c r="T59" i="2"/>
  <c r="T60" i="2"/>
  <c r="N60" i="2"/>
  <c r="N59" i="2"/>
  <c r="Q50" i="2"/>
  <c r="P37" i="5"/>
  <c r="P109" i="5" s="1"/>
  <c r="S37" i="5"/>
  <c r="S109" i="5" s="1"/>
  <c r="P37" i="3"/>
  <c r="P105" i="3" s="1"/>
  <c r="S37" i="3"/>
  <c r="S105" i="3" s="1"/>
  <c r="T50" i="2"/>
  <c r="T52" i="2" s="1"/>
  <c r="K29" i="2"/>
  <c r="K75" i="2" s="1"/>
  <c r="Q59" i="2"/>
  <c r="Q62" i="2" s="1"/>
  <c r="Q60" i="2"/>
  <c r="K52" i="2"/>
  <c r="R87" i="5"/>
  <c r="S87" i="5" s="1"/>
  <c r="S88" i="5" s="1"/>
  <c r="S90" i="5" s="1"/>
  <c r="S75" i="5"/>
  <c r="S78" i="5" s="1"/>
  <c r="O83" i="3"/>
  <c r="P83" i="3" s="1"/>
  <c r="P84" i="3" s="1"/>
  <c r="P86" i="3" s="1"/>
  <c r="P71" i="3"/>
  <c r="P74" i="3" s="1"/>
  <c r="R83" i="3"/>
  <c r="S83" i="3" s="1"/>
  <c r="S84" i="3" s="1"/>
  <c r="S86" i="3" s="1"/>
  <c r="S71" i="3"/>
  <c r="S74" i="3" s="1"/>
  <c r="N29" i="2"/>
  <c r="N75" i="2" s="1"/>
  <c r="M39" i="5" l="1"/>
  <c r="M51" i="5" s="1"/>
  <c r="M53" i="5" s="1"/>
  <c r="K62" i="2"/>
  <c r="V39" i="5"/>
  <c r="V51" i="5" s="1"/>
  <c r="V39" i="3"/>
  <c r="V47" i="3" s="1"/>
  <c r="K66" i="2"/>
  <c r="K74" i="2"/>
  <c r="M39" i="3"/>
  <c r="M47" i="3" s="1"/>
  <c r="M49" i="3" s="1"/>
  <c r="L94" i="4"/>
  <c r="L43" i="4" s="1"/>
  <c r="Q74" i="2"/>
  <c r="Q77" i="2" s="1"/>
  <c r="T62" i="2"/>
  <c r="T66" i="2" s="1"/>
  <c r="T68" i="2" s="1"/>
  <c r="E96" i="4"/>
  <c r="E45" i="4" s="1"/>
  <c r="G95" i="4"/>
  <c r="G44" i="4" s="1"/>
  <c r="G11" i="9"/>
  <c r="E11" i="9"/>
  <c r="D11" i="9"/>
  <c r="K31" i="7"/>
  <c r="F11" i="9"/>
  <c r="T31" i="7"/>
  <c r="N31" i="7"/>
  <c r="M41" i="4"/>
  <c r="M93" i="4"/>
  <c r="M42" i="4" s="1"/>
  <c r="T86" i="2"/>
  <c r="M121" i="5"/>
  <c r="S76" i="3"/>
  <c r="S80" i="5"/>
  <c r="S82" i="5" s="1"/>
  <c r="P39" i="3"/>
  <c r="P47" i="3" s="1"/>
  <c r="P39" i="5"/>
  <c r="P51" i="5" s="1"/>
  <c r="Q31" i="7"/>
  <c r="N62" i="2"/>
  <c r="N66" i="2" s="1"/>
  <c r="M76" i="3"/>
  <c r="M78" i="3"/>
  <c r="M80" i="5"/>
  <c r="M82" i="5"/>
  <c r="Q31" i="2"/>
  <c r="N74" i="2"/>
  <c r="N77" i="2" s="1"/>
  <c r="V87" i="3"/>
  <c r="V88" i="3"/>
  <c r="S91" i="5"/>
  <c r="S92" i="5"/>
  <c r="M87" i="3"/>
  <c r="M88" i="3"/>
  <c r="M92" i="5"/>
  <c r="M91" i="5"/>
  <c r="V117" i="3"/>
  <c r="V111" i="3"/>
  <c r="V49" i="3"/>
  <c r="V53" i="5"/>
  <c r="V115" i="5"/>
  <c r="V121" i="5"/>
  <c r="P80" i="5"/>
  <c r="P82" i="5" s="1"/>
  <c r="P88" i="3"/>
  <c r="P87" i="3"/>
  <c r="P89" i="3" s="1"/>
  <c r="P94" i="3" s="1"/>
  <c r="V91" i="5"/>
  <c r="V92" i="5"/>
  <c r="V93" i="5" s="1"/>
  <c r="V98" i="5" s="1"/>
  <c r="S87" i="3"/>
  <c r="S88" i="3"/>
  <c r="K77" i="2"/>
  <c r="N31" i="2"/>
  <c r="P76" i="3"/>
  <c r="P78" i="3" s="1"/>
  <c r="K68" i="2"/>
  <c r="K86" i="2"/>
  <c r="K80" i="2"/>
  <c r="K31" i="2"/>
  <c r="S39" i="3"/>
  <c r="S47" i="3" s="1"/>
  <c r="S39" i="5"/>
  <c r="S51" i="5" s="1"/>
  <c r="Q52" i="2"/>
  <c r="Q66" i="2" s="1"/>
  <c r="T74" i="2"/>
  <c r="T77" i="2" s="1"/>
  <c r="V78" i="3"/>
  <c r="V80" i="5"/>
  <c r="V108" i="5" s="1"/>
  <c r="V111" i="5" s="1"/>
  <c r="T31" i="2"/>
  <c r="P92" i="5"/>
  <c r="P91" i="5"/>
  <c r="M93" i="5" l="1"/>
  <c r="M98" i="5" s="1"/>
  <c r="M100" i="5" s="1"/>
  <c r="M111" i="3"/>
  <c r="M117" i="3"/>
  <c r="M115" i="5"/>
  <c r="N58" i="7"/>
  <c r="N64" i="7" s="1"/>
  <c r="N67" i="7" s="1"/>
  <c r="N66" i="7"/>
  <c r="Q58" i="7"/>
  <c r="Q64" i="7" s="1"/>
  <c r="Q67" i="7" s="1"/>
  <c r="Q66" i="7"/>
  <c r="K66" i="7"/>
  <c r="K58" i="7"/>
  <c r="K64" i="7" s="1"/>
  <c r="K67" i="7" s="1"/>
  <c r="K68" i="7" s="1"/>
  <c r="T58" i="7"/>
  <c r="T64" i="7" s="1"/>
  <c r="T67" i="7" s="1"/>
  <c r="T66" i="7"/>
  <c r="V104" i="3"/>
  <c r="V107" i="3" s="1"/>
  <c r="F96" i="4"/>
  <c r="F45" i="4" s="1"/>
  <c r="I96" i="4"/>
  <c r="I45" i="4" s="1"/>
  <c r="D97" i="4"/>
  <c r="D46" i="4" s="1"/>
  <c r="S89" i="3"/>
  <c r="S94" i="3" s="1"/>
  <c r="T80" i="2"/>
  <c r="V82" i="5"/>
  <c r="V100" i="5" s="1"/>
  <c r="V102" i="5" s="1"/>
  <c r="J95" i="4"/>
  <c r="J44" i="4" s="1"/>
  <c r="E12" i="9"/>
  <c r="D12" i="9"/>
  <c r="G12" i="9"/>
  <c r="F12" i="9"/>
  <c r="N33" i="7"/>
  <c r="K33" i="7"/>
  <c r="T33" i="7"/>
  <c r="M94" i="4"/>
  <c r="M43" i="4" s="1"/>
  <c r="M102" i="5"/>
  <c r="M120" i="5"/>
  <c r="M123" i="5" s="1"/>
  <c r="M114" i="5"/>
  <c r="M117" i="5" s="1"/>
  <c r="N80" i="2"/>
  <c r="N86" i="2"/>
  <c r="N68" i="2"/>
  <c r="K81" i="2"/>
  <c r="K33" i="2"/>
  <c r="K87" i="2"/>
  <c r="K89" i="2" s="1"/>
  <c r="P108" i="5"/>
  <c r="P111" i="5" s="1"/>
  <c r="M104" i="3"/>
  <c r="M107" i="3" s="1"/>
  <c r="V89" i="3"/>
  <c r="V94" i="3" s="1"/>
  <c r="V96" i="3" s="1"/>
  <c r="M108" i="5"/>
  <c r="M111" i="5" s="1"/>
  <c r="Q33" i="7"/>
  <c r="S117" i="3"/>
  <c r="S111" i="3"/>
  <c r="S49" i="3"/>
  <c r="N81" i="2"/>
  <c r="N87" i="2"/>
  <c r="N33" i="2"/>
  <c r="S104" i="3"/>
  <c r="S107" i="3" s="1"/>
  <c r="T81" i="2"/>
  <c r="T33" i="2"/>
  <c r="T87" i="2"/>
  <c r="T89" i="2" s="1"/>
  <c r="P96" i="3"/>
  <c r="P121" i="5"/>
  <c r="P115" i="5"/>
  <c r="P53" i="5"/>
  <c r="S108" i="5"/>
  <c r="S111" i="5" s="1"/>
  <c r="Q80" i="2"/>
  <c r="Q86" i="2"/>
  <c r="Q68" i="2"/>
  <c r="K83" i="2"/>
  <c r="P93" i="5"/>
  <c r="P98" i="5" s="1"/>
  <c r="P100" i="5" s="1"/>
  <c r="S53" i="5"/>
  <c r="S115" i="5"/>
  <c r="S121" i="5"/>
  <c r="P104" i="3"/>
  <c r="P107" i="3" s="1"/>
  <c r="M89" i="3"/>
  <c r="M94" i="3" s="1"/>
  <c r="M96" i="3" s="1"/>
  <c r="S93" i="5"/>
  <c r="S98" i="5" s="1"/>
  <c r="S100" i="5" s="1"/>
  <c r="Q33" i="2"/>
  <c r="Q87" i="2"/>
  <c r="Q89" i="2" s="1"/>
  <c r="Q81" i="2"/>
  <c r="P49" i="3"/>
  <c r="P111" i="3"/>
  <c r="P117" i="3"/>
  <c r="S78" i="3"/>
  <c r="S96" i="3" s="1"/>
  <c r="N68" i="7" l="1"/>
  <c r="T68" i="7"/>
  <c r="Q68" i="7"/>
  <c r="V114" i="5"/>
  <c r="V117" i="5" s="1"/>
  <c r="N83" i="2"/>
  <c r="L95" i="4"/>
  <c r="L44" i="4" s="1"/>
  <c r="V120" i="5"/>
  <c r="V123" i="5" s="1"/>
  <c r="T83" i="2"/>
  <c r="E97" i="4"/>
  <c r="E46" i="4" s="1"/>
  <c r="G96" i="4"/>
  <c r="G45" i="4" s="1"/>
  <c r="F28" i="9"/>
  <c r="F13" i="9"/>
  <c r="G18" i="9"/>
  <c r="G23" i="9" s="1"/>
  <c r="G13" i="9"/>
  <c r="E18" i="9"/>
  <c r="E23" i="9" s="1"/>
  <c r="E13" i="9"/>
  <c r="D18" i="9"/>
  <c r="D23" i="9" s="1"/>
  <c r="D13" i="9"/>
  <c r="D28" i="9"/>
  <c r="F18" i="9"/>
  <c r="F23" i="9" s="1"/>
  <c r="G28" i="9"/>
  <c r="E28" i="9"/>
  <c r="P120" i="5"/>
  <c r="P123" i="5" s="1"/>
  <c r="P102" i="5"/>
  <c r="P114" i="5"/>
  <c r="P117" i="5" s="1"/>
  <c r="S120" i="5"/>
  <c r="S123" i="5" s="1"/>
  <c r="S114" i="5"/>
  <c r="S117" i="5" s="1"/>
  <c r="S102" i="5"/>
  <c r="P98" i="3"/>
  <c r="P116" i="3"/>
  <c r="P119" i="3" s="1"/>
  <c r="P110" i="3"/>
  <c r="P113" i="3" s="1"/>
  <c r="V116" i="3"/>
  <c r="V119" i="3" s="1"/>
  <c r="V110" i="3"/>
  <c r="V113" i="3" s="1"/>
  <c r="V98" i="3"/>
  <c r="Q83" i="2"/>
  <c r="S98" i="3"/>
  <c r="S110" i="3"/>
  <c r="S113" i="3" s="1"/>
  <c r="S116" i="3"/>
  <c r="S119" i="3" s="1"/>
  <c r="M110" i="3"/>
  <c r="M113" i="3" s="1"/>
  <c r="M116" i="3"/>
  <c r="M119" i="3" s="1"/>
  <c r="M98" i="3"/>
  <c r="N89" i="2"/>
  <c r="M95" i="4" l="1"/>
  <c r="M44" i="4" s="1"/>
  <c r="J96" i="4"/>
  <c r="J45" i="4" s="1"/>
  <c r="D98" i="4"/>
  <c r="F97" i="4"/>
  <c r="F46" i="4" s="1"/>
  <c r="I97" i="4"/>
  <c r="I46" i="4" s="1"/>
  <c r="E98" i="4" l="1"/>
  <c r="E47" i="4" s="1"/>
  <c r="D47" i="4"/>
  <c r="G97" i="4"/>
  <c r="G46" i="4" s="1"/>
  <c r="D99" i="4"/>
  <c r="D48" i="4" s="1"/>
  <c r="I98" i="4"/>
  <c r="I47" i="4" s="1"/>
  <c r="F98" i="4"/>
  <c r="F47" i="4" s="1"/>
  <c r="L96" i="4"/>
  <c r="L45" i="4" s="1"/>
  <c r="M96" i="4" l="1"/>
  <c r="M45" i="4" s="1"/>
  <c r="E99" i="4"/>
  <c r="E48" i="4" s="1"/>
  <c r="G98" i="4"/>
  <c r="G47" i="4" s="1"/>
  <c r="J97" i="4"/>
  <c r="J46" i="4" s="1"/>
  <c r="J98" i="4" l="1"/>
  <c r="J47" i="4" s="1"/>
  <c r="L97" i="4"/>
  <c r="L46" i="4" s="1"/>
  <c r="I99" i="4"/>
  <c r="I48" i="4" s="1"/>
  <c r="D100" i="4"/>
  <c r="F99" i="4"/>
  <c r="F48" i="4" s="1"/>
  <c r="E100" i="4" l="1"/>
  <c r="E49" i="4" s="1"/>
  <c r="D49" i="4"/>
  <c r="L98" i="4"/>
  <c r="L47" i="4" s="1"/>
  <c r="I100" i="4"/>
  <c r="I49" i="4" s="1"/>
  <c r="F100" i="4"/>
  <c r="F49" i="4" s="1"/>
  <c r="D101" i="4"/>
  <c r="D50" i="4" s="1"/>
  <c r="G99" i="4"/>
  <c r="G48" i="4" s="1"/>
  <c r="M97" i="4"/>
  <c r="M46" i="4" s="1"/>
  <c r="E101" i="4" l="1"/>
  <c r="G100" i="4"/>
  <c r="G49" i="4" s="1"/>
  <c r="M98" i="4"/>
  <c r="M47" i="4" s="1"/>
  <c r="J99" i="4"/>
  <c r="J48" i="4" s="1"/>
  <c r="F101" i="4" l="1"/>
  <c r="F50" i="4" s="1"/>
  <c r="E50" i="4"/>
  <c r="D102" i="4"/>
  <c r="D51" i="4" s="1"/>
  <c r="I101" i="4"/>
  <c r="I50" i="4" s="1"/>
  <c r="L99" i="4"/>
  <c r="L48" i="4" s="1"/>
  <c r="J100" i="4"/>
  <c r="J49" i="4" s="1"/>
  <c r="E102" i="4"/>
  <c r="E51" i="4" s="1"/>
  <c r="G101" i="4"/>
  <c r="G50" i="4" s="1"/>
  <c r="L100" i="4" l="1"/>
  <c r="L49" i="4" s="1"/>
  <c r="J101" i="4"/>
  <c r="J50" i="4" s="1"/>
  <c r="M99" i="4"/>
  <c r="M48" i="4" s="1"/>
  <c r="D103" i="4"/>
  <c r="D52" i="4" s="1"/>
  <c r="I102" i="4"/>
  <c r="I51" i="4" s="1"/>
  <c r="F102" i="4"/>
  <c r="F51" i="4" s="1"/>
  <c r="E103" i="4" l="1"/>
  <c r="G102" i="4"/>
  <c r="G51" i="4" s="1"/>
  <c r="L101" i="4"/>
  <c r="L50" i="4" s="1"/>
  <c r="D104" i="4"/>
  <c r="D53" i="4" s="1"/>
  <c r="I103" i="4"/>
  <c r="I52" i="4" s="1"/>
  <c r="M100" i="4"/>
  <c r="M49" i="4" s="1"/>
  <c r="F103" i="4" l="1"/>
  <c r="F52" i="4" s="1"/>
  <c r="E52" i="4"/>
  <c r="M101" i="4"/>
  <c r="M50" i="4" s="1"/>
  <c r="J102" i="4"/>
  <c r="J51" i="4" s="1"/>
  <c r="E104" i="4"/>
  <c r="E53" i="4" s="1"/>
  <c r="G103" i="4" l="1"/>
  <c r="G52" i="4" s="1"/>
  <c r="J103" i="4"/>
  <c r="J52" i="4" s="1"/>
  <c r="L102" i="4"/>
  <c r="L51" i="4" s="1"/>
  <c r="F104" i="4"/>
  <c r="F53" i="4" s="1"/>
  <c r="I104" i="4"/>
  <c r="I53" i="4" s="1"/>
  <c r="D105" i="4"/>
  <c r="D54" i="4" s="1"/>
  <c r="E105" i="4" l="1"/>
  <c r="G104" i="4"/>
  <c r="G53" i="4" s="1"/>
  <c r="M102" i="4"/>
  <c r="M51" i="4" s="1"/>
  <c r="L103" i="4"/>
  <c r="L52" i="4" s="1"/>
  <c r="F105" i="4" l="1"/>
  <c r="F54" i="4" s="1"/>
  <c r="E54" i="4"/>
  <c r="I105" i="4"/>
  <c r="I54" i="4" s="1"/>
  <c r="D106" i="4"/>
  <c r="D55" i="4" s="1"/>
  <c r="J104" i="4"/>
  <c r="J53" i="4" s="1"/>
  <c r="M103" i="4"/>
  <c r="M52" i="4" s="1"/>
  <c r="G105" i="4"/>
  <c r="G54" i="4" s="1"/>
  <c r="E106" i="4" l="1"/>
  <c r="F106" i="4"/>
  <c r="F55" i="4" s="1"/>
  <c r="D107" i="4"/>
  <c r="D56" i="4" s="1"/>
  <c r="J105" i="4"/>
  <c r="J54" i="4" s="1"/>
  <c r="L104" i="4"/>
  <c r="L53" i="4" s="1"/>
  <c r="I106" i="4" l="1"/>
  <c r="I55" i="4" s="1"/>
  <c r="E55" i="4"/>
  <c r="M104" i="4"/>
  <c r="M53" i="4" s="1"/>
  <c r="G106" i="4"/>
  <c r="G55" i="4" s="1"/>
  <c r="E107" i="4"/>
  <c r="E56" i="4" s="1"/>
  <c r="L105" i="4"/>
  <c r="L54" i="4" s="1"/>
  <c r="I107" i="4" l="1"/>
  <c r="I56" i="4" s="1"/>
  <c r="F107" i="4"/>
  <c r="F56" i="4" s="1"/>
  <c r="D108" i="4"/>
  <c r="D57" i="4" s="1"/>
  <c r="J106" i="4"/>
  <c r="J55" i="4" s="1"/>
  <c r="L106" i="4" l="1"/>
  <c r="L55" i="4" s="1"/>
  <c r="G107" i="4"/>
  <c r="G56" i="4" s="1"/>
  <c r="E108" i="4"/>
  <c r="E57" i="4" s="1"/>
  <c r="J107" i="4" l="1"/>
  <c r="J56" i="4" s="1"/>
  <c r="D109" i="4"/>
  <c r="D58" i="4" s="1"/>
  <c r="F108" i="4"/>
  <c r="F57" i="4" s="1"/>
  <c r="I108" i="4"/>
  <c r="I57" i="4" s="1"/>
  <c r="E109" i="4" l="1"/>
  <c r="E58" i="4" s="1"/>
  <c r="G108" i="4"/>
  <c r="G57" i="4" s="1"/>
  <c r="F109" i="4"/>
  <c r="F58" i="4" s="1"/>
  <c r="I109" i="4"/>
  <c r="I58" i="4" s="1"/>
  <c r="D110" i="4"/>
  <c r="D59" i="4" s="1"/>
  <c r="L107" i="4"/>
  <c r="L56" i="4" s="1"/>
  <c r="E110" i="4" l="1"/>
  <c r="E59" i="4" s="1"/>
  <c r="J108" i="4"/>
  <c r="J57" i="4" s="1"/>
  <c r="D111" i="4"/>
  <c r="D60" i="4" s="1"/>
  <c r="G109" i="4"/>
  <c r="G58" i="4" s="1"/>
  <c r="I110" i="4" l="1"/>
  <c r="I59" i="4" s="1"/>
  <c r="F110" i="4"/>
  <c r="F59" i="4" s="1"/>
  <c r="E111" i="4"/>
  <c r="E60" i="4" s="1"/>
  <c r="L108" i="4"/>
  <c r="L57" i="4" s="1"/>
  <c r="J109" i="4"/>
  <c r="J58" i="4" s="1"/>
  <c r="G110" i="4" l="1"/>
  <c r="G59" i="4" s="1"/>
  <c r="D112" i="4"/>
  <c r="F111" i="4"/>
  <c r="F60" i="4" s="1"/>
  <c r="I111" i="4"/>
  <c r="I60" i="4" s="1"/>
  <c r="L109" i="4"/>
  <c r="L58" i="4" s="1"/>
  <c r="J110" i="4"/>
  <c r="J59" i="4" s="1"/>
  <c r="E112" i="4" l="1"/>
  <c r="D61" i="4"/>
  <c r="D113" i="4"/>
  <c r="D62" i="4" s="1"/>
  <c r="I112" i="4"/>
  <c r="I61" i="4" s="1"/>
  <c r="G111" i="4"/>
  <c r="G60" i="4" s="1"/>
  <c r="L110" i="4"/>
  <c r="L59" i="4" s="1"/>
  <c r="F112" i="4" l="1"/>
  <c r="E61" i="4"/>
  <c r="J111" i="4"/>
  <c r="J60" i="4" s="1"/>
  <c r="E113" i="4"/>
  <c r="E62" i="4" s="1"/>
  <c r="F61" i="4" l="1"/>
  <c r="G112" i="4"/>
  <c r="D114" i="4"/>
  <c r="D63" i="4" s="1"/>
  <c r="F113" i="4"/>
  <c r="F62" i="4" s="1"/>
  <c r="I113" i="4"/>
  <c r="I62" i="4" s="1"/>
  <c r="L111" i="4"/>
  <c r="L60" i="4" s="1"/>
  <c r="G61" i="4" l="1"/>
  <c r="J112" i="4"/>
  <c r="G113" i="4"/>
  <c r="G62" i="4" s="1"/>
  <c r="E114" i="4"/>
  <c r="E63" i="4" s="1"/>
  <c r="J61" i="4" l="1"/>
  <c r="L112" i="4"/>
  <c r="L61" i="4" s="1"/>
  <c r="D115" i="4"/>
  <c r="I114" i="4"/>
  <c r="I63" i="4" s="1"/>
  <c r="F114" i="4"/>
  <c r="F63" i="4" s="1"/>
  <c r="J113" i="4"/>
  <c r="J62" i="4" s="1"/>
  <c r="E115" i="4" l="1"/>
  <c r="E64" i="4" s="1"/>
  <c r="D64" i="4"/>
  <c r="I115" i="4"/>
  <c r="I64" i="4" s="1"/>
  <c r="D116" i="4"/>
  <c r="D65" i="4" s="1"/>
  <c r="F115" i="4"/>
  <c r="F64" i="4" s="1"/>
  <c r="L113" i="4"/>
  <c r="L62" i="4" s="1"/>
  <c r="G114" i="4"/>
  <c r="G63" i="4" s="1"/>
  <c r="E116" i="4" l="1"/>
  <c r="E65" i="4" s="1"/>
  <c r="J114" i="4"/>
  <c r="J63" i="4" s="1"/>
  <c r="G115" i="4"/>
  <c r="G64" i="4" s="1"/>
  <c r="J115" i="4" l="1"/>
  <c r="J64" i="4" s="1"/>
  <c r="F116" i="4"/>
  <c r="F65" i="4" s="1"/>
  <c r="D117" i="4"/>
  <c r="D66" i="4" s="1"/>
  <c r="I116" i="4"/>
  <c r="I65" i="4" s="1"/>
  <c r="L114" i="4"/>
  <c r="L63" i="4" s="1"/>
  <c r="G116" i="4" l="1"/>
  <c r="G65" i="4" s="1"/>
  <c r="E117" i="4"/>
  <c r="E66" i="4" s="1"/>
  <c r="L115" i="4"/>
  <c r="L64" i="4" s="1"/>
  <c r="F117" i="4" l="1"/>
  <c r="F66" i="4" s="1"/>
  <c r="D118" i="4"/>
  <c r="I117" i="4"/>
  <c r="I66" i="4" s="1"/>
  <c r="J116" i="4"/>
  <c r="J65" i="4" s="1"/>
  <c r="E118" i="4" l="1"/>
  <c r="E67" i="4" s="1"/>
  <c r="D67" i="4"/>
  <c r="G117" i="4"/>
  <c r="G66" i="4" s="1"/>
  <c r="F118" i="4"/>
  <c r="F67" i="4" s="1"/>
  <c r="I118" i="4"/>
  <c r="I67" i="4" s="1"/>
  <c r="D119" i="4"/>
  <c r="D68" i="4" s="1"/>
  <c r="L116" i="4"/>
  <c r="L65" i="4" s="1"/>
  <c r="J117" i="4" l="1"/>
  <c r="J66" i="4" s="1"/>
  <c r="E119" i="4"/>
  <c r="E68" i="4" s="1"/>
  <c r="G118" i="4"/>
  <c r="G67" i="4" s="1"/>
  <c r="J118" i="4" l="1"/>
  <c r="J67" i="4" s="1"/>
  <c r="L117" i="4"/>
  <c r="L66" i="4" s="1"/>
  <c r="F119" i="4"/>
  <c r="F68" i="4" s="1"/>
  <c r="I119" i="4"/>
  <c r="I68" i="4" s="1"/>
  <c r="G119" i="4" l="1"/>
  <c r="G68" i="4" s="1"/>
  <c r="L118" i="4"/>
  <c r="L67" i="4" s="1"/>
  <c r="J119" i="4" l="1"/>
  <c r="J68" i="4" s="1"/>
  <c r="L119" i="4" l="1"/>
  <c r="L68" i="4" s="1"/>
  <c r="L70" i="4" l="1"/>
  <c r="K9" i="4" s="1"/>
  <c r="K10" i="4" s="1"/>
  <c r="K13" i="4" l="1"/>
  <c r="K11" i="4"/>
  <c r="K7" i="4" l="1"/>
  <c r="C29" i="9" l="1"/>
  <c r="C30" i="9" s="1"/>
  <c r="E29" i="9" l="1"/>
  <c r="E30" i="9" s="1"/>
  <c r="E24" i="9"/>
  <c r="D29" i="9"/>
  <c r="D30" i="9" s="1"/>
  <c r="D24" i="9"/>
  <c r="F29" i="9"/>
  <c r="F30" i="9" s="1"/>
  <c r="F24" i="9"/>
  <c r="G29" i="9"/>
  <c r="G30" i="9" s="1"/>
  <c r="G24" i="9"/>
</calcChain>
</file>

<file path=xl/sharedStrings.xml><?xml version="1.0" encoding="utf-8"?>
<sst xmlns="http://schemas.openxmlformats.org/spreadsheetml/2006/main" count="876" uniqueCount="281">
  <si>
    <t>Background</t>
  </si>
  <si>
    <t>The Member's FAC is a function of the amount billed by EKPC each month adjusted for the Member's line losses.</t>
  </si>
  <si>
    <t>For use in the analysis, below are 4 Member actual FAC factors, averaged and adjusted to reflect EKPC's adjustment</t>
  </si>
  <si>
    <t xml:space="preserve">  to its base fuel component.</t>
  </si>
  <si>
    <t>Month</t>
  </si>
  <si>
    <t>March 2016</t>
  </si>
  <si>
    <t>April</t>
  </si>
  <si>
    <t>May</t>
  </si>
  <si>
    <t>June</t>
  </si>
  <si>
    <t>July</t>
  </si>
  <si>
    <t>August</t>
  </si>
  <si>
    <t>September 2016</t>
  </si>
  <si>
    <t>Sum</t>
  </si>
  <si>
    <t>Average Factor</t>
  </si>
  <si>
    <t>Adjustment</t>
  </si>
  <si>
    <t>Estimated Factor</t>
  </si>
  <si>
    <t>Thus, there is no separately identified "base" fuel component in the Member energy rates, unlike EKPC.</t>
  </si>
  <si>
    <t>Member's Environmental Surcharge Pass-through Factor:</t>
  </si>
  <si>
    <t>EKPC's Average FAC and Surcharge Factors:</t>
  </si>
  <si>
    <t>Current average FAC factor, adjusted for recent base fuel cost roll-in</t>
  </si>
  <si>
    <t>Current average Surcharge factor</t>
  </si>
  <si>
    <t>Assumptions:</t>
  </si>
  <si>
    <t>60% load factor</t>
  </si>
  <si>
    <t>Monthly Energy from Green</t>
  </si>
  <si>
    <t>Monthly Demand (kW)</t>
  </si>
  <si>
    <t xml:space="preserve">  Power (kWh)</t>
  </si>
  <si>
    <t>Units</t>
  </si>
  <si>
    <t>Rate</t>
  </si>
  <si>
    <t>Cost</t>
  </si>
  <si>
    <t>Demand</t>
  </si>
  <si>
    <t>Energy -</t>
  </si>
  <si>
    <t xml:space="preserve">  On-Peak</t>
  </si>
  <si>
    <t xml:space="preserve">  Off-Peak</t>
  </si>
  <si>
    <t>Billing for Month of June</t>
  </si>
  <si>
    <t>all On-Peak</t>
  </si>
  <si>
    <t>FAC</t>
  </si>
  <si>
    <t>Subtotal</t>
  </si>
  <si>
    <t>Surcharge</t>
  </si>
  <si>
    <t>Total Billing</t>
  </si>
  <si>
    <t>Bill before Green</t>
  </si>
  <si>
    <t>Green Portion -</t>
  </si>
  <si>
    <t xml:space="preserve">  Energy</t>
  </si>
  <si>
    <t xml:space="preserve">    Less base fuel</t>
  </si>
  <si>
    <t xml:space="preserve">    Less FAC</t>
  </si>
  <si>
    <t>Green Charges</t>
  </si>
  <si>
    <t>Green Charges (illustrative amount only)</t>
  </si>
  <si>
    <t>Big Sandy - Schedule LP</t>
  </si>
  <si>
    <t>Fleming-Mason - Schedule LGS</t>
  </si>
  <si>
    <t>Shelby - Rate 2</t>
  </si>
  <si>
    <t>South Kentucky - Schedule LP</t>
  </si>
  <si>
    <t>Customer Charge</t>
  </si>
  <si>
    <t>Demand Charge</t>
  </si>
  <si>
    <t>Energy Charge</t>
  </si>
  <si>
    <t>Energy</t>
  </si>
  <si>
    <t xml:space="preserve">Notes:  </t>
  </si>
  <si>
    <t>Assumed any and all "Green Charges" would be passed through to the retail customer.</t>
  </si>
  <si>
    <t>Assume billing between May and September</t>
  </si>
  <si>
    <t>EKPC Rate E2</t>
  </si>
  <si>
    <t>EKPC Rate B</t>
  </si>
  <si>
    <t xml:space="preserve">  Total</t>
  </si>
  <si>
    <t>Solar Net Credit -</t>
  </si>
  <si>
    <t xml:space="preserve">  Capacity</t>
  </si>
  <si>
    <t xml:space="preserve">  O&amp;M Charge</t>
  </si>
  <si>
    <t xml:space="preserve">    Net Credit</t>
  </si>
  <si>
    <t>Total Bill</t>
  </si>
  <si>
    <t xml:space="preserve">    Less Base Fuel</t>
  </si>
  <si>
    <t>Member's FAC and Line Losses:</t>
  </si>
  <si>
    <t>FAC Factors and Calculations</t>
  </si>
  <si>
    <t>Line Losses - 12 Month Average as Reported and Calculations</t>
  </si>
  <si>
    <t>FAC:</t>
  </si>
  <si>
    <t>Line Losses:</t>
  </si>
  <si>
    <t>Average of 12-</t>
  </si>
  <si>
    <t xml:space="preserve">  Month Averages</t>
  </si>
  <si>
    <t>FAC Notes:</t>
  </si>
  <si>
    <t xml:space="preserve">  EKPC's base fuel cost of $0.02776 / kWh is incorporated into the energy rates of the Member.  The monthly FAC factor is the adjustment to the base fuel cost to</t>
  </si>
  <si>
    <t xml:space="preserve">  reflect the actual fuel cost in any given period.</t>
  </si>
  <si>
    <t>This assumption is necessary because the Member's FAC review cases have never stated what the level of base fuel cost is in the Member's energy rates.  FAC</t>
  </si>
  <si>
    <t xml:space="preserve">  review case Orders going back to 1981 have been examined and this has always been the case.</t>
  </si>
  <si>
    <t>Line Losses Notes:</t>
  </si>
  <si>
    <t>The monthly 12-month average line losses are as reported on the monthly Member FAC reports.  For analysis purposes, the average of the five months will be</t>
  </si>
  <si>
    <t xml:space="preserve">  utilized.</t>
  </si>
  <si>
    <t>The current 12-month average environmental surcharge pass-through factor for these 4 Members is shown below.</t>
  </si>
  <si>
    <t>Possible Allocation:</t>
  </si>
  <si>
    <t xml:space="preserve">  Demand Share</t>
  </si>
  <si>
    <t xml:space="preserve">  Energy Share</t>
  </si>
  <si>
    <t xml:space="preserve">  Demand Factor</t>
  </si>
  <si>
    <t xml:space="preserve">  Energy Factor</t>
  </si>
  <si>
    <t>Neither EKPC's surcharge factor nor the Members' Pass-through factor are separated into "fixed" and "variable" components.  Rather, a single surcharge factor is</t>
  </si>
  <si>
    <t xml:space="preserve">  determined for each and applied to bills following the "percentage of revenue" methodology, which in theory mimics the split between demand and energy </t>
  </si>
  <si>
    <t xml:space="preserve">  reflected in the current bill.  To accomplish a "fixed" (demand) and "variable" (energy) split accurately would require conducting a cost-of-service study on the</t>
  </si>
  <si>
    <t xml:space="preserve">  surcharge components.  The lack of a cost-of-service study and the ability to accurately allocate the surcharge and pass-through factors between demand and</t>
  </si>
  <si>
    <t xml:space="preserve">  energy has been one of reasons given previous 2-year surcharge reviews not to incorporate the surcharge into base rates.</t>
  </si>
  <si>
    <t xml:space="preserve">  the surcharge.  The return on rate base and depreciation expense have been assumed to be demand-related while all other expenses have been assumed to be</t>
  </si>
  <si>
    <t>Demand Share</t>
  </si>
  <si>
    <t>Energy Share</t>
  </si>
  <si>
    <t>EKPC Energy Rates</t>
  </si>
  <si>
    <t>While cost-of-service studies were prepared and considered in the last three EKPC base rate cases, it should be remembered that the final rates in each of those</t>
  </si>
  <si>
    <t xml:space="preserve">  cases reflected the results of settlement agreements, which were not based on the cost-of-service study results.  Consequently, it is possible that some portion</t>
  </si>
  <si>
    <t xml:space="preserve">  of the current EKPC energy rates do recover "fixed" costs.  This is not an unusual result in rate design, but it should not be assumed EKPC's current rates reflect</t>
  </si>
  <si>
    <t xml:space="preserve">  a strict "fixed/variable" split.</t>
  </si>
  <si>
    <t>Review of Proposal for Green Power Tariff</t>
  </si>
  <si>
    <t>Current Billing without Green Power, Members to Retail Customers:</t>
  </si>
  <si>
    <t>Coincident Peak Adjustment Factor</t>
  </si>
  <si>
    <t>Average Monthly Line Loss</t>
  </si>
  <si>
    <t>Difference from EKPC Billing</t>
  </si>
  <si>
    <t>Current Billing without Green Power, EKPC to Members (Rate E2):</t>
  </si>
  <si>
    <t>Possible Billing with Green Power, EKPC to Members (Rate E2):</t>
  </si>
  <si>
    <t>Possible Billing with Green Power, Members to Retail Customers:</t>
  </si>
  <si>
    <t xml:space="preserve">  Surcharge </t>
  </si>
  <si>
    <t xml:space="preserve">    Less Variable</t>
  </si>
  <si>
    <t xml:space="preserve">  Green Subtotal</t>
  </si>
  <si>
    <t>Green Subtotal</t>
  </si>
  <si>
    <t>Comparison - Possible Billing versus Current Billing - EKPC</t>
  </si>
  <si>
    <t>Comparison - Possible Billing versus Current Billing - Members</t>
  </si>
  <si>
    <t>Surcharge Billed -</t>
  </si>
  <si>
    <t xml:space="preserve">  Possible Billing</t>
  </si>
  <si>
    <t xml:space="preserve">  Current Billing</t>
  </si>
  <si>
    <t xml:space="preserve">  Difference in Surcharge Billed</t>
  </si>
  <si>
    <t>Without Green Charges -</t>
  </si>
  <si>
    <t xml:space="preserve">  Difference in Amount Billed</t>
  </si>
  <si>
    <t xml:space="preserve">  Possible Billing exclusive of Green Charges</t>
  </si>
  <si>
    <t>Total Billing -</t>
  </si>
  <si>
    <t xml:space="preserve">  Difference in Total Billing</t>
  </si>
  <si>
    <t xml:space="preserve">Coincident Peak Adjustment Factor has been incorporated to recognize the fact that EKPC demand is measured at the EKPC system coincident peak while Member demands are measured at the Member's overall peak, which could result in different demand levels for the Member analysis.  </t>
  </si>
  <si>
    <t xml:space="preserve">  The Adjustment Factor can be used to adjust the demand level billed by the Member if needed for this analysis.</t>
  </si>
  <si>
    <t>The reduction in the total environmental surcharge billed is to be expected, as under the Green Tariff a portion of the energy would be supplied by a non-coal fired generating source.</t>
  </si>
  <si>
    <t>Review of Proposals for Walmart Community Solar Participation</t>
  </si>
  <si>
    <t>Current Billing under Community Solar Tariff, EKPC to Member:</t>
  </si>
  <si>
    <t>Current Billing under Community Solar Tariff, Members to Retail Customers:</t>
  </si>
  <si>
    <t>Total Monthly Energy (kWh)</t>
  </si>
  <si>
    <t>Monthly Energy from Solar (kWh)</t>
  </si>
  <si>
    <t>Number of Panels Leased</t>
  </si>
  <si>
    <t>Up-front Lease Payment per Panel</t>
  </si>
  <si>
    <t>Capacity Credit per Panel</t>
  </si>
  <si>
    <t>Energy Credit per Panel</t>
  </si>
  <si>
    <t>O&amp;M Charge per Panel</t>
  </si>
  <si>
    <t>} from 2016-00269, DR1, #23</t>
  </si>
  <si>
    <t>}</t>
  </si>
  <si>
    <t>} 25-year lease</t>
  </si>
  <si>
    <t>Total Up-front Panel Lease Payment</t>
  </si>
  <si>
    <t>Big Sandy - Schedule LPR  (E2)</t>
  </si>
  <si>
    <t>Fleming-Mason - Schedule LGS  (E2)</t>
  </si>
  <si>
    <t>Shelby - Schedule B1  (B)</t>
  </si>
  <si>
    <t>South Kentucky - Schedule LP-3  (B)</t>
  </si>
  <si>
    <t>Possible Billing to Walmart, Special Contract, EKPC to Member:</t>
  </si>
  <si>
    <t>Possible Billing to Walmart, Special Contract, Members to Walmart:</t>
  </si>
  <si>
    <t>Up-front Panel Lease Payment during the 25-year Lease Period</t>
  </si>
  <si>
    <t>Year</t>
  </si>
  <si>
    <t>Value</t>
  </si>
  <si>
    <t>Payment for 15-year Lease:</t>
  </si>
  <si>
    <t xml:space="preserve">  Up-front Lease Payment</t>
  </si>
  <si>
    <t xml:space="preserve">  Value at Year 16</t>
  </si>
  <si>
    <t xml:space="preserve">  Difference</t>
  </si>
  <si>
    <t xml:space="preserve">    [15-year term Lease Payment]</t>
  </si>
  <si>
    <t>Assumption - Monthly Lease Payment:</t>
  </si>
  <si>
    <t>Calculated Lease Payment per Panel, 15-year term</t>
  </si>
  <si>
    <t>Number of Months in Lease Term</t>
  </si>
  <si>
    <t>Calculated Lease Payment</t>
  </si>
  <si>
    <t>Assumption - Monthly Lease Paymt:</t>
  </si>
  <si>
    <t>Subtotal before Solar</t>
  </si>
  <si>
    <t>Solar Components -</t>
  </si>
  <si>
    <t xml:space="preserve">    Energy Subtotal</t>
  </si>
  <si>
    <t xml:space="preserve">  Subtotal for Surcharge</t>
  </si>
  <si>
    <t xml:space="preserve">  Surcharge</t>
  </si>
  <si>
    <t xml:space="preserve">  Subtotal </t>
  </si>
  <si>
    <t xml:space="preserve">  Capacity Credit</t>
  </si>
  <si>
    <t xml:space="preserve">  Monthly Panel Lease</t>
  </si>
  <si>
    <t>] see below</t>
  </si>
  <si>
    <t>Total Solar Component</t>
  </si>
  <si>
    <t>Comparison - Special Contract versus Solar Tariff - EKPC</t>
  </si>
  <si>
    <t>Comparison - Special Contract versus Solar Tariff - Members</t>
  </si>
  <si>
    <t xml:space="preserve">Surcharge Billed - </t>
  </si>
  <si>
    <t xml:space="preserve">  Special Contract</t>
  </si>
  <si>
    <t xml:space="preserve">  Solar Tariff</t>
  </si>
  <si>
    <t>Billing without Lease Payment -</t>
  </si>
  <si>
    <t xml:space="preserve">  Difference in Billing without Lease Payment</t>
  </si>
  <si>
    <t>Assumed any PJM Market credits, O&amp;M Charges for Solar, and Solar Panel Lease costs would be passed through to the retail customer.</t>
  </si>
  <si>
    <t>The reduction in the total environmental surcharge billed is to be expected, as under the Special Contract only the "fixed" (demand-related) portion of the surcharge is applied to energy from the Solar panels.</t>
  </si>
  <si>
    <t>Since the panel O&amp;M Charge is related to EKPC's cost of maintaining the panels, it seemed more appropriate to include that cost as subject to the environmental surcharge; however, an argument could be made to exclude it.</t>
  </si>
  <si>
    <t>Interest</t>
  </si>
  <si>
    <t>Annual Fee</t>
  </si>
  <si>
    <t>Monthly Fee</t>
  </si>
  <si>
    <t xml:space="preserve">   Investment</t>
  </si>
  <si>
    <t xml:space="preserve">   Book Life</t>
  </si>
  <si>
    <t>Investment ($)</t>
  </si>
  <si>
    <t xml:space="preserve">   Tax Life</t>
  </si>
  <si>
    <t xml:space="preserve">   Composite Tax Rate</t>
  </si>
  <si>
    <t xml:space="preserve">   Property Tax Rate</t>
  </si>
  <si>
    <t>Monthly Rev Req ($)</t>
  </si>
  <si>
    <t xml:space="preserve">   Levelized Revenue Requirement Years</t>
  </si>
  <si>
    <t xml:space="preserve">   Annual O&amp;M Expenses</t>
  </si>
  <si>
    <t xml:space="preserve">   O&amp;M Escalation Rate</t>
  </si>
  <si>
    <t>Present Value Revenue Requirement</t>
  </si>
  <si>
    <t xml:space="preserve">   Cost of Debt</t>
  </si>
  <si>
    <t>Levelized Revenue Requirement</t>
  </si>
  <si>
    <t xml:space="preserve">   Target TIER</t>
  </si>
  <si>
    <t>Monthly Revenue Requirement</t>
  </si>
  <si>
    <t xml:space="preserve">   Composite Cost of Debt</t>
  </si>
  <si>
    <t>Levelized Carrying Charge Rate</t>
  </si>
  <si>
    <t>Cumulative</t>
  </si>
  <si>
    <t>Present</t>
  </si>
  <si>
    <t>Annual</t>
  </si>
  <si>
    <t>Book</t>
  </si>
  <si>
    <t>Net</t>
  </si>
  <si>
    <t>Property</t>
  </si>
  <si>
    <t>Rev</t>
  </si>
  <si>
    <t>Revenue</t>
  </si>
  <si>
    <t>Investment</t>
  </si>
  <si>
    <t>Depreciation</t>
  </si>
  <si>
    <t>Plant</t>
  </si>
  <si>
    <t>Rate Base</t>
  </si>
  <si>
    <t>O&amp;M</t>
  </si>
  <si>
    <t>Taxes</t>
  </si>
  <si>
    <t>Requirement</t>
  </si>
  <si>
    <t>Factor</t>
  </si>
  <si>
    <t>Net Present Value Revenue Requirements</t>
  </si>
  <si>
    <t>East Kentucky Power Cooperative</t>
  </si>
  <si>
    <t>Carrying Charge &amp; Rev Req Calculation</t>
  </si>
  <si>
    <t>PJM Capacity Pricing</t>
  </si>
  <si>
    <t>Base Rate</t>
  </si>
  <si>
    <t>ES - Variable Only</t>
  </si>
  <si>
    <t>PJM Capac Rev</t>
  </si>
  <si>
    <t>PV Costs</t>
  </si>
  <si>
    <t>Monthly Revenue Requirement per Panel</t>
  </si>
  <si>
    <t>Number of Panels</t>
  </si>
  <si>
    <t>Panels</t>
  </si>
  <si>
    <t>Annual kWh / panel</t>
  </si>
  <si>
    <t>AVG</t>
  </si>
  <si>
    <t>Current Billing, EKPC to Members (Rate E2):</t>
  </si>
  <si>
    <t>Current Billing, Members to Retail Customers:</t>
  </si>
  <si>
    <t xml:space="preserve">   Capital Cost Escalation Rate</t>
  </si>
  <si>
    <t>PV Facility</t>
  </si>
  <si>
    <t xml:space="preserve">   Inverter Replacement Year</t>
  </si>
  <si>
    <t xml:space="preserve">PV Facility </t>
  </si>
  <si>
    <t>NPVRR Calculation</t>
  </si>
  <si>
    <t>Line</t>
  </si>
  <si>
    <t>Standard Bill</t>
  </si>
  <si>
    <t>Customer</t>
  </si>
  <si>
    <t>ES</t>
  </si>
  <si>
    <t>Total</t>
  </si>
  <si>
    <t>EKPC</t>
  </si>
  <si>
    <t>Green Bill</t>
  </si>
  <si>
    <t>Variance</t>
  </si>
  <si>
    <t>Sample Billing Month: June</t>
  </si>
  <si>
    <t>Discount Rate</t>
  </si>
  <si>
    <t xml:space="preserve">Total PV Installation </t>
  </si>
  <si>
    <t>The Adjustment Factor can be used to adjust the demand level billed by the Member if needed for this analysis.</t>
  </si>
  <si>
    <t>Green Power Adjustments:</t>
  </si>
  <si>
    <t xml:space="preserve">  Base Fuel Cost</t>
  </si>
  <si>
    <t>Adjustment for Actual Fuel Costs -</t>
  </si>
  <si>
    <t xml:space="preserve">  Fuel Adjustment Clause Factor</t>
  </si>
  <si>
    <t>Adjustment to Environmental Surcharge</t>
  </si>
  <si>
    <t xml:space="preserve">  due to Adjustment to Actual Fuel Costs -</t>
  </si>
  <si>
    <t xml:space="preserve">  Net Actual Fuel Costs</t>
  </si>
  <si>
    <t xml:space="preserve">    Total Surcharge on Net Actual Fuel Costs</t>
  </si>
  <si>
    <t xml:space="preserve">    Adjustment to Environmental Surcharge</t>
  </si>
  <si>
    <t>PJM BRA Revenue Credit</t>
  </si>
  <si>
    <t xml:space="preserve">    Less Fixed Portion of Surcharge Factor</t>
  </si>
  <si>
    <t>Billing with Green Power:</t>
  </si>
  <si>
    <t xml:space="preserve">  Bill before Green Power</t>
  </si>
  <si>
    <t xml:space="preserve">  Plus Net Present Value Cost of Panels</t>
  </si>
  <si>
    <t xml:space="preserve">  Less Net Actual Fuel Costs</t>
  </si>
  <si>
    <t xml:space="preserve">  Less Adjustment to Environmental Surcharge</t>
  </si>
  <si>
    <t xml:space="preserve">  Less PJM BRA Revenue Credit</t>
  </si>
  <si>
    <t>Billing with Green Power</t>
  </si>
  <si>
    <t>Green Bill Increase (Decrease)</t>
  </si>
  <si>
    <t>Net Present Value Cost of Panels</t>
  </si>
  <si>
    <t>Difference from EKPC</t>
  </si>
  <si>
    <t>EKPC Billing Summary:  Green Power Alternative Analysis</t>
  </si>
  <si>
    <t>COOP A</t>
  </si>
  <si>
    <t>COOP B</t>
  </si>
  <si>
    <t>COOP C</t>
  </si>
  <si>
    <t>COOP D</t>
  </si>
  <si>
    <t>Review of Proposal for Green Power Option</t>
  </si>
  <si>
    <t>Green Power Tariff - Alternative - Revised 02-08-2019</t>
  </si>
  <si>
    <t>Review of Proposals for Green Power Tariff and Community Solar Participation</t>
  </si>
  <si>
    <t>If the objective in a Green Power Tariff is to remove fuel costs from the energy rates charged to the customer, then it must be assumed that</t>
  </si>
  <si>
    <t>However, for purposes of this analysis, an allocation between demand and energy has been made based on a review of the costs recovered through</t>
  </si>
  <si>
    <t xml:space="preserve">  energy-related.  The allocation percentages are based on information from a recent 2-year surcharge review. </t>
  </si>
  <si>
    <t>Note:  Impact of correcting the fixed portion of environmental surcharge factor is highlighted in medium green.</t>
  </si>
  <si>
    <t>Corrected from originally filed spreadsheet, no impact on the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</si>
</sst>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000000_);[Red]\(&quot;$&quot;#,##0.000000\)"/>
    <numFmt numFmtId="165" formatCode="&quot;$&quot;#,##0.00000_);[Red]\(&quot;$&quot;#,##0.00000\)"/>
    <numFmt numFmtId="166" formatCode="0.000%"/>
    <numFmt numFmtId="167" formatCode="#,##0.000000_);[Red]\(#,##0.000000\)"/>
    <numFmt numFmtId="168" formatCode="_(&quot;$&quot;* #,##0_);_(&quot;$&quot;* \(#,##0\);_(&quot;$&quot;* &quot;-&quot;??_);_(@_)"/>
    <numFmt numFmtId="169" formatCode="_(* #,##0_);_(* \(#,##0\);_(* &quot;-&quot;??_);_(@_)"/>
    <numFmt numFmtId="170" formatCode="_(* #,##0.000000_);_(* \(#,##0.000000\);_(* &quot;-&quot;??_);_(@_)"/>
    <numFmt numFmtId="171" formatCode="&quot;$&quot;#,##0\ ;\(&quot;$&quot;#,##0\)"/>
    <numFmt numFmtId="172" formatCode="_([$€-2]* #,##0.00_);_([$€-2]* \(#,##0.00\);_([$€-2]* &quot;-&quot;??_)"/>
    <numFmt numFmtId="173" formatCode="&quot;$&quot;#,##0.00"/>
  </numFmts>
  <fonts count="29" x14ac:knownFonts="1">
    <font>
      <sz val="11"/>
      <color theme="1"/>
      <name val="Arial"/>
      <family val="2"/>
    </font>
    <font>
      <b/>
      <sz val="11"/>
      <color theme="1"/>
      <name val="Arial"/>
      <family val="2"/>
    </font>
    <font>
      <u/>
      <sz val="11"/>
      <color theme="1"/>
      <name val="Arial"/>
      <family val="2"/>
    </font>
    <font>
      <sz val="11"/>
      <color theme="1"/>
      <name val="Calibri"/>
      <family val="2"/>
      <scheme val="minor"/>
    </font>
    <font>
      <sz val="11"/>
      <color theme="1"/>
      <name val="Arial"/>
      <family val="2"/>
    </font>
    <font>
      <sz val="10"/>
      <name val="Arial"/>
      <family val="2"/>
    </font>
    <font>
      <b/>
      <sz val="10"/>
      <name val="Arial"/>
      <family val="2"/>
    </font>
    <font>
      <sz val="10"/>
      <color rgb="FF0000FF"/>
      <name val="Arial"/>
      <family val="2"/>
    </font>
    <font>
      <sz val="10"/>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0"/>
      <name val="Times New Roman"/>
      <family val="1"/>
    </font>
    <font>
      <b/>
      <sz val="14"/>
      <name val="Arial"/>
      <family val="2"/>
    </font>
    <font>
      <sz val="8"/>
      <name val="Arial"/>
      <family val="2"/>
    </font>
    <font>
      <sz val="6"/>
      <name val="Arial"/>
      <family val="2"/>
    </font>
    <font>
      <b/>
      <sz val="10"/>
      <color indexed="8"/>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rgb="FF000099"/>
      <name val="Arial"/>
      <family val="2"/>
    </font>
    <font>
      <sz val="10"/>
      <color theme="1"/>
      <name val="Arial"/>
      <family val="2"/>
    </font>
    <font>
      <sz val="11"/>
      <color rgb="FF000099"/>
      <name val="Arial"/>
      <family val="2"/>
    </font>
    <font>
      <b/>
      <u/>
      <sz val="10"/>
      <name val="Arial"/>
      <family val="2"/>
    </font>
  </fonts>
  <fills count="15">
    <fill>
      <patternFill patternType="none"/>
    </fill>
    <fill>
      <patternFill patternType="gray125"/>
    </fill>
    <fill>
      <patternFill patternType="solid">
        <fgColor indexed="12"/>
      </patternFill>
    </fill>
    <fill>
      <patternFill patternType="solid">
        <fgColor indexed="9"/>
      </patternFill>
    </fill>
    <fill>
      <patternFill patternType="solid">
        <fgColor indexed="9"/>
        <bgColor indexed="9"/>
      </patternFill>
    </fill>
    <fill>
      <patternFill patternType="solid">
        <fgColor indexed="9"/>
        <bgColor indexed="64"/>
      </patternFill>
    </fill>
    <fill>
      <patternFill patternType="solid">
        <fgColor indexed="43"/>
      </patternFill>
    </fill>
    <fill>
      <patternFill patternType="solid">
        <fgColor indexed="47"/>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59999389629810485"/>
        <bgColor indexed="64"/>
      </patternFill>
    </fill>
  </fills>
  <borders count="13">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63">
    <xf numFmtId="0" fontId="0" fillId="0" borderId="0"/>
    <xf numFmtId="0" fontId="3" fillId="0" borderId="0"/>
    <xf numFmtId="43" fontId="3" fillId="0" borderId="0" applyFont="0" applyFill="0" applyBorder="0" applyAlignment="0" applyProtection="0"/>
    <xf numFmtId="9" fontId="4" fillId="0" borderId="0" applyFont="0" applyFill="0" applyBorder="0" applyAlignment="0" applyProtection="0"/>
    <xf numFmtId="0" fontId="5" fillId="0" borderId="0"/>
    <xf numFmtId="44" fontId="8" fillId="0" borderId="0" applyFont="0" applyFill="0" applyBorder="0" applyAlignment="0" applyProtection="0"/>
    <xf numFmtId="43" fontId="5" fillId="0" borderId="0" applyFont="0" applyFill="0" applyBorder="0" applyAlignment="0" applyProtection="0"/>
    <xf numFmtId="9" fontId="8" fillId="0" borderId="0" applyFont="0" applyFill="0" applyBorder="0" applyAlignment="0" applyProtection="0"/>
    <xf numFmtId="44" fontId="5" fillId="0" borderId="0" applyFont="0" applyFill="0" applyBorder="0" applyAlignment="0" applyProtection="0"/>
    <xf numFmtId="43" fontId="8" fillId="0" borderId="0" applyFont="0" applyFill="0" applyBorder="0" applyAlignment="0" applyProtection="0"/>
    <xf numFmtId="0" fontId="9" fillId="2" borderId="0">
      <alignment horizontal="left"/>
    </xf>
    <xf numFmtId="0" fontId="10" fillId="2" borderId="0">
      <alignment horizontal="right"/>
    </xf>
    <xf numFmtId="0" fontId="11" fillId="3" borderId="0">
      <alignment horizontal="center"/>
    </xf>
    <xf numFmtId="0" fontId="10" fillId="2" borderId="0">
      <alignment horizontal="right"/>
    </xf>
    <xf numFmtId="0" fontId="12" fillId="3" borderId="0">
      <alignment horizontal="left"/>
    </xf>
    <xf numFmtId="41"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3" fontId="8" fillId="4" borderId="0"/>
    <xf numFmtId="44" fontId="8" fillId="0" borderId="0" applyFont="0" applyFill="0" applyBorder="0" applyAlignment="0" applyProtection="0"/>
    <xf numFmtId="44" fontId="8" fillId="0" borderId="0" applyFont="0" applyFill="0" applyBorder="0" applyAlignment="0" applyProtection="0"/>
    <xf numFmtId="171" fontId="8" fillId="0" borderId="0" applyFont="0" applyFill="0" applyBorder="0" applyAlignment="0" applyProtection="0"/>
    <xf numFmtId="0" fontId="8" fillId="0" borderId="0" applyFont="0" applyFill="0" applyBorder="0" applyAlignment="0" applyProtection="0"/>
    <xf numFmtId="172" fontId="8" fillId="0" borderId="0" applyFont="0" applyFill="0" applyBorder="0" applyAlignment="0" applyProtection="0"/>
    <xf numFmtId="0" fontId="6" fillId="0" borderId="0" applyProtection="0"/>
    <xf numFmtId="0" fontId="13" fillId="0" borderId="0" applyProtection="0"/>
    <xf numFmtId="0" fontId="14" fillId="0" borderId="0" applyProtection="0"/>
    <xf numFmtId="0" fontId="15" fillId="0" borderId="0" applyProtection="0"/>
    <xf numFmtId="0" fontId="8" fillId="0" borderId="0" applyProtection="0"/>
    <xf numFmtId="0" fontId="6" fillId="0" borderId="0" applyProtection="0"/>
    <xf numFmtId="0" fontId="16" fillId="0" borderId="0" applyProtection="0"/>
    <xf numFmtId="2" fontId="8" fillId="0" borderId="0" applyFont="0" applyFill="0" applyBorder="0" applyAlignment="0" applyProtection="0"/>
    <xf numFmtId="0" fontId="9" fillId="2" borderId="0">
      <alignment horizontal="left"/>
    </xf>
    <xf numFmtId="0" fontId="17" fillId="3" borderId="0">
      <alignment horizontal="left"/>
    </xf>
    <xf numFmtId="4" fontId="18" fillId="5" borderId="0">
      <alignment horizontal="right"/>
    </xf>
    <xf numFmtId="0" fontId="19" fillId="5" borderId="0">
      <alignment horizontal="center" vertical="center"/>
    </xf>
    <xf numFmtId="0" fontId="17" fillId="5" borderId="7"/>
    <xf numFmtId="0" fontId="19" fillId="5" borderId="0" applyBorder="0">
      <alignment horizontal="centerContinuous"/>
    </xf>
    <xf numFmtId="0" fontId="20" fillId="5" borderId="0" applyBorder="0">
      <alignment horizontal="centerContinuous"/>
    </xf>
    <xf numFmtId="9" fontId="8" fillId="0" borderId="0" applyFont="0" applyFill="0" applyBorder="0" applyAlignment="0" applyProtection="0"/>
    <xf numFmtId="9" fontId="8" fillId="0" borderId="0" applyFont="0" applyFill="0" applyBorder="0" applyAlignment="0" applyProtection="0"/>
    <xf numFmtId="0" fontId="17" fillId="6" borderId="0">
      <alignment horizontal="center"/>
    </xf>
    <xf numFmtId="49" fontId="21" fillId="3" borderId="0">
      <alignment horizontal="center"/>
    </xf>
    <xf numFmtId="0" fontId="10" fillId="2" borderId="0">
      <alignment horizontal="center"/>
    </xf>
    <xf numFmtId="0" fontId="10" fillId="2" borderId="0">
      <alignment horizontal="centerContinuous"/>
    </xf>
    <xf numFmtId="0" fontId="22" fillId="3" borderId="0">
      <alignment horizontal="left"/>
    </xf>
    <xf numFmtId="49" fontId="22" fillId="3" borderId="0">
      <alignment horizontal="center"/>
    </xf>
    <xf numFmtId="0" fontId="9" fillId="2" borderId="0">
      <alignment horizontal="left"/>
    </xf>
    <xf numFmtId="49" fontId="22" fillId="3" borderId="0">
      <alignment horizontal="left"/>
    </xf>
    <xf numFmtId="0" fontId="9" fillId="2" borderId="0">
      <alignment horizontal="centerContinuous"/>
    </xf>
    <xf numFmtId="0" fontId="9" fillId="2" borderId="0">
      <alignment horizontal="right"/>
    </xf>
    <xf numFmtId="49" fontId="17" fillId="3" borderId="0">
      <alignment horizontal="left"/>
    </xf>
    <xf numFmtId="0" fontId="10" fillId="2" borderId="0">
      <alignment horizontal="right"/>
    </xf>
    <xf numFmtId="0" fontId="22" fillId="7" borderId="0">
      <alignment horizontal="center"/>
    </xf>
    <xf numFmtId="0" fontId="23" fillId="7" borderId="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24" fillId="3" borderId="0">
      <alignment horizontal="center"/>
    </xf>
    <xf numFmtId="43" fontId="4" fillId="0" borderId="0" applyFont="0" applyFill="0" applyBorder="0" applyAlignment="0" applyProtection="0"/>
  </cellStyleXfs>
  <cellXfs count="125">
    <xf numFmtId="0" fontId="0" fillId="0" borderId="0" xfId="0"/>
    <xf numFmtId="38" fontId="0" fillId="0" borderId="0" xfId="0" applyNumberFormat="1"/>
    <xf numFmtId="0" fontId="2" fillId="0" borderId="0" xfId="0" applyFont="1"/>
    <xf numFmtId="0" fontId="1" fillId="0" borderId="0" xfId="0" applyFont="1"/>
    <xf numFmtId="0" fontId="0" fillId="0" borderId="1" xfId="0" applyBorder="1" applyAlignment="1">
      <alignment horizontal="center"/>
    </xf>
    <xf numFmtId="49" fontId="0" fillId="0" borderId="0" xfId="0" applyNumberFormat="1"/>
    <xf numFmtId="164" fontId="0" fillId="0" borderId="0" xfId="0" applyNumberFormat="1"/>
    <xf numFmtId="10" fontId="0" fillId="0" borderId="0" xfId="0" applyNumberFormat="1"/>
    <xf numFmtId="8" fontId="0" fillId="0" borderId="0" xfId="0" applyNumberFormat="1"/>
    <xf numFmtId="6" fontId="0" fillId="0" borderId="0" xfId="0" applyNumberFormat="1"/>
    <xf numFmtId="6" fontId="0" fillId="0" borderId="2" xfId="0" applyNumberFormat="1" applyBorder="1"/>
    <xf numFmtId="6" fontId="0" fillId="0" borderId="3" xfId="0" applyNumberFormat="1" applyBorder="1"/>
    <xf numFmtId="8" fontId="0" fillId="0" borderId="2" xfId="0" applyNumberFormat="1" applyBorder="1"/>
    <xf numFmtId="8" fontId="0" fillId="0" borderId="0" xfId="0" applyNumberFormat="1" applyBorder="1"/>
    <xf numFmtId="8" fontId="0" fillId="0" borderId="3" xfId="0" applyNumberFormat="1" applyBorder="1"/>
    <xf numFmtId="0" fontId="0" fillId="0" borderId="0" xfId="0" applyAlignment="1">
      <alignment horizontal="right"/>
    </xf>
    <xf numFmtId="6" fontId="0" fillId="0" borderId="0" xfId="0" applyNumberFormat="1" applyBorder="1"/>
    <xf numFmtId="166" fontId="0" fillId="0" borderId="0" xfId="0" applyNumberFormat="1"/>
    <xf numFmtId="49" fontId="2" fillId="0" borderId="0" xfId="0" applyNumberFormat="1" applyFont="1"/>
    <xf numFmtId="49" fontId="0" fillId="0" borderId="0" xfId="0" applyNumberFormat="1" applyFont="1"/>
    <xf numFmtId="40" fontId="0" fillId="0" borderId="0" xfId="0" applyNumberFormat="1"/>
    <xf numFmtId="0" fontId="0" fillId="0" borderId="8" xfId="0" applyBorder="1"/>
    <xf numFmtId="0" fontId="0" fillId="0" borderId="9" xfId="0" applyBorder="1"/>
    <xf numFmtId="0" fontId="0" fillId="0" borderId="10" xfId="0" applyBorder="1"/>
    <xf numFmtId="0" fontId="0" fillId="0" borderId="7" xfId="0" applyBorder="1"/>
    <xf numFmtId="38" fontId="0" fillId="0" borderId="7" xfId="0" applyNumberFormat="1" applyBorder="1"/>
    <xf numFmtId="38" fontId="0" fillId="0" borderId="9" xfId="0" applyNumberFormat="1" applyBorder="1"/>
    <xf numFmtId="166" fontId="0" fillId="0" borderId="9" xfId="0" applyNumberFormat="1" applyBorder="1"/>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38" fontId="0" fillId="0" borderId="0" xfId="0" applyNumberFormat="1" applyBorder="1" applyAlignment="1">
      <alignment horizontal="right"/>
    </xf>
    <xf numFmtId="0" fontId="0" fillId="0" borderId="0" xfId="0" applyBorder="1" applyAlignment="1">
      <alignment horizontal="right"/>
    </xf>
    <xf numFmtId="40" fontId="0" fillId="0" borderId="0" xfId="0" applyNumberFormat="1" applyBorder="1" applyAlignment="1">
      <alignment horizontal="right"/>
    </xf>
    <xf numFmtId="8" fontId="0" fillId="0" borderId="0" xfId="0" applyNumberFormat="1" applyBorder="1" applyAlignment="1">
      <alignment horizontal="right"/>
    </xf>
    <xf numFmtId="166" fontId="0" fillId="0" borderId="0" xfId="0" applyNumberFormat="1" applyBorder="1" applyAlignment="1">
      <alignment horizontal="right"/>
    </xf>
    <xf numFmtId="167" fontId="0" fillId="0" borderId="0" xfId="0" applyNumberFormat="1"/>
    <xf numFmtId="38" fontId="0" fillId="0" borderId="0" xfId="0" applyNumberFormat="1" applyAlignment="1">
      <alignment horizontal="center"/>
    </xf>
    <xf numFmtId="9" fontId="0" fillId="0" borderId="0" xfId="3" applyFont="1"/>
    <xf numFmtId="0" fontId="6" fillId="0" borderId="0" xfId="4" applyFont="1"/>
    <xf numFmtId="168" fontId="7" fillId="0" borderId="0" xfId="4" applyNumberFormat="1" applyFont="1"/>
    <xf numFmtId="0" fontId="8" fillId="0" borderId="0" xfId="4" applyFont="1"/>
    <xf numFmtId="0" fontId="8" fillId="0" borderId="0" xfId="4" applyFont="1" applyAlignment="1">
      <alignment horizontal="right"/>
    </xf>
    <xf numFmtId="0" fontId="8" fillId="0" borderId="0" xfId="4" quotePrefix="1" applyFont="1"/>
    <xf numFmtId="0" fontId="8" fillId="0" borderId="0" xfId="4" applyFont="1" applyFill="1"/>
    <xf numFmtId="168" fontId="8" fillId="0" borderId="0" xfId="4" applyNumberFormat="1" applyFont="1"/>
    <xf numFmtId="169" fontId="8" fillId="0" borderId="0" xfId="6" applyNumberFormat="1" applyFont="1"/>
    <xf numFmtId="0" fontId="8" fillId="0" borderId="0" xfId="4" applyFont="1" applyAlignment="1">
      <alignment wrapText="1"/>
    </xf>
    <xf numFmtId="43" fontId="8" fillId="0" borderId="0" xfId="6" applyFont="1"/>
    <xf numFmtId="10" fontId="8" fillId="0" borderId="0" xfId="7" applyNumberFormat="1" applyFont="1" applyFill="1"/>
    <xf numFmtId="0" fontId="6" fillId="0" borderId="0" xfId="4" applyFont="1" applyAlignment="1">
      <alignment horizontal="right"/>
    </xf>
    <xf numFmtId="0" fontId="6" fillId="0" borderId="0" xfId="4" applyFont="1" applyFill="1" applyAlignment="1">
      <alignment horizontal="right"/>
    </xf>
    <xf numFmtId="0" fontId="8" fillId="0" borderId="0" xfId="4" applyFont="1" applyAlignment="1">
      <alignment horizontal="left"/>
    </xf>
    <xf numFmtId="168" fontId="25" fillId="8" borderId="0" xfId="5" applyNumberFormat="1" applyFont="1" applyFill="1"/>
    <xf numFmtId="10" fontId="25" fillId="8" borderId="0" xfId="7" applyNumberFormat="1" applyFont="1" applyFill="1"/>
    <xf numFmtId="43" fontId="25" fillId="8" borderId="0" xfId="6" applyFont="1" applyFill="1"/>
    <xf numFmtId="10" fontId="26" fillId="0" borderId="0" xfId="7" applyNumberFormat="1" applyFont="1"/>
    <xf numFmtId="8" fontId="27" fillId="8" borderId="0" xfId="0" applyNumberFormat="1" applyFont="1" applyFill="1"/>
    <xf numFmtId="173" fontId="0" fillId="0" borderId="0" xfId="0" applyNumberFormat="1"/>
    <xf numFmtId="169" fontId="25" fillId="8" borderId="0" xfId="62" applyNumberFormat="1" applyFont="1" applyFill="1"/>
    <xf numFmtId="169" fontId="8" fillId="0" borderId="0" xfId="62" applyNumberFormat="1" applyFont="1" applyFill="1"/>
    <xf numFmtId="38" fontId="27" fillId="8" borderId="0" xfId="0" applyNumberFormat="1" applyFont="1" applyFill="1"/>
    <xf numFmtId="10" fontId="27" fillId="8" borderId="0" xfId="0" applyNumberFormat="1" applyFont="1" applyFill="1"/>
    <xf numFmtId="173" fontId="27" fillId="8" borderId="0" xfId="0" applyNumberFormat="1" applyFont="1" applyFill="1"/>
    <xf numFmtId="168" fontId="26" fillId="0" borderId="0" xfId="5" applyNumberFormat="1" applyFont="1"/>
    <xf numFmtId="43" fontId="26" fillId="0" borderId="0" xfId="6" applyFont="1"/>
    <xf numFmtId="44" fontId="8" fillId="0" borderId="0" xfId="4" applyNumberFormat="1" applyFont="1"/>
    <xf numFmtId="43" fontId="8" fillId="0" borderId="0" xfId="4" applyNumberFormat="1" applyFont="1"/>
    <xf numFmtId="44" fontId="8" fillId="0" borderId="11" xfId="4" applyNumberFormat="1" applyFont="1" applyBorder="1"/>
    <xf numFmtId="44" fontId="26" fillId="0" borderId="0" xfId="5" applyFont="1"/>
    <xf numFmtId="170" fontId="26" fillId="0" borderId="0" xfId="6" applyNumberFormat="1" applyFont="1"/>
    <xf numFmtId="168" fontId="26" fillId="0" borderId="0" xfId="5" applyNumberFormat="1" applyFont="1" applyAlignment="1"/>
    <xf numFmtId="168" fontId="26" fillId="0" borderId="0" xfId="8" applyNumberFormat="1" applyFont="1"/>
    <xf numFmtId="169" fontId="26" fillId="0" borderId="0" xfId="9" applyNumberFormat="1" applyFont="1" applyAlignment="1"/>
    <xf numFmtId="169" fontId="26" fillId="0" borderId="0" xfId="9" applyNumberFormat="1" applyFont="1"/>
    <xf numFmtId="6" fontId="8" fillId="0" borderId="0" xfId="4" applyNumberFormat="1" applyFont="1"/>
    <xf numFmtId="169" fontId="26" fillId="0" borderId="0" xfId="6" applyNumberFormat="1" applyFont="1"/>
    <xf numFmtId="10" fontId="8" fillId="0" borderId="0" xfId="4" applyNumberFormat="1" applyFont="1"/>
    <xf numFmtId="38" fontId="0" fillId="0" borderId="0" xfId="0" applyNumberFormat="1" applyFill="1"/>
    <xf numFmtId="0" fontId="5" fillId="0" borderId="0" xfId="4" applyFont="1"/>
    <xf numFmtId="0" fontId="6" fillId="9" borderId="0" xfId="4" applyFont="1" applyFill="1"/>
    <xf numFmtId="0" fontId="5" fillId="0" borderId="0" xfId="4" applyFont="1" applyAlignment="1">
      <alignment horizontal="left"/>
    </xf>
    <xf numFmtId="0" fontId="6" fillId="0" borderId="0" xfId="4" applyFont="1" applyAlignment="1">
      <alignment horizontal="left"/>
    </xf>
    <xf numFmtId="0" fontId="6" fillId="9" borderId="0" xfId="4" applyFont="1" applyFill="1" applyAlignment="1">
      <alignment horizontal="left"/>
    </xf>
    <xf numFmtId="0" fontId="8" fillId="9" borderId="0" xfId="4" applyFont="1" applyFill="1"/>
    <xf numFmtId="0" fontId="28" fillId="0" borderId="0" xfId="4" applyFont="1" applyAlignment="1">
      <alignment horizontal="right"/>
    </xf>
    <xf numFmtId="0" fontId="5" fillId="0" borderId="0" xfId="4" quotePrefix="1" applyFont="1"/>
    <xf numFmtId="168" fontId="5" fillId="0" borderId="0" xfId="5" applyNumberFormat="1" applyFont="1"/>
    <xf numFmtId="170" fontId="5" fillId="10" borderId="0" xfId="6" applyNumberFormat="1" applyFont="1" applyFill="1"/>
    <xf numFmtId="6" fontId="5" fillId="0" borderId="0" xfId="4" applyNumberFormat="1" applyFont="1"/>
    <xf numFmtId="10" fontId="5" fillId="0" borderId="0" xfId="4" applyNumberFormat="1" applyFont="1"/>
    <xf numFmtId="0" fontId="28" fillId="0" borderId="0" xfId="4" applyFont="1" applyAlignment="1">
      <alignment horizontal="left"/>
    </xf>
    <xf numFmtId="0" fontId="28" fillId="0" borderId="0" xfId="4" applyFont="1"/>
    <xf numFmtId="0" fontId="6" fillId="0" borderId="0" xfId="4" applyNumberFormat="1" applyFont="1" applyAlignment="1">
      <alignment horizontal="left"/>
    </xf>
    <xf numFmtId="0" fontId="6" fillId="9" borderId="0" xfId="4" applyFont="1" applyFill="1" applyAlignment="1">
      <alignment horizontal="right"/>
    </xf>
    <xf numFmtId="0" fontId="6" fillId="9" borderId="0" xfId="4" applyNumberFormat="1" applyFont="1" applyFill="1" applyAlignment="1">
      <alignment horizontal="left"/>
    </xf>
    <xf numFmtId="0" fontId="8" fillId="9" borderId="0" xfId="4" quotePrefix="1" applyFont="1" applyFill="1"/>
    <xf numFmtId="43" fontId="26" fillId="9" borderId="0" xfId="6" applyFont="1" applyFill="1"/>
    <xf numFmtId="0" fontId="0" fillId="0" borderId="0" xfId="0" applyAlignment="1">
      <alignment horizontal="center" vertical="justify" wrapText="1"/>
    </xf>
    <xf numFmtId="0" fontId="0" fillId="0" borderId="12" xfId="0" applyBorder="1"/>
    <xf numFmtId="6" fontId="0" fillId="0" borderId="12" xfId="0" applyNumberFormat="1" applyBorder="1"/>
    <xf numFmtId="0" fontId="0" fillId="0" borderId="2" xfId="0" applyBorder="1" applyAlignment="1">
      <alignment horizontal="center" vertical="justify" wrapText="1"/>
    </xf>
    <xf numFmtId="0" fontId="0" fillId="0" borderId="2" xfId="0" applyBorder="1" applyAlignment="1">
      <alignment horizontal="right" vertical="justify" wrapText="1"/>
    </xf>
    <xf numFmtId="0" fontId="0" fillId="0" borderId="0" xfId="0" applyAlignment="1">
      <alignment horizontal="left" vertical="justify" wrapText="1"/>
    </xf>
    <xf numFmtId="0" fontId="0" fillId="0" borderId="0" xfId="0" applyAlignment="1">
      <alignment horizontal="left"/>
    </xf>
    <xf numFmtId="0" fontId="0" fillId="10" borderId="0" xfId="0" applyFill="1"/>
    <xf numFmtId="0" fontId="0" fillId="11" borderId="0" xfId="0" applyFill="1"/>
    <xf numFmtId="0" fontId="0" fillId="12" borderId="0" xfId="0" applyFill="1"/>
    <xf numFmtId="14" fontId="1" fillId="0" borderId="0" xfId="0" applyNumberFormat="1" applyFont="1"/>
    <xf numFmtId="164" fontId="1" fillId="0" borderId="0" xfId="0" applyNumberFormat="1" applyFont="1"/>
    <xf numFmtId="6" fontId="0" fillId="0" borderId="6" xfId="0" applyNumberFormat="1" applyBorder="1"/>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10" fontId="0" fillId="13" borderId="0" xfId="0" applyNumberFormat="1" applyFill="1"/>
    <xf numFmtId="6" fontId="0" fillId="13" borderId="2" xfId="0" applyNumberFormat="1" applyFill="1" applyBorder="1"/>
    <xf numFmtId="6" fontId="0" fillId="13" borderId="6" xfId="0" applyNumberFormat="1" applyFill="1" applyBorder="1"/>
    <xf numFmtId="6" fontId="0" fillId="13" borderId="0" xfId="0" applyNumberFormat="1" applyFill="1"/>
    <xf numFmtId="6" fontId="0" fillId="13" borderId="3" xfId="0" applyNumberFormat="1" applyFill="1" applyBorder="1"/>
    <xf numFmtId="6" fontId="0" fillId="13" borderId="12" xfId="0" applyNumberFormat="1" applyFill="1" applyBorder="1"/>
    <xf numFmtId="0" fontId="0" fillId="13" borderId="0" xfId="0" applyFill="1"/>
    <xf numFmtId="165" fontId="0" fillId="14" borderId="0" xfId="0" applyNumberFormat="1" applyFill="1"/>
    <xf numFmtId="0" fontId="0" fillId="14" borderId="0" xfId="0" applyFill="1"/>
  </cellXfs>
  <cellStyles count="63">
    <cellStyle name="ColumnAttributeAbovePrompt" xfId="10"/>
    <cellStyle name="ColumnAttributePrompt" xfId="11"/>
    <cellStyle name="ColumnAttributeValue" xfId="12"/>
    <cellStyle name="ColumnHeadingPrompt" xfId="13"/>
    <cellStyle name="ColumnHeadingValue" xfId="14"/>
    <cellStyle name="Comma" xfId="62" builtinId="3"/>
    <cellStyle name="Comma [0] 2 2" xfId="15"/>
    <cellStyle name="Comma [0] 2 3" xfId="16"/>
    <cellStyle name="Comma 2" xfId="2"/>
    <cellStyle name="Comma 2 2" xfId="9"/>
    <cellStyle name="Comma 2 3" xfId="17"/>
    <cellStyle name="Comma 3" xfId="6"/>
    <cellStyle name="Comma0" xfId="18"/>
    <cellStyle name="Currency 2" xfId="5"/>
    <cellStyle name="Currency 2 2" xfId="19"/>
    <cellStyle name="Currency 2 3" xfId="20"/>
    <cellStyle name="Currency 3" xfId="8"/>
    <cellStyle name="Currency0" xfId="21"/>
    <cellStyle name="Date" xfId="22"/>
    <cellStyle name="Euro" xfId="23"/>
    <cellStyle name="F2" xfId="24"/>
    <cellStyle name="F3" xfId="25"/>
    <cellStyle name="F4" xfId="26"/>
    <cellStyle name="F5" xfId="27"/>
    <cellStyle name="F6" xfId="28"/>
    <cellStyle name="F7" xfId="29"/>
    <cellStyle name="F8" xfId="30"/>
    <cellStyle name="Fixed" xfId="31"/>
    <cellStyle name="LineItemPrompt" xfId="32"/>
    <cellStyle name="LineItemValue" xfId="33"/>
    <cellStyle name="Normal" xfId="0" builtinId="0"/>
    <cellStyle name="Normal 2" xfId="1"/>
    <cellStyle name="Normal 3" xfId="4"/>
    <cellStyle name="Output Amounts" xfId="34"/>
    <cellStyle name="Output Column Headings" xfId="35"/>
    <cellStyle name="Output Line Items" xfId="36"/>
    <cellStyle name="Output Report Heading" xfId="37"/>
    <cellStyle name="Output Report Title" xfId="38"/>
    <cellStyle name="Percent" xfId="3" builtinId="5"/>
    <cellStyle name="Percent 2" xfId="7"/>
    <cellStyle name="Percent 2 2" xfId="39"/>
    <cellStyle name="Percent 2 3" xfId="40"/>
    <cellStyle name="ReportTitlePrompt" xfId="41"/>
    <cellStyle name="ReportTitleValue" xfId="42"/>
    <cellStyle name="RowAcctAbovePrompt" xfId="43"/>
    <cellStyle name="RowAcctSOBAbovePrompt" xfId="44"/>
    <cellStyle name="RowAcctSOBValue" xfId="45"/>
    <cellStyle name="RowAcctValue" xfId="46"/>
    <cellStyle name="RowAttrAbovePrompt" xfId="47"/>
    <cellStyle name="RowAttrValue" xfId="48"/>
    <cellStyle name="RowColSetAbovePrompt" xfId="49"/>
    <cellStyle name="RowColSetLeftPrompt" xfId="50"/>
    <cellStyle name="RowColSetValue" xfId="51"/>
    <cellStyle name="RowLeftPrompt" xfId="52"/>
    <cellStyle name="SampleUsingFormatMask" xfId="53"/>
    <cellStyle name="SampleWithNoFormatMask" xfId="54"/>
    <cellStyle name="STYL5 - Style5" xfId="55"/>
    <cellStyle name="STYL6 - Style6" xfId="56"/>
    <cellStyle name="STYLE1 - Style1" xfId="57"/>
    <cellStyle name="STYLE2 - Style2" xfId="58"/>
    <cellStyle name="STYLE3 - Style3" xfId="59"/>
    <cellStyle name="STYLE4 - Style4" xfId="60"/>
    <cellStyle name="UploadThisRowValue" xfId="61"/>
  </cellStyles>
  <dxfs count="0"/>
  <tableStyles count="0" defaultTableStyle="TableStyleMedium2" defaultPivotStyle="PivotStyleLight16"/>
  <colors>
    <mruColors>
      <color rgb="FF0000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workbookViewId="0">
      <selection activeCell="B31" sqref="B31"/>
    </sheetView>
  </sheetViews>
  <sheetFormatPr defaultRowHeight="14.25" x14ac:dyDescent="0.2"/>
  <cols>
    <col min="1" max="1" width="6.625" customWidth="1"/>
    <col min="2" max="2" width="38.75" customWidth="1"/>
    <col min="3" max="3" width="13.875" customWidth="1"/>
    <col min="4" max="7" width="18.625" customWidth="1"/>
  </cols>
  <sheetData>
    <row r="1" spans="1:8" ht="15" x14ac:dyDescent="0.25">
      <c r="A1" s="3" t="s">
        <v>268</v>
      </c>
      <c r="G1" s="110">
        <v>43504</v>
      </c>
    </row>
    <row r="2" spans="1:8" ht="15" x14ac:dyDescent="0.25">
      <c r="A2" s="3" t="s">
        <v>243</v>
      </c>
    </row>
    <row r="4" spans="1:8" x14ac:dyDescent="0.2">
      <c r="A4" s="2" t="s">
        <v>235</v>
      </c>
    </row>
    <row r="5" spans="1:8" ht="15" x14ac:dyDescent="0.25">
      <c r="A5" s="106">
        <v>1</v>
      </c>
      <c r="B5" s="3" t="s">
        <v>236</v>
      </c>
      <c r="C5" s="107"/>
      <c r="D5" s="107"/>
      <c r="E5" s="107"/>
      <c r="F5" s="107"/>
      <c r="G5" s="107"/>
    </row>
    <row r="6" spans="1:8" x14ac:dyDescent="0.2">
      <c r="A6" s="105">
        <f>A5+1</f>
        <v>2</v>
      </c>
      <c r="B6" s="103"/>
      <c r="C6" s="104" t="s">
        <v>240</v>
      </c>
      <c r="D6" s="104" t="s">
        <v>269</v>
      </c>
      <c r="E6" s="104" t="s">
        <v>270</v>
      </c>
      <c r="F6" s="104" t="s">
        <v>271</v>
      </c>
      <c r="G6" s="104" t="s">
        <v>272</v>
      </c>
      <c r="H6" s="100"/>
    </row>
    <row r="7" spans="1:8" x14ac:dyDescent="0.2">
      <c r="A7" s="105">
        <f t="shared" ref="A7:A30" si="0">A6+1</f>
        <v>3</v>
      </c>
      <c r="B7" t="s">
        <v>237</v>
      </c>
      <c r="C7" s="9">
        <v>0</v>
      </c>
      <c r="D7" s="9">
        <f>'per KWH'!K19</f>
        <v>93.28</v>
      </c>
      <c r="E7" s="9">
        <f>'per KWH'!N19</f>
        <v>65.510000000000005</v>
      </c>
      <c r="F7" s="9">
        <f>'per KWH'!Q19</f>
        <v>52.18</v>
      </c>
      <c r="G7" s="9">
        <f>'per KWH'!T19</f>
        <v>50</v>
      </c>
    </row>
    <row r="8" spans="1:8" x14ac:dyDescent="0.2">
      <c r="A8" s="105">
        <f t="shared" si="0"/>
        <v>4</v>
      </c>
      <c r="B8" t="s">
        <v>29</v>
      </c>
      <c r="C8" s="9">
        <f>'per KWH'!E19</f>
        <v>3913</v>
      </c>
      <c r="D8" s="9">
        <f>'per KWH'!K21</f>
        <v>4075.5</v>
      </c>
      <c r="E8" s="9">
        <f>'per KWH'!N21</f>
        <v>4504.5</v>
      </c>
      <c r="F8" s="9">
        <f>'per KWH'!Q21</f>
        <v>3932.5</v>
      </c>
      <c r="G8" s="9">
        <f>'per KWH'!T21</f>
        <v>4550</v>
      </c>
    </row>
    <row r="9" spans="1:8" x14ac:dyDescent="0.2">
      <c r="A9" s="105">
        <f t="shared" si="0"/>
        <v>5</v>
      </c>
      <c r="B9" t="s">
        <v>53</v>
      </c>
      <c r="C9" s="9">
        <f>'per KWH'!E22+'per KWH'!E23</f>
        <v>18242</v>
      </c>
      <c r="D9" s="9">
        <f>'per KWH'!K23</f>
        <v>19503.68</v>
      </c>
      <c r="E9" s="9">
        <f>'per KWH'!N23</f>
        <v>19396.990000000002</v>
      </c>
      <c r="F9" s="9">
        <f>'per KWH'!Q23</f>
        <v>23333.83</v>
      </c>
      <c r="G9" s="9">
        <f>'per KWH'!T23</f>
        <v>21426.55</v>
      </c>
    </row>
    <row r="10" spans="1:8" x14ac:dyDescent="0.2">
      <c r="A10" s="105">
        <f t="shared" si="0"/>
        <v>6</v>
      </c>
      <c r="B10" t="s">
        <v>35</v>
      </c>
      <c r="C10" s="9">
        <f>'per KWH'!E25</f>
        <v>-815</v>
      </c>
      <c r="D10" s="9">
        <f>'per KWH'!K25</f>
        <v>-1228.02</v>
      </c>
      <c r="E10" s="9">
        <f>'per KWH'!N25</f>
        <v>-1073.58</v>
      </c>
      <c r="F10" s="9">
        <f>'per KWH'!Q25</f>
        <v>-1128.67</v>
      </c>
      <c r="G10" s="9">
        <f>'per KWH'!T25</f>
        <v>-1207.1500000000001</v>
      </c>
    </row>
    <row r="11" spans="1:8" x14ac:dyDescent="0.2">
      <c r="A11" s="105">
        <f t="shared" si="0"/>
        <v>7</v>
      </c>
      <c r="B11" t="s">
        <v>238</v>
      </c>
      <c r="C11" s="9">
        <f>'per KWH'!E29</f>
        <v>3263</v>
      </c>
      <c r="D11" s="9">
        <f>'per KWH'!K29</f>
        <v>2255.67</v>
      </c>
      <c r="E11" s="9">
        <f>'per KWH'!N29</f>
        <v>2575.5100000000002</v>
      </c>
      <c r="F11" s="9">
        <f>'per KWH'!Q29</f>
        <v>2920.17</v>
      </c>
      <c r="G11" s="9">
        <f>'per KWH'!T29</f>
        <v>2670.57</v>
      </c>
    </row>
    <row r="12" spans="1:8" ht="15" thickBot="1" x14ac:dyDescent="0.25">
      <c r="A12" s="105">
        <f t="shared" si="0"/>
        <v>8</v>
      </c>
      <c r="B12" s="101" t="s">
        <v>239</v>
      </c>
      <c r="C12" s="102">
        <f>'per KWH'!E31</f>
        <v>24603</v>
      </c>
      <c r="D12" s="102">
        <f>'per KWH'!K31</f>
        <v>24700.11</v>
      </c>
      <c r="E12" s="102">
        <f>'per KWH'!N31</f>
        <v>25468.93</v>
      </c>
      <c r="F12" s="102">
        <f>'per KWH'!Q31</f>
        <v>29110.010000000002</v>
      </c>
      <c r="G12" s="102">
        <f>'per KWH'!T31</f>
        <v>27489.969999999998</v>
      </c>
    </row>
    <row r="13" spans="1:8" ht="15" thickTop="1" x14ac:dyDescent="0.2">
      <c r="A13" s="105">
        <f t="shared" si="0"/>
        <v>9</v>
      </c>
      <c r="B13" t="s">
        <v>267</v>
      </c>
      <c r="D13" s="9">
        <f>D12-$C12</f>
        <v>97.110000000000582</v>
      </c>
      <c r="E13" s="9">
        <f t="shared" ref="E13:G13" si="1">E12-$C12</f>
        <v>865.93000000000029</v>
      </c>
      <c r="F13" s="9">
        <f t="shared" si="1"/>
        <v>4507.010000000002</v>
      </c>
      <c r="G13" s="9">
        <f t="shared" si="1"/>
        <v>2886.9699999999975</v>
      </c>
    </row>
    <row r="14" spans="1:8" x14ac:dyDescent="0.2">
      <c r="A14" s="105">
        <f t="shared" si="0"/>
        <v>10</v>
      </c>
    </row>
    <row r="15" spans="1:8" x14ac:dyDescent="0.2">
      <c r="A15" s="105">
        <f t="shared" si="0"/>
        <v>11</v>
      </c>
    </row>
    <row r="16" spans="1:8" ht="15" x14ac:dyDescent="0.25">
      <c r="A16" s="105">
        <f t="shared" si="0"/>
        <v>12</v>
      </c>
      <c r="B16" s="3" t="s">
        <v>241</v>
      </c>
      <c r="C16" s="108"/>
      <c r="D16" s="108"/>
      <c r="E16" s="108"/>
      <c r="F16" s="108"/>
      <c r="G16" s="108"/>
    </row>
    <row r="17" spans="1:7" x14ac:dyDescent="0.2">
      <c r="A17" s="105">
        <f t="shared" si="0"/>
        <v>13</v>
      </c>
      <c r="B17" s="103"/>
      <c r="C17" s="104" t="s">
        <v>240</v>
      </c>
      <c r="D17" s="104" t="s">
        <v>269</v>
      </c>
      <c r="E17" s="104" t="s">
        <v>270</v>
      </c>
      <c r="F17" s="104" t="s">
        <v>271</v>
      </c>
      <c r="G17" s="104" t="s">
        <v>272</v>
      </c>
    </row>
    <row r="18" spans="1:7" x14ac:dyDescent="0.2">
      <c r="A18" s="105">
        <f t="shared" si="0"/>
        <v>14</v>
      </c>
      <c r="B18" t="s">
        <v>236</v>
      </c>
      <c r="C18" s="9">
        <f>C12</f>
        <v>24603</v>
      </c>
      <c r="D18" s="9">
        <f t="shared" ref="D18:G18" si="2">D12</f>
        <v>24700.11</v>
      </c>
      <c r="E18" s="9">
        <f t="shared" si="2"/>
        <v>25468.93</v>
      </c>
      <c r="F18" s="9">
        <f t="shared" si="2"/>
        <v>29110.010000000002</v>
      </c>
      <c r="G18" s="9">
        <f t="shared" si="2"/>
        <v>27489.969999999998</v>
      </c>
    </row>
    <row r="19" spans="1:7" x14ac:dyDescent="0.2">
      <c r="A19" s="105">
        <f t="shared" si="0"/>
        <v>15</v>
      </c>
      <c r="B19" t="s">
        <v>260</v>
      </c>
      <c r="C19" s="9">
        <f>'per KWH'!E59</f>
        <v>10675.307049655725</v>
      </c>
      <c r="D19" s="9">
        <f>'per KWH'!K59</f>
        <v>10675.307049655725</v>
      </c>
      <c r="E19" s="9">
        <f>'per KWH'!N59</f>
        <v>10675.307049655725</v>
      </c>
      <c r="F19" s="9">
        <f>'per KWH'!Q59</f>
        <v>10675.307049655725</v>
      </c>
      <c r="G19" s="9">
        <f>'per KWH'!T59</f>
        <v>10675.307049655725</v>
      </c>
    </row>
    <row r="20" spans="1:7" x14ac:dyDescent="0.2">
      <c r="A20" s="105">
        <f t="shared" si="0"/>
        <v>16</v>
      </c>
      <c r="B20" t="s">
        <v>261</v>
      </c>
      <c r="C20" s="9">
        <f>'per KWH'!E60</f>
        <v>-3740.72</v>
      </c>
      <c r="D20" s="9">
        <f>'per KWH'!K60</f>
        <v>-3740.72</v>
      </c>
      <c r="E20" s="9">
        <f>'per KWH'!N60</f>
        <v>-3740.72</v>
      </c>
      <c r="F20" s="9">
        <f>'per KWH'!Q60</f>
        <v>-3740.72</v>
      </c>
      <c r="G20" s="9">
        <f>'per KWH'!T60</f>
        <v>-3740.72</v>
      </c>
    </row>
    <row r="21" spans="1:7" x14ac:dyDescent="0.2">
      <c r="A21" s="105">
        <f t="shared" si="0"/>
        <v>17</v>
      </c>
      <c r="B21" t="s">
        <v>262</v>
      </c>
      <c r="C21" s="119">
        <f>'per KWH'!E61</f>
        <v>-207.23588800000005</v>
      </c>
      <c r="D21" s="119">
        <f>'per KWH'!K61</f>
        <v>-207.23588800000005</v>
      </c>
      <c r="E21" s="119">
        <f>'per KWH'!N61</f>
        <v>-207.23588800000005</v>
      </c>
      <c r="F21" s="119">
        <f>'per KWH'!Q61</f>
        <v>-207.23588800000005</v>
      </c>
      <c r="G21" s="119">
        <f>'per KWH'!T61</f>
        <v>-207.23588800000005</v>
      </c>
    </row>
    <row r="22" spans="1:7" x14ac:dyDescent="0.2">
      <c r="A22" s="105">
        <f t="shared" si="0"/>
        <v>18</v>
      </c>
      <c r="B22" t="s">
        <v>263</v>
      </c>
      <c r="C22" s="9">
        <f>'per KWH'!E62</f>
        <v>-2383.8555555555554</v>
      </c>
      <c r="D22" s="9">
        <f>'per KWH'!K62</f>
        <v>-2383.8555555555554</v>
      </c>
      <c r="E22" s="9">
        <f>'per KWH'!N62</f>
        <v>-2383.8555555555554</v>
      </c>
      <c r="F22" s="9">
        <f>'per KWH'!Q62</f>
        <v>-2383.8555555555554</v>
      </c>
      <c r="G22" s="9">
        <f>'per KWH'!T62</f>
        <v>-2383.8555555555554</v>
      </c>
    </row>
    <row r="23" spans="1:7" ht="15" thickBot="1" x14ac:dyDescent="0.25">
      <c r="A23" s="105">
        <f t="shared" si="0"/>
        <v>19</v>
      </c>
      <c r="B23" s="101" t="s">
        <v>239</v>
      </c>
      <c r="C23" s="121">
        <f>SUM(C18:C22)</f>
        <v>28946.495606100172</v>
      </c>
      <c r="D23" s="121">
        <f>SUM(D18:D22)</f>
        <v>29043.605606100173</v>
      </c>
      <c r="E23" s="121">
        <f>SUM(E18:E22)</f>
        <v>29812.425606100172</v>
      </c>
      <c r="F23" s="121">
        <f>SUM(F18:F22)</f>
        <v>33453.505606100167</v>
      </c>
      <c r="G23" s="121">
        <f>SUM(G18:G22)</f>
        <v>31833.465606100162</v>
      </c>
    </row>
    <row r="24" spans="1:7" ht="15" thickTop="1" x14ac:dyDescent="0.2">
      <c r="A24" s="105">
        <f t="shared" si="0"/>
        <v>20</v>
      </c>
      <c r="B24" t="s">
        <v>267</v>
      </c>
      <c r="D24" s="9">
        <f>D23-$C23</f>
        <v>97.110000000000582</v>
      </c>
      <c r="E24" s="9">
        <f t="shared" ref="E24" si="3">E23-$C23</f>
        <v>865.93000000000029</v>
      </c>
      <c r="F24" s="9">
        <f t="shared" ref="F24" si="4">F23-$C23</f>
        <v>4507.0099999999948</v>
      </c>
      <c r="G24" s="9">
        <f t="shared" ref="G24" si="5">G23-$C23</f>
        <v>2886.9699999999903</v>
      </c>
    </row>
    <row r="25" spans="1:7" x14ac:dyDescent="0.2">
      <c r="A25" s="105">
        <f t="shared" si="0"/>
        <v>21</v>
      </c>
    </row>
    <row r="26" spans="1:7" ht="15" x14ac:dyDescent="0.25">
      <c r="A26" s="105">
        <f t="shared" si="0"/>
        <v>22</v>
      </c>
      <c r="B26" s="3" t="s">
        <v>242</v>
      </c>
      <c r="C26" s="109"/>
      <c r="D26" s="109"/>
      <c r="E26" s="109"/>
      <c r="F26" s="109"/>
      <c r="G26" s="109"/>
    </row>
    <row r="27" spans="1:7" x14ac:dyDescent="0.2">
      <c r="A27" s="105">
        <f t="shared" si="0"/>
        <v>23</v>
      </c>
      <c r="C27" s="104" t="s">
        <v>240</v>
      </c>
      <c r="D27" s="104" t="s">
        <v>269</v>
      </c>
      <c r="E27" s="104" t="s">
        <v>270</v>
      </c>
      <c r="F27" s="104" t="s">
        <v>271</v>
      </c>
      <c r="G27" s="104" t="s">
        <v>272</v>
      </c>
    </row>
    <row r="28" spans="1:7" x14ac:dyDescent="0.2">
      <c r="A28" s="105">
        <f t="shared" si="0"/>
        <v>24</v>
      </c>
      <c r="B28" t="str">
        <f>B5</f>
        <v>Standard Bill</v>
      </c>
      <c r="C28" s="9">
        <f>C12</f>
        <v>24603</v>
      </c>
      <c r="D28" s="9">
        <f>D12</f>
        <v>24700.11</v>
      </c>
      <c r="E28" s="9">
        <f>E12</f>
        <v>25468.93</v>
      </c>
      <c r="F28" s="9">
        <f>F12</f>
        <v>29110.010000000002</v>
      </c>
      <c r="G28" s="9">
        <f>G12</f>
        <v>27489.969999999998</v>
      </c>
    </row>
    <row r="29" spans="1:7" x14ac:dyDescent="0.2">
      <c r="A29" s="105">
        <f t="shared" si="0"/>
        <v>25</v>
      </c>
      <c r="B29" t="str">
        <f>B16</f>
        <v>Green Bill</v>
      </c>
      <c r="C29" s="119">
        <f>C23</f>
        <v>28946.495606100172</v>
      </c>
      <c r="D29" s="119">
        <f t="shared" ref="D29:G29" si="6">D23</f>
        <v>29043.605606100173</v>
      </c>
      <c r="E29" s="119">
        <f t="shared" si="6"/>
        <v>29812.425606100172</v>
      </c>
      <c r="F29" s="119">
        <f t="shared" si="6"/>
        <v>33453.505606100167</v>
      </c>
      <c r="G29" s="119">
        <f t="shared" si="6"/>
        <v>31833.465606100162</v>
      </c>
    </row>
    <row r="30" spans="1:7" ht="15" thickBot="1" x14ac:dyDescent="0.25">
      <c r="A30" s="105">
        <f t="shared" si="0"/>
        <v>26</v>
      </c>
      <c r="B30" s="101" t="s">
        <v>265</v>
      </c>
      <c r="C30" s="102">
        <f>C29-C28</f>
        <v>4343.4956061001722</v>
      </c>
      <c r="D30" s="102">
        <f t="shared" ref="D30:G30" si="7">D29-D28</f>
        <v>4343.4956061001722</v>
      </c>
      <c r="E30" s="102">
        <f t="shared" si="7"/>
        <v>4343.4956061001722</v>
      </c>
      <c r="F30" s="102">
        <f t="shared" si="7"/>
        <v>4343.4956061001649</v>
      </c>
      <c r="G30" s="102">
        <f t="shared" si="7"/>
        <v>4343.4956061001649</v>
      </c>
    </row>
    <row r="31" spans="1:7" ht="15" thickTop="1" x14ac:dyDescent="0.2"/>
    <row r="33" spans="2:5" x14ac:dyDescent="0.2">
      <c r="B33" s="122" t="s">
        <v>279</v>
      </c>
      <c r="C33" s="122"/>
      <c r="D33" s="122"/>
      <c r="E33" s="122"/>
    </row>
  </sheetData>
  <pageMargins left="0.7" right="0.7" top="0.75" bottom="0.7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zoomScale="80" zoomScaleNormal="80" workbookViewId="0">
      <selection activeCell="D42" sqref="D42"/>
    </sheetView>
  </sheetViews>
  <sheetFormatPr defaultColWidth="15.625" defaultRowHeight="14.25" x14ac:dyDescent="0.2"/>
  <cols>
    <col min="1" max="1" width="4.625" customWidth="1"/>
    <col min="2" max="2" width="30.75" customWidth="1"/>
    <col min="6" max="6" width="6.625" customWidth="1"/>
    <col min="8" max="8" width="15.625" customWidth="1"/>
  </cols>
  <sheetData>
    <row r="1" spans="1:20" x14ac:dyDescent="0.2">
      <c r="A1" s="1">
        <v>1</v>
      </c>
      <c r="B1" t="str">
        <f>Background!B1</f>
        <v>Green Power Tariff - Alternative - Revised 02-08-2019</v>
      </c>
    </row>
    <row r="2" spans="1:20" x14ac:dyDescent="0.2">
      <c r="A2" s="1">
        <f>A1+1</f>
        <v>2</v>
      </c>
      <c r="B2" t="s">
        <v>273</v>
      </c>
    </row>
    <row r="3" spans="1:20" x14ac:dyDescent="0.2">
      <c r="A3" s="1">
        <f t="shared" ref="A3:A70" si="0">A2+1</f>
        <v>3</v>
      </c>
    </row>
    <row r="4" spans="1:20" x14ac:dyDescent="0.2">
      <c r="A4" s="1">
        <f t="shared" si="0"/>
        <v>4</v>
      </c>
    </row>
    <row r="5" spans="1:20" x14ac:dyDescent="0.2">
      <c r="A5" s="1">
        <f t="shared" si="0"/>
        <v>5</v>
      </c>
      <c r="B5" t="s">
        <v>228</v>
      </c>
      <c r="G5" t="s">
        <v>229</v>
      </c>
    </row>
    <row r="6" spans="1:20" x14ac:dyDescent="0.2">
      <c r="A6" s="1">
        <f t="shared" si="0"/>
        <v>6</v>
      </c>
      <c r="I6" s="113" t="s">
        <v>269</v>
      </c>
      <c r="J6" s="114"/>
      <c r="K6" s="115"/>
      <c r="L6" s="113" t="s">
        <v>270</v>
      </c>
      <c r="M6" s="114"/>
      <c r="N6" s="115"/>
      <c r="O6" s="113" t="s">
        <v>271</v>
      </c>
      <c r="P6" s="114"/>
      <c r="Q6" s="115"/>
      <c r="R6" s="113" t="s">
        <v>272</v>
      </c>
      <c r="S6" s="114"/>
      <c r="T6" s="115"/>
    </row>
    <row r="7" spans="1:20" x14ac:dyDescent="0.2">
      <c r="A7" s="1">
        <f t="shared" si="0"/>
        <v>7</v>
      </c>
      <c r="B7" t="s">
        <v>21</v>
      </c>
      <c r="G7" t="s">
        <v>21</v>
      </c>
      <c r="I7" s="21"/>
      <c r="L7" s="21"/>
      <c r="O7" s="21"/>
      <c r="R7" s="21"/>
      <c r="T7" s="23"/>
    </row>
    <row r="8" spans="1:20" x14ac:dyDescent="0.2">
      <c r="A8" s="1">
        <f t="shared" si="0"/>
        <v>8</v>
      </c>
      <c r="B8" t="s">
        <v>225</v>
      </c>
      <c r="D8" s="63">
        <v>3800</v>
      </c>
      <c r="I8" s="22"/>
      <c r="L8" s="22"/>
      <c r="O8" s="22"/>
      <c r="R8" s="22"/>
      <c r="T8" s="24"/>
    </row>
    <row r="9" spans="1:20" x14ac:dyDescent="0.2">
      <c r="A9" s="1">
        <f t="shared" si="0"/>
        <v>9</v>
      </c>
      <c r="B9" t="s">
        <v>24</v>
      </c>
      <c r="D9" s="63">
        <v>650</v>
      </c>
      <c r="G9" t="s">
        <v>24</v>
      </c>
      <c r="I9" s="22"/>
      <c r="J9" s="1">
        <f>D9</f>
        <v>650</v>
      </c>
      <c r="K9" s="1"/>
      <c r="L9" s="26"/>
      <c r="M9" s="1">
        <f>J9</f>
        <v>650</v>
      </c>
      <c r="N9" s="1"/>
      <c r="O9" s="26"/>
      <c r="P9" s="1">
        <f>M9</f>
        <v>650</v>
      </c>
      <c r="Q9" s="1"/>
      <c r="R9" s="26"/>
      <c r="S9" s="1">
        <f>P9</f>
        <v>650</v>
      </c>
      <c r="T9" s="25"/>
    </row>
    <row r="10" spans="1:20" x14ac:dyDescent="0.2">
      <c r="A10" s="1">
        <f t="shared" si="0"/>
        <v>10</v>
      </c>
      <c r="B10" t="s">
        <v>226</v>
      </c>
      <c r="D10" s="1">
        <v>460</v>
      </c>
      <c r="G10" t="s">
        <v>102</v>
      </c>
      <c r="I10" s="22"/>
      <c r="J10" s="20">
        <v>1</v>
      </c>
      <c r="K10" s="1"/>
      <c r="L10" s="26"/>
      <c r="M10" s="20">
        <v>1</v>
      </c>
      <c r="N10" s="1"/>
      <c r="O10" s="26"/>
      <c r="P10" s="20">
        <v>1</v>
      </c>
      <c r="Q10" s="1"/>
      <c r="R10" s="26"/>
      <c r="S10" s="20">
        <v>1</v>
      </c>
      <c r="T10" s="25"/>
    </row>
    <row r="11" spans="1:20" x14ac:dyDescent="0.2">
      <c r="A11" s="1">
        <f t="shared" si="0"/>
        <v>11</v>
      </c>
      <c r="B11" t="s">
        <v>129</v>
      </c>
      <c r="D11" s="63">
        <v>392000</v>
      </c>
      <c r="E11" t="s">
        <v>22</v>
      </c>
      <c r="G11" t="s">
        <v>129</v>
      </c>
      <c r="I11" s="22"/>
      <c r="J11" s="1">
        <f>D11</f>
        <v>392000</v>
      </c>
      <c r="K11" s="1"/>
      <c r="L11" s="26"/>
      <c r="M11" s="1">
        <f>J11</f>
        <v>392000</v>
      </c>
      <c r="N11" s="1"/>
      <c r="O11" s="26"/>
      <c r="P11" s="1">
        <f>M11</f>
        <v>392000</v>
      </c>
      <c r="Q11" s="1"/>
      <c r="R11" s="26"/>
      <c r="S11" s="1">
        <f>P11</f>
        <v>392000</v>
      </c>
      <c r="T11" s="25"/>
    </row>
    <row r="12" spans="1:20" x14ac:dyDescent="0.2">
      <c r="A12" s="1">
        <f t="shared" si="0"/>
        <v>12</v>
      </c>
      <c r="B12" t="s">
        <v>23</v>
      </c>
      <c r="D12" s="1"/>
      <c r="G12" t="s">
        <v>23</v>
      </c>
      <c r="I12" s="22"/>
      <c r="J12" s="1"/>
      <c r="K12" s="1"/>
      <c r="L12" s="26"/>
      <c r="M12" s="1"/>
      <c r="N12" s="1"/>
      <c r="O12" s="26"/>
      <c r="P12" s="1"/>
      <c r="Q12" s="1"/>
      <c r="R12" s="26"/>
      <c r="S12" s="1"/>
      <c r="T12" s="25"/>
    </row>
    <row r="13" spans="1:20" x14ac:dyDescent="0.2">
      <c r="A13" s="1">
        <f t="shared" si="0"/>
        <v>13</v>
      </c>
      <c r="B13" t="s">
        <v>25</v>
      </c>
      <c r="D13" s="1">
        <f>D8*D10/12</f>
        <v>145666.66666666666</v>
      </c>
      <c r="E13" t="s">
        <v>34</v>
      </c>
      <c r="G13" t="s">
        <v>25</v>
      </c>
      <c r="I13" s="22"/>
      <c r="J13" s="1">
        <f>D13</f>
        <v>145666.66666666666</v>
      </c>
      <c r="K13" s="1"/>
      <c r="L13" s="26"/>
      <c r="M13" s="1">
        <f>J13</f>
        <v>145666.66666666666</v>
      </c>
      <c r="N13" s="1"/>
      <c r="O13" s="26"/>
      <c r="P13" s="1">
        <f>M13</f>
        <v>145666.66666666666</v>
      </c>
      <c r="Q13" s="1"/>
      <c r="R13" s="26"/>
      <c r="S13" s="1">
        <f>P13</f>
        <v>145666.66666666666</v>
      </c>
      <c r="T13" s="25"/>
    </row>
    <row r="14" spans="1:20" x14ac:dyDescent="0.2">
      <c r="A14" s="1">
        <f t="shared" si="0"/>
        <v>14</v>
      </c>
      <c r="D14" s="1"/>
      <c r="G14" t="s">
        <v>103</v>
      </c>
      <c r="I14" s="22"/>
      <c r="J14" s="17">
        <f>Background!G33</f>
        <v>5.3560000000000003E-2</v>
      </c>
      <c r="K14" s="17"/>
      <c r="L14" s="27"/>
      <c r="M14" s="17">
        <f>Background!H33</f>
        <v>3.5999999999999997E-2</v>
      </c>
      <c r="N14" s="17"/>
      <c r="O14" s="27"/>
      <c r="P14" s="17">
        <f>Background!I33</f>
        <v>3.4779999999999998E-2</v>
      </c>
      <c r="Q14" s="17"/>
      <c r="R14" s="27"/>
      <c r="S14" s="17">
        <f>Background!J33</f>
        <v>5.0720000000000001E-2</v>
      </c>
      <c r="T14" s="25"/>
    </row>
    <row r="15" spans="1:20" x14ac:dyDescent="0.2">
      <c r="A15" s="1">
        <f t="shared" si="0"/>
        <v>15</v>
      </c>
      <c r="B15" t="s">
        <v>33</v>
      </c>
      <c r="D15" s="1"/>
      <c r="I15" s="22"/>
      <c r="J15" s="1"/>
      <c r="K15" s="1"/>
      <c r="L15" s="26"/>
      <c r="M15" s="1"/>
      <c r="N15" s="1"/>
      <c r="O15" s="26"/>
      <c r="P15" s="1"/>
      <c r="Q15" s="1"/>
      <c r="R15" s="26"/>
      <c r="S15" s="1"/>
      <c r="T15" s="25"/>
    </row>
    <row r="16" spans="1:20" x14ac:dyDescent="0.2">
      <c r="A16" s="1">
        <f t="shared" si="0"/>
        <v>16</v>
      </c>
      <c r="D16" s="1"/>
      <c r="I16" s="22"/>
      <c r="J16" s="1"/>
      <c r="K16" s="1"/>
      <c r="L16" s="26"/>
      <c r="M16" s="1"/>
      <c r="N16" s="1"/>
      <c r="O16" s="26"/>
      <c r="P16" s="1"/>
      <c r="Q16" s="1"/>
      <c r="R16" s="26"/>
      <c r="S16" s="1"/>
      <c r="T16" s="25"/>
    </row>
    <row r="17" spans="1:20" ht="15" thickBot="1" x14ac:dyDescent="0.25">
      <c r="A17" s="1">
        <f t="shared" si="0"/>
        <v>17</v>
      </c>
      <c r="C17" s="4" t="s">
        <v>26</v>
      </c>
      <c r="D17" s="4" t="s">
        <v>27</v>
      </c>
      <c r="E17" s="4" t="s">
        <v>28</v>
      </c>
      <c r="I17" s="4" t="s">
        <v>26</v>
      </c>
      <c r="J17" s="4" t="s">
        <v>27</v>
      </c>
      <c r="K17" s="4" t="s">
        <v>28</v>
      </c>
      <c r="L17" s="4" t="s">
        <v>26</v>
      </c>
      <c r="M17" s="4" t="s">
        <v>27</v>
      </c>
      <c r="N17" s="4" t="s">
        <v>28</v>
      </c>
      <c r="O17" s="4" t="s">
        <v>26</v>
      </c>
      <c r="P17" s="4" t="s">
        <v>27</v>
      </c>
      <c r="Q17" s="4" t="s">
        <v>28</v>
      </c>
      <c r="R17" s="4" t="s">
        <v>26</v>
      </c>
      <c r="S17" s="4" t="s">
        <v>27</v>
      </c>
      <c r="T17" s="4" t="s">
        <v>28</v>
      </c>
    </row>
    <row r="18" spans="1:20" x14ac:dyDescent="0.2">
      <c r="A18" s="1">
        <f t="shared" si="0"/>
        <v>18</v>
      </c>
    </row>
    <row r="19" spans="1:20" x14ac:dyDescent="0.2">
      <c r="A19" s="1">
        <f t="shared" si="0"/>
        <v>19</v>
      </c>
      <c r="B19" t="s">
        <v>29</v>
      </c>
      <c r="C19" s="1">
        <f>D9</f>
        <v>650</v>
      </c>
      <c r="D19" s="8">
        <v>6.02</v>
      </c>
      <c r="E19" s="9">
        <f>ROUND(C19*D19,0)</f>
        <v>3913</v>
      </c>
      <c r="H19" t="s">
        <v>50</v>
      </c>
      <c r="I19" s="1"/>
      <c r="J19" s="8">
        <v>93.28</v>
      </c>
      <c r="K19" s="9">
        <f>J19</f>
        <v>93.28</v>
      </c>
      <c r="L19" s="8"/>
      <c r="M19" s="8">
        <v>65.510000000000005</v>
      </c>
      <c r="N19" s="9">
        <f>M19</f>
        <v>65.510000000000005</v>
      </c>
      <c r="O19" s="8"/>
      <c r="P19" s="8">
        <v>52.18</v>
      </c>
      <c r="Q19" s="9">
        <f>P19</f>
        <v>52.18</v>
      </c>
      <c r="R19" s="8"/>
      <c r="S19" s="8">
        <v>50</v>
      </c>
      <c r="T19" s="9">
        <f>S19</f>
        <v>50</v>
      </c>
    </row>
    <row r="20" spans="1:20" x14ac:dyDescent="0.2">
      <c r="A20" s="1">
        <f t="shared" si="0"/>
        <v>20</v>
      </c>
      <c r="E20" s="9"/>
      <c r="I20" s="1"/>
      <c r="J20" s="8"/>
      <c r="K20" s="9"/>
      <c r="L20" s="8"/>
      <c r="M20" s="8"/>
      <c r="N20" s="9"/>
      <c r="O20" s="8"/>
      <c r="P20" s="8"/>
      <c r="Q20" s="9"/>
      <c r="R20" s="8"/>
      <c r="S20" s="8"/>
      <c r="T20" s="9"/>
    </row>
    <row r="21" spans="1:20" x14ac:dyDescent="0.2">
      <c r="A21" s="1">
        <f t="shared" si="0"/>
        <v>21</v>
      </c>
      <c r="B21" t="s">
        <v>30</v>
      </c>
      <c r="E21" s="9"/>
      <c r="H21" t="s">
        <v>29</v>
      </c>
      <c r="I21" s="1">
        <f>ROUND(J9*J10,0)</f>
        <v>650</v>
      </c>
      <c r="J21" s="8">
        <v>6.27</v>
      </c>
      <c r="K21" s="9">
        <f>ROUND(I21*J21,2)</f>
        <v>4075.5</v>
      </c>
      <c r="L21" s="1">
        <f>ROUND(M9*M10,0)</f>
        <v>650</v>
      </c>
      <c r="M21" s="8">
        <v>6.93</v>
      </c>
      <c r="N21" s="9">
        <f>ROUND(L21*M21,2)</f>
        <v>4504.5</v>
      </c>
      <c r="O21" s="1">
        <f>ROUND(P9*P10,0)</f>
        <v>650</v>
      </c>
      <c r="P21" s="8">
        <v>6.05</v>
      </c>
      <c r="Q21" s="9">
        <f>ROUND(O21*P21,2)</f>
        <v>3932.5</v>
      </c>
      <c r="R21" s="1">
        <f>ROUND(S9*S10,0)</f>
        <v>650</v>
      </c>
      <c r="S21" s="8">
        <v>7</v>
      </c>
      <c r="T21" s="9">
        <f>ROUND(R21*S21,2)</f>
        <v>4550</v>
      </c>
    </row>
    <row r="22" spans="1:20" x14ac:dyDescent="0.2">
      <c r="A22" s="1">
        <f t="shared" si="0"/>
        <v>22</v>
      </c>
      <c r="B22" t="s">
        <v>31</v>
      </c>
      <c r="C22" s="1">
        <f>ROUND(D11*0.5,0)</f>
        <v>196000</v>
      </c>
      <c r="D22" s="6">
        <v>5.0899E-2</v>
      </c>
      <c r="E22" s="9">
        <f>ROUND(C22*D22,0)</f>
        <v>9976</v>
      </c>
      <c r="I22" s="1"/>
      <c r="J22" s="8"/>
      <c r="K22" s="9"/>
      <c r="L22" s="1"/>
      <c r="M22" s="8"/>
      <c r="N22" s="9"/>
      <c r="O22" s="1"/>
      <c r="P22" s="8"/>
      <c r="Q22" s="9"/>
      <c r="R22" s="1"/>
      <c r="S22" s="8"/>
      <c r="T22" s="9"/>
    </row>
    <row r="23" spans="1:20" x14ac:dyDescent="0.2">
      <c r="A23" s="1">
        <f t="shared" si="0"/>
        <v>23</v>
      </c>
      <c r="B23" t="s">
        <v>32</v>
      </c>
      <c r="C23" s="1">
        <f>ROUND(D11*0.5,0)</f>
        <v>196000</v>
      </c>
      <c r="D23" s="6">
        <v>4.2174000000000003E-2</v>
      </c>
      <c r="E23" s="9">
        <f>ROUND(C23*D23,0)</f>
        <v>8266</v>
      </c>
      <c r="H23" t="s">
        <v>53</v>
      </c>
      <c r="I23" s="1">
        <f>ROUND(J11*(1-J14),0)</f>
        <v>371004</v>
      </c>
      <c r="J23" s="6">
        <v>5.2569999999999999E-2</v>
      </c>
      <c r="K23" s="9">
        <f>ROUND(I23*J23,2)</f>
        <v>19503.68</v>
      </c>
      <c r="L23" s="1">
        <f>ROUND(M11*(1-M14),0)</f>
        <v>377888</v>
      </c>
      <c r="M23" s="6">
        <v>5.1330000000000001E-2</v>
      </c>
      <c r="N23" s="9">
        <f>ROUND(L23*M23,2)</f>
        <v>19396.990000000002</v>
      </c>
      <c r="O23" s="1">
        <f>ROUND(P11*(1-P14),0)</f>
        <v>378366</v>
      </c>
      <c r="P23" s="6">
        <v>6.1670000000000003E-2</v>
      </c>
      <c r="Q23" s="9">
        <f>ROUND(O23*P23,2)</f>
        <v>23333.83</v>
      </c>
      <c r="R23" s="1">
        <f>ROUND(S11*(1-S14),0)</f>
        <v>372118</v>
      </c>
      <c r="S23" s="6">
        <v>5.7579999999999999E-2</v>
      </c>
      <c r="T23" s="9">
        <f>ROUND(R23*S23,2)</f>
        <v>21426.55</v>
      </c>
    </row>
    <row r="24" spans="1:20" x14ac:dyDescent="0.2">
      <c r="A24" s="1">
        <f t="shared" si="0"/>
        <v>24</v>
      </c>
      <c r="E24" s="9"/>
      <c r="I24" s="1"/>
      <c r="K24" s="9"/>
      <c r="L24" s="1"/>
      <c r="N24" s="9"/>
      <c r="O24" s="1"/>
      <c r="Q24" s="9"/>
      <c r="R24" s="1"/>
      <c r="T24" s="9"/>
    </row>
    <row r="25" spans="1:20" x14ac:dyDescent="0.2">
      <c r="A25" s="1">
        <f t="shared" si="0"/>
        <v>25</v>
      </c>
      <c r="B25" t="s">
        <v>35</v>
      </c>
      <c r="C25" s="1">
        <f>D11</f>
        <v>392000</v>
      </c>
      <c r="D25" s="6">
        <v>-2.0799999999999998E-3</v>
      </c>
      <c r="E25" s="10">
        <f>ROUND(C25*D25,0)</f>
        <v>-815</v>
      </c>
      <c r="H25" t="s">
        <v>35</v>
      </c>
      <c r="I25" s="1">
        <f>I23</f>
        <v>371004</v>
      </c>
      <c r="J25" s="6">
        <f>Background!C29</f>
        <v>-3.3099999999999996E-3</v>
      </c>
      <c r="K25" s="10">
        <f>ROUND(I25*J25,2)</f>
        <v>-1228.02</v>
      </c>
      <c r="L25" s="1">
        <f>L23</f>
        <v>377888</v>
      </c>
      <c r="M25" s="6">
        <f>Background!D29</f>
        <v>-2.8410000000000002E-3</v>
      </c>
      <c r="N25" s="10">
        <f>ROUND(L25*M25,2)</f>
        <v>-1073.58</v>
      </c>
      <c r="O25" s="1">
        <f>O23</f>
        <v>378366</v>
      </c>
      <c r="P25" s="6">
        <f>Background!E29</f>
        <v>-2.9830000000000004E-3</v>
      </c>
      <c r="Q25" s="10">
        <f>ROUND(O25*P25,2)</f>
        <v>-1128.67</v>
      </c>
      <c r="R25" s="1">
        <f>R23</f>
        <v>372118</v>
      </c>
      <c r="S25" s="6">
        <f>Background!F29</f>
        <v>-3.2440000000000004E-3</v>
      </c>
      <c r="T25" s="10">
        <f>ROUND(R25*S25,2)</f>
        <v>-1207.1500000000001</v>
      </c>
    </row>
    <row r="26" spans="1:20" x14ac:dyDescent="0.2">
      <c r="A26" s="1">
        <f t="shared" si="0"/>
        <v>26</v>
      </c>
      <c r="E26" s="9"/>
      <c r="I26" s="1"/>
      <c r="K26" s="9"/>
      <c r="L26" s="8"/>
      <c r="N26" s="9"/>
      <c r="O26" s="8"/>
      <c r="Q26" s="9"/>
      <c r="R26" s="8"/>
      <c r="T26" s="9"/>
    </row>
    <row r="27" spans="1:20" x14ac:dyDescent="0.2">
      <c r="A27" s="1">
        <f t="shared" si="0"/>
        <v>27</v>
      </c>
      <c r="B27" t="s">
        <v>36</v>
      </c>
      <c r="E27" s="9">
        <f>SUM(E19:E25)</f>
        <v>21340</v>
      </c>
      <c r="H27" t="s">
        <v>36</v>
      </c>
      <c r="I27" s="1"/>
      <c r="K27" s="9">
        <f>SUM(K19:K25)</f>
        <v>22444.44</v>
      </c>
      <c r="L27" s="8"/>
      <c r="N27" s="9">
        <f>SUM(N19:N25)</f>
        <v>22893.42</v>
      </c>
      <c r="O27" s="8"/>
      <c r="Q27" s="9">
        <f>SUM(Q19:Q25)</f>
        <v>26189.840000000004</v>
      </c>
      <c r="R27" s="8"/>
      <c r="T27" s="9">
        <f>SUM(T19:T25)</f>
        <v>24819.399999999998</v>
      </c>
    </row>
    <row r="28" spans="1:20" x14ac:dyDescent="0.2">
      <c r="A28" s="1">
        <f t="shared" si="0"/>
        <v>28</v>
      </c>
      <c r="E28" s="9"/>
      <c r="I28" s="1"/>
      <c r="K28" s="9"/>
      <c r="L28" s="8"/>
      <c r="N28" s="9"/>
      <c r="O28" s="8"/>
      <c r="Q28" s="9"/>
      <c r="R28" s="8"/>
      <c r="T28" s="9"/>
    </row>
    <row r="29" spans="1:20" x14ac:dyDescent="0.2">
      <c r="A29" s="1">
        <f t="shared" si="0"/>
        <v>29</v>
      </c>
      <c r="B29" t="s">
        <v>37</v>
      </c>
      <c r="D29" s="7">
        <v>0.15290000000000001</v>
      </c>
      <c r="E29" s="10">
        <f>ROUND(E27*D29,0)</f>
        <v>3263</v>
      </c>
      <c r="H29" t="s">
        <v>37</v>
      </c>
      <c r="I29" s="1"/>
      <c r="J29" s="7">
        <f>Background!C51</f>
        <v>0.10050000000000001</v>
      </c>
      <c r="K29" s="10">
        <f>ROUND(K27*J29,2)</f>
        <v>2255.67</v>
      </c>
      <c r="L29" s="8"/>
      <c r="M29" s="7">
        <f>Background!D51</f>
        <v>0.1125</v>
      </c>
      <c r="N29" s="10">
        <f>ROUND(N27*M29,2)</f>
        <v>2575.5100000000002</v>
      </c>
      <c r="O29" s="8"/>
      <c r="P29" s="7">
        <f>Background!E51</f>
        <v>0.1115</v>
      </c>
      <c r="Q29" s="10">
        <f>ROUND(Q27*P29,2)</f>
        <v>2920.17</v>
      </c>
      <c r="R29" s="8"/>
      <c r="S29" s="7">
        <f>Background!F51</f>
        <v>0.1076</v>
      </c>
      <c r="T29" s="10">
        <f>ROUND(T27*S29,2)</f>
        <v>2670.57</v>
      </c>
    </row>
    <row r="30" spans="1:20" x14ac:dyDescent="0.2">
      <c r="A30" s="1">
        <f t="shared" si="0"/>
        <v>30</v>
      </c>
      <c r="E30" s="9"/>
      <c r="I30" s="1"/>
      <c r="K30" s="9"/>
      <c r="L30" s="8"/>
      <c r="N30" s="9"/>
      <c r="O30" s="8"/>
      <c r="Q30" s="9"/>
      <c r="R30" s="8"/>
      <c r="T30" s="9"/>
    </row>
    <row r="31" spans="1:20" ht="15" thickBot="1" x14ac:dyDescent="0.25">
      <c r="A31" s="1">
        <f t="shared" si="0"/>
        <v>31</v>
      </c>
      <c r="B31" t="s">
        <v>38</v>
      </c>
      <c r="E31" s="11">
        <f>E27+E29</f>
        <v>24603</v>
      </c>
      <c r="H31" t="s">
        <v>38</v>
      </c>
      <c r="I31" s="1"/>
      <c r="K31" s="11">
        <f>K27+K29</f>
        <v>24700.11</v>
      </c>
      <c r="L31" s="8"/>
      <c r="N31" s="11">
        <f>N27+N29</f>
        <v>25468.93</v>
      </c>
      <c r="O31" s="8"/>
      <c r="Q31" s="11">
        <f>Q27+Q29</f>
        <v>29110.010000000002</v>
      </c>
      <c r="R31" s="8"/>
      <c r="T31" s="11">
        <f>T27+T29</f>
        <v>27489.969999999998</v>
      </c>
    </row>
    <row r="32" spans="1:20" ht="15" thickTop="1" x14ac:dyDescent="0.2">
      <c r="A32" s="1">
        <f t="shared" si="0"/>
        <v>32</v>
      </c>
      <c r="K32" s="9"/>
      <c r="N32" s="9"/>
      <c r="Q32" s="9"/>
      <c r="T32" s="9"/>
    </row>
    <row r="33" spans="1:20" ht="15" thickBot="1" x14ac:dyDescent="0.25">
      <c r="A33" s="1">
        <f t="shared" si="0"/>
        <v>33</v>
      </c>
      <c r="H33" t="s">
        <v>104</v>
      </c>
      <c r="K33" s="11">
        <f>K31-$E31</f>
        <v>97.110000000000582</v>
      </c>
      <c r="N33" s="11">
        <f>N31-$E31</f>
        <v>865.93000000000029</v>
      </c>
      <c r="Q33" s="11">
        <f>Q31-$E31</f>
        <v>4507.010000000002</v>
      </c>
      <c r="T33" s="11">
        <f>T31-$E31</f>
        <v>2886.9699999999975</v>
      </c>
    </row>
    <row r="34" spans="1:20" ht="15" thickTop="1" x14ac:dyDescent="0.2">
      <c r="A34" s="1">
        <f t="shared" si="0"/>
        <v>34</v>
      </c>
      <c r="N34" s="9"/>
    </row>
    <row r="35" spans="1:20" x14ac:dyDescent="0.2">
      <c r="A35" s="1">
        <f t="shared" si="0"/>
        <v>35</v>
      </c>
    </row>
    <row r="36" spans="1:20" x14ac:dyDescent="0.2">
      <c r="A36" s="1">
        <f t="shared" si="0"/>
        <v>36</v>
      </c>
      <c r="B36" t="s">
        <v>106</v>
      </c>
      <c r="G36" t="s">
        <v>107</v>
      </c>
    </row>
    <row r="37" spans="1:20" x14ac:dyDescent="0.2">
      <c r="A37" s="1">
        <f t="shared" si="0"/>
        <v>37</v>
      </c>
      <c r="I37" s="113" t="s">
        <v>269</v>
      </c>
      <c r="J37" s="114"/>
      <c r="K37" s="115"/>
      <c r="L37" s="113" t="s">
        <v>270</v>
      </c>
      <c r="M37" s="114"/>
      <c r="N37" s="115"/>
      <c r="O37" s="113" t="s">
        <v>271</v>
      </c>
      <c r="P37" s="114"/>
      <c r="Q37" s="115"/>
      <c r="R37" s="113" t="s">
        <v>272</v>
      </c>
      <c r="S37" s="114"/>
      <c r="T37" s="115"/>
    </row>
    <row r="38" spans="1:20" ht="15" thickBot="1" x14ac:dyDescent="0.25">
      <c r="A38" s="1">
        <f t="shared" si="0"/>
        <v>38</v>
      </c>
      <c r="C38" s="4" t="s">
        <v>26</v>
      </c>
      <c r="D38" s="4" t="s">
        <v>27</v>
      </c>
      <c r="E38" s="4" t="s">
        <v>28</v>
      </c>
      <c r="I38" s="4" t="s">
        <v>26</v>
      </c>
      <c r="J38" s="4" t="s">
        <v>27</v>
      </c>
      <c r="K38" s="4" t="s">
        <v>28</v>
      </c>
      <c r="L38" s="4" t="s">
        <v>26</v>
      </c>
      <c r="M38" s="4" t="s">
        <v>27</v>
      </c>
      <c r="N38" s="4" t="s">
        <v>28</v>
      </c>
      <c r="O38" s="4" t="s">
        <v>26</v>
      </c>
      <c r="P38" s="4" t="s">
        <v>27</v>
      </c>
      <c r="Q38" s="4" t="s">
        <v>28</v>
      </c>
      <c r="R38" s="4" t="s">
        <v>26</v>
      </c>
      <c r="S38" s="4" t="s">
        <v>27</v>
      </c>
      <c r="T38" s="4" t="s">
        <v>28</v>
      </c>
    </row>
    <row r="39" spans="1:20" x14ac:dyDescent="0.2">
      <c r="A39" s="1">
        <f t="shared" si="0"/>
        <v>39</v>
      </c>
    </row>
    <row r="40" spans="1:20" x14ac:dyDescent="0.2">
      <c r="A40" s="1">
        <f t="shared" si="0"/>
        <v>40</v>
      </c>
      <c r="B40" t="s">
        <v>247</v>
      </c>
      <c r="E40" s="9"/>
      <c r="G40" t="s">
        <v>247</v>
      </c>
      <c r="I40" s="1"/>
      <c r="K40" s="9"/>
      <c r="L40" s="1"/>
      <c r="N40" s="9"/>
      <c r="O40" s="1"/>
      <c r="Q40" s="9"/>
      <c r="R40" s="1"/>
      <c r="T40" s="9"/>
    </row>
    <row r="41" spans="1:20" x14ac:dyDescent="0.2">
      <c r="A41" s="1">
        <f t="shared" si="0"/>
        <v>41</v>
      </c>
      <c r="E41" s="9"/>
      <c r="I41" s="1"/>
      <c r="K41" s="9"/>
      <c r="L41" s="1"/>
      <c r="N41" s="9"/>
      <c r="O41" s="1"/>
      <c r="Q41" s="9"/>
      <c r="R41" s="1"/>
      <c r="T41" s="9"/>
    </row>
    <row r="42" spans="1:20" ht="15" x14ac:dyDescent="0.25">
      <c r="A42" s="1">
        <f t="shared" si="0"/>
        <v>42</v>
      </c>
      <c r="B42" t="s">
        <v>266</v>
      </c>
      <c r="C42" s="1">
        <f>D13</f>
        <v>145666.66666666666</v>
      </c>
      <c r="D42" s="111">
        <f>FCR!K12/(D10/12)</f>
        <v>7.3285860752785301E-2</v>
      </c>
      <c r="E42" s="10">
        <f>C42*D42</f>
        <v>10675.307049655725</v>
      </c>
      <c r="G42" t="s">
        <v>266</v>
      </c>
      <c r="I42" s="1">
        <f>J13</f>
        <v>145666.66666666666</v>
      </c>
      <c r="J42" s="6">
        <f>D42</f>
        <v>7.3285860752785301E-2</v>
      </c>
      <c r="K42" s="10">
        <f>I42*J42</f>
        <v>10675.307049655725</v>
      </c>
      <c r="L42" s="1">
        <f>M13</f>
        <v>145666.66666666666</v>
      </c>
      <c r="M42" s="6">
        <f>D42</f>
        <v>7.3285860752785301E-2</v>
      </c>
      <c r="N42" s="10">
        <f>L42*M42</f>
        <v>10675.307049655725</v>
      </c>
      <c r="O42" s="1">
        <f>P13</f>
        <v>145666.66666666666</v>
      </c>
      <c r="P42" s="6">
        <f>D42</f>
        <v>7.3285860752785301E-2</v>
      </c>
      <c r="Q42" s="10">
        <f>O42*P42</f>
        <v>10675.307049655725</v>
      </c>
      <c r="R42" s="1">
        <f>S13</f>
        <v>145666.66666666666</v>
      </c>
      <c r="S42" s="6">
        <f>D42</f>
        <v>7.3285860752785301E-2</v>
      </c>
      <c r="T42" s="10">
        <f>R42*S42</f>
        <v>10675.307049655725</v>
      </c>
    </row>
    <row r="43" spans="1:20" x14ac:dyDescent="0.2">
      <c r="A43" s="1">
        <f t="shared" si="0"/>
        <v>43</v>
      </c>
      <c r="I43" s="1"/>
      <c r="K43" s="9"/>
      <c r="L43" s="1"/>
      <c r="N43" s="9"/>
      <c r="O43" s="1"/>
      <c r="Q43" s="9"/>
      <c r="R43" s="1"/>
      <c r="T43" s="9"/>
    </row>
    <row r="44" spans="1:20" x14ac:dyDescent="0.2">
      <c r="A44" s="1">
        <f t="shared" si="0"/>
        <v>44</v>
      </c>
      <c r="B44" t="s">
        <v>249</v>
      </c>
      <c r="C44" s="1"/>
      <c r="E44" s="9"/>
      <c r="G44" t="s">
        <v>249</v>
      </c>
      <c r="I44" s="1"/>
      <c r="K44" s="9"/>
      <c r="L44" s="1"/>
      <c r="N44" s="9"/>
      <c r="O44" s="1"/>
      <c r="Q44" s="9"/>
      <c r="R44" s="1"/>
      <c r="T44" s="9"/>
    </row>
    <row r="45" spans="1:20" x14ac:dyDescent="0.2">
      <c r="A45" s="1">
        <f t="shared" si="0"/>
        <v>45</v>
      </c>
      <c r="B45" t="s">
        <v>248</v>
      </c>
      <c r="C45" s="1">
        <f>D13</f>
        <v>145666.66666666666</v>
      </c>
      <c r="D45" s="6">
        <v>2.776E-2</v>
      </c>
      <c r="E45" s="9">
        <f>C45*D45</f>
        <v>4043.7066666666665</v>
      </c>
      <c r="G45" t="s">
        <v>248</v>
      </c>
      <c r="I45" s="1">
        <f>J13</f>
        <v>145666.66666666666</v>
      </c>
      <c r="J45" s="6">
        <v>2.776E-2</v>
      </c>
      <c r="K45" s="9">
        <f>I45*J45</f>
        <v>4043.7066666666665</v>
      </c>
      <c r="L45" s="1">
        <f>M13</f>
        <v>145666.66666666666</v>
      </c>
      <c r="M45" s="6">
        <f>J45</f>
        <v>2.776E-2</v>
      </c>
      <c r="N45" s="9">
        <f>L45*M45</f>
        <v>4043.7066666666665</v>
      </c>
      <c r="O45" s="1">
        <f>P13</f>
        <v>145666.66666666666</v>
      </c>
      <c r="P45" s="6">
        <f>J45</f>
        <v>2.776E-2</v>
      </c>
      <c r="Q45" s="9">
        <f>O45*P45</f>
        <v>4043.7066666666665</v>
      </c>
      <c r="R45" s="1">
        <f>S13</f>
        <v>145666.66666666666</v>
      </c>
      <c r="S45" s="6">
        <f>J45</f>
        <v>2.776E-2</v>
      </c>
      <c r="T45" s="9">
        <f>R45*S45</f>
        <v>4043.7066666666665</v>
      </c>
    </row>
    <row r="46" spans="1:20" x14ac:dyDescent="0.2">
      <c r="A46" s="1">
        <f t="shared" si="0"/>
        <v>46</v>
      </c>
      <c r="B46" t="s">
        <v>250</v>
      </c>
      <c r="C46" s="1">
        <f>D13</f>
        <v>145666.66666666666</v>
      </c>
      <c r="D46" s="6">
        <v>-2.0799999999999998E-3</v>
      </c>
      <c r="E46" s="10">
        <f>C46*D46</f>
        <v>-302.98666666666662</v>
      </c>
      <c r="G46" t="s">
        <v>250</v>
      </c>
      <c r="I46" s="1">
        <f>J13</f>
        <v>145666.66666666666</v>
      </c>
      <c r="J46" s="6">
        <v>-2.0799999999999998E-3</v>
      </c>
      <c r="K46" s="10">
        <f>I46*J46</f>
        <v>-302.98666666666662</v>
      </c>
      <c r="L46" s="1">
        <f>M13</f>
        <v>145666.66666666666</v>
      </c>
      <c r="M46" s="6">
        <f>J46</f>
        <v>-2.0799999999999998E-3</v>
      </c>
      <c r="N46" s="10">
        <f>L46*M46</f>
        <v>-302.98666666666662</v>
      </c>
      <c r="O46" s="1">
        <f>P13</f>
        <v>145666.66666666666</v>
      </c>
      <c r="P46" s="6">
        <f>J46</f>
        <v>-2.0799999999999998E-3</v>
      </c>
      <c r="Q46" s="10">
        <f>O46*P46</f>
        <v>-302.98666666666662</v>
      </c>
      <c r="R46" s="1">
        <f>S13</f>
        <v>145666.66666666666</v>
      </c>
      <c r="S46" s="6">
        <f>J46</f>
        <v>-2.0799999999999998E-3</v>
      </c>
      <c r="T46" s="10">
        <f>R46*S46</f>
        <v>-302.98666666666662</v>
      </c>
    </row>
    <row r="47" spans="1:20" x14ac:dyDescent="0.2">
      <c r="A47" s="1">
        <f t="shared" si="0"/>
        <v>47</v>
      </c>
      <c r="B47" t="s">
        <v>253</v>
      </c>
      <c r="C47" s="1"/>
      <c r="E47" s="112">
        <f>E45+E46</f>
        <v>3740.72</v>
      </c>
      <c r="G47" t="s">
        <v>253</v>
      </c>
      <c r="I47" s="1"/>
      <c r="K47" s="112">
        <f>K45+K46</f>
        <v>3740.72</v>
      </c>
      <c r="L47" s="1"/>
      <c r="N47" s="112">
        <f>N45+N46</f>
        <v>3740.72</v>
      </c>
      <c r="O47" s="1"/>
      <c r="Q47" s="112">
        <f>Q45+Q46</f>
        <v>3740.72</v>
      </c>
      <c r="R47" s="1"/>
      <c r="T47" s="112">
        <f>T45+T46</f>
        <v>3740.72</v>
      </c>
    </row>
    <row r="48" spans="1:20" x14ac:dyDescent="0.2">
      <c r="A48" s="1">
        <f t="shared" si="0"/>
        <v>48</v>
      </c>
      <c r="C48" s="1"/>
      <c r="E48" s="9"/>
      <c r="I48" s="1"/>
      <c r="K48" s="9"/>
      <c r="L48" s="1"/>
      <c r="N48" s="9"/>
      <c r="O48" s="1"/>
      <c r="Q48" s="9"/>
      <c r="R48" s="1"/>
      <c r="T48" s="9"/>
    </row>
    <row r="49" spans="1:20" x14ac:dyDescent="0.2">
      <c r="A49" s="1">
        <f t="shared" si="0"/>
        <v>49</v>
      </c>
      <c r="B49" t="s">
        <v>251</v>
      </c>
      <c r="C49" s="1"/>
      <c r="E49" s="9"/>
      <c r="G49" t="s">
        <v>251</v>
      </c>
      <c r="I49" s="1"/>
      <c r="K49" s="9"/>
      <c r="L49" s="1"/>
      <c r="N49" s="9"/>
      <c r="O49" s="1"/>
      <c r="Q49" s="9"/>
      <c r="R49" s="1"/>
      <c r="T49" s="9"/>
    </row>
    <row r="50" spans="1:20" x14ac:dyDescent="0.2">
      <c r="A50" s="1">
        <f t="shared" si="0"/>
        <v>50</v>
      </c>
      <c r="B50" t="s">
        <v>252</v>
      </c>
      <c r="C50" s="1"/>
      <c r="E50" s="9"/>
      <c r="G50" t="s">
        <v>252</v>
      </c>
      <c r="I50" s="1"/>
      <c r="K50" s="9"/>
      <c r="L50" s="1"/>
      <c r="N50" s="9"/>
      <c r="O50" s="1"/>
      <c r="Q50" s="9"/>
      <c r="R50" s="1"/>
      <c r="T50" s="9"/>
    </row>
    <row r="51" spans="1:20" x14ac:dyDescent="0.2">
      <c r="A51" s="1">
        <f t="shared" si="0"/>
        <v>51</v>
      </c>
      <c r="B51" t="s">
        <v>254</v>
      </c>
      <c r="C51" s="1"/>
      <c r="D51" s="7">
        <f>D29</f>
        <v>0.15290000000000001</v>
      </c>
      <c r="E51" s="9">
        <f>E47*D51</f>
        <v>571.95608800000002</v>
      </c>
      <c r="G51" t="s">
        <v>254</v>
      </c>
      <c r="I51" s="1"/>
      <c r="J51" s="7"/>
      <c r="K51" s="9">
        <f>E51</f>
        <v>571.95608800000002</v>
      </c>
      <c r="L51" s="1"/>
      <c r="M51" s="7"/>
      <c r="N51" s="9">
        <f>E51</f>
        <v>571.95608800000002</v>
      </c>
      <c r="O51" s="1"/>
      <c r="P51" s="7"/>
      <c r="Q51" s="9">
        <f>E51</f>
        <v>571.95608800000002</v>
      </c>
      <c r="R51" s="1"/>
      <c r="S51" s="7"/>
      <c r="T51" s="9">
        <f>E51</f>
        <v>571.95608800000002</v>
      </c>
    </row>
    <row r="52" spans="1:20" x14ac:dyDescent="0.2">
      <c r="A52" s="1">
        <f t="shared" si="0"/>
        <v>52</v>
      </c>
      <c r="B52" t="s">
        <v>257</v>
      </c>
      <c r="C52" s="1"/>
      <c r="D52" s="116">
        <f>Background!F74</f>
        <v>9.7500000000000003E-2</v>
      </c>
      <c r="E52" s="117">
        <f>E47*-D52</f>
        <v>-364.72019999999998</v>
      </c>
      <c r="G52" t="s">
        <v>257</v>
      </c>
      <c r="I52" s="1"/>
      <c r="J52" s="7"/>
      <c r="K52" s="117">
        <f>E52</f>
        <v>-364.72019999999998</v>
      </c>
      <c r="L52" s="1"/>
      <c r="M52" s="7"/>
      <c r="N52" s="117">
        <f>E52</f>
        <v>-364.72019999999998</v>
      </c>
      <c r="O52" s="1"/>
      <c r="P52" s="7"/>
      <c r="Q52" s="117">
        <f>E52</f>
        <v>-364.72019999999998</v>
      </c>
      <c r="R52" s="1"/>
      <c r="S52" s="7"/>
      <c r="T52" s="117">
        <f>E52</f>
        <v>-364.72019999999998</v>
      </c>
    </row>
    <row r="53" spans="1:20" x14ac:dyDescent="0.2">
      <c r="A53" s="1">
        <f t="shared" si="0"/>
        <v>53</v>
      </c>
      <c r="B53" t="s">
        <v>255</v>
      </c>
      <c r="C53" s="1"/>
      <c r="E53" s="118">
        <f>E51+E52</f>
        <v>207.23588800000005</v>
      </c>
      <c r="G53" t="s">
        <v>255</v>
      </c>
      <c r="I53" s="1"/>
      <c r="K53" s="118">
        <f>K51+K52</f>
        <v>207.23588800000005</v>
      </c>
      <c r="L53" s="1"/>
      <c r="N53" s="118">
        <f>N51+N52</f>
        <v>207.23588800000005</v>
      </c>
      <c r="O53" s="1"/>
      <c r="Q53" s="118">
        <f>Q51+Q52</f>
        <v>207.23588800000005</v>
      </c>
      <c r="R53" s="1"/>
      <c r="T53" s="118">
        <f>T51+T52</f>
        <v>207.23588800000005</v>
      </c>
    </row>
    <row r="54" spans="1:20" x14ac:dyDescent="0.2">
      <c r="A54" s="1">
        <f t="shared" si="0"/>
        <v>54</v>
      </c>
      <c r="C54" s="1"/>
      <c r="E54" s="9"/>
      <c r="I54" s="1"/>
      <c r="K54" s="9"/>
      <c r="L54" s="1"/>
      <c r="N54" s="9"/>
      <c r="O54" s="1"/>
      <c r="Q54" s="9"/>
      <c r="R54" s="1"/>
      <c r="T54" s="9"/>
    </row>
    <row r="55" spans="1:20" x14ac:dyDescent="0.2">
      <c r="A55" s="1">
        <f t="shared" si="0"/>
        <v>55</v>
      </c>
      <c r="B55" t="s">
        <v>256</v>
      </c>
      <c r="C55" s="80">
        <f>8.5/32300*D8*0.6*365/12</f>
        <v>18.25</v>
      </c>
      <c r="D55" s="9">
        <f>Background!K86</f>
        <v>130.62222222222221</v>
      </c>
      <c r="E55" s="10">
        <f>C55*D55</f>
        <v>2383.8555555555554</v>
      </c>
      <c r="G55" t="s">
        <v>256</v>
      </c>
      <c r="I55" s="1">
        <f>C55</f>
        <v>18.25</v>
      </c>
      <c r="J55" s="9">
        <f>D55</f>
        <v>130.62222222222221</v>
      </c>
      <c r="K55" s="10">
        <f>I55*J55</f>
        <v>2383.8555555555554</v>
      </c>
      <c r="L55" s="1">
        <f>C55</f>
        <v>18.25</v>
      </c>
      <c r="M55" s="9">
        <f>D55</f>
        <v>130.62222222222221</v>
      </c>
      <c r="N55" s="10">
        <f>L55*M55</f>
        <v>2383.8555555555554</v>
      </c>
      <c r="O55" s="1">
        <f>C55</f>
        <v>18.25</v>
      </c>
      <c r="P55" s="9">
        <f>D55</f>
        <v>130.62222222222221</v>
      </c>
      <c r="Q55" s="10">
        <f>O55*P55</f>
        <v>2383.8555555555554</v>
      </c>
      <c r="R55" s="1">
        <f>C55</f>
        <v>18.25</v>
      </c>
      <c r="S55" s="9">
        <f>D55</f>
        <v>130.62222222222221</v>
      </c>
      <c r="T55" s="10">
        <f>R55*S55</f>
        <v>2383.8555555555554</v>
      </c>
    </row>
    <row r="56" spans="1:20" x14ac:dyDescent="0.2">
      <c r="A56" s="1">
        <f t="shared" si="0"/>
        <v>56</v>
      </c>
      <c r="C56" s="1"/>
      <c r="E56" s="9"/>
      <c r="I56" s="1"/>
      <c r="K56" s="9"/>
      <c r="L56" s="1"/>
      <c r="N56" s="9"/>
      <c r="O56" s="1"/>
      <c r="Q56" s="9"/>
      <c r="R56" s="1"/>
      <c r="T56" s="9"/>
    </row>
    <row r="57" spans="1:20" x14ac:dyDescent="0.2">
      <c r="A57" s="1">
        <f t="shared" si="0"/>
        <v>57</v>
      </c>
      <c r="B57" t="s">
        <v>258</v>
      </c>
      <c r="C57" s="1"/>
      <c r="E57" s="9"/>
      <c r="G57" t="s">
        <v>258</v>
      </c>
      <c r="I57" s="1"/>
      <c r="K57" s="9"/>
      <c r="L57" s="1"/>
      <c r="N57" s="9"/>
      <c r="O57" s="1"/>
      <c r="Q57" s="9"/>
      <c r="R57" s="1"/>
      <c r="T57" s="9"/>
    </row>
    <row r="58" spans="1:20" x14ac:dyDescent="0.2">
      <c r="A58" s="1">
        <f t="shared" si="0"/>
        <v>58</v>
      </c>
      <c r="B58" t="s">
        <v>259</v>
      </c>
      <c r="C58" s="1"/>
      <c r="E58" s="9">
        <f>E31</f>
        <v>24603</v>
      </c>
      <c r="G58" t="s">
        <v>259</v>
      </c>
      <c r="I58" s="1"/>
      <c r="K58" s="9">
        <f>K31</f>
        <v>24700.11</v>
      </c>
      <c r="L58" s="1"/>
      <c r="N58" s="9">
        <f>N31</f>
        <v>25468.93</v>
      </c>
      <c r="O58" s="1"/>
      <c r="Q58" s="9">
        <f>Q31</f>
        <v>29110.010000000002</v>
      </c>
      <c r="R58" s="1"/>
      <c r="T58" s="9">
        <f>T31</f>
        <v>27489.969999999998</v>
      </c>
    </row>
    <row r="59" spans="1:20" x14ac:dyDescent="0.2">
      <c r="A59" s="1">
        <f t="shared" si="0"/>
        <v>59</v>
      </c>
      <c r="B59" t="s">
        <v>260</v>
      </c>
      <c r="C59" s="1"/>
      <c r="E59" s="9">
        <f>E42</f>
        <v>10675.307049655725</v>
      </c>
      <c r="G59" t="s">
        <v>260</v>
      </c>
      <c r="I59" s="1"/>
      <c r="K59" s="9">
        <f>K42</f>
        <v>10675.307049655725</v>
      </c>
      <c r="L59" s="1"/>
      <c r="N59" s="9">
        <f>N42</f>
        <v>10675.307049655725</v>
      </c>
      <c r="O59" s="1"/>
      <c r="Q59" s="9">
        <f>Q42</f>
        <v>10675.307049655725</v>
      </c>
      <c r="R59" s="1"/>
      <c r="T59" s="9">
        <f>T42</f>
        <v>10675.307049655725</v>
      </c>
    </row>
    <row r="60" spans="1:20" x14ac:dyDescent="0.2">
      <c r="A60" s="1">
        <f t="shared" si="0"/>
        <v>60</v>
      </c>
      <c r="B60" t="s">
        <v>261</v>
      </c>
      <c r="C60" s="1"/>
      <c r="E60" s="9">
        <f>-E47</f>
        <v>-3740.72</v>
      </c>
      <c r="G60" t="s">
        <v>261</v>
      </c>
      <c r="I60" s="1"/>
      <c r="K60" s="9">
        <f>-K47</f>
        <v>-3740.72</v>
      </c>
      <c r="L60" s="1"/>
      <c r="N60" s="9">
        <f>-N47</f>
        <v>-3740.72</v>
      </c>
      <c r="O60" s="1"/>
      <c r="Q60" s="9">
        <f>-Q47</f>
        <v>-3740.72</v>
      </c>
      <c r="R60" s="1"/>
      <c r="T60" s="9">
        <f>-T47</f>
        <v>-3740.72</v>
      </c>
    </row>
    <row r="61" spans="1:20" x14ac:dyDescent="0.2">
      <c r="A61" s="1">
        <f t="shared" si="0"/>
        <v>61</v>
      </c>
      <c r="B61" t="s">
        <v>262</v>
      </c>
      <c r="C61" s="1"/>
      <c r="E61" s="119">
        <f>-E53</f>
        <v>-207.23588800000005</v>
      </c>
      <c r="G61" t="s">
        <v>262</v>
      </c>
      <c r="I61" s="1"/>
      <c r="K61" s="119">
        <f>-K53</f>
        <v>-207.23588800000005</v>
      </c>
      <c r="L61" s="1"/>
      <c r="N61" s="119">
        <f>-N53</f>
        <v>-207.23588800000005</v>
      </c>
      <c r="O61" s="1"/>
      <c r="Q61" s="119">
        <f>-Q53</f>
        <v>-207.23588800000005</v>
      </c>
      <c r="R61" s="1"/>
      <c r="T61" s="119">
        <f>-T53</f>
        <v>-207.23588800000005</v>
      </c>
    </row>
    <row r="62" spans="1:20" x14ac:dyDescent="0.2">
      <c r="A62" s="1">
        <f t="shared" si="0"/>
        <v>62</v>
      </c>
      <c r="B62" t="s">
        <v>263</v>
      </c>
      <c r="C62" s="1"/>
      <c r="E62" s="10">
        <f>-E55</f>
        <v>-2383.8555555555554</v>
      </c>
      <c r="G62" t="s">
        <v>263</v>
      </c>
      <c r="I62" s="1"/>
      <c r="K62" s="10">
        <f>-K55</f>
        <v>-2383.8555555555554</v>
      </c>
      <c r="L62" s="1"/>
      <c r="N62" s="10">
        <f>-N55</f>
        <v>-2383.8555555555554</v>
      </c>
      <c r="O62" s="1"/>
      <c r="Q62" s="10">
        <f>-Q55</f>
        <v>-2383.8555555555554</v>
      </c>
      <c r="R62" s="1"/>
      <c r="T62" s="10">
        <f>-T55</f>
        <v>-2383.8555555555554</v>
      </c>
    </row>
    <row r="63" spans="1:20" x14ac:dyDescent="0.2">
      <c r="A63" s="1">
        <f t="shared" si="0"/>
        <v>63</v>
      </c>
      <c r="C63" s="1"/>
      <c r="E63" s="9"/>
      <c r="I63" s="1"/>
      <c r="K63" s="9"/>
      <c r="L63" s="1"/>
      <c r="N63" s="9"/>
      <c r="O63" s="1"/>
      <c r="Q63" s="9"/>
      <c r="R63" s="1"/>
      <c r="T63" s="9"/>
    </row>
    <row r="64" spans="1:20" ht="15" thickBot="1" x14ac:dyDescent="0.25">
      <c r="A64" s="1">
        <f t="shared" si="0"/>
        <v>64</v>
      </c>
      <c r="B64" t="s">
        <v>264</v>
      </c>
      <c r="C64" s="1"/>
      <c r="E64" s="120">
        <f>SUM(E58:E62)</f>
        <v>28946.495606100172</v>
      </c>
      <c r="G64" t="s">
        <v>264</v>
      </c>
      <c r="I64" s="1"/>
      <c r="K64" s="120">
        <f>SUM(K58:K62)</f>
        <v>29043.605606100173</v>
      </c>
      <c r="L64" s="1"/>
      <c r="N64" s="120">
        <f>SUM(N58:N62)</f>
        <v>29812.425606100172</v>
      </c>
      <c r="O64" s="1"/>
      <c r="Q64" s="120">
        <f>SUM(Q58:Q62)</f>
        <v>33453.505606100167</v>
      </c>
      <c r="R64" s="1"/>
      <c r="T64" s="120">
        <f>SUM(T58:T62)</f>
        <v>31833.465606100162</v>
      </c>
    </row>
    <row r="65" spans="1:20" ht="15" thickTop="1" x14ac:dyDescent="0.2">
      <c r="A65" s="1">
        <f t="shared" si="0"/>
        <v>65</v>
      </c>
      <c r="C65" s="1"/>
      <c r="E65" s="9"/>
      <c r="I65" s="1"/>
      <c r="K65" s="9"/>
      <c r="L65" s="1"/>
      <c r="N65" s="9"/>
      <c r="O65" s="1"/>
      <c r="Q65" s="9"/>
      <c r="R65" s="1"/>
      <c r="T65" s="9"/>
    </row>
    <row r="66" spans="1:20" x14ac:dyDescent="0.2">
      <c r="A66" s="1">
        <f t="shared" si="0"/>
        <v>66</v>
      </c>
      <c r="B66" t="s">
        <v>236</v>
      </c>
      <c r="C66" s="1"/>
      <c r="E66" s="9">
        <f>E31</f>
        <v>24603</v>
      </c>
      <c r="G66" t="s">
        <v>236</v>
      </c>
      <c r="I66" s="1"/>
      <c r="K66" s="9">
        <f>K31</f>
        <v>24700.11</v>
      </c>
      <c r="L66" s="1"/>
      <c r="N66" s="9">
        <f>N31</f>
        <v>25468.93</v>
      </c>
      <c r="O66" s="1"/>
      <c r="Q66" s="9">
        <f>Q31</f>
        <v>29110.010000000002</v>
      </c>
      <c r="R66" s="1"/>
      <c r="T66" s="9">
        <f>T31</f>
        <v>27489.969999999998</v>
      </c>
    </row>
    <row r="67" spans="1:20" x14ac:dyDescent="0.2">
      <c r="A67" s="1">
        <f t="shared" si="0"/>
        <v>67</v>
      </c>
      <c r="B67" t="s">
        <v>241</v>
      </c>
      <c r="C67" s="1"/>
      <c r="E67" s="117">
        <f>E64</f>
        <v>28946.495606100172</v>
      </c>
      <c r="G67" t="s">
        <v>241</v>
      </c>
      <c r="I67" s="1"/>
      <c r="K67" s="117">
        <f>K64</f>
        <v>29043.605606100173</v>
      </c>
      <c r="L67" s="1"/>
      <c r="N67" s="117">
        <f>N64</f>
        <v>29812.425606100172</v>
      </c>
      <c r="O67" s="1"/>
      <c r="Q67" s="117">
        <f>Q64</f>
        <v>33453.505606100167</v>
      </c>
      <c r="R67" s="1"/>
      <c r="T67" s="117">
        <f>T64</f>
        <v>31833.465606100162</v>
      </c>
    </row>
    <row r="68" spans="1:20" ht="15.75" thickBot="1" x14ac:dyDescent="0.3">
      <c r="A68" s="1">
        <f t="shared" si="0"/>
        <v>68</v>
      </c>
      <c r="B68" t="s">
        <v>265</v>
      </c>
      <c r="C68" s="1"/>
      <c r="D68" s="111">
        <f>E68/D13</f>
        <v>2.9818047639131619E-2</v>
      </c>
      <c r="E68" s="121">
        <f>E67-E66</f>
        <v>4343.4956061001722</v>
      </c>
      <c r="G68" t="s">
        <v>265</v>
      </c>
      <c r="I68" s="1"/>
      <c r="K68" s="121">
        <f>K67-K66</f>
        <v>4343.4956061001722</v>
      </c>
      <c r="L68" s="1"/>
      <c r="N68" s="121">
        <f>N67-N66</f>
        <v>4343.4956061001722</v>
      </c>
      <c r="O68" s="1"/>
      <c r="Q68" s="121">
        <f>Q67-Q66</f>
        <v>4343.4956061001649</v>
      </c>
      <c r="R68" s="1"/>
      <c r="T68" s="121">
        <f>T67-T66</f>
        <v>4343.4956061001649</v>
      </c>
    </row>
    <row r="69" spans="1:20" ht="15" thickTop="1" x14ac:dyDescent="0.2">
      <c r="A69" s="1">
        <f t="shared" si="0"/>
        <v>69</v>
      </c>
      <c r="C69" s="1"/>
      <c r="E69" s="9"/>
      <c r="I69" s="1"/>
      <c r="K69" s="9"/>
      <c r="L69" s="1"/>
      <c r="N69" s="9"/>
      <c r="O69" s="1"/>
      <c r="Q69" s="9"/>
      <c r="R69" s="1"/>
      <c r="T69" s="9"/>
    </row>
    <row r="70" spans="1:20" x14ac:dyDescent="0.2">
      <c r="A70" s="1">
        <f t="shared" si="0"/>
        <v>70</v>
      </c>
      <c r="C70" s="1"/>
      <c r="E70" s="9"/>
      <c r="I70" s="1"/>
      <c r="K70" s="9"/>
      <c r="L70" s="1"/>
      <c r="N70" s="9"/>
      <c r="O70" s="1"/>
      <c r="Q70" s="9"/>
      <c r="R70" s="1"/>
      <c r="T70" s="9"/>
    </row>
    <row r="71" spans="1:20" x14ac:dyDescent="0.2">
      <c r="A71" s="1">
        <f t="shared" ref="A71:A75" si="1">A70+1</f>
        <v>71</v>
      </c>
      <c r="E71" s="9"/>
      <c r="K71" s="13"/>
      <c r="N71" s="13"/>
      <c r="Q71" s="13"/>
      <c r="T71" s="13"/>
    </row>
    <row r="72" spans="1:20" x14ac:dyDescent="0.2">
      <c r="A72" s="1">
        <f t="shared" si="1"/>
        <v>72</v>
      </c>
      <c r="B72" s="15" t="s">
        <v>54</v>
      </c>
      <c r="C72" t="s">
        <v>55</v>
      </c>
    </row>
    <row r="73" spans="1:20" x14ac:dyDescent="0.2">
      <c r="A73" s="1">
        <f t="shared" si="1"/>
        <v>73</v>
      </c>
      <c r="C73" t="s">
        <v>123</v>
      </c>
    </row>
    <row r="74" spans="1:20" x14ac:dyDescent="0.2">
      <c r="A74" s="1">
        <f t="shared" si="1"/>
        <v>74</v>
      </c>
      <c r="C74" t="s">
        <v>246</v>
      </c>
    </row>
    <row r="75" spans="1:20" x14ac:dyDescent="0.2">
      <c r="A75" s="1">
        <f t="shared" si="1"/>
        <v>75</v>
      </c>
      <c r="C75" t="s">
        <v>125</v>
      </c>
    </row>
    <row r="76" spans="1:20" x14ac:dyDescent="0.2">
      <c r="A76" s="1"/>
    </row>
  </sheetData>
  <mergeCells count="8">
    <mergeCell ref="I6:K6"/>
    <mergeCell ref="L6:N6"/>
    <mergeCell ref="O6:Q6"/>
    <mergeCell ref="R6:T6"/>
    <mergeCell ref="I37:K37"/>
    <mergeCell ref="L37:N37"/>
    <mergeCell ref="O37:Q37"/>
    <mergeCell ref="R37:T37"/>
  </mergeCells>
  <pageMargins left="0.7" right="0.7" top="0.75" bottom="0.75" header="0.3" footer="0.3"/>
  <pageSetup scale="74" pageOrder="overThenDown" orientation="landscape" r:id="rId1"/>
  <rowBreaks count="1" manualBreakCount="1">
    <brk id="34"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72"/>
  <sheetViews>
    <sheetView zoomScaleNormal="100" workbookViewId="0">
      <selection activeCell="K10" sqref="K10"/>
    </sheetView>
  </sheetViews>
  <sheetFormatPr defaultRowHeight="12.75" x14ac:dyDescent="0.2"/>
  <cols>
    <col min="1" max="1" width="4.375" style="54" customWidth="1"/>
    <col min="2" max="2" width="4.5" style="43" bestFit="1" customWidth="1"/>
    <col min="3" max="3" width="11.875" style="43" customWidth="1"/>
    <col min="4" max="4" width="12.625" style="43" bestFit="1" customWidth="1"/>
    <col min="5" max="5" width="14.25" style="43" customWidth="1"/>
    <col min="6" max="6" width="12.625" style="43" bestFit="1" customWidth="1"/>
    <col min="7" max="8" width="15.125" style="43" customWidth="1"/>
    <col min="9" max="9" width="11.875" style="43" customWidth="1"/>
    <col min="10" max="10" width="14.125" style="43" bestFit="1" customWidth="1"/>
    <col min="11" max="11" width="12" style="43" bestFit="1" customWidth="1"/>
    <col min="12" max="12" width="12.5" style="43" customWidth="1"/>
    <col min="13" max="13" width="13.375" style="43" customWidth="1"/>
    <col min="14" max="14" width="14.125" style="43" bestFit="1" customWidth="1"/>
    <col min="15" max="15" width="13.125" style="43" customWidth="1"/>
    <col min="16" max="256" width="9" style="43"/>
    <col min="257" max="257" width="4.375" style="43" customWidth="1"/>
    <col min="258" max="258" width="12.375" style="43" customWidth="1"/>
    <col min="259" max="259" width="11.875" style="43" customWidth="1"/>
    <col min="260" max="260" width="12.625" style="43" bestFit="1" customWidth="1"/>
    <col min="261" max="261" width="14.25" style="43" customWidth="1"/>
    <col min="262" max="262" width="12.625" style="43" bestFit="1" customWidth="1"/>
    <col min="263" max="263" width="15.125" style="43" customWidth="1"/>
    <col min="264" max="264" width="11.25" style="43" customWidth="1"/>
    <col min="265" max="265" width="11.875" style="43" customWidth="1"/>
    <col min="266" max="266" width="14.125" style="43" bestFit="1" customWidth="1"/>
    <col min="267" max="267" width="12" style="43" bestFit="1" customWidth="1"/>
    <col min="268" max="268" width="12.5" style="43" customWidth="1"/>
    <col min="269" max="269" width="13.375" style="43" customWidth="1"/>
    <col min="270" max="270" width="14.125" style="43" bestFit="1" customWidth="1"/>
    <col min="271" max="271" width="13.125" style="43" customWidth="1"/>
    <col min="272" max="512" width="9" style="43"/>
    <col min="513" max="513" width="4.375" style="43" customWidth="1"/>
    <col min="514" max="514" width="12.375" style="43" customWidth="1"/>
    <col min="515" max="515" width="11.875" style="43" customWidth="1"/>
    <col min="516" max="516" width="12.625" style="43" bestFit="1" customWidth="1"/>
    <col min="517" max="517" width="14.25" style="43" customWidth="1"/>
    <col min="518" max="518" width="12.625" style="43" bestFit="1" customWidth="1"/>
    <col min="519" max="519" width="15.125" style="43" customWidth="1"/>
    <col min="520" max="520" width="11.25" style="43" customWidth="1"/>
    <col min="521" max="521" width="11.875" style="43" customWidth="1"/>
    <col min="522" max="522" width="14.125" style="43" bestFit="1" customWidth="1"/>
    <col min="523" max="523" width="12" style="43" bestFit="1" customWidth="1"/>
    <col min="524" max="524" width="12.5" style="43" customWidth="1"/>
    <col min="525" max="525" width="13.375" style="43" customWidth="1"/>
    <col min="526" max="526" width="14.125" style="43" bestFit="1" customWidth="1"/>
    <col min="527" max="527" width="13.125" style="43" customWidth="1"/>
    <col min="528" max="768" width="9" style="43"/>
    <col min="769" max="769" width="4.375" style="43" customWidth="1"/>
    <col min="770" max="770" width="12.375" style="43" customWidth="1"/>
    <col min="771" max="771" width="11.875" style="43" customWidth="1"/>
    <col min="772" max="772" width="12.625" style="43" bestFit="1" customWidth="1"/>
    <col min="773" max="773" width="14.25" style="43" customWidth="1"/>
    <col min="774" max="774" width="12.625" style="43" bestFit="1" customWidth="1"/>
    <col min="775" max="775" width="15.125" style="43" customWidth="1"/>
    <col min="776" max="776" width="11.25" style="43" customWidth="1"/>
    <col min="777" max="777" width="11.875" style="43" customWidth="1"/>
    <col min="778" max="778" width="14.125" style="43" bestFit="1" customWidth="1"/>
    <col min="779" max="779" width="12" style="43" bestFit="1" customWidth="1"/>
    <col min="780" max="780" width="12.5" style="43" customWidth="1"/>
    <col min="781" max="781" width="13.375" style="43" customWidth="1"/>
    <col min="782" max="782" width="14.125" style="43" bestFit="1" customWidth="1"/>
    <col min="783" max="783" width="13.125" style="43" customWidth="1"/>
    <col min="784" max="1024" width="9" style="43"/>
    <col min="1025" max="1025" width="4.375" style="43" customWidth="1"/>
    <col min="1026" max="1026" width="12.375" style="43" customWidth="1"/>
    <col min="1027" max="1027" width="11.875" style="43" customWidth="1"/>
    <col min="1028" max="1028" width="12.625" style="43" bestFit="1" customWidth="1"/>
    <col min="1029" max="1029" width="14.25" style="43" customWidth="1"/>
    <col min="1030" max="1030" width="12.625" style="43" bestFit="1" customWidth="1"/>
    <col min="1031" max="1031" width="15.125" style="43" customWidth="1"/>
    <col min="1032" max="1032" width="11.25" style="43" customWidth="1"/>
    <col min="1033" max="1033" width="11.875" style="43" customWidth="1"/>
    <col min="1034" max="1034" width="14.125" style="43" bestFit="1" customWidth="1"/>
    <col min="1035" max="1035" width="12" style="43" bestFit="1" customWidth="1"/>
    <col min="1036" max="1036" width="12.5" style="43" customWidth="1"/>
    <col min="1037" max="1037" width="13.375" style="43" customWidth="1"/>
    <col min="1038" max="1038" width="14.125" style="43" bestFit="1" customWidth="1"/>
    <col min="1039" max="1039" width="13.125" style="43" customWidth="1"/>
    <col min="1040" max="1280" width="9" style="43"/>
    <col min="1281" max="1281" width="4.375" style="43" customWidth="1"/>
    <col min="1282" max="1282" width="12.375" style="43" customWidth="1"/>
    <col min="1283" max="1283" width="11.875" style="43" customWidth="1"/>
    <col min="1284" max="1284" width="12.625" style="43" bestFit="1" customWidth="1"/>
    <col min="1285" max="1285" width="14.25" style="43" customWidth="1"/>
    <col min="1286" max="1286" width="12.625" style="43" bestFit="1" customWidth="1"/>
    <col min="1287" max="1287" width="15.125" style="43" customWidth="1"/>
    <col min="1288" max="1288" width="11.25" style="43" customWidth="1"/>
    <col min="1289" max="1289" width="11.875" style="43" customWidth="1"/>
    <col min="1290" max="1290" width="14.125" style="43" bestFit="1" customWidth="1"/>
    <col min="1291" max="1291" width="12" style="43" bestFit="1" customWidth="1"/>
    <col min="1292" max="1292" width="12.5" style="43" customWidth="1"/>
    <col min="1293" max="1293" width="13.375" style="43" customWidth="1"/>
    <col min="1294" max="1294" width="14.125" style="43" bestFit="1" customWidth="1"/>
    <col min="1295" max="1295" width="13.125" style="43" customWidth="1"/>
    <col min="1296" max="1536" width="9" style="43"/>
    <col min="1537" max="1537" width="4.375" style="43" customWidth="1"/>
    <col min="1538" max="1538" width="12.375" style="43" customWidth="1"/>
    <col min="1539" max="1539" width="11.875" style="43" customWidth="1"/>
    <col min="1540" max="1540" width="12.625" style="43" bestFit="1" customWidth="1"/>
    <col min="1541" max="1541" width="14.25" style="43" customWidth="1"/>
    <col min="1542" max="1542" width="12.625" style="43" bestFit="1" customWidth="1"/>
    <col min="1543" max="1543" width="15.125" style="43" customWidth="1"/>
    <col min="1544" max="1544" width="11.25" style="43" customWidth="1"/>
    <col min="1545" max="1545" width="11.875" style="43" customWidth="1"/>
    <col min="1546" max="1546" width="14.125" style="43" bestFit="1" customWidth="1"/>
    <col min="1547" max="1547" width="12" style="43" bestFit="1" customWidth="1"/>
    <col min="1548" max="1548" width="12.5" style="43" customWidth="1"/>
    <col min="1549" max="1549" width="13.375" style="43" customWidth="1"/>
    <col min="1550" max="1550" width="14.125" style="43" bestFit="1" customWidth="1"/>
    <col min="1551" max="1551" width="13.125" style="43" customWidth="1"/>
    <col min="1552" max="1792" width="9" style="43"/>
    <col min="1793" max="1793" width="4.375" style="43" customWidth="1"/>
    <col min="1794" max="1794" width="12.375" style="43" customWidth="1"/>
    <col min="1795" max="1795" width="11.875" style="43" customWidth="1"/>
    <col min="1796" max="1796" width="12.625" style="43" bestFit="1" customWidth="1"/>
    <col min="1797" max="1797" width="14.25" style="43" customWidth="1"/>
    <col min="1798" max="1798" width="12.625" style="43" bestFit="1" customWidth="1"/>
    <col min="1799" max="1799" width="15.125" style="43" customWidth="1"/>
    <col min="1800" max="1800" width="11.25" style="43" customWidth="1"/>
    <col min="1801" max="1801" width="11.875" style="43" customWidth="1"/>
    <col min="1802" max="1802" width="14.125" style="43" bestFit="1" customWidth="1"/>
    <col min="1803" max="1803" width="12" style="43" bestFit="1" customWidth="1"/>
    <col min="1804" max="1804" width="12.5" style="43" customWidth="1"/>
    <col min="1805" max="1805" width="13.375" style="43" customWidth="1"/>
    <col min="1806" max="1806" width="14.125" style="43" bestFit="1" customWidth="1"/>
    <col min="1807" max="1807" width="13.125" style="43" customWidth="1"/>
    <col min="1808" max="2048" width="9" style="43"/>
    <col min="2049" max="2049" width="4.375" style="43" customWidth="1"/>
    <col min="2050" max="2050" width="12.375" style="43" customWidth="1"/>
    <col min="2051" max="2051" width="11.875" style="43" customWidth="1"/>
    <col min="2052" max="2052" width="12.625" style="43" bestFit="1" customWidth="1"/>
    <col min="2053" max="2053" width="14.25" style="43" customWidth="1"/>
    <col min="2054" max="2054" width="12.625" style="43" bestFit="1" customWidth="1"/>
    <col min="2055" max="2055" width="15.125" style="43" customWidth="1"/>
    <col min="2056" max="2056" width="11.25" style="43" customWidth="1"/>
    <col min="2057" max="2057" width="11.875" style="43" customWidth="1"/>
    <col min="2058" max="2058" width="14.125" style="43" bestFit="1" customWidth="1"/>
    <col min="2059" max="2059" width="12" style="43" bestFit="1" customWidth="1"/>
    <col min="2060" max="2060" width="12.5" style="43" customWidth="1"/>
    <col min="2061" max="2061" width="13.375" style="43" customWidth="1"/>
    <col min="2062" max="2062" width="14.125" style="43" bestFit="1" customWidth="1"/>
    <col min="2063" max="2063" width="13.125" style="43" customWidth="1"/>
    <col min="2064" max="2304" width="9" style="43"/>
    <col min="2305" max="2305" width="4.375" style="43" customWidth="1"/>
    <col min="2306" max="2306" width="12.375" style="43" customWidth="1"/>
    <col min="2307" max="2307" width="11.875" style="43" customWidth="1"/>
    <col min="2308" max="2308" width="12.625" style="43" bestFit="1" customWidth="1"/>
    <col min="2309" max="2309" width="14.25" style="43" customWidth="1"/>
    <col min="2310" max="2310" width="12.625" style="43" bestFit="1" customWidth="1"/>
    <col min="2311" max="2311" width="15.125" style="43" customWidth="1"/>
    <col min="2312" max="2312" width="11.25" style="43" customWidth="1"/>
    <col min="2313" max="2313" width="11.875" style="43" customWidth="1"/>
    <col min="2314" max="2314" width="14.125" style="43" bestFit="1" customWidth="1"/>
    <col min="2315" max="2315" width="12" style="43" bestFit="1" customWidth="1"/>
    <col min="2316" max="2316" width="12.5" style="43" customWidth="1"/>
    <col min="2317" max="2317" width="13.375" style="43" customWidth="1"/>
    <col min="2318" max="2318" width="14.125" style="43" bestFit="1" customWidth="1"/>
    <col min="2319" max="2319" width="13.125" style="43" customWidth="1"/>
    <col min="2320" max="2560" width="9" style="43"/>
    <col min="2561" max="2561" width="4.375" style="43" customWidth="1"/>
    <col min="2562" max="2562" width="12.375" style="43" customWidth="1"/>
    <col min="2563" max="2563" width="11.875" style="43" customWidth="1"/>
    <col min="2564" max="2564" width="12.625" style="43" bestFit="1" customWidth="1"/>
    <col min="2565" max="2565" width="14.25" style="43" customWidth="1"/>
    <col min="2566" max="2566" width="12.625" style="43" bestFit="1" customWidth="1"/>
    <col min="2567" max="2567" width="15.125" style="43" customWidth="1"/>
    <col min="2568" max="2568" width="11.25" style="43" customWidth="1"/>
    <col min="2569" max="2569" width="11.875" style="43" customWidth="1"/>
    <col min="2570" max="2570" width="14.125" style="43" bestFit="1" customWidth="1"/>
    <col min="2571" max="2571" width="12" style="43" bestFit="1" customWidth="1"/>
    <col min="2572" max="2572" width="12.5" style="43" customWidth="1"/>
    <col min="2573" max="2573" width="13.375" style="43" customWidth="1"/>
    <col min="2574" max="2574" width="14.125" style="43" bestFit="1" customWidth="1"/>
    <col min="2575" max="2575" width="13.125" style="43" customWidth="1"/>
    <col min="2576" max="2816" width="9" style="43"/>
    <col min="2817" max="2817" width="4.375" style="43" customWidth="1"/>
    <col min="2818" max="2818" width="12.375" style="43" customWidth="1"/>
    <col min="2819" max="2819" width="11.875" style="43" customWidth="1"/>
    <col min="2820" max="2820" width="12.625" style="43" bestFit="1" customWidth="1"/>
    <col min="2821" max="2821" width="14.25" style="43" customWidth="1"/>
    <col min="2822" max="2822" width="12.625" style="43" bestFit="1" customWidth="1"/>
    <col min="2823" max="2823" width="15.125" style="43" customWidth="1"/>
    <col min="2824" max="2824" width="11.25" style="43" customWidth="1"/>
    <col min="2825" max="2825" width="11.875" style="43" customWidth="1"/>
    <col min="2826" max="2826" width="14.125" style="43" bestFit="1" customWidth="1"/>
    <col min="2827" max="2827" width="12" style="43" bestFit="1" customWidth="1"/>
    <col min="2828" max="2828" width="12.5" style="43" customWidth="1"/>
    <col min="2829" max="2829" width="13.375" style="43" customWidth="1"/>
    <col min="2830" max="2830" width="14.125" style="43" bestFit="1" customWidth="1"/>
    <col min="2831" max="2831" width="13.125" style="43" customWidth="1"/>
    <col min="2832" max="3072" width="9" style="43"/>
    <col min="3073" max="3073" width="4.375" style="43" customWidth="1"/>
    <col min="3074" max="3074" width="12.375" style="43" customWidth="1"/>
    <col min="3075" max="3075" width="11.875" style="43" customWidth="1"/>
    <col min="3076" max="3076" width="12.625" style="43" bestFit="1" customWidth="1"/>
    <col min="3077" max="3077" width="14.25" style="43" customWidth="1"/>
    <col min="3078" max="3078" width="12.625" style="43" bestFit="1" customWidth="1"/>
    <col min="3079" max="3079" width="15.125" style="43" customWidth="1"/>
    <col min="3080" max="3080" width="11.25" style="43" customWidth="1"/>
    <col min="3081" max="3081" width="11.875" style="43" customWidth="1"/>
    <col min="3082" max="3082" width="14.125" style="43" bestFit="1" customWidth="1"/>
    <col min="3083" max="3083" width="12" style="43" bestFit="1" customWidth="1"/>
    <col min="3084" max="3084" width="12.5" style="43" customWidth="1"/>
    <col min="3085" max="3085" width="13.375" style="43" customWidth="1"/>
    <col min="3086" max="3086" width="14.125" style="43" bestFit="1" customWidth="1"/>
    <col min="3087" max="3087" width="13.125" style="43" customWidth="1"/>
    <col min="3088" max="3328" width="9" style="43"/>
    <col min="3329" max="3329" width="4.375" style="43" customWidth="1"/>
    <col min="3330" max="3330" width="12.375" style="43" customWidth="1"/>
    <col min="3331" max="3331" width="11.875" style="43" customWidth="1"/>
    <col min="3332" max="3332" width="12.625" style="43" bestFit="1" customWidth="1"/>
    <col min="3333" max="3333" width="14.25" style="43" customWidth="1"/>
    <col min="3334" max="3334" width="12.625" style="43" bestFit="1" customWidth="1"/>
    <col min="3335" max="3335" width="15.125" style="43" customWidth="1"/>
    <col min="3336" max="3336" width="11.25" style="43" customWidth="1"/>
    <col min="3337" max="3337" width="11.875" style="43" customWidth="1"/>
    <col min="3338" max="3338" width="14.125" style="43" bestFit="1" customWidth="1"/>
    <col min="3339" max="3339" width="12" style="43" bestFit="1" customWidth="1"/>
    <col min="3340" max="3340" width="12.5" style="43" customWidth="1"/>
    <col min="3341" max="3341" width="13.375" style="43" customWidth="1"/>
    <col min="3342" max="3342" width="14.125" style="43" bestFit="1" customWidth="1"/>
    <col min="3343" max="3343" width="13.125" style="43" customWidth="1"/>
    <col min="3344" max="3584" width="9" style="43"/>
    <col min="3585" max="3585" width="4.375" style="43" customWidth="1"/>
    <col min="3586" max="3586" width="12.375" style="43" customWidth="1"/>
    <col min="3587" max="3587" width="11.875" style="43" customWidth="1"/>
    <col min="3588" max="3588" width="12.625" style="43" bestFit="1" customWidth="1"/>
    <col min="3589" max="3589" width="14.25" style="43" customWidth="1"/>
    <col min="3590" max="3590" width="12.625" style="43" bestFit="1" customWidth="1"/>
    <col min="3591" max="3591" width="15.125" style="43" customWidth="1"/>
    <col min="3592" max="3592" width="11.25" style="43" customWidth="1"/>
    <col min="3593" max="3593" width="11.875" style="43" customWidth="1"/>
    <col min="3594" max="3594" width="14.125" style="43" bestFit="1" customWidth="1"/>
    <col min="3595" max="3595" width="12" style="43" bestFit="1" customWidth="1"/>
    <col min="3596" max="3596" width="12.5" style="43" customWidth="1"/>
    <col min="3597" max="3597" width="13.375" style="43" customWidth="1"/>
    <col min="3598" max="3598" width="14.125" style="43" bestFit="1" customWidth="1"/>
    <col min="3599" max="3599" width="13.125" style="43" customWidth="1"/>
    <col min="3600" max="3840" width="9" style="43"/>
    <col min="3841" max="3841" width="4.375" style="43" customWidth="1"/>
    <col min="3842" max="3842" width="12.375" style="43" customWidth="1"/>
    <col min="3843" max="3843" width="11.875" style="43" customWidth="1"/>
    <col min="3844" max="3844" width="12.625" style="43" bestFit="1" customWidth="1"/>
    <col min="3845" max="3845" width="14.25" style="43" customWidth="1"/>
    <col min="3846" max="3846" width="12.625" style="43" bestFit="1" customWidth="1"/>
    <col min="3847" max="3847" width="15.125" style="43" customWidth="1"/>
    <col min="3848" max="3848" width="11.25" style="43" customWidth="1"/>
    <col min="3849" max="3849" width="11.875" style="43" customWidth="1"/>
    <col min="3850" max="3850" width="14.125" style="43" bestFit="1" customWidth="1"/>
    <col min="3851" max="3851" width="12" style="43" bestFit="1" customWidth="1"/>
    <col min="3852" max="3852" width="12.5" style="43" customWidth="1"/>
    <col min="3853" max="3853" width="13.375" style="43" customWidth="1"/>
    <col min="3854" max="3854" width="14.125" style="43" bestFit="1" customWidth="1"/>
    <col min="3855" max="3855" width="13.125" style="43" customWidth="1"/>
    <col min="3856" max="4096" width="9" style="43"/>
    <col min="4097" max="4097" width="4.375" style="43" customWidth="1"/>
    <col min="4098" max="4098" width="12.375" style="43" customWidth="1"/>
    <col min="4099" max="4099" width="11.875" style="43" customWidth="1"/>
    <col min="4100" max="4100" width="12.625" style="43" bestFit="1" customWidth="1"/>
    <col min="4101" max="4101" width="14.25" style="43" customWidth="1"/>
    <col min="4102" max="4102" width="12.625" style="43" bestFit="1" customWidth="1"/>
    <col min="4103" max="4103" width="15.125" style="43" customWidth="1"/>
    <col min="4104" max="4104" width="11.25" style="43" customWidth="1"/>
    <col min="4105" max="4105" width="11.875" style="43" customWidth="1"/>
    <col min="4106" max="4106" width="14.125" style="43" bestFit="1" customWidth="1"/>
    <col min="4107" max="4107" width="12" style="43" bestFit="1" customWidth="1"/>
    <col min="4108" max="4108" width="12.5" style="43" customWidth="1"/>
    <col min="4109" max="4109" width="13.375" style="43" customWidth="1"/>
    <col min="4110" max="4110" width="14.125" style="43" bestFit="1" customWidth="1"/>
    <col min="4111" max="4111" width="13.125" style="43" customWidth="1"/>
    <col min="4112" max="4352" width="9" style="43"/>
    <col min="4353" max="4353" width="4.375" style="43" customWidth="1"/>
    <col min="4354" max="4354" width="12.375" style="43" customWidth="1"/>
    <col min="4355" max="4355" width="11.875" style="43" customWidth="1"/>
    <col min="4356" max="4356" width="12.625" style="43" bestFit="1" customWidth="1"/>
    <col min="4357" max="4357" width="14.25" style="43" customWidth="1"/>
    <col min="4358" max="4358" width="12.625" style="43" bestFit="1" customWidth="1"/>
    <col min="4359" max="4359" width="15.125" style="43" customWidth="1"/>
    <col min="4360" max="4360" width="11.25" style="43" customWidth="1"/>
    <col min="4361" max="4361" width="11.875" style="43" customWidth="1"/>
    <col min="4362" max="4362" width="14.125" style="43" bestFit="1" customWidth="1"/>
    <col min="4363" max="4363" width="12" style="43" bestFit="1" customWidth="1"/>
    <col min="4364" max="4364" width="12.5" style="43" customWidth="1"/>
    <col min="4365" max="4365" width="13.375" style="43" customWidth="1"/>
    <col min="4366" max="4366" width="14.125" style="43" bestFit="1" customWidth="1"/>
    <col min="4367" max="4367" width="13.125" style="43" customWidth="1"/>
    <col min="4368" max="4608" width="9" style="43"/>
    <col min="4609" max="4609" width="4.375" style="43" customWidth="1"/>
    <col min="4610" max="4610" width="12.375" style="43" customWidth="1"/>
    <col min="4611" max="4611" width="11.875" style="43" customWidth="1"/>
    <col min="4612" max="4612" width="12.625" style="43" bestFit="1" customWidth="1"/>
    <col min="4613" max="4613" width="14.25" style="43" customWidth="1"/>
    <col min="4614" max="4614" width="12.625" style="43" bestFit="1" customWidth="1"/>
    <col min="4615" max="4615" width="15.125" style="43" customWidth="1"/>
    <col min="4616" max="4616" width="11.25" style="43" customWidth="1"/>
    <col min="4617" max="4617" width="11.875" style="43" customWidth="1"/>
    <col min="4618" max="4618" width="14.125" style="43" bestFit="1" customWidth="1"/>
    <col min="4619" max="4619" width="12" style="43" bestFit="1" customWidth="1"/>
    <col min="4620" max="4620" width="12.5" style="43" customWidth="1"/>
    <col min="4621" max="4621" width="13.375" style="43" customWidth="1"/>
    <col min="4622" max="4622" width="14.125" style="43" bestFit="1" customWidth="1"/>
    <col min="4623" max="4623" width="13.125" style="43" customWidth="1"/>
    <col min="4624" max="4864" width="9" style="43"/>
    <col min="4865" max="4865" width="4.375" style="43" customWidth="1"/>
    <col min="4866" max="4866" width="12.375" style="43" customWidth="1"/>
    <col min="4867" max="4867" width="11.875" style="43" customWidth="1"/>
    <col min="4868" max="4868" width="12.625" style="43" bestFit="1" customWidth="1"/>
    <col min="4869" max="4869" width="14.25" style="43" customWidth="1"/>
    <col min="4870" max="4870" width="12.625" style="43" bestFit="1" customWidth="1"/>
    <col min="4871" max="4871" width="15.125" style="43" customWidth="1"/>
    <col min="4872" max="4872" width="11.25" style="43" customWidth="1"/>
    <col min="4873" max="4873" width="11.875" style="43" customWidth="1"/>
    <col min="4874" max="4874" width="14.125" style="43" bestFit="1" customWidth="1"/>
    <col min="4875" max="4875" width="12" style="43" bestFit="1" customWidth="1"/>
    <col min="4876" max="4876" width="12.5" style="43" customWidth="1"/>
    <col min="4877" max="4877" width="13.375" style="43" customWidth="1"/>
    <col min="4878" max="4878" width="14.125" style="43" bestFit="1" customWidth="1"/>
    <col min="4879" max="4879" width="13.125" style="43" customWidth="1"/>
    <col min="4880" max="5120" width="9" style="43"/>
    <col min="5121" max="5121" width="4.375" style="43" customWidth="1"/>
    <col min="5122" max="5122" width="12.375" style="43" customWidth="1"/>
    <col min="5123" max="5123" width="11.875" style="43" customWidth="1"/>
    <col min="5124" max="5124" width="12.625" style="43" bestFit="1" customWidth="1"/>
    <col min="5125" max="5125" width="14.25" style="43" customWidth="1"/>
    <col min="5126" max="5126" width="12.625" style="43" bestFit="1" customWidth="1"/>
    <col min="5127" max="5127" width="15.125" style="43" customWidth="1"/>
    <col min="5128" max="5128" width="11.25" style="43" customWidth="1"/>
    <col min="5129" max="5129" width="11.875" style="43" customWidth="1"/>
    <col min="5130" max="5130" width="14.125" style="43" bestFit="1" customWidth="1"/>
    <col min="5131" max="5131" width="12" style="43" bestFit="1" customWidth="1"/>
    <col min="5132" max="5132" width="12.5" style="43" customWidth="1"/>
    <col min="5133" max="5133" width="13.375" style="43" customWidth="1"/>
    <col min="5134" max="5134" width="14.125" style="43" bestFit="1" customWidth="1"/>
    <col min="5135" max="5135" width="13.125" style="43" customWidth="1"/>
    <col min="5136" max="5376" width="9" style="43"/>
    <col min="5377" max="5377" width="4.375" style="43" customWidth="1"/>
    <col min="5378" max="5378" width="12.375" style="43" customWidth="1"/>
    <col min="5379" max="5379" width="11.875" style="43" customWidth="1"/>
    <col min="5380" max="5380" width="12.625" style="43" bestFit="1" customWidth="1"/>
    <col min="5381" max="5381" width="14.25" style="43" customWidth="1"/>
    <col min="5382" max="5382" width="12.625" style="43" bestFit="1" customWidth="1"/>
    <col min="5383" max="5383" width="15.125" style="43" customWidth="1"/>
    <col min="5384" max="5384" width="11.25" style="43" customWidth="1"/>
    <col min="5385" max="5385" width="11.875" style="43" customWidth="1"/>
    <col min="5386" max="5386" width="14.125" style="43" bestFit="1" customWidth="1"/>
    <col min="5387" max="5387" width="12" style="43" bestFit="1" customWidth="1"/>
    <col min="5388" max="5388" width="12.5" style="43" customWidth="1"/>
    <col min="5389" max="5389" width="13.375" style="43" customWidth="1"/>
    <col min="5390" max="5390" width="14.125" style="43" bestFit="1" customWidth="1"/>
    <col min="5391" max="5391" width="13.125" style="43" customWidth="1"/>
    <col min="5392" max="5632" width="9" style="43"/>
    <col min="5633" max="5633" width="4.375" style="43" customWidth="1"/>
    <col min="5634" max="5634" width="12.375" style="43" customWidth="1"/>
    <col min="5635" max="5635" width="11.875" style="43" customWidth="1"/>
    <col min="5636" max="5636" width="12.625" style="43" bestFit="1" customWidth="1"/>
    <col min="5637" max="5637" width="14.25" style="43" customWidth="1"/>
    <col min="5638" max="5638" width="12.625" style="43" bestFit="1" customWidth="1"/>
    <col min="5639" max="5639" width="15.125" style="43" customWidth="1"/>
    <col min="5640" max="5640" width="11.25" style="43" customWidth="1"/>
    <col min="5641" max="5641" width="11.875" style="43" customWidth="1"/>
    <col min="5642" max="5642" width="14.125" style="43" bestFit="1" customWidth="1"/>
    <col min="5643" max="5643" width="12" style="43" bestFit="1" customWidth="1"/>
    <col min="5644" max="5644" width="12.5" style="43" customWidth="1"/>
    <col min="5645" max="5645" width="13.375" style="43" customWidth="1"/>
    <col min="5646" max="5646" width="14.125" style="43" bestFit="1" customWidth="1"/>
    <col min="5647" max="5647" width="13.125" style="43" customWidth="1"/>
    <col min="5648" max="5888" width="9" style="43"/>
    <col min="5889" max="5889" width="4.375" style="43" customWidth="1"/>
    <col min="5890" max="5890" width="12.375" style="43" customWidth="1"/>
    <col min="5891" max="5891" width="11.875" style="43" customWidth="1"/>
    <col min="5892" max="5892" width="12.625" style="43" bestFit="1" customWidth="1"/>
    <col min="5893" max="5893" width="14.25" style="43" customWidth="1"/>
    <col min="5894" max="5894" width="12.625" style="43" bestFit="1" customWidth="1"/>
    <col min="5895" max="5895" width="15.125" style="43" customWidth="1"/>
    <col min="5896" max="5896" width="11.25" style="43" customWidth="1"/>
    <col min="5897" max="5897" width="11.875" style="43" customWidth="1"/>
    <col min="5898" max="5898" width="14.125" style="43" bestFit="1" customWidth="1"/>
    <col min="5899" max="5899" width="12" style="43" bestFit="1" customWidth="1"/>
    <col min="5900" max="5900" width="12.5" style="43" customWidth="1"/>
    <col min="5901" max="5901" width="13.375" style="43" customWidth="1"/>
    <col min="5902" max="5902" width="14.125" style="43" bestFit="1" customWidth="1"/>
    <col min="5903" max="5903" width="13.125" style="43" customWidth="1"/>
    <col min="5904" max="6144" width="9" style="43"/>
    <col min="6145" max="6145" width="4.375" style="43" customWidth="1"/>
    <col min="6146" max="6146" width="12.375" style="43" customWidth="1"/>
    <col min="6147" max="6147" width="11.875" style="43" customWidth="1"/>
    <col min="6148" max="6148" width="12.625" style="43" bestFit="1" customWidth="1"/>
    <col min="6149" max="6149" width="14.25" style="43" customWidth="1"/>
    <col min="6150" max="6150" width="12.625" style="43" bestFit="1" customWidth="1"/>
    <col min="6151" max="6151" width="15.125" style="43" customWidth="1"/>
    <col min="6152" max="6152" width="11.25" style="43" customWidth="1"/>
    <col min="6153" max="6153" width="11.875" style="43" customWidth="1"/>
    <col min="6154" max="6154" width="14.125" style="43" bestFit="1" customWidth="1"/>
    <col min="6155" max="6155" width="12" style="43" bestFit="1" customWidth="1"/>
    <col min="6156" max="6156" width="12.5" style="43" customWidth="1"/>
    <col min="6157" max="6157" width="13.375" style="43" customWidth="1"/>
    <col min="6158" max="6158" width="14.125" style="43" bestFit="1" customWidth="1"/>
    <col min="6159" max="6159" width="13.125" style="43" customWidth="1"/>
    <col min="6160" max="6400" width="9" style="43"/>
    <col min="6401" max="6401" width="4.375" style="43" customWidth="1"/>
    <col min="6402" max="6402" width="12.375" style="43" customWidth="1"/>
    <col min="6403" max="6403" width="11.875" style="43" customWidth="1"/>
    <col min="6404" max="6404" width="12.625" style="43" bestFit="1" customWidth="1"/>
    <col min="6405" max="6405" width="14.25" style="43" customWidth="1"/>
    <col min="6406" max="6406" width="12.625" style="43" bestFit="1" customWidth="1"/>
    <col min="6407" max="6407" width="15.125" style="43" customWidth="1"/>
    <col min="6408" max="6408" width="11.25" style="43" customWidth="1"/>
    <col min="6409" max="6409" width="11.875" style="43" customWidth="1"/>
    <col min="6410" max="6410" width="14.125" style="43" bestFit="1" customWidth="1"/>
    <col min="6411" max="6411" width="12" style="43" bestFit="1" customWidth="1"/>
    <col min="6412" max="6412" width="12.5" style="43" customWidth="1"/>
    <col min="6413" max="6413" width="13.375" style="43" customWidth="1"/>
    <col min="6414" max="6414" width="14.125" style="43" bestFit="1" customWidth="1"/>
    <col min="6415" max="6415" width="13.125" style="43" customWidth="1"/>
    <col min="6416" max="6656" width="9" style="43"/>
    <col min="6657" max="6657" width="4.375" style="43" customWidth="1"/>
    <col min="6658" max="6658" width="12.375" style="43" customWidth="1"/>
    <col min="6659" max="6659" width="11.875" style="43" customWidth="1"/>
    <col min="6660" max="6660" width="12.625" style="43" bestFit="1" customWidth="1"/>
    <col min="6661" max="6661" width="14.25" style="43" customWidth="1"/>
    <col min="6662" max="6662" width="12.625" style="43" bestFit="1" customWidth="1"/>
    <col min="6663" max="6663" width="15.125" style="43" customWidth="1"/>
    <col min="6664" max="6664" width="11.25" style="43" customWidth="1"/>
    <col min="6665" max="6665" width="11.875" style="43" customWidth="1"/>
    <col min="6666" max="6666" width="14.125" style="43" bestFit="1" customWidth="1"/>
    <col min="6667" max="6667" width="12" style="43" bestFit="1" customWidth="1"/>
    <col min="6668" max="6668" width="12.5" style="43" customWidth="1"/>
    <col min="6669" max="6669" width="13.375" style="43" customWidth="1"/>
    <col min="6670" max="6670" width="14.125" style="43" bestFit="1" customWidth="1"/>
    <col min="6671" max="6671" width="13.125" style="43" customWidth="1"/>
    <col min="6672" max="6912" width="9" style="43"/>
    <col min="6913" max="6913" width="4.375" style="43" customWidth="1"/>
    <col min="6914" max="6914" width="12.375" style="43" customWidth="1"/>
    <col min="6915" max="6915" width="11.875" style="43" customWidth="1"/>
    <col min="6916" max="6916" width="12.625" style="43" bestFit="1" customWidth="1"/>
    <col min="6917" max="6917" width="14.25" style="43" customWidth="1"/>
    <col min="6918" max="6918" width="12.625" style="43" bestFit="1" customWidth="1"/>
    <col min="6919" max="6919" width="15.125" style="43" customWidth="1"/>
    <col min="6920" max="6920" width="11.25" style="43" customWidth="1"/>
    <col min="6921" max="6921" width="11.875" style="43" customWidth="1"/>
    <col min="6922" max="6922" width="14.125" style="43" bestFit="1" customWidth="1"/>
    <col min="6923" max="6923" width="12" style="43" bestFit="1" customWidth="1"/>
    <col min="6924" max="6924" width="12.5" style="43" customWidth="1"/>
    <col min="6925" max="6925" width="13.375" style="43" customWidth="1"/>
    <col min="6926" max="6926" width="14.125" style="43" bestFit="1" customWidth="1"/>
    <col min="6927" max="6927" width="13.125" style="43" customWidth="1"/>
    <col min="6928" max="7168" width="9" style="43"/>
    <col min="7169" max="7169" width="4.375" style="43" customWidth="1"/>
    <col min="7170" max="7170" width="12.375" style="43" customWidth="1"/>
    <col min="7171" max="7171" width="11.875" style="43" customWidth="1"/>
    <col min="7172" max="7172" width="12.625" style="43" bestFit="1" customWidth="1"/>
    <col min="7173" max="7173" width="14.25" style="43" customWidth="1"/>
    <col min="7174" max="7174" width="12.625" style="43" bestFit="1" customWidth="1"/>
    <col min="7175" max="7175" width="15.125" style="43" customWidth="1"/>
    <col min="7176" max="7176" width="11.25" style="43" customWidth="1"/>
    <col min="7177" max="7177" width="11.875" style="43" customWidth="1"/>
    <col min="7178" max="7178" width="14.125" style="43" bestFit="1" customWidth="1"/>
    <col min="7179" max="7179" width="12" style="43" bestFit="1" customWidth="1"/>
    <col min="7180" max="7180" width="12.5" style="43" customWidth="1"/>
    <col min="7181" max="7181" width="13.375" style="43" customWidth="1"/>
    <col min="7182" max="7182" width="14.125" style="43" bestFit="1" customWidth="1"/>
    <col min="7183" max="7183" width="13.125" style="43" customWidth="1"/>
    <col min="7184" max="7424" width="9" style="43"/>
    <col min="7425" max="7425" width="4.375" style="43" customWidth="1"/>
    <col min="7426" max="7426" width="12.375" style="43" customWidth="1"/>
    <col min="7427" max="7427" width="11.875" style="43" customWidth="1"/>
    <col min="7428" max="7428" width="12.625" style="43" bestFit="1" customWidth="1"/>
    <col min="7429" max="7429" width="14.25" style="43" customWidth="1"/>
    <col min="7430" max="7430" width="12.625" style="43" bestFit="1" customWidth="1"/>
    <col min="7431" max="7431" width="15.125" style="43" customWidth="1"/>
    <col min="7432" max="7432" width="11.25" style="43" customWidth="1"/>
    <col min="7433" max="7433" width="11.875" style="43" customWidth="1"/>
    <col min="7434" max="7434" width="14.125" style="43" bestFit="1" customWidth="1"/>
    <col min="7435" max="7435" width="12" style="43" bestFit="1" customWidth="1"/>
    <col min="7436" max="7436" width="12.5" style="43" customWidth="1"/>
    <col min="7437" max="7437" width="13.375" style="43" customWidth="1"/>
    <col min="7438" max="7438" width="14.125" style="43" bestFit="1" customWidth="1"/>
    <col min="7439" max="7439" width="13.125" style="43" customWidth="1"/>
    <col min="7440" max="7680" width="9" style="43"/>
    <col min="7681" max="7681" width="4.375" style="43" customWidth="1"/>
    <col min="7682" max="7682" width="12.375" style="43" customWidth="1"/>
    <col min="7683" max="7683" width="11.875" style="43" customWidth="1"/>
    <col min="7684" max="7684" width="12.625" style="43" bestFit="1" customWidth="1"/>
    <col min="7685" max="7685" width="14.25" style="43" customWidth="1"/>
    <col min="7686" max="7686" width="12.625" style="43" bestFit="1" customWidth="1"/>
    <col min="7687" max="7687" width="15.125" style="43" customWidth="1"/>
    <col min="7688" max="7688" width="11.25" style="43" customWidth="1"/>
    <col min="7689" max="7689" width="11.875" style="43" customWidth="1"/>
    <col min="7690" max="7690" width="14.125" style="43" bestFit="1" customWidth="1"/>
    <col min="7691" max="7691" width="12" style="43" bestFit="1" customWidth="1"/>
    <col min="7692" max="7692" width="12.5" style="43" customWidth="1"/>
    <col min="7693" max="7693" width="13.375" style="43" customWidth="1"/>
    <col min="7694" max="7694" width="14.125" style="43" bestFit="1" customWidth="1"/>
    <col min="7695" max="7695" width="13.125" style="43" customWidth="1"/>
    <col min="7696" max="7936" width="9" style="43"/>
    <col min="7937" max="7937" width="4.375" style="43" customWidth="1"/>
    <col min="7938" max="7938" width="12.375" style="43" customWidth="1"/>
    <col min="7939" max="7939" width="11.875" style="43" customWidth="1"/>
    <col min="7940" max="7940" width="12.625" style="43" bestFit="1" customWidth="1"/>
    <col min="7941" max="7941" width="14.25" style="43" customWidth="1"/>
    <col min="7942" max="7942" width="12.625" style="43" bestFit="1" customWidth="1"/>
    <col min="7943" max="7943" width="15.125" style="43" customWidth="1"/>
    <col min="7944" max="7944" width="11.25" style="43" customWidth="1"/>
    <col min="7945" max="7945" width="11.875" style="43" customWidth="1"/>
    <col min="7946" max="7946" width="14.125" style="43" bestFit="1" customWidth="1"/>
    <col min="7947" max="7947" width="12" style="43" bestFit="1" customWidth="1"/>
    <col min="7948" max="7948" width="12.5" style="43" customWidth="1"/>
    <col min="7949" max="7949" width="13.375" style="43" customWidth="1"/>
    <col min="7950" max="7950" width="14.125" style="43" bestFit="1" customWidth="1"/>
    <col min="7951" max="7951" width="13.125" style="43" customWidth="1"/>
    <col min="7952" max="8192" width="9" style="43"/>
    <col min="8193" max="8193" width="4.375" style="43" customWidth="1"/>
    <col min="8194" max="8194" width="12.375" style="43" customWidth="1"/>
    <col min="8195" max="8195" width="11.875" style="43" customWidth="1"/>
    <col min="8196" max="8196" width="12.625" style="43" bestFit="1" customWidth="1"/>
    <col min="8197" max="8197" width="14.25" style="43" customWidth="1"/>
    <col min="8198" max="8198" width="12.625" style="43" bestFit="1" customWidth="1"/>
    <col min="8199" max="8199" width="15.125" style="43" customWidth="1"/>
    <col min="8200" max="8200" width="11.25" style="43" customWidth="1"/>
    <col min="8201" max="8201" width="11.875" style="43" customWidth="1"/>
    <col min="8202" max="8202" width="14.125" style="43" bestFit="1" customWidth="1"/>
    <col min="8203" max="8203" width="12" style="43" bestFit="1" customWidth="1"/>
    <col min="8204" max="8204" width="12.5" style="43" customWidth="1"/>
    <col min="8205" max="8205" width="13.375" style="43" customWidth="1"/>
    <col min="8206" max="8206" width="14.125" style="43" bestFit="1" customWidth="1"/>
    <col min="8207" max="8207" width="13.125" style="43" customWidth="1"/>
    <col min="8208" max="8448" width="9" style="43"/>
    <col min="8449" max="8449" width="4.375" style="43" customWidth="1"/>
    <col min="8450" max="8450" width="12.375" style="43" customWidth="1"/>
    <col min="8451" max="8451" width="11.875" style="43" customWidth="1"/>
    <col min="8452" max="8452" width="12.625" style="43" bestFit="1" customWidth="1"/>
    <col min="8453" max="8453" width="14.25" style="43" customWidth="1"/>
    <col min="8454" max="8454" width="12.625" style="43" bestFit="1" customWidth="1"/>
    <col min="8455" max="8455" width="15.125" style="43" customWidth="1"/>
    <col min="8456" max="8456" width="11.25" style="43" customWidth="1"/>
    <col min="8457" max="8457" width="11.875" style="43" customWidth="1"/>
    <col min="8458" max="8458" width="14.125" style="43" bestFit="1" customWidth="1"/>
    <col min="8459" max="8459" width="12" style="43" bestFit="1" customWidth="1"/>
    <col min="8460" max="8460" width="12.5" style="43" customWidth="1"/>
    <col min="8461" max="8461" width="13.375" style="43" customWidth="1"/>
    <col min="8462" max="8462" width="14.125" style="43" bestFit="1" customWidth="1"/>
    <col min="8463" max="8463" width="13.125" style="43" customWidth="1"/>
    <col min="8464" max="8704" width="9" style="43"/>
    <col min="8705" max="8705" width="4.375" style="43" customWidth="1"/>
    <col min="8706" max="8706" width="12.375" style="43" customWidth="1"/>
    <col min="8707" max="8707" width="11.875" style="43" customWidth="1"/>
    <col min="8708" max="8708" width="12.625" style="43" bestFit="1" customWidth="1"/>
    <col min="8709" max="8709" width="14.25" style="43" customWidth="1"/>
    <col min="8710" max="8710" width="12.625" style="43" bestFit="1" customWidth="1"/>
    <col min="8711" max="8711" width="15.125" style="43" customWidth="1"/>
    <col min="8712" max="8712" width="11.25" style="43" customWidth="1"/>
    <col min="8713" max="8713" width="11.875" style="43" customWidth="1"/>
    <col min="8714" max="8714" width="14.125" style="43" bestFit="1" customWidth="1"/>
    <col min="8715" max="8715" width="12" style="43" bestFit="1" customWidth="1"/>
    <col min="8716" max="8716" width="12.5" style="43" customWidth="1"/>
    <col min="8717" max="8717" width="13.375" style="43" customWidth="1"/>
    <col min="8718" max="8718" width="14.125" style="43" bestFit="1" customWidth="1"/>
    <col min="8719" max="8719" width="13.125" style="43" customWidth="1"/>
    <col min="8720" max="8960" width="9" style="43"/>
    <col min="8961" max="8961" width="4.375" style="43" customWidth="1"/>
    <col min="8962" max="8962" width="12.375" style="43" customWidth="1"/>
    <col min="8963" max="8963" width="11.875" style="43" customWidth="1"/>
    <col min="8964" max="8964" width="12.625" style="43" bestFit="1" customWidth="1"/>
    <col min="8965" max="8965" width="14.25" style="43" customWidth="1"/>
    <col min="8966" max="8966" width="12.625" style="43" bestFit="1" customWidth="1"/>
    <col min="8967" max="8967" width="15.125" style="43" customWidth="1"/>
    <col min="8968" max="8968" width="11.25" style="43" customWidth="1"/>
    <col min="8969" max="8969" width="11.875" style="43" customWidth="1"/>
    <col min="8970" max="8970" width="14.125" style="43" bestFit="1" customWidth="1"/>
    <col min="8971" max="8971" width="12" style="43" bestFit="1" customWidth="1"/>
    <col min="8972" max="8972" width="12.5" style="43" customWidth="1"/>
    <col min="8973" max="8973" width="13.375" style="43" customWidth="1"/>
    <col min="8974" max="8974" width="14.125" style="43" bestFit="1" customWidth="1"/>
    <col min="8975" max="8975" width="13.125" style="43" customWidth="1"/>
    <col min="8976" max="9216" width="9" style="43"/>
    <col min="9217" max="9217" width="4.375" style="43" customWidth="1"/>
    <col min="9218" max="9218" width="12.375" style="43" customWidth="1"/>
    <col min="9219" max="9219" width="11.875" style="43" customWidth="1"/>
    <col min="9220" max="9220" width="12.625" style="43" bestFit="1" customWidth="1"/>
    <col min="9221" max="9221" width="14.25" style="43" customWidth="1"/>
    <col min="9222" max="9222" width="12.625" style="43" bestFit="1" customWidth="1"/>
    <col min="9223" max="9223" width="15.125" style="43" customWidth="1"/>
    <col min="9224" max="9224" width="11.25" style="43" customWidth="1"/>
    <col min="9225" max="9225" width="11.875" style="43" customWidth="1"/>
    <col min="9226" max="9226" width="14.125" style="43" bestFit="1" customWidth="1"/>
    <col min="9227" max="9227" width="12" style="43" bestFit="1" customWidth="1"/>
    <col min="9228" max="9228" width="12.5" style="43" customWidth="1"/>
    <col min="9229" max="9229" width="13.375" style="43" customWidth="1"/>
    <col min="9230" max="9230" width="14.125" style="43" bestFit="1" customWidth="1"/>
    <col min="9231" max="9231" width="13.125" style="43" customWidth="1"/>
    <col min="9232" max="9472" width="9" style="43"/>
    <col min="9473" max="9473" width="4.375" style="43" customWidth="1"/>
    <col min="9474" max="9474" width="12.375" style="43" customWidth="1"/>
    <col min="9475" max="9475" width="11.875" style="43" customWidth="1"/>
    <col min="9476" max="9476" width="12.625" style="43" bestFit="1" customWidth="1"/>
    <col min="9477" max="9477" width="14.25" style="43" customWidth="1"/>
    <col min="9478" max="9478" width="12.625" style="43" bestFit="1" customWidth="1"/>
    <col min="9479" max="9479" width="15.125" style="43" customWidth="1"/>
    <col min="9480" max="9480" width="11.25" style="43" customWidth="1"/>
    <col min="9481" max="9481" width="11.875" style="43" customWidth="1"/>
    <col min="9482" max="9482" width="14.125" style="43" bestFit="1" customWidth="1"/>
    <col min="9483" max="9483" width="12" style="43" bestFit="1" customWidth="1"/>
    <col min="9484" max="9484" width="12.5" style="43" customWidth="1"/>
    <col min="9485" max="9485" width="13.375" style="43" customWidth="1"/>
    <col min="9486" max="9486" width="14.125" style="43" bestFit="1" customWidth="1"/>
    <col min="9487" max="9487" width="13.125" style="43" customWidth="1"/>
    <col min="9488" max="9728" width="9" style="43"/>
    <col min="9729" max="9729" width="4.375" style="43" customWidth="1"/>
    <col min="9730" max="9730" width="12.375" style="43" customWidth="1"/>
    <col min="9731" max="9731" width="11.875" style="43" customWidth="1"/>
    <col min="9732" max="9732" width="12.625" style="43" bestFit="1" customWidth="1"/>
    <col min="9733" max="9733" width="14.25" style="43" customWidth="1"/>
    <col min="9734" max="9734" width="12.625" style="43" bestFit="1" customWidth="1"/>
    <col min="9735" max="9735" width="15.125" style="43" customWidth="1"/>
    <col min="9736" max="9736" width="11.25" style="43" customWidth="1"/>
    <col min="9737" max="9737" width="11.875" style="43" customWidth="1"/>
    <col min="9738" max="9738" width="14.125" style="43" bestFit="1" customWidth="1"/>
    <col min="9739" max="9739" width="12" style="43" bestFit="1" customWidth="1"/>
    <col min="9740" max="9740" width="12.5" style="43" customWidth="1"/>
    <col min="9741" max="9741" width="13.375" style="43" customWidth="1"/>
    <col min="9742" max="9742" width="14.125" style="43" bestFit="1" customWidth="1"/>
    <col min="9743" max="9743" width="13.125" style="43" customWidth="1"/>
    <col min="9744" max="9984" width="9" style="43"/>
    <col min="9985" max="9985" width="4.375" style="43" customWidth="1"/>
    <col min="9986" max="9986" width="12.375" style="43" customWidth="1"/>
    <col min="9987" max="9987" width="11.875" style="43" customWidth="1"/>
    <col min="9988" max="9988" width="12.625" style="43" bestFit="1" customWidth="1"/>
    <col min="9989" max="9989" width="14.25" style="43" customWidth="1"/>
    <col min="9990" max="9990" width="12.625" style="43" bestFit="1" customWidth="1"/>
    <col min="9991" max="9991" width="15.125" style="43" customWidth="1"/>
    <col min="9992" max="9992" width="11.25" style="43" customWidth="1"/>
    <col min="9993" max="9993" width="11.875" style="43" customWidth="1"/>
    <col min="9994" max="9994" width="14.125" style="43" bestFit="1" customWidth="1"/>
    <col min="9995" max="9995" width="12" style="43" bestFit="1" customWidth="1"/>
    <col min="9996" max="9996" width="12.5" style="43" customWidth="1"/>
    <col min="9997" max="9997" width="13.375" style="43" customWidth="1"/>
    <col min="9998" max="9998" width="14.125" style="43" bestFit="1" customWidth="1"/>
    <col min="9999" max="9999" width="13.125" style="43" customWidth="1"/>
    <col min="10000" max="10240" width="9" style="43"/>
    <col min="10241" max="10241" width="4.375" style="43" customWidth="1"/>
    <col min="10242" max="10242" width="12.375" style="43" customWidth="1"/>
    <col min="10243" max="10243" width="11.875" style="43" customWidth="1"/>
    <col min="10244" max="10244" width="12.625" style="43" bestFit="1" customWidth="1"/>
    <col min="10245" max="10245" width="14.25" style="43" customWidth="1"/>
    <col min="10246" max="10246" width="12.625" style="43" bestFit="1" customWidth="1"/>
    <col min="10247" max="10247" width="15.125" style="43" customWidth="1"/>
    <col min="10248" max="10248" width="11.25" style="43" customWidth="1"/>
    <col min="10249" max="10249" width="11.875" style="43" customWidth="1"/>
    <col min="10250" max="10250" width="14.125" style="43" bestFit="1" customWidth="1"/>
    <col min="10251" max="10251" width="12" style="43" bestFit="1" customWidth="1"/>
    <col min="10252" max="10252" width="12.5" style="43" customWidth="1"/>
    <col min="10253" max="10253" width="13.375" style="43" customWidth="1"/>
    <col min="10254" max="10254" width="14.125" style="43" bestFit="1" customWidth="1"/>
    <col min="10255" max="10255" width="13.125" style="43" customWidth="1"/>
    <col min="10256" max="10496" width="9" style="43"/>
    <col min="10497" max="10497" width="4.375" style="43" customWidth="1"/>
    <col min="10498" max="10498" width="12.375" style="43" customWidth="1"/>
    <col min="10499" max="10499" width="11.875" style="43" customWidth="1"/>
    <col min="10500" max="10500" width="12.625" style="43" bestFit="1" customWidth="1"/>
    <col min="10501" max="10501" width="14.25" style="43" customWidth="1"/>
    <col min="10502" max="10502" width="12.625" style="43" bestFit="1" customWidth="1"/>
    <col min="10503" max="10503" width="15.125" style="43" customWidth="1"/>
    <col min="10504" max="10504" width="11.25" style="43" customWidth="1"/>
    <col min="10505" max="10505" width="11.875" style="43" customWidth="1"/>
    <col min="10506" max="10506" width="14.125" style="43" bestFit="1" customWidth="1"/>
    <col min="10507" max="10507" width="12" style="43" bestFit="1" customWidth="1"/>
    <col min="10508" max="10508" width="12.5" style="43" customWidth="1"/>
    <col min="10509" max="10509" width="13.375" style="43" customWidth="1"/>
    <col min="10510" max="10510" width="14.125" style="43" bestFit="1" customWidth="1"/>
    <col min="10511" max="10511" width="13.125" style="43" customWidth="1"/>
    <col min="10512" max="10752" width="9" style="43"/>
    <col min="10753" max="10753" width="4.375" style="43" customWidth="1"/>
    <col min="10754" max="10754" width="12.375" style="43" customWidth="1"/>
    <col min="10755" max="10755" width="11.875" style="43" customWidth="1"/>
    <col min="10756" max="10756" width="12.625" style="43" bestFit="1" customWidth="1"/>
    <col min="10757" max="10757" width="14.25" style="43" customWidth="1"/>
    <col min="10758" max="10758" width="12.625" style="43" bestFit="1" customWidth="1"/>
    <col min="10759" max="10759" width="15.125" style="43" customWidth="1"/>
    <col min="10760" max="10760" width="11.25" style="43" customWidth="1"/>
    <col min="10761" max="10761" width="11.875" style="43" customWidth="1"/>
    <col min="10762" max="10762" width="14.125" style="43" bestFit="1" customWidth="1"/>
    <col min="10763" max="10763" width="12" style="43" bestFit="1" customWidth="1"/>
    <col min="10764" max="10764" width="12.5" style="43" customWidth="1"/>
    <col min="10765" max="10765" width="13.375" style="43" customWidth="1"/>
    <col min="10766" max="10766" width="14.125" style="43" bestFit="1" customWidth="1"/>
    <col min="10767" max="10767" width="13.125" style="43" customWidth="1"/>
    <col min="10768" max="11008" width="9" style="43"/>
    <col min="11009" max="11009" width="4.375" style="43" customWidth="1"/>
    <col min="11010" max="11010" width="12.375" style="43" customWidth="1"/>
    <col min="11011" max="11011" width="11.875" style="43" customWidth="1"/>
    <col min="11012" max="11012" width="12.625" style="43" bestFit="1" customWidth="1"/>
    <col min="11013" max="11013" width="14.25" style="43" customWidth="1"/>
    <col min="11014" max="11014" width="12.625" style="43" bestFit="1" customWidth="1"/>
    <col min="11015" max="11015" width="15.125" style="43" customWidth="1"/>
    <col min="11016" max="11016" width="11.25" style="43" customWidth="1"/>
    <col min="11017" max="11017" width="11.875" style="43" customWidth="1"/>
    <col min="11018" max="11018" width="14.125" style="43" bestFit="1" customWidth="1"/>
    <col min="11019" max="11019" width="12" style="43" bestFit="1" customWidth="1"/>
    <col min="11020" max="11020" width="12.5" style="43" customWidth="1"/>
    <col min="11021" max="11021" width="13.375" style="43" customWidth="1"/>
    <col min="11022" max="11022" width="14.125" style="43" bestFit="1" customWidth="1"/>
    <col min="11023" max="11023" width="13.125" style="43" customWidth="1"/>
    <col min="11024" max="11264" width="9" style="43"/>
    <col min="11265" max="11265" width="4.375" style="43" customWidth="1"/>
    <col min="11266" max="11266" width="12.375" style="43" customWidth="1"/>
    <col min="11267" max="11267" width="11.875" style="43" customWidth="1"/>
    <col min="11268" max="11268" width="12.625" style="43" bestFit="1" customWidth="1"/>
    <col min="11269" max="11269" width="14.25" style="43" customWidth="1"/>
    <col min="11270" max="11270" width="12.625" style="43" bestFit="1" customWidth="1"/>
    <col min="11271" max="11271" width="15.125" style="43" customWidth="1"/>
    <col min="11272" max="11272" width="11.25" style="43" customWidth="1"/>
    <col min="11273" max="11273" width="11.875" style="43" customWidth="1"/>
    <col min="11274" max="11274" width="14.125" style="43" bestFit="1" customWidth="1"/>
    <col min="11275" max="11275" width="12" style="43" bestFit="1" customWidth="1"/>
    <col min="11276" max="11276" width="12.5" style="43" customWidth="1"/>
    <col min="11277" max="11277" width="13.375" style="43" customWidth="1"/>
    <col min="11278" max="11278" width="14.125" style="43" bestFit="1" customWidth="1"/>
    <col min="11279" max="11279" width="13.125" style="43" customWidth="1"/>
    <col min="11280" max="11520" width="9" style="43"/>
    <col min="11521" max="11521" width="4.375" style="43" customWidth="1"/>
    <col min="11522" max="11522" width="12.375" style="43" customWidth="1"/>
    <col min="11523" max="11523" width="11.875" style="43" customWidth="1"/>
    <col min="11524" max="11524" width="12.625" style="43" bestFit="1" customWidth="1"/>
    <col min="11525" max="11525" width="14.25" style="43" customWidth="1"/>
    <col min="11526" max="11526" width="12.625" style="43" bestFit="1" customWidth="1"/>
    <col min="11527" max="11527" width="15.125" style="43" customWidth="1"/>
    <col min="11528" max="11528" width="11.25" style="43" customWidth="1"/>
    <col min="11529" max="11529" width="11.875" style="43" customWidth="1"/>
    <col min="11530" max="11530" width="14.125" style="43" bestFit="1" customWidth="1"/>
    <col min="11531" max="11531" width="12" style="43" bestFit="1" customWidth="1"/>
    <col min="11532" max="11532" width="12.5" style="43" customWidth="1"/>
    <col min="11533" max="11533" width="13.375" style="43" customWidth="1"/>
    <col min="11534" max="11534" width="14.125" style="43" bestFit="1" customWidth="1"/>
    <col min="11535" max="11535" width="13.125" style="43" customWidth="1"/>
    <col min="11536" max="11776" width="9" style="43"/>
    <col min="11777" max="11777" width="4.375" style="43" customWidth="1"/>
    <col min="11778" max="11778" width="12.375" style="43" customWidth="1"/>
    <col min="11779" max="11779" width="11.875" style="43" customWidth="1"/>
    <col min="11780" max="11780" width="12.625" style="43" bestFit="1" customWidth="1"/>
    <col min="11781" max="11781" width="14.25" style="43" customWidth="1"/>
    <col min="11782" max="11782" width="12.625" style="43" bestFit="1" customWidth="1"/>
    <col min="11783" max="11783" width="15.125" style="43" customWidth="1"/>
    <col min="11784" max="11784" width="11.25" style="43" customWidth="1"/>
    <col min="11785" max="11785" width="11.875" style="43" customWidth="1"/>
    <col min="11786" max="11786" width="14.125" style="43" bestFit="1" customWidth="1"/>
    <col min="11787" max="11787" width="12" style="43" bestFit="1" customWidth="1"/>
    <col min="11788" max="11788" width="12.5" style="43" customWidth="1"/>
    <col min="11789" max="11789" width="13.375" style="43" customWidth="1"/>
    <col min="11790" max="11790" width="14.125" style="43" bestFit="1" customWidth="1"/>
    <col min="11791" max="11791" width="13.125" style="43" customWidth="1"/>
    <col min="11792" max="12032" width="9" style="43"/>
    <col min="12033" max="12033" width="4.375" style="43" customWidth="1"/>
    <col min="12034" max="12034" width="12.375" style="43" customWidth="1"/>
    <col min="12035" max="12035" width="11.875" style="43" customWidth="1"/>
    <col min="12036" max="12036" width="12.625" style="43" bestFit="1" customWidth="1"/>
    <col min="12037" max="12037" width="14.25" style="43" customWidth="1"/>
    <col min="12038" max="12038" width="12.625" style="43" bestFit="1" customWidth="1"/>
    <col min="12039" max="12039" width="15.125" style="43" customWidth="1"/>
    <col min="12040" max="12040" width="11.25" style="43" customWidth="1"/>
    <col min="12041" max="12041" width="11.875" style="43" customWidth="1"/>
    <col min="12042" max="12042" width="14.125" style="43" bestFit="1" customWidth="1"/>
    <col min="12043" max="12043" width="12" style="43" bestFit="1" customWidth="1"/>
    <col min="12044" max="12044" width="12.5" style="43" customWidth="1"/>
    <col min="12045" max="12045" width="13.375" style="43" customWidth="1"/>
    <col min="12046" max="12046" width="14.125" style="43" bestFit="1" customWidth="1"/>
    <col min="12047" max="12047" width="13.125" style="43" customWidth="1"/>
    <col min="12048" max="12288" width="9" style="43"/>
    <col min="12289" max="12289" width="4.375" style="43" customWidth="1"/>
    <col min="12290" max="12290" width="12.375" style="43" customWidth="1"/>
    <col min="12291" max="12291" width="11.875" style="43" customWidth="1"/>
    <col min="12292" max="12292" width="12.625" style="43" bestFit="1" customWidth="1"/>
    <col min="12293" max="12293" width="14.25" style="43" customWidth="1"/>
    <col min="12294" max="12294" width="12.625" style="43" bestFit="1" customWidth="1"/>
    <col min="12295" max="12295" width="15.125" style="43" customWidth="1"/>
    <col min="12296" max="12296" width="11.25" style="43" customWidth="1"/>
    <col min="12297" max="12297" width="11.875" style="43" customWidth="1"/>
    <col min="12298" max="12298" width="14.125" style="43" bestFit="1" customWidth="1"/>
    <col min="12299" max="12299" width="12" style="43" bestFit="1" customWidth="1"/>
    <col min="12300" max="12300" width="12.5" style="43" customWidth="1"/>
    <col min="12301" max="12301" width="13.375" style="43" customWidth="1"/>
    <col min="12302" max="12302" width="14.125" style="43" bestFit="1" customWidth="1"/>
    <col min="12303" max="12303" width="13.125" style="43" customWidth="1"/>
    <col min="12304" max="12544" width="9" style="43"/>
    <col min="12545" max="12545" width="4.375" style="43" customWidth="1"/>
    <col min="12546" max="12546" width="12.375" style="43" customWidth="1"/>
    <col min="12547" max="12547" width="11.875" style="43" customWidth="1"/>
    <col min="12548" max="12548" width="12.625" style="43" bestFit="1" customWidth="1"/>
    <col min="12549" max="12549" width="14.25" style="43" customWidth="1"/>
    <col min="12550" max="12550" width="12.625" style="43" bestFit="1" customWidth="1"/>
    <col min="12551" max="12551" width="15.125" style="43" customWidth="1"/>
    <col min="12552" max="12552" width="11.25" style="43" customWidth="1"/>
    <col min="12553" max="12553" width="11.875" style="43" customWidth="1"/>
    <col min="12554" max="12554" width="14.125" style="43" bestFit="1" customWidth="1"/>
    <col min="12555" max="12555" width="12" style="43" bestFit="1" customWidth="1"/>
    <col min="12556" max="12556" width="12.5" style="43" customWidth="1"/>
    <col min="12557" max="12557" width="13.375" style="43" customWidth="1"/>
    <col min="12558" max="12558" width="14.125" style="43" bestFit="1" customWidth="1"/>
    <col min="12559" max="12559" width="13.125" style="43" customWidth="1"/>
    <col min="12560" max="12800" width="9" style="43"/>
    <col min="12801" max="12801" width="4.375" style="43" customWidth="1"/>
    <col min="12802" max="12802" width="12.375" style="43" customWidth="1"/>
    <col min="12803" max="12803" width="11.875" style="43" customWidth="1"/>
    <col min="12804" max="12804" width="12.625" style="43" bestFit="1" customWidth="1"/>
    <col min="12805" max="12805" width="14.25" style="43" customWidth="1"/>
    <col min="12806" max="12806" width="12.625" style="43" bestFit="1" customWidth="1"/>
    <col min="12807" max="12807" width="15.125" style="43" customWidth="1"/>
    <col min="12808" max="12808" width="11.25" style="43" customWidth="1"/>
    <col min="12809" max="12809" width="11.875" style="43" customWidth="1"/>
    <col min="12810" max="12810" width="14.125" style="43" bestFit="1" customWidth="1"/>
    <col min="12811" max="12811" width="12" style="43" bestFit="1" customWidth="1"/>
    <col min="12812" max="12812" width="12.5" style="43" customWidth="1"/>
    <col min="12813" max="12813" width="13.375" style="43" customWidth="1"/>
    <col min="12814" max="12814" width="14.125" style="43" bestFit="1" customWidth="1"/>
    <col min="12815" max="12815" width="13.125" style="43" customWidth="1"/>
    <col min="12816" max="13056" width="9" style="43"/>
    <col min="13057" max="13057" width="4.375" style="43" customWidth="1"/>
    <col min="13058" max="13058" width="12.375" style="43" customWidth="1"/>
    <col min="13059" max="13059" width="11.875" style="43" customWidth="1"/>
    <col min="13060" max="13060" width="12.625" style="43" bestFit="1" customWidth="1"/>
    <col min="13061" max="13061" width="14.25" style="43" customWidth="1"/>
    <col min="13062" max="13062" width="12.625" style="43" bestFit="1" customWidth="1"/>
    <col min="13063" max="13063" width="15.125" style="43" customWidth="1"/>
    <col min="13064" max="13064" width="11.25" style="43" customWidth="1"/>
    <col min="13065" max="13065" width="11.875" style="43" customWidth="1"/>
    <col min="13066" max="13066" width="14.125" style="43" bestFit="1" customWidth="1"/>
    <col min="13067" max="13067" width="12" style="43" bestFit="1" customWidth="1"/>
    <col min="13068" max="13068" width="12.5" style="43" customWidth="1"/>
    <col min="13069" max="13069" width="13.375" style="43" customWidth="1"/>
    <col min="13070" max="13070" width="14.125" style="43" bestFit="1" customWidth="1"/>
    <col min="13071" max="13071" width="13.125" style="43" customWidth="1"/>
    <col min="13072" max="13312" width="9" style="43"/>
    <col min="13313" max="13313" width="4.375" style="43" customWidth="1"/>
    <col min="13314" max="13314" width="12.375" style="43" customWidth="1"/>
    <col min="13315" max="13315" width="11.875" style="43" customWidth="1"/>
    <col min="13316" max="13316" width="12.625" style="43" bestFit="1" customWidth="1"/>
    <col min="13317" max="13317" width="14.25" style="43" customWidth="1"/>
    <col min="13318" max="13318" width="12.625" style="43" bestFit="1" customWidth="1"/>
    <col min="13319" max="13319" width="15.125" style="43" customWidth="1"/>
    <col min="13320" max="13320" width="11.25" style="43" customWidth="1"/>
    <col min="13321" max="13321" width="11.875" style="43" customWidth="1"/>
    <col min="13322" max="13322" width="14.125" style="43" bestFit="1" customWidth="1"/>
    <col min="13323" max="13323" width="12" style="43" bestFit="1" customWidth="1"/>
    <col min="13324" max="13324" width="12.5" style="43" customWidth="1"/>
    <col min="13325" max="13325" width="13.375" style="43" customWidth="1"/>
    <col min="13326" max="13326" width="14.125" style="43" bestFit="1" customWidth="1"/>
    <col min="13327" max="13327" width="13.125" style="43" customWidth="1"/>
    <col min="13328" max="13568" width="9" style="43"/>
    <col min="13569" max="13569" width="4.375" style="43" customWidth="1"/>
    <col min="13570" max="13570" width="12.375" style="43" customWidth="1"/>
    <col min="13571" max="13571" width="11.875" style="43" customWidth="1"/>
    <col min="13572" max="13572" width="12.625" style="43" bestFit="1" customWidth="1"/>
    <col min="13573" max="13573" width="14.25" style="43" customWidth="1"/>
    <col min="13574" max="13574" width="12.625" style="43" bestFit="1" customWidth="1"/>
    <col min="13575" max="13575" width="15.125" style="43" customWidth="1"/>
    <col min="13576" max="13576" width="11.25" style="43" customWidth="1"/>
    <col min="13577" max="13577" width="11.875" style="43" customWidth="1"/>
    <col min="13578" max="13578" width="14.125" style="43" bestFit="1" customWidth="1"/>
    <col min="13579" max="13579" width="12" style="43" bestFit="1" customWidth="1"/>
    <col min="13580" max="13580" width="12.5" style="43" customWidth="1"/>
    <col min="13581" max="13581" width="13.375" style="43" customWidth="1"/>
    <col min="13582" max="13582" width="14.125" style="43" bestFit="1" customWidth="1"/>
    <col min="13583" max="13583" width="13.125" style="43" customWidth="1"/>
    <col min="13584" max="13824" width="9" style="43"/>
    <col min="13825" max="13825" width="4.375" style="43" customWidth="1"/>
    <col min="13826" max="13826" width="12.375" style="43" customWidth="1"/>
    <col min="13827" max="13827" width="11.875" style="43" customWidth="1"/>
    <col min="13828" max="13828" width="12.625" style="43" bestFit="1" customWidth="1"/>
    <col min="13829" max="13829" width="14.25" style="43" customWidth="1"/>
    <col min="13830" max="13830" width="12.625" style="43" bestFit="1" customWidth="1"/>
    <col min="13831" max="13831" width="15.125" style="43" customWidth="1"/>
    <col min="13832" max="13832" width="11.25" style="43" customWidth="1"/>
    <col min="13833" max="13833" width="11.875" style="43" customWidth="1"/>
    <col min="13834" max="13834" width="14.125" style="43" bestFit="1" customWidth="1"/>
    <col min="13835" max="13835" width="12" style="43" bestFit="1" customWidth="1"/>
    <col min="13836" max="13836" width="12.5" style="43" customWidth="1"/>
    <col min="13837" max="13837" width="13.375" style="43" customWidth="1"/>
    <col min="13838" max="13838" width="14.125" style="43" bestFit="1" customWidth="1"/>
    <col min="13839" max="13839" width="13.125" style="43" customWidth="1"/>
    <col min="13840" max="14080" width="9" style="43"/>
    <col min="14081" max="14081" width="4.375" style="43" customWidth="1"/>
    <col min="14082" max="14082" width="12.375" style="43" customWidth="1"/>
    <col min="14083" max="14083" width="11.875" style="43" customWidth="1"/>
    <col min="14084" max="14084" width="12.625" style="43" bestFit="1" customWidth="1"/>
    <col min="14085" max="14085" width="14.25" style="43" customWidth="1"/>
    <col min="14086" max="14086" width="12.625" style="43" bestFit="1" customWidth="1"/>
    <col min="14087" max="14087" width="15.125" style="43" customWidth="1"/>
    <col min="14088" max="14088" width="11.25" style="43" customWidth="1"/>
    <col min="14089" max="14089" width="11.875" style="43" customWidth="1"/>
    <col min="14090" max="14090" width="14.125" style="43" bestFit="1" customWidth="1"/>
    <col min="14091" max="14091" width="12" style="43" bestFit="1" customWidth="1"/>
    <col min="14092" max="14092" width="12.5" style="43" customWidth="1"/>
    <col min="14093" max="14093" width="13.375" style="43" customWidth="1"/>
    <col min="14094" max="14094" width="14.125" style="43" bestFit="1" customWidth="1"/>
    <col min="14095" max="14095" width="13.125" style="43" customWidth="1"/>
    <col min="14096" max="14336" width="9" style="43"/>
    <col min="14337" max="14337" width="4.375" style="43" customWidth="1"/>
    <col min="14338" max="14338" width="12.375" style="43" customWidth="1"/>
    <col min="14339" max="14339" width="11.875" style="43" customWidth="1"/>
    <col min="14340" max="14340" width="12.625" style="43" bestFit="1" customWidth="1"/>
    <col min="14341" max="14341" width="14.25" style="43" customWidth="1"/>
    <col min="14342" max="14342" width="12.625" style="43" bestFit="1" customWidth="1"/>
    <col min="14343" max="14343" width="15.125" style="43" customWidth="1"/>
    <col min="14344" max="14344" width="11.25" style="43" customWidth="1"/>
    <col min="14345" max="14345" width="11.875" style="43" customWidth="1"/>
    <col min="14346" max="14346" width="14.125" style="43" bestFit="1" customWidth="1"/>
    <col min="14347" max="14347" width="12" style="43" bestFit="1" customWidth="1"/>
    <col min="14348" max="14348" width="12.5" style="43" customWidth="1"/>
    <col min="14349" max="14349" width="13.375" style="43" customWidth="1"/>
    <col min="14350" max="14350" width="14.125" style="43" bestFit="1" customWidth="1"/>
    <col min="14351" max="14351" width="13.125" style="43" customWidth="1"/>
    <col min="14352" max="14592" width="9" style="43"/>
    <col min="14593" max="14593" width="4.375" style="43" customWidth="1"/>
    <col min="14594" max="14594" width="12.375" style="43" customWidth="1"/>
    <col min="14595" max="14595" width="11.875" style="43" customWidth="1"/>
    <col min="14596" max="14596" width="12.625" style="43" bestFit="1" customWidth="1"/>
    <col min="14597" max="14597" width="14.25" style="43" customWidth="1"/>
    <col min="14598" max="14598" width="12.625" style="43" bestFit="1" customWidth="1"/>
    <col min="14599" max="14599" width="15.125" style="43" customWidth="1"/>
    <col min="14600" max="14600" width="11.25" style="43" customWidth="1"/>
    <col min="14601" max="14601" width="11.875" style="43" customWidth="1"/>
    <col min="14602" max="14602" width="14.125" style="43" bestFit="1" customWidth="1"/>
    <col min="14603" max="14603" width="12" style="43" bestFit="1" customWidth="1"/>
    <col min="14604" max="14604" width="12.5" style="43" customWidth="1"/>
    <col min="14605" max="14605" width="13.375" style="43" customWidth="1"/>
    <col min="14606" max="14606" width="14.125" style="43" bestFit="1" customWidth="1"/>
    <col min="14607" max="14607" width="13.125" style="43" customWidth="1"/>
    <col min="14608" max="14848" width="9" style="43"/>
    <col min="14849" max="14849" width="4.375" style="43" customWidth="1"/>
    <col min="14850" max="14850" width="12.375" style="43" customWidth="1"/>
    <col min="14851" max="14851" width="11.875" style="43" customWidth="1"/>
    <col min="14852" max="14852" width="12.625" style="43" bestFit="1" customWidth="1"/>
    <col min="14853" max="14853" width="14.25" style="43" customWidth="1"/>
    <col min="14854" max="14854" width="12.625" style="43" bestFit="1" customWidth="1"/>
    <col min="14855" max="14855" width="15.125" style="43" customWidth="1"/>
    <col min="14856" max="14856" width="11.25" style="43" customWidth="1"/>
    <col min="14857" max="14857" width="11.875" style="43" customWidth="1"/>
    <col min="14858" max="14858" width="14.125" style="43" bestFit="1" customWidth="1"/>
    <col min="14859" max="14859" width="12" style="43" bestFit="1" customWidth="1"/>
    <col min="14860" max="14860" width="12.5" style="43" customWidth="1"/>
    <col min="14861" max="14861" width="13.375" style="43" customWidth="1"/>
    <col min="14862" max="14862" width="14.125" style="43" bestFit="1" customWidth="1"/>
    <col min="14863" max="14863" width="13.125" style="43" customWidth="1"/>
    <col min="14864" max="15104" width="9" style="43"/>
    <col min="15105" max="15105" width="4.375" style="43" customWidth="1"/>
    <col min="15106" max="15106" width="12.375" style="43" customWidth="1"/>
    <col min="15107" max="15107" width="11.875" style="43" customWidth="1"/>
    <col min="15108" max="15108" width="12.625" style="43" bestFit="1" customWidth="1"/>
    <col min="15109" max="15109" width="14.25" style="43" customWidth="1"/>
    <col min="15110" max="15110" width="12.625" style="43" bestFit="1" customWidth="1"/>
    <col min="15111" max="15111" width="15.125" style="43" customWidth="1"/>
    <col min="15112" max="15112" width="11.25" style="43" customWidth="1"/>
    <col min="15113" max="15113" width="11.875" style="43" customWidth="1"/>
    <col min="15114" max="15114" width="14.125" style="43" bestFit="1" customWidth="1"/>
    <col min="15115" max="15115" width="12" style="43" bestFit="1" customWidth="1"/>
    <col min="15116" max="15116" width="12.5" style="43" customWidth="1"/>
    <col min="15117" max="15117" width="13.375" style="43" customWidth="1"/>
    <col min="15118" max="15118" width="14.125" style="43" bestFit="1" customWidth="1"/>
    <col min="15119" max="15119" width="13.125" style="43" customWidth="1"/>
    <col min="15120" max="15360" width="9" style="43"/>
    <col min="15361" max="15361" width="4.375" style="43" customWidth="1"/>
    <col min="15362" max="15362" width="12.375" style="43" customWidth="1"/>
    <col min="15363" max="15363" width="11.875" style="43" customWidth="1"/>
    <col min="15364" max="15364" width="12.625" style="43" bestFit="1" customWidth="1"/>
    <col min="15365" max="15365" width="14.25" style="43" customWidth="1"/>
    <col min="15366" max="15366" width="12.625" style="43" bestFit="1" customWidth="1"/>
    <col min="15367" max="15367" width="15.125" style="43" customWidth="1"/>
    <col min="15368" max="15368" width="11.25" style="43" customWidth="1"/>
    <col min="15369" max="15369" width="11.875" style="43" customWidth="1"/>
    <col min="15370" max="15370" width="14.125" style="43" bestFit="1" customWidth="1"/>
    <col min="15371" max="15371" width="12" style="43" bestFit="1" customWidth="1"/>
    <col min="15372" max="15372" width="12.5" style="43" customWidth="1"/>
    <col min="15373" max="15373" width="13.375" style="43" customWidth="1"/>
    <col min="15374" max="15374" width="14.125" style="43" bestFit="1" customWidth="1"/>
    <col min="15375" max="15375" width="13.125" style="43" customWidth="1"/>
    <col min="15376" max="15616" width="9" style="43"/>
    <col min="15617" max="15617" width="4.375" style="43" customWidth="1"/>
    <col min="15618" max="15618" width="12.375" style="43" customWidth="1"/>
    <col min="15619" max="15619" width="11.875" style="43" customWidth="1"/>
    <col min="15620" max="15620" width="12.625" style="43" bestFit="1" customWidth="1"/>
    <col min="15621" max="15621" width="14.25" style="43" customWidth="1"/>
    <col min="15622" max="15622" width="12.625" style="43" bestFit="1" customWidth="1"/>
    <col min="15623" max="15623" width="15.125" style="43" customWidth="1"/>
    <col min="15624" max="15624" width="11.25" style="43" customWidth="1"/>
    <col min="15625" max="15625" width="11.875" style="43" customWidth="1"/>
    <col min="15626" max="15626" width="14.125" style="43" bestFit="1" customWidth="1"/>
    <col min="15627" max="15627" width="12" style="43" bestFit="1" customWidth="1"/>
    <col min="15628" max="15628" width="12.5" style="43" customWidth="1"/>
    <col min="15629" max="15629" width="13.375" style="43" customWidth="1"/>
    <col min="15630" max="15630" width="14.125" style="43" bestFit="1" customWidth="1"/>
    <col min="15631" max="15631" width="13.125" style="43" customWidth="1"/>
    <col min="15632" max="15872" width="9" style="43"/>
    <col min="15873" max="15873" width="4.375" style="43" customWidth="1"/>
    <col min="15874" max="15874" width="12.375" style="43" customWidth="1"/>
    <col min="15875" max="15875" width="11.875" style="43" customWidth="1"/>
    <col min="15876" max="15876" width="12.625" style="43" bestFit="1" customWidth="1"/>
    <col min="15877" max="15877" width="14.25" style="43" customWidth="1"/>
    <col min="15878" max="15878" width="12.625" style="43" bestFit="1" customWidth="1"/>
    <col min="15879" max="15879" width="15.125" style="43" customWidth="1"/>
    <col min="15880" max="15880" width="11.25" style="43" customWidth="1"/>
    <col min="15881" max="15881" width="11.875" style="43" customWidth="1"/>
    <col min="15882" max="15882" width="14.125" style="43" bestFit="1" customWidth="1"/>
    <col min="15883" max="15883" width="12" style="43" bestFit="1" customWidth="1"/>
    <col min="15884" max="15884" width="12.5" style="43" customWidth="1"/>
    <col min="15885" max="15885" width="13.375" style="43" customWidth="1"/>
    <col min="15886" max="15886" width="14.125" style="43" bestFit="1" customWidth="1"/>
    <col min="15887" max="15887" width="13.125" style="43" customWidth="1"/>
    <col min="15888" max="16128" width="9" style="43"/>
    <col min="16129" max="16129" width="4.375" style="43" customWidth="1"/>
    <col min="16130" max="16130" width="12.375" style="43" customWidth="1"/>
    <col min="16131" max="16131" width="11.875" style="43" customWidth="1"/>
    <col min="16132" max="16132" width="12.625" style="43" bestFit="1" customWidth="1"/>
    <col min="16133" max="16133" width="14.25" style="43" customWidth="1"/>
    <col min="16134" max="16134" width="12.625" style="43" bestFit="1" customWidth="1"/>
    <col min="16135" max="16135" width="15.125" style="43" customWidth="1"/>
    <col min="16136" max="16136" width="11.25" style="43" customWidth="1"/>
    <col min="16137" max="16137" width="11.875" style="43" customWidth="1"/>
    <col min="16138" max="16138" width="14.125" style="43" bestFit="1" customWidth="1"/>
    <col min="16139" max="16139" width="12" style="43" bestFit="1" customWidth="1"/>
    <col min="16140" max="16140" width="12.5" style="43" customWidth="1"/>
    <col min="16141" max="16141" width="13.375" style="43" customWidth="1"/>
    <col min="16142" max="16142" width="14.125" style="43" bestFit="1" customWidth="1"/>
    <col min="16143" max="16143" width="13.125" style="43" customWidth="1"/>
    <col min="16144" max="16384" width="9" style="43"/>
  </cols>
  <sheetData>
    <row r="1" spans="1:14" x14ac:dyDescent="0.2">
      <c r="A1" s="84" t="s">
        <v>216</v>
      </c>
      <c r="G1" s="41"/>
      <c r="I1" s="42"/>
      <c r="J1" s="42"/>
      <c r="K1" s="42"/>
      <c r="L1" s="42"/>
      <c r="N1" s="44"/>
    </row>
    <row r="2" spans="1:14" x14ac:dyDescent="0.2">
      <c r="A2" s="84" t="s">
        <v>234</v>
      </c>
      <c r="N2" s="44"/>
    </row>
    <row r="3" spans="1:14" ht="24.75" customHeight="1" x14ac:dyDescent="0.2">
      <c r="A3" s="83"/>
    </row>
    <row r="4" spans="1:14" x14ac:dyDescent="0.2">
      <c r="A4" s="93" t="s">
        <v>235</v>
      </c>
      <c r="C4" s="94" t="s">
        <v>21</v>
      </c>
      <c r="F4" s="87" t="s">
        <v>231</v>
      </c>
      <c r="H4" s="41" t="s">
        <v>217</v>
      </c>
    </row>
    <row r="5" spans="1:14" x14ac:dyDescent="0.2">
      <c r="A5" s="54">
        <v>1</v>
      </c>
      <c r="C5" s="45" t="s">
        <v>182</v>
      </c>
      <c r="F5" s="55">
        <v>17601900</v>
      </c>
      <c r="H5" s="45"/>
      <c r="K5" s="66"/>
    </row>
    <row r="6" spans="1:14" x14ac:dyDescent="0.2">
      <c r="A6" s="54">
        <f>A5+1</f>
        <v>2</v>
      </c>
      <c r="C6" s="45" t="s">
        <v>183</v>
      </c>
      <c r="F6" s="61">
        <v>25</v>
      </c>
      <c r="H6" s="88" t="s">
        <v>184</v>
      </c>
      <c r="J6" s="47"/>
      <c r="K6" s="47">
        <f>F5</f>
        <v>17601900</v>
      </c>
      <c r="L6" s="47"/>
    </row>
    <row r="7" spans="1:14" x14ac:dyDescent="0.2">
      <c r="A7" s="54">
        <f t="shared" ref="A7:A72" si="0">A6+1</f>
        <v>3</v>
      </c>
      <c r="C7" s="45" t="s">
        <v>185</v>
      </c>
      <c r="F7" s="61">
        <v>25</v>
      </c>
      <c r="H7" s="45" t="s">
        <v>188</v>
      </c>
      <c r="J7" s="47"/>
      <c r="K7" s="47">
        <f>K11</f>
        <v>90740.10992207368</v>
      </c>
    </row>
    <row r="8" spans="1:14" x14ac:dyDescent="0.2">
      <c r="A8" s="54">
        <f t="shared" si="0"/>
        <v>4</v>
      </c>
      <c r="C8" s="45" t="s">
        <v>186</v>
      </c>
      <c r="F8" s="56">
        <v>0</v>
      </c>
      <c r="H8" s="49"/>
      <c r="J8" s="50"/>
      <c r="K8" s="48"/>
    </row>
    <row r="9" spans="1:14" x14ac:dyDescent="0.2">
      <c r="A9" s="54">
        <f t="shared" si="0"/>
        <v>5</v>
      </c>
      <c r="C9" s="45" t="s">
        <v>187</v>
      </c>
      <c r="F9" s="56">
        <f>0.45%</f>
        <v>4.5000000000000005E-3</v>
      </c>
      <c r="H9" s="45" t="s">
        <v>192</v>
      </c>
      <c r="K9" s="47">
        <f>L70</f>
        <v>15346632.949902173</v>
      </c>
    </row>
    <row r="10" spans="1:14" x14ac:dyDescent="0.2">
      <c r="A10" s="54">
        <f t="shared" si="0"/>
        <v>6</v>
      </c>
      <c r="C10" s="45" t="s">
        <v>189</v>
      </c>
      <c r="F10" s="62">
        <f>F6</f>
        <v>25</v>
      </c>
      <c r="H10" s="45" t="s">
        <v>194</v>
      </c>
      <c r="J10" s="46"/>
      <c r="K10" s="47">
        <f>PMT(F19,F10,K9)*-1</f>
        <v>1088881.3190648842</v>
      </c>
    </row>
    <row r="11" spans="1:14" x14ac:dyDescent="0.2">
      <c r="A11" s="54">
        <f t="shared" si="0"/>
        <v>7</v>
      </c>
      <c r="C11" s="45" t="s">
        <v>190</v>
      </c>
      <c r="F11" s="55">
        <v>78000</v>
      </c>
      <c r="H11" s="43" t="s">
        <v>196</v>
      </c>
      <c r="K11" s="47">
        <f>K10/12</f>
        <v>90740.10992207368</v>
      </c>
    </row>
    <row r="12" spans="1:14" x14ac:dyDescent="0.2">
      <c r="A12" s="54">
        <f t="shared" si="0"/>
        <v>8</v>
      </c>
      <c r="C12" s="43" t="s">
        <v>191</v>
      </c>
      <c r="F12" s="56">
        <v>0.02</v>
      </c>
      <c r="H12" s="43" t="s">
        <v>223</v>
      </c>
      <c r="K12" s="70">
        <f>K11/F16</f>
        <v>2.8092913288567702</v>
      </c>
    </row>
    <row r="13" spans="1:14" x14ac:dyDescent="0.2">
      <c r="A13" s="54">
        <f t="shared" si="0"/>
        <v>9</v>
      </c>
      <c r="C13" s="43" t="s">
        <v>193</v>
      </c>
      <c r="F13" s="56">
        <v>1.6E-2</v>
      </c>
      <c r="H13" s="45" t="s">
        <v>198</v>
      </c>
      <c r="K13" s="58">
        <f>K10/F5</f>
        <v>6.1861578526459314E-2</v>
      </c>
    </row>
    <row r="14" spans="1:14" x14ac:dyDescent="0.2">
      <c r="A14" s="54">
        <f t="shared" si="0"/>
        <v>10</v>
      </c>
      <c r="C14" s="43" t="s">
        <v>195</v>
      </c>
      <c r="F14" s="57">
        <v>1.5</v>
      </c>
      <c r="K14" s="69"/>
    </row>
    <row r="15" spans="1:14" x14ac:dyDescent="0.2">
      <c r="A15" s="54">
        <f t="shared" si="0"/>
        <v>11</v>
      </c>
      <c r="C15" s="43" t="s">
        <v>197</v>
      </c>
      <c r="F15" s="51">
        <f>F13*F14</f>
        <v>2.4E-2</v>
      </c>
      <c r="K15" s="68"/>
    </row>
    <row r="16" spans="1:14" x14ac:dyDescent="0.2">
      <c r="A16" s="54">
        <f t="shared" si="0"/>
        <v>12</v>
      </c>
      <c r="C16" s="43" t="s">
        <v>224</v>
      </c>
      <c r="F16" s="61">
        <v>32300</v>
      </c>
    </row>
    <row r="17" spans="1:17" x14ac:dyDescent="0.2">
      <c r="A17" s="54">
        <f t="shared" si="0"/>
        <v>13</v>
      </c>
      <c r="C17" s="81" t="s">
        <v>230</v>
      </c>
      <c r="G17" s="45"/>
      <c r="H17" s="67"/>
      <c r="I17" s="67"/>
      <c r="J17" s="67"/>
      <c r="K17" s="67"/>
      <c r="L17" s="67"/>
    </row>
    <row r="18" spans="1:17" x14ac:dyDescent="0.2">
      <c r="A18" s="54">
        <f t="shared" si="0"/>
        <v>14</v>
      </c>
      <c r="C18" s="81" t="s">
        <v>232</v>
      </c>
      <c r="G18" s="45"/>
      <c r="H18" s="67"/>
      <c r="I18" s="67"/>
      <c r="J18" s="67"/>
      <c r="K18" s="67"/>
      <c r="L18" s="67"/>
    </row>
    <row r="19" spans="1:17" x14ac:dyDescent="0.2">
      <c r="A19" s="54">
        <f t="shared" si="0"/>
        <v>15</v>
      </c>
      <c r="C19" s="81" t="s">
        <v>244</v>
      </c>
      <c r="F19" s="56">
        <v>0.05</v>
      </c>
      <c r="G19" s="45"/>
      <c r="H19" s="67"/>
      <c r="I19" s="67"/>
      <c r="J19" s="67"/>
      <c r="K19" s="67"/>
      <c r="L19" s="67"/>
    </row>
    <row r="20" spans="1:17" x14ac:dyDescent="0.2">
      <c r="A20" s="54">
        <f t="shared" si="0"/>
        <v>16</v>
      </c>
      <c r="B20" s="84"/>
      <c r="C20" s="52"/>
      <c r="D20" s="52"/>
      <c r="E20" s="52"/>
      <c r="F20" s="95"/>
      <c r="H20" s="45"/>
      <c r="I20" s="67"/>
      <c r="J20" s="67"/>
      <c r="K20" s="67"/>
      <c r="L20" s="67"/>
      <c r="M20" s="67"/>
    </row>
    <row r="21" spans="1:17" x14ac:dyDescent="0.2">
      <c r="A21" s="54">
        <f t="shared" si="0"/>
        <v>17</v>
      </c>
      <c r="B21" s="85" t="s">
        <v>245</v>
      </c>
      <c r="C21" s="96"/>
      <c r="D21" s="96"/>
      <c r="E21" s="96"/>
      <c r="F21" s="97"/>
      <c r="G21" s="86"/>
      <c r="H21" s="98"/>
      <c r="I21" s="99"/>
      <c r="J21" s="99"/>
      <c r="K21" s="99"/>
      <c r="L21" s="99"/>
      <c r="M21" s="99"/>
    </row>
    <row r="22" spans="1:17" x14ac:dyDescent="0.2">
      <c r="A22" s="54">
        <f t="shared" si="0"/>
        <v>18</v>
      </c>
      <c r="B22" s="44"/>
      <c r="C22" s="44"/>
      <c r="D22" s="44"/>
      <c r="E22" s="44"/>
      <c r="F22" s="44"/>
      <c r="G22" s="44"/>
      <c r="H22" s="44"/>
      <c r="I22" s="44"/>
      <c r="J22" s="44"/>
      <c r="K22" s="52"/>
      <c r="L22" s="44"/>
      <c r="M22" s="52" t="s">
        <v>199</v>
      </c>
      <c r="Q22" s="44"/>
    </row>
    <row r="23" spans="1:17" x14ac:dyDescent="0.2">
      <c r="A23" s="54">
        <f t="shared" si="0"/>
        <v>19</v>
      </c>
      <c r="G23" s="52"/>
      <c r="H23" s="44"/>
      <c r="I23" s="44"/>
      <c r="J23" s="52"/>
      <c r="K23" s="52" t="s">
        <v>200</v>
      </c>
      <c r="L23" s="52" t="s">
        <v>200</v>
      </c>
      <c r="M23" s="52" t="s">
        <v>200</v>
      </c>
    </row>
    <row r="24" spans="1:17" x14ac:dyDescent="0.2">
      <c r="A24" s="54">
        <f t="shared" si="0"/>
        <v>20</v>
      </c>
      <c r="G24" s="52"/>
      <c r="H24" s="44"/>
      <c r="I24" s="44"/>
      <c r="J24" s="52" t="s">
        <v>201</v>
      </c>
      <c r="K24" s="52" t="s">
        <v>148</v>
      </c>
      <c r="L24" s="52" t="s">
        <v>148</v>
      </c>
      <c r="M24" s="52" t="s">
        <v>148</v>
      </c>
    </row>
    <row r="25" spans="1:17" x14ac:dyDescent="0.2">
      <c r="A25" s="54">
        <f t="shared" si="0"/>
        <v>21</v>
      </c>
      <c r="B25" s="44"/>
      <c r="C25" s="52"/>
      <c r="D25" s="52" t="s">
        <v>202</v>
      </c>
      <c r="E25" s="52" t="s">
        <v>203</v>
      </c>
      <c r="F25" s="52"/>
      <c r="G25" s="52"/>
      <c r="H25" s="52"/>
      <c r="I25" s="52" t="s">
        <v>204</v>
      </c>
      <c r="J25" s="52" t="s">
        <v>205</v>
      </c>
      <c r="K25" s="52" t="s">
        <v>179</v>
      </c>
      <c r="L25" s="52" t="s">
        <v>206</v>
      </c>
      <c r="M25" s="52" t="s">
        <v>206</v>
      </c>
    </row>
    <row r="26" spans="1:17" x14ac:dyDescent="0.2">
      <c r="A26" s="54">
        <f t="shared" si="0"/>
        <v>22</v>
      </c>
      <c r="B26" s="52" t="s">
        <v>147</v>
      </c>
      <c r="C26" s="52" t="s">
        <v>207</v>
      </c>
      <c r="D26" s="52" t="s">
        <v>208</v>
      </c>
      <c r="E26" s="52" t="s">
        <v>209</v>
      </c>
      <c r="F26" s="52" t="s">
        <v>210</v>
      </c>
      <c r="G26" s="52" t="s">
        <v>179</v>
      </c>
      <c r="H26" s="52" t="s">
        <v>211</v>
      </c>
      <c r="I26" s="52" t="s">
        <v>212</v>
      </c>
      <c r="J26" s="52" t="s">
        <v>213</v>
      </c>
      <c r="K26" s="53" t="s">
        <v>214</v>
      </c>
      <c r="L26" s="52" t="s">
        <v>213</v>
      </c>
      <c r="M26" s="52" t="s">
        <v>213</v>
      </c>
    </row>
    <row r="27" spans="1:17" x14ac:dyDescent="0.2">
      <c r="A27" s="54">
        <f t="shared" si="0"/>
        <v>23</v>
      </c>
    </row>
    <row r="28" spans="1:17" s="81" customFormat="1" x14ac:dyDescent="0.2">
      <c r="A28" s="54">
        <f t="shared" si="0"/>
        <v>24</v>
      </c>
      <c r="B28" s="81">
        <v>0</v>
      </c>
      <c r="C28" s="89">
        <f>C79</f>
        <v>17601900</v>
      </c>
      <c r="D28" s="89">
        <f>D79</f>
        <v>0</v>
      </c>
      <c r="E28" s="89">
        <f t="shared" ref="E28:L28" si="1">E79</f>
        <v>0</v>
      </c>
      <c r="F28" s="89">
        <f t="shared" si="1"/>
        <v>0</v>
      </c>
      <c r="G28" s="89">
        <f t="shared" si="1"/>
        <v>0</v>
      </c>
      <c r="H28" s="89">
        <f t="shared" si="1"/>
        <v>0</v>
      </c>
      <c r="I28" s="89">
        <f t="shared" si="1"/>
        <v>0</v>
      </c>
      <c r="J28" s="89">
        <f t="shared" si="1"/>
        <v>0</v>
      </c>
      <c r="K28" s="90"/>
      <c r="L28" s="89">
        <f t="shared" si="1"/>
        <v>0</v>
      </c>
      <c r="M28" s="89">
        <f t="shared" ref="M28" si="2">M79</f>
        <v>0</v>
      </c>
    </row>
    <row r="29" spans="1:17" s="81" customFormat="1" x14ac:dyDescent="0.2">
      <c r="A29" s="54">
        <f t="shared" si="0"/>
        <v>25</v>
      </c>
      <c r="B29" s="81">
        <v>1</v>
      </c>
      <c r="C29" s="89">
        <f t="shared" ref="C29:J29" si="3">C80</f>
        <v>0</v>
      </c>
      <c r="D29" s="89">
        <f t="shared" si="3"/>
        <v>704076</v>
      </c>
      <c r="E29" s="89">
        <f t="shared" si="3"/>
        <v>16897824</v>
      </c>
      <c r="F29" s="89">
        <f t="shared" si="3"/>
        <v>16897824</v>
      </c>
      <c r="G29" s="89">
        <f t="shared" si="3"/>
        <v>405547.77600000001</v>
      </c>
      <c r="H29" s="89">
        <f t="shared" si="3"/>
        <v>79560</v>
      </c>
      <c r="I29" s="89">
        <f t="shared" si="3"/>
        <v>76040.208000000013</v>
      </c>
      <c r="J29" s="89">
        <f t="shared" si="3"/>
        <v>1265223.9840000002</v>
      </c>
      <c r="K29" s="90"/>
      <c r="L29" s="89">
        <f t="shared" ref="L29:M29" si="4">L80</f>
        <v>1204975.222857143</v>
      </c>
      <c r="M29" s="89">
        <f t="shared" si="4"/>
        <v>1204975.222857143</v>
      </c>
      <c r="O29" s="91"/>
    </row>
    <row r="30" spans="1:17" s="81" customFormat="1" x14ac:dyDescent="0.2">
      <c r="A30" s="54">
        <f t="shared" si="0"/>
        <v>26</v>
      </c>
      <c r="B30" s="81">
        <v>2</v>
      </c>
      <c r="C30" s="89">
        <f t="shared" ref="C30:J30" si="5">C81</f>
        <v>0</v>
      </c>
      <c r="D30" s="89">
        <f t="shared" si="5"/>
        <v>704076</v>
      </c>
      <c r="E30" s="89">
        <f t="shared" si="5"/>
        <v>16193748</v>
      </c>
      <c r="F30" s="89">
        <f t="shared" si="5"/>
        <v>16193748</v>
      </c>
      <c r="G30" s="89">
        <f t="shared" si="5"/>
        <v>388649.95199999999</v>
      </c>
      <c r="H30" s="89">
        <f t="shared" si="5"/>
        <v>81151.199999999997</v>
      </c>
      <c r="I30" s="89">
        <f t="shared" si="5"/>
        <v>72871.866000000009</v>
      </c>
      <c r="J30" s="89">
        <f t="shared" si="5"/>
        <v>1246749.0179999999</v>
      </c>
      <c r="K30" s="90"/>
      <c r="L30" s="89">
        <f t="shared" ref="L30:M30" si="6">L81</f>
        <v>1130838.1115646258</v>
      </c>
      <c r="M30" s="89">
        <f t="shared" si="6"/>
        <v>2335813.3344217688</v>
      </c>
      <c r="O30" s="91"/>
    </row>
    <row r="31" spans="1:17" s="81" customFormat="1" x14ac:dyDescent="0.2">
      <c r="A31" s="54">
        <f t="shared" si="0"/>
        <v>27</v>
      </c>
      <c r="B31" s="81">
        <v>3</v>
      </c>
      <c r="C31" s="89">
        <f t="shared" ref="C31:J31" si="7">C82</f>
        <v>0</v>
      </c>
      <c r="D31" s="89">
        <f t="shared" si="7"/>
        <v>704076</v>
      </c>
      <c r="E31" s="89">
        <f t="shared" si="7"/>
        <v>15489672</v>
      </c>
      <c r="F31" s="89">
        <f t="shared" si="7"/>
        <v>15489672</v>
      </c>
      <c r="G31" s="89">
        <f t="shared" si="7"/>
        <v>371752.12800000003</v>
      </c>
      <c r="H31" s="89">
        <f t="shared" si="7"/>
        <v>82774.223999999987</v>
      </c>
      <c r="I31" s="89">
        <f t="shared" si="7"/>
        <v>69703.524000000005</v>
      </c>
      <c r="J31" s="89">
        <f t="shared" si="7"/>
        <v>1228305.8759999999</v>
      </c>
      <c r="K31" s="90"/>
      <c r="L31" s="89">
        <f t="shared" ref="L31:M31" si="8">L82</f>
        <v>1061056.7981859408</v>
      </c>
      <c r="M31" s="89">
        <f t="shared" si="8"/>
        <v>3396870.1326077096</v>
      </c>
      <c r="O31" s="91"/>
    </row>
    <row r="32" spans="1:17" s="81" customFormat="1" x14ac:dyDescent="0.2">
      <c r="A32" s="54">
        <f t="shared" si="0"/>
        <v>28</v>
      </c>
      <c r="B32" s="81">
        <v>4</v>
      </c>
      <c r="C32" s="89">
        <f t="shared" ref="C32:J32" si="9">C83</f>
        <v>0</v>
      </c>
      <c r="D32" s="89">
        <f t="shared" si="9"/>
        <v>704076</v>
      </c>
      <c r="E32" s="89">
        <f t="shared" si="9"/>
        <v>14785596</v>
      </c>
      <c r="F32" s="89">
        <f t="shared" si="9"/>
        <v>14785596</v>
      </c>
      <c r="G32" s="89">
        <f t="shared" si="9"/>
        <v>354854.304</v>
      </c>
      <c r="H32" s="89">
        <f t="shared" si="9"/>
        <v>84429.708480000001</v>
      </c>
      <c r="I32" s="89">
        <f t="shared" si="9"/>
        <v>66535.182000000001</v>
      </c>
      <c r="J32" s="89">
        <f t="shared" si="9"/>
        <v>1209895.1944800001</v>
      </c>
      <c r="K32" s="90"/>
      <c r="L32" s="89">
        <f t="shared" ref="L32:M32" si="10">L83</f>
        <v>995383.77073750133</v>
      </c>
      <c r="M32" s="89">
        <f t="shared" si="10"/>
        <v>4392253.9033452105</v>
      </c>
      <c r="O32" s="91"/>
    </row>
    <row r="33" spans="1:15" s="81" customFormat="1" x14ac:dyDescent="0.2">
      <c r="A33" s="54">
        <f t="shared" si="0"/>
        <v>29</v>
      </c>
      <c r="B33" s="81">
        <v>5</v>
      </c>
      <c r="C33" s="89">
        <f t="shared" ref="C33:J33" si="11">C84</f>
        <v>0</v>
      </c>
      <c r="D33" s="89">
        <f t="shared" si="11"/>
        <v>704076</v>
      </c>
      <c r="E33" s="89">
        <f t="shared" si="11"/>
        <v>14081520</v>
      </c>
      <c r="F33" s="89">
        <f t="shared" si="11"/>
        <v>14081520</v>
      </c>
      <c r="G33" s="89">
        <f t="shared" si="11"/>
        <v>337956.48</v>
      </c>
      <c r="H33" s="89">
        <f t="shared" si="11"/>
        <v>86118.302649599995</v>
      </c>
      <c r="I33" s="89">
        <f t="shared" si="11"/>
        <v>63366.840000000011</v>
      </c>
      <c r="J33" s="89">
        <f t="shared" si="11"/>
        <v>1191517.6226496</v>
      </c>
      <c r="K33" s="90"/>
      <c r="L33" s="89">
        <f t="shared" ref="L33:M33" si="12">L84</f>
        <v>933585.23515425297</v>
      </c>
      <c r="M33" s="89">
        <f t="shared" si="12"/>
        <v>5325839.138499463</v>
      </c>
      <c r="O33" s="91"/>
    </row>
    <row r="34" spans="1:15" s="81" customFormat="1" x14ac:dyDescent="0.2">
      <c r="A34" s="54">
        <f t="shared" si="0"/>
        <v>30</v>
      </c>
      <c r="B34" s="81">
        <v>6</v>
      </c>
      <c r="C34" s="89">
        <f t="shared" ref="C34:J34" si="13">C85</f>
        <v>0</v>
      </c>
      <c r="D34" s="89">
        <f t="shared" si="13"/>
        <v>704076</v>
      </c>
      <c r="E34" s="89">
        <f t="shared" si="13"/>
        <v>13377444</v>
      </c>
      <c r="F34" s="89">
        <f t="shared" si="13"/>
        <v>13377444</v>
      </c>
      <c r="G34" s="89">
        <f t="shared" si="13"/>
        <v>321058.65600000002</v>
      </c>
      <c r="H34" s="89">
        <f t="shared" si="13"/>
        <v>87840.668702592011</v>
      </c>
      <c r="I34" s="89">
        <f t="shared" si="13"/>
        <v>60198.498000000007</v>
      </c>
      <c r="J34" s="89">
        <f t="shared" si="13"/>
        <v>1173173.8227025918</v>
      </c>
      <c r="K34" s="90"/>
      <c r="L34" s="89">
        <f t="shared" ref="L34:M34" si="14">L85</f>
        <v>875440.36943172314</v>
      </c>
      <c r="M34" s="89">
        <f t="shared" si="14"/>
        <v>6201279.5079311859</v>
      </c>
      <c r="O34" s="91"/>
    </row>
    <row r="35" spans="1:15" s="81" customFormat="1" x14ac:dyDescent="0.2">
      <c r="A35" s="54">
        <f t="shared" si="0"/>
        <v>31</v>
      </c>
      <c r="B35" s="81">
        <v>7</v>
      </c>
      <c r="C35" s="89">
        <f t="shared" ref="C35:J35" si="15">C86</f>
        <v>0</v>
      </c>
      <c r="D35" s="89">
        <f t="shared" si="15"/>
        <v>704076</v>
      </c>
      <c r="E35" s="89">
        <f t="shared" si="15"/>
        <v>12673368</v>
      </c>
      <c r="F35" s="89">
        <f t="shared" si="15"/>
        <v>12673368</v>
      </c>
      <c r="G35" s="89">
        <f t="shared" si="15"/>
        <v>304160.83199999999</v>
      </c>
      <c r="H35" s="89">
        <f t="shared" si="15"/>
        <v>89597.482076643821</v>
      </c>
      <c r="I35" s="89">
        <f t="shared" si="15"/>
        <v>57030.15600000001</v>
      </c>
      <c r="J35" s="89">
        <f t="shared" si="15"/>
        <v>1154864.4700766436</v>
      </c>
      <c r="K35" s="90"/>
      <c r="L35" s="89">
        <f t="shared" ref="L35:M35" si="16">L86</f>
        <v>820740.61771408701</v>
      </c>
      <c r="M35" s="89">
        <f t="shared" si="16"/>
        <v>7022020.1256452724</v>
      </c>
      <c r="O35" s="91"/>
    </row>
    <row r="36" spans="1:15" s="81" customFormat="1" x14ac:dyDescent="0.2">
      <c r="A36" s="54">
        <f t="shared" si="0"/>
        <v>32</v>
      </c>
      <c r="B36" s="81">
        <v>8</v>
      </c>
      <c r="C36" s="89">
        <f t="shared" ref="C36:J36" si="17">C87</f>
        <v>0</v>
      </c>
      <c r="D36" s="89">
        <f t="shared" si="17"/>
        <v>704076</v>
      </c>
      <c r="E36" s="89">
        <f t="shared" si="17"/>
        <v>11969292</v>
      </c>
      <c r="F36" s="89">
        <f t="shared" si="17"/>
        <v>11969292</v>
      </c>
      <c r="G36" s="89">
        <f t="shared" si="17"/>
        <v>287263.00800000003</v>
      </c>
      <c r="H36" s="89">
        <f t="shared" si="17"/>
        <v>91389.431718176711</v>
      </c>
      <c r="I36" s="89">
        <f t="shared" si="17"/>
        <v>53861.814000000006</v>
      </c>
      <c r="J36" s="89">
        <f t="shared" si="17"/>
        <v>1136590.2537181769</v>
      </c>
      <c r="K36" s="90"/>
      <c r="L36" s="89">
        <f t="shared" ref="L36:M36" si="18">L87</f>
        <v>769289.02221463458</v>
      </c>
      <c r="M36" s="89">
        <f t="shared" si="18"/>
        <v>7791309.1478599068</v>
      </c>
      <c r="O36" s="91"/>
    </row>
    <row r="37" spans="1:15" s="81" customFormat="1" x14ac:dyDescent="0.2">
      <c r="A37" s="54">
        <f t="shared" si="0"/>
        <v>33</v>
      </c>
      <c r="B37" s="81">
        <v>9</v>
      </c>
      <c r="C37" s="89">
        <f t="shared" ref="C37:J37" si="19">C88</f>
        <v>0</v>
      </c>
      <c r="D37" s="89">
        <f t="shared" si="19"/>
        <v>704076</v>
      </c>
      <c r="E37" s="89">
        <f t="shared" si="19"/>
        <v>11265216</v>
      </c>
      <c r="F37" s="89">
        <f t="shared" si="19"/>
        <v>11265216</v>
      </c>
      <c r="G37" s="89">
        <f t="shared" si="19"/>
        <v>270365.18400000001</v>
      </c>
      <c r="H37" s="89">
        <f t="shared" si="19"/>
        <v>93217.220352540244</v>
      </c>
      <c r="I37" s="89">
        <f t="shared" si="19"/>
        <v>50693.472000000009</v>
      </c>
      <c r="J37" s="89">
        <f t="shared" si="19"/>
        <v>1118351.8763525402</v>
      </c>
      <c r="K37" s="90"/>
      <c r="L37" s="89">
        <f t="shared" ref="L37:M37" si="20">L88</f>
        <v>720899.59096575098</v>
      </c>
      <c r="M37" s="89">
        <f t="shared" si="20"/>
        <v>8512208.7388256583</v>
      </c>
      <c r="O37" s="91"/>
    </row>
    <row r="38" spans="1:15" s="81" customFormat="1" x14ac:dyDescent="0.2">
      <c r="A38" s="54">
        <f t="shared" si="0"/>
        <v>34</v>
      </c>
      <c r="B38" s="81">
        <v>10</v>
      </c>
      <c r="C38" s="89">
        <f t="shared" ref="C38:J38" si="21">C89</f>
        <v>0</v>
      </c>
      <c r="D38" s="89">
        <f t="shared" si="21"/>
        <v>704076</v>
      </c>
      <c r="E38" s="89">
        <f t="shared" si="21"/>
        <v>10561140</v>
      </c>
      <c r="F38" s="89">
        <f t="shared" si="21"/>
        <v>10561140</v>
      </c>
      <c r="G38" s="89">
        <f t="shared" si="21"/>
        <v>253467.36000000002</v>
      </c>
      <c r="H38" s="89">
        <f t="shared" si="21"/>
        <v>95081.564759591056</v>
      </c>
      <c r="I38" s="89">
        <f t="shared" si="21"/>
        <v>47525.130000000005</v>
      </c>
      <c r="J38" s="89">
        <f t="shared" si="21"/>
        <v>1100150.0547595909</v>
      </c>
      <c r="K38" s="90"/>
      <c r="L38" s="89">
        <f t="shared" ref="L38:M38" si="22">L89</f>
        <v>675396.699500505</v>
      </c>
      <c r="M38" s="89">
        <f t="shared" si="22"/>
        <v>9187605.4383261632</v>
      </c>
      <c r="O38" s="91"/>
    </row>
    <row r="39" spans="1:15" s="81" customFormat="1" x14ac:dyDescent="0.2">
      <c r="A39" s="54">
        <f t="shared" si="0"/>
        <v>35</v>
      </c>
      <c r="B39" s="81">
        <v>11</v>
      </c>
      <c r="C39" s="89">
        <f t="shared" ref="C39:J39" si="23">C90</f>
        <v>0</v>
      </c>
      <c r="D39" s="89">
        <f t="shared" si="23"/>
        <v>704076</v>
      </c>
      <c r="E39" s="89">
        <f t="shared" si="23"/>
        <v>9857064</v>
      </c>
      <c r="F39" s="89">
        <f t="shared" si="23"/>
        <v>9857064</v>
      </c>
      <c r="G39" s="89">
        <f t="shared" si="23"/>
        <v>236569.53599999999</v>
      </c>
      <c r="H39" s="89">
        <f t="shared" si="23"/>
        <v>96983.196054782864</v>
      </c>
      <c r="I39" s="89">
        <f t="shared" si="23"/>
        <v>44356.788000000008</v>
      </c>
      <c r="J39" s="89">
        <f t="shared" si="23"/>
        <v>1081985.5200547827</v>
      </c>
      <c r="K39" s="90"/>
      <c r="L39" s="89">
        <f t="shared" ref="L39:M39" si="24">L90</f>
        <v>632614.52466744964</v>
      </c>
      <c r="M39" s="89">
        <f t="shared" si="24"/>
        <v>9820219.9629936125</v>
      </c>
      <c r="O39" s="91"/>
    </row>
    <row r="40" spans="1:15" s="81" customFormat="1" x14ac:dyDescent="0.2">
      <c r="A40" s="54">
        <f t="shared" si="0"/>
        <v>36</v>
      </c>
      <c r="B40" s="81">
        <v>12</v>
      </c>
      <c r="C40" s="89">
        <f t="shared" ref="C40:J40" si="25">C91</f>
        <v>0</v>
      </c>
      <c r="D40" s="89">
        <f t="shared" si="25"/>
        <v>704076</v>
      </c>
      <c r="E40" s="89">
        <f t="shared" si="25"/>
        <v>9152988</v>
      </c>
      <c r="F40" s="89">
        <f t="shared" si="25"/>
        <v>9152988</v>
      </c>
      <c r="G40" s="89">
        <f t="shared" si="25"/>
        <v>219671.712</v>
      </c>
      <c r="H40" s="89">
        <f t="shared" si="25"/>
        <v>98922.859975878528</v>
      </c>
      <c r="I40" s="89">
        <f t="shared" si="25"/>
        <v>41188.446000000004</v>
      </c>
      <c r="J40" s="89">
        <f t="shared" si="25"/>
        <v>1063859.0179758787</v>
      </c>
      <c r="K40" s="90"/>
      <c r="L40" s="89">
        <f t="shared" ref="L40:M40" si="26">L91</f>
        <v>592396.50887460215</v>
      </c>
      <c r="M40" s="89">
        <f t="shared" si="26"/>
        <v>10412616.471868215</v>
      </c>
      <c r="O40" s="91"/>
    </row>
    <row r="41" spans="1:15" s="81" customFormat="1" x14ac:dyDescent="0.2">
      <c r="A41" s="54">
        <f t="shared" si="0"/>
        <v>37</v>
      </c>
      <c r="B41" s="81">
        <v>13</v>
      </c>
      <c r="C41" s="89">
        <f t="shared" ref="C41:J41" si="27">C92</f>
        <v>0</v>
      </c>
      <c r="D41" s="89">
        <f t="shared" si="27"/>
        <v>704076</v>
      </c>
      <c r="E41" s="89">
        <f t="shared" si="27"/>
        <v>8448912</v>
      </c>
      <c r="F41" s="89">
        <f t="shared" si="27"/>
        <v>8448912</v>
      </c>
      <c r="G41" s="89">
        <f t="shared" si="27"/>
        <v>202773.88800000001</v>
      </c>
      <c r="H41" s="89">
        <f t="shared" si="27"/>
        <v>100901.31717539609</v>
      </c>
      <c r="I41" s="89">
        <f t="shared" si="27"/>
        <v>38020.104000000007</v>
      </c>
      <c r="J41" s="89">
        <f t="shared" si="27"/>
        <v>1045771.3091753962</v>
      </c>
      <c r="K41" s="90"/>
      <c r="L41" s="89">
        <f t="shared" ref="L41:M41" si="28">L92</f>
        <v>554594.85314799414</v>
      </c>
      <c r="M41" s="89">
        <f t="shared" si="28"/>
        <v>10967211.32501621</v>
      </c>
      <c r="O41" s="91"/>
    </row>
    <row r="42" spans="1:15" s="81" customFormat="1" x14ac:dyDescent="0.2">
      <c r="A42" s="54">
        <f t="shared" si="0"/>
        <v>38</v>
      </c>
      <c r="B42" s="81">
        <v>14</v>
      </c>
      <c r="C42" s="89">
        <f t="shared" ref="C42:M42" si="29">C93</f>
        <v>0</v>
      </c>
      <c r="D42" s="89">
        <f t="shared" si="29"/>
        <v>704076</v>
      </c>
      <c r="E42" s="89">
        <f t="shared" si="29"/>
        <v>7744836</v>
      </c>
      <c r="F42" s="89">
        <f t="shared" si="29"/>
        <v>7744836</v>
      </c>
      <c r="G42" s="89">
        <f t="shared" si="29"/>
        <v>185876.06400000001</v>
      </c>
      <c r="H42" s="89">
        <f t="shared" si="29"/>
        <v>102919.34351890403</v>
      </c>
      <c r="I42" s="89">
        <f t="shared" si="29"/>
        <v>34851.762000000002</v>
      </c>
      <c r="J42" s="89">
        <f t="shared" si="29"/>
        <v>1027723.1695189041</v>
      </c>
      <c r="K42" s="90"/>
      <c r="L42" s="89">
        <f t="shared" si="29"/>
        <v>519070.03747497953</v>
      </c>
      <c r="M42" s="89">
        <f t="shared" si="29"/>
        <v>11486281.362491189</v>
      </c>
      <c r="O42" s="91"/>
    </row>
    <row r="43" spans="1:15" s="81" customFormat="1" x14ac:dyDescent="0.2">
      <c r="A43" s="54">
        <f t="shared" si="0"/>
        <v>39</v>
      </c>
      <c r="B43" s="81">
        <v>15</v>
      </c>
      <c r="C43" s="89">
        <f t="shared" ref="C43:M43" si="30">C94</f>
        <v>0</v>
      </c>
      <c r="D43" s="89">
        <f t="shared" si="30"/>
        <v>704076</v>
      </c>
      <c r="E43" s="89">
        <f t="shared" si="30"/>
        <v>7040760</v>
      </c>
      <c r="F43" s="89">
        <f t="shared" si="30"/>
        <v>7040760</v>
      </c>
      <c r="G43" s="89">
        <f t="shared" si="30"/>
        <v>168978.24</v>
      </c>
      <c r="H43" s="89">
        <f t="shared" si="30"/>
        <v>104977.73038928208</v>
      </c>
      <c r="I43" s="89">
        <f t="shared" si="30"/>
        <v>31683.420000000006</v>
      </c>
      <c r="J43" s="89">
        <f t="shared" si="30"/>
        <v>1009715.3903892821</v>
      </c>
      <c r="K43" s="90"/>
      <c r="L43" s="89">
        <f t="shared" si="30"/>
        <v>485690.36698284361</v>
      </c>
      <c r="M43" s="89">
        <f t="shared" si="30"/>
        <v>11971971.729474032</v>
      </c>
      <c r="O43" s="91"/>
    </row>
    <row r="44" spans="1:15" s="81" customFormat="1" x14ac:dyDescent="0.2">
      <c r="A44" s="54">
        <f t="shared" si="0"/>
        <v>40</v>
      </c>
      <c r="B44" s="81">
        <v>16</v>
      </c>
      <c r="C44" s="89">
        <f t="shared" ref="C44:M44" si="31">C95</f>
        <v>0</v>
      </c>
      <c r="D44" s="89">
        <f t="shared" si="31"/>
        <v>704076</v>
      </c>
      <c r="E44" s="89">
        <f t="shared" si="31"/>
        <v>6336684</v>
      </c>
      <c r="F44" s="89">
        <f t="shared" si="31"/>
        <v>6336684</v>
      </c>
      <c r="G44" s="89">
        <f t="shared" si="31"/>
        <v>152080.416</v>
      </c>
      <c r="H44" s="89">
        <f t="shared" si="31"/>
        <v>107077.28499706773</v>
      </c>
      <c r="I44" s="89">
        <f t="shared" si="31"/>
        <v>28515.078000000005</v>
      </c>
      <c r="J44" s="89">
        <f t="shared" si="31"/>
        <v>991748.77899706771</v>
      </c>
      <c r="K44" s="90"/>
      <c r="L44" s="89">
        <f t="shared" si="31"/>
        <v>454331.54257945949</v>
      </c>
      <c r="M44" s="89">
        <f t="shared" si="31"/>
        <v>12426303.272053491</v>
      </c>
      <c r="O44" s="91"/>
    </row>
    <row r="45" spans="1:15" s="81" customFormat="1" x14ac:dyDescent="0.2">
      <c r="A45" s="54">
        <f t="shared" si="0"/>
        <v>41</v>
      </c>
      <c r="B45" s="81">
        <v>17</v>
      </c>
      <c r="C45" s="89">
        <f t="shared" ref="C45:M45" si="32">C96</f>
        <v>0</v>
      </c>
      <c r="D45" s="89">
        <f t="shared" si="32"/>
        <v>704076</v>
      </c>
      <c r="E45" s="89">
        <f t="shared" si="32"/>
        <v>5632608</v>
      </c>
      <c r="F45" s="89">
        <f t="shared" si="32"/>
        <v>5632608</v>
      </c>
      <c r="G45" s="89">
        <f t="shared" si="32"/>
        <v>135182.592</v>
      </c>
      <c r="H45" s="89">
        <f t="shared" si="32"/>
        <v>109218.83069700911</v>
      </c>
      <c r="I45" s="89">
        <f t="shared" si="32"/>
        <v>25346.736000000004</v>
      </c>
      <c r="J45" s="89">
        <f t="shared" si="32"/>
        <v>973824.15869700909</v>
      </c>
      <c r="K45" s="90"/>
      <c r="L45" s="89">
        <f t="shared" si="32"/>
        <v>424876.25475493487</v>
      </c>
      <c r="M45" s="89">
        <f t="shared" si="32"/>
        <v>12851179.526808426</v>
      </c>
      <c r="O45" s="91"/>
    </row>
    <row r="46" spans="1:15" s="81" customFormat="1" x14ac:dyDescent="0.2">
      <c r="A46" s="54">
        <f t="shared" si="0"/>
        <v>42</v>
      </c>
      <c r="B46" s="81">
        <v>18</v>
      </c>
      <c r="C46" s="89">
        <f t="shared" ref="C46:M46" si="33">C97</f>
        <v>0</v>
      </c>
      <c r="D46" s="89">
        <f t="shared" si="33"/>
        <v>704076</v>
      </c>
      <c r="E46" s="89">
        <f t="shared" si="33"/>
        <v>4928532</v>
      </c>
      <c r="F46" s="89">
        <f t="shared" si="33"/>
        <v>4928532</v>
      </c>
      <c r="G46" s="89">
        <f t="shared" si="33"/>
        <v>118284.768</v>
      </c>
      <c r="H46" s="89">
        <f t="shared" si="33"/>
        <v>111403.20731094928</v>
      </c>
      <c r="I46" s="89">
        <f t="shared" si="33"/>
        <v>22178.394000000004</v>
      </c>
      <c r="J46" s="89">
        <f t="shared" si="33"/>
        <v>955942.36931094935</v>
      </c>
      <c r="K46" s="90"/>
      <c r="L46" s="89">
        <f t="shared" si="33"/>
        <v>397213.79931165907</v>
      </c>
      <c r="M46" s="89">
        <f t="shared" si="33"/>
        <v>13248393.326120084</v>
      </c>
      <c r="O46" s="91"/>
    </row>
    <row r="47" spans="1:15" s="81" customFormat="1" x14ac:dyDescent="0.2">
      <c r="A47" s="54">
        <f t="shared" si="0"/>
        <v>43</v>
      </c>
      <c r="B47" s="81">
        <v>19</v>
      </c>
      <c r="C47" s="89">
        <f t="shared" ref="C47:M47" si="34">C98</f>
        <v>0</v>
      </c>
      <c r="D47" s="89">
        <f t="shared" si="34"/>
        <v>704076</v>
      </c>
      <c r="E47" s="89">
        <f t="shared" si="34"/>
        <v>4224456</v>
      </c>
      <c r="F47" s="89">
        <f t="shared" si="34"/>
        <v>4224456</v>
      </c>
      <c r="G47" s="89">
        <f t="shared" si="34"/>
        <v>101386.944</v>
      </c>
      <c r="H47" s="89">
        <f t="shared" si="34"/>
        <v>113631.27145716826</v>
      </c>
      <c r="I47" s="89">
        <f t="shared" si="34"/>
        <v>19010.052000000003</v>
      </c>
      <c r="J47" s="89">
        <f t="shared" si="34"/>
        <v>938104.26745716832</v>
      </c>
      <c r="K47" s="90"/>
      <c r="L47" s="89">
        <f t="shared" si="34"/>
        <v>371239.71385503153</v>
      </c>
      <c r="M47" s="89">
        <f t="shared" si="34"/>
        <v>13619633.039975116</v>
      </c>
      <c r="O47" s="91"/>
    </row>
    <row r="48" spans="1:15" s="81" customFormat="1" x14ac:dyDescent="0.2">
      <c r="A48" s="54">
        <f t="shared" si="0"/>
        <v>44</v>
      </c>
      <c r="B48" s="81">
        <v>20</v>
      </c>
      <c r="C48" s="89">
        <f t="shared" ref="C48:M48" si="35">C99</f>
        <v>0</v>
      </c>
      <c r="D48" s="89">
        <f t="shared" si="35"/>
        <v>704076</v>
      </c>
      <c r="E48" s="89">
        <f t="shared" si="35"/>
        <v>3520380</v>
      </c>
      <c r="F48" s="89">
        <f t="shared" si="35"/>
        <v>3520380</v>
      </c>
      <c r="G48" s="89">
        <f t="shared" si="35"/>
        <v>84489.12</v>
      </c>
      <c r="H48" s="89">
        <f t="shared" si="35"/>
        <v>115903.89688631163</v>
      </c>
      <c r="I48" s="89">
        <f t="shared" si="35"/>
        <v>15841.710000000003</v>
      </c>
      <c r="J48" s="89">
        <f t="shared" si="35"/>
        <v>920310.72688631155</v>
      </c>
      <c r="K48" s="90"/>
      <c r="L48" s="89">
        <f t="shared" si="35"/>
        <v>346855.43393865728</v>
      </c>
      <c r="M48" s="89">
        <f t="shared" si="35"/>
        <v>13966488.473913774</v>
      </c>
      <c r="O48" s="91"/>
    </row>
    <row r="49" spans="1:15" s="81" customFormat="1" x14ac:dyDescent="0.2">
      <c r="A49" s="54">
        <f t="shared" si="0"/>
        <v>45</v>
      </c>
      <c r="B49" s="81">
        <v>21</v>
      </c>
      <c r="C49" s="89">
        <f t="shared" ref="C49:M49" si="36">C100</f>
        <v>0</v>
      </c>
      <c r="D49" s="89">
        <f t="shared" si="36"/>
        <v>704076</v>
      </c>
      <c r="E49" s="89">
        <f t="shared" si="36"/>
        <v>2816304</v>
      </c>
      <c r="F49" s="89">
        <f t="shared" si="36"/>
        <v>2816304</v>
      </c>
      <c r="G49" s="89">
        <f t="shared" si="36"/>
        <v>67591.296000000002</v>
      </c>
      <c r="H49" s="89">
        <f t="shared" si="36"/>
        <v>118221.97482403785</v>
      </c>
      <c r="I49" s="89">
        <f t="shared" si="36"/>
        <v>12673.368000000002</v>
      </c>
      <c r="J49" s="89">
        <f t="shared" si="36"/>
        <v>902562.63882403786</v>
      </c>
      <c r="K49" s="90"/>
      <c r="L49" s="89">
        <f t="shared" si="36"/>
        <v>323967.96781607851</v>
      </c>
      <c r="M49" s="89">
        <f t="shared" si="36"/>
        <v>14290456.441729853</v>
      </c>
      <c r="O49" s="91"/>
    </row>
    <row r="50" spans="1:15" s="81" customFormat="1" x14ac:dyDescent="0.2">
      <c r="A50" s="54">
        <f t="shared" si="0"/>
        <v>46</v>
      </c>
      <c r="B50" s="81">
        <v>22</v>
      </c>
      <c r="C50" s="89">
        <f t="shared" ref="C50:M50" si="37">C101</f>
        <v>0</v>
      </c>
      <c r="D50" s="89">
        <f t="shared" si="37"/>
        <v>704076</v>
      </c>
      <c r="E50" s="89">
        <f t="shared" si="37"/>
        <v>2112228</v>
      </c>
      <c r="F50" s="89">
        <f t="shared" si="37"/>
        <v>2112228</v>
      </c>
      <c r="G50" s="89">
        <f t="shared" si="37"/>
        <v>50693.472000000002</v>
      </c>
      <c r="H50" s="89">
        <f t="shared" si="37"/>
        <v>120586.41432051861</v>
      </c>
      <c r="I50" s="89">
        <f t="shared" si="37"/>
        <v>9505.0260000000017</v>
      </c>
      <c r="J50" s="89">
        <f t="shared" si="37"/>
        <v>884860.91232051852</v>
      </c>
      <c r="K50" s="90"/>
      <c r="L50" s="89">
        <f t="shared" si="37"/>
        <v>302489.58880635991</v>
      </c>
      <c r="M50" s="89">
        <f t="shared" si="37"/>
        <v>14592946.030536212</v>
      </c>
      <c r="O50" s="91"/>
    </row>
    <row r="51" spans="1:15" s="81" customFormat="1" x14ac:dyDescent="0.2">
      <c r="A51" s="54">
        <f t="shared" si="0"/>
        <v>47</v>
      </c>
      <c r="B51" s="81">
        <v>23</v>
      </c>
      <c r="C51" s="89">
        <f t="shared" ref="C51:M51" si="38">C102</f>
        <v>0</v>
      </c>
      <c r="D51" s="89">
        <f t="shared" si="38"/>
        <v>704076</v>
      </c>
      <c r="E51" s="89">
        <f t="shared" si="38"/>
        <v>1408152</v>
      </c>
      <c r="F51" s="89">
        <f t="shared" si="38"/>
        <v>1408152</v>
      </c>
      <c r="G51" s="89">
        <f t="shared" si="38"/>
        <v>33795.648000000001</v>
      </c>
      <c r="H51" s="89">
        <f t="shared" si="38"/>
        <v>122998.14260692897</v>
      </c>
      <c r="I51" s="89">
        <f t="shared" si="38"/>
        <v>6336.6840000000011</v>
      </c>
      <c r="J51" s="89">
        <f t="shared" si="38"/>
        <v>867206.474606929</v>
      </c>
      <c r="K51" s="90"/>
      <c r="L51" s="89">
        <f t="shared" si="38"/>
        <v>282337.54433320236</v>
      </c>
      <c r="M51" s="89">
        <f t="shared" si="38"/>
        <v>14875283.574869415</v>
      </c>
      <c r="O51" s="91"/>
    </row>
    <row r="52" spans="1:15" s="81" customFormat="1" x14ac:dyDescent="0.2">
      <c r="A52" s="54">
        <f t="shared" si="0"/>
        <v>48</v>
      </c>
      <c r="B52" s="81">
        <v>24</v>
      </c>
      <c r="C52" s="89">
        <f t="shared" ref="C52:M52" si="39">C103</f>
        <v>0</v>
      </c>
      <c r="D52" s="89">
        <f t="shared" si="39"/>
        <v>704076</v>
      </c>
      <c r="E52" s="89">
        <f t="shared" si="39"/>
        <v>704076</v>
      </c>
      <c r="F52" s="89">
        <f t="shared" si="39"/>
        <v>704076</v>
      </c>
      <c r="G52" s="89">
        <f t="shared" si="39"/>
        <v>16897.824000000001</v>
      </c>
      <c r="H52" s="89">
        <f t="shared" si="39"/>
        <v>125458.10545906755</v>
      </c>
      <c r="I52" s="89">
        <f t="shared" si="39"/>
        <v>3168.3420000000006</v>
      </c>
      <c r="J52" s="89">
        <f t="shared" si="39"/>
        <v>849600.27145906747</v>
      </c>
      <c r="K52" s="90"/>
      <c r="L52" s="89">
        <f t="shared" si="39"/>
        <v>263433.7807468854</v>
      </c>
      <c r="M52" s="89">
        <f t="shared" si="39"/>
        <v>15138717.355616299</v>
      </c>
      <c r="O52" s="91"/>
    </row>
    <row r="53" spans="1:15" s="81" customFormat="1" x14ac:dyDescent="0.2">
      <c r="A53" s="54">
        <f t="shared" si="0"/>
        <v>49</v>
      </c>
      <c r="B53" s="81">
        <v>25</v>
      </c>
      <c r="C53" s="89">
        <f t="shared" ref="C53:M53" si="40">C104</f>
        <v>0</v>
      </c>
      <c r="D53" s="89">
        <f t="shared" si="40"/>
        <v>704076</v>
      </c>
      <c r="E53" s="89">
        <f t="shared" si="40"/>
        <v>0</v>
      </c>
      <c r="F53" s="89">
        <f t="shared" si="40"/>
        <v>0</v>
      </c>
      <c r="G53" s="89">
        <f t="shared" si="40"/>
        <v>0</v>
      </c>
      <c r="H53" s="89">
        <f t="shared" si="40"/>
        <v>0</v>
      </c>
      <c r="I53" s="89">
        <f t="shared" si="40"/>
        <v>0</v>
      </c>
      <c r="J53" s="89">
        <f t="shared" si="40"/>
        <v>704076</v>
      </c>
      <c r="K53" s="90"/>
      <c r="L53" s="89">
        <f t="shared" si="40"/>
        <v>207915.59428587355</v>
      </c>
      <c r="M53" s="89">
        <f t="shared" si="40"/>
        <v>15346632.949902173</v>
      </c>
      <c r="O53" s="91"/>
    </row>
    <row r="54" spans="1:15" s="81" customFormat="1" x14ac:dyDescent="0.2">
      <c r="A54" s="54">
        <f t="shared" si="0"/>
        <v>50</v>
      </c>
      <c r="B54" s="81">
        <v>26</v>
      </c>
      <c r="C54" s="89">
        <f t="shared" ref="C54:J54" si="41">C105</f>
        <v>0</v>
      </c>
      <c r="D54" s="89">
        <f t="shared" si="41"/>
        <v>0</v>
      </c>
      <c r="E54" s="89">
        <f t="shared" si="41"/>
        <v>0</v>
      </c>
      <c r="F54" s="89">
        <f t="shared" si="41"/>
        <v>0</v>
      </c>
      <c r="G54" s="89">
        <f t="shared" si="41"/>
        <v>0</v>
      </c>
      <c r="H54" s="89">
        <f t="shared" si="41"/>
        <v>0</v>
      </c>
      <c r="I54" s="89">
        <f t="shared" si="41"/>
        <v>0</v>
      </c>
      <c r="J54" s="89">
        <f t="shared" si="41"/>
        <v>0</v>
      </c>
      <c r="K54" s="90"/>
      <c r="L54" s="89">
        <f t="shared" ref="L54:M54" si="42">L105</f>
        <v>0</v>
      </c>
      <c r="M54" s="89">
        <f t="shared" si="42"/>
        <v>0</v>
      </c>
      <c r="O54" s="91"/>
    </row>
    <row r="55" spans="1:15" s="81" customFormat="1" x14ac:dyDescent="0.2">
      <c r="A55" s="54">
        <f t="shared" si="0"/>
        <v>51</v>
      </c>
      <c r="B55" s="81">
        <v>27</v>
      </c>
      <c r="C55" s="89">
        <f t="shared" ref="C55:J55" si="43">C106</f>
        <v>0</v>
      </c>
      <c r="D55" s="89">
        <f t="shared" si="43"/>
        <v>0</v>
      </c>
      <c r="E55" s="89">
        <f t="shared" si="43"/>
        <v>0</v>
      </c>
      <c r="F55" s="89">
        <f t="shared" si="43"/>
        <v>0</v>
      </c>
      <c r="G55" s="89">
        <f t="shared" si="43"/>
        <v>0</v>
      </c>
      <c r="H55" s="89">
        <f t="shared" si="43"/>
        <v>0</v>
      </c>
      <c r="I55" s="89">
        <f t="shared" si="43"/>
        <v>0</v>
      </c>
      <c r="J55" s="89">
        <f t="shared" si="43"/>
        <v>0</v>
      </c>
      <c r="K55" s="90"/>
      <c r="L55" s="89">
        <f t="shared" ref="L55:M55" si="44">L106</f>
        <v>0</v>
      </c>
      <c r="M55" s="89">
        <f t="shared" si="44"/>
        <v>0</v>
      </c>
      <c r="O55" s="91"/>
    </row>
    <row r="56" spans="1:15" s="81" customFormat="1" x14ac:dyDescent="0.2">
      <c r="A56" s="54">
        <f t="shared" si="0"/>
        <v>52</v>
      </c>
      <c r="B56" s="81">
        <v>28</v>
      </c>
      <c r="C56" s="89">
        <f t="shared" ref="C56:J56" si="45">C107</f>
        <v>0</v>
      </c>
      <c r="D56" s="89">
        <f t="shared" si="45"/>
        <v>0</v>
      </c>
      <c r="E56" s="89">
        <f t="shared" si="45"/>
        <v>0</v>
      </c>
      <c r="F56" s="89">
        <f t="shared" si="45"/>
        <v>0</v>
      </c>
      <c r="G56" s="89">
        <f t="shared" si="45"/>
        <v>0</v>
      </c>
      <c r="H56" s="89">
        <f t="shared" si="45"/>
        <v>0</v>
      </c>
      <c r="I56" s="89">
        <f t="shared" si="45"/>
        <v>0</v>
      </c>
      <c r="J56" s="89">
        <f t="shared" si="45"/>
        <v>0</v>
      </c>
      <c r="K56" s="90"/>
      <c r="L56" s="89">
        <f t="shared" ref="L56:M56" si="46">L107</f>
        <v>0</v>
      </c>
      <c r="M56" s="89">
        <f t="shared" si="46"/>
        <v>0</v>
      </c>
      <c r="O56" s="91"/>
    </row>
    <row r="57" spans="1:15" s="81" customFormat="1" x14ac:dyDescent="0.2">
      <c r="A57" s="54">
        <f t="shared" si="0"/>
        <v>53</v>
      </c>
      <c r="B57" s="81">
        <v>29</v>
      </c>
      <c r="C57" s="89">
        <f t="shared" ref="C57:J57" si="47">C108</f>
        <v>0</v>
      </c>
      <c r="D57" s="89">
        <f t="shared" si="47"/>
        <v>0</v>
      </c>
      <c r="E57" s="89">
        <f t="shared" si="47"/>
        <v>0</v>
      </c>
      <c r="F57" s="89">
        <f t="shared" si="47"/>
        <v>0</v>
      </c>
      <c r="G57" s="89">
        <f t="shared" si="47"/>
        <v>0</v>
      </c>
      <c r="H57" s="89">
        <f t="shared" si="47"/>
        <v>0</v>
      </c>
      <c r="I57" s="89">
        <f t="shared" si="47"/>
        <v>0</v>
      </c>
      <c r="J57" s="89">
        <f t="shared" si="47"/>
        <v>0</v>
      </c>
      <c r="K57" s="90"/>
      <c r="L57" s="89">
        <f t="shared" ref="L57:M57" si="48">L108</f>
        <v>0</v>
      </c>
      <c r="M57" s="89">
        <f t="shared" si="48"/>
        <v>0</v>
      </c>
      <c r="O57" s="91"/>
    </row>
    <row r="58" spans="1:15" s="81" customFormat="1" x14ac:dyDescent="0.2">
      <c r="A58" s="54">
        <f t="shared" si="0"/>
        <v>54</v>
      </c>
      <c r="B58" s="81">
        <v>30</v>
      </c>
      <c r="C58" s="89">
        <f t="shared" ref="C58:J58" si="49">C109</f>
        <v>0</v>
      </c>
      <c r="D58" s="89">
        <f t="shared" si="49"/>
        <v>0</v>
      </c>
      <c r="E58" s="89">
        <f t="shared" si="49"/>
        <v>0</v>
      </c>
      <c r="F58" s="89">
        <f t="shared" si="49"/>
        <v>0</v>
      </c>
      <c r="G58" s="89">
        <f t="shared" si="49"/>
        <v>0</v>
      </c>
      <c r="H58" s="89">
        <f t="shared" si="49"/>
        <v>0</v>
      </c>
      <c r="I58" s="89">
        <f t="shared" si="49"/>
        <v>0</v>
      </c>
      <c r="J58" s="89">
        <f t="shared" si="49"/>
        <v>0</v>
      </c>
      <c r="K58" s="90"/>
      <c r="L58" s="89">
        <f t="shared" ref="L58:M58" si="50">L109</f>
        <v>0</v>
      </c>
      <c r="M58" s="89">
        <f t="shared" si="50"/>
        <v>0</v>
      </c>
      <c r="O58" s="91"/>
    </row>
    <row r="59" spans="1:15" s="81" customFormat="1" x14ac:dyDescent="0.2">
      <c r="A59" s="54">
        <f t="shared" si="0"/>
        <v>55</v>
      </c>
      <c r="B59" s="81">
        <v>31</v>
      </c>
      <c r="C59" s="89">
        <f t="shared" ref="C59:J59" si="51">C110</f>
        <v>0</v>
      </c>
      <c r="D59" s="89">
        <f t="shared" si="51"/>
        <v>0</v>
      </c>
      <c r="E59" s="89">
        <f t="shared" si="51"/>
        <v>0</v>
      </c>
      <c r="F59" s="89">
        <f t="shared" si="51"/>
        <v>0</v>
      </c>
      <c r="G59" s="89">
        <f t="shared" si="51"/>
        <v>0</v>
      </c>
      <c r="H59" s="89">
        <f t="shared" si="51"/>
        <v>0</v>
      </c>
      <c r="I59" s="89">
        <f t="shared" si="51"/>
        <v>0</v>
      </c>
      <c r="J59" s="89">
        <f t="shared" si="51"/>
        <v>0</v>
      </c>
      <c r="K59" s="90"/>
      <c r="L59" s="89">
        <f t="shared" ref="L59:M59" si="52">L110</f>
        <v>0</v>
      </c>
      <c r="M59" s="89">
        <f t="shared" si="52"/>
        <v>0</v>
      </c>
      <c r="O59" s="91"/>
    </row>
    <row r="60" spans="1:15" s="81" customFormat="1" x14ac:dyDescent="0.2">
      <c r="A60" s="54">
        <f t="shared" si="0"/>
        <v>56</v>
      </c>
      <c r="B60" s="81">
        <v>32</v>
      </c>
      <c r="C60" s="89">
        <f t="shared" ref="C60:J60" si="53">C111</f>
        <v>0</v>
      </c>
      <c r="D60" s="89">
        <f t="shared" si="53"/>
        <v>0</v>
      </c>
      <c r="E60" s="89">
        <f t="shared" si="53"/>
        <v>0</v>
      </c>
      <c r="F60" s="89">
        <f t="shared" si="53"/>
        <v>0</v>
      </c>
      <c r="G60" s="89">
        <f t="shared" si="53"/>
        <v>0</v>
      </c>
      <c r="H60" s="89">
        <f t="shared" si="53"/>
        <v>0</v>
      </c>
      <c r="I60" s="89">
        <f t="shared" si="53"/>
        <v>0</v>
      </c>
      <c r="J60" s="89">
        <f t="shared" si="53"/>
        <v>0</v>
      </c>
      <c r="K60" s="90"/>
      <c r="L60" s="89">
        <f t="shared" ref="L60:M60" si="54">L111</f>
        <v>0</v>
      </c>
      <c r="M60" s="89">
        <f t="shared" si="54"/>
        <v>0</v>
      </c>
      <c r="O60" s="91"/>
    </row>
    <row r="61" spans="1:15" s="81" customFormat="1" x14ac:dyDescent="0.2">
      <c r="A61" s="54">
        <f t="shared" si="0"/>
        <v>57</v>
      </c>
      <c r="B61" s="81">
        <v>33</v>
      </c>
      <c r="C61" s="89">
        <f t="shared" ref="C61:J61" si="55">C112</f>
        <v>0</v>
      </c>
      <c r="D61" s="89">
        <f t="shared" si="55"/>
        <v>0</v>
      </c>
      <c r="E61" s="89">
        <f t="shared" si="55"/>
        <v>0</v>
      </c>
      <c r="F61" s="89">
        <f t="shared" si="55"/>
        <v>0</v>
      </c>
      <c r="G61" s="89">
        <f t="shared" si="55"/>
        <v>0</v>
      </c>
      <c r="H61" s="89">
        <f t="shared" si="55"/>
        <v>0</v>
      </c>
      <c r="I61" s="89">
        <f t="shared" si="55"/>
        <v>0</v>
      </c>
      <c r="J61" s="89">
        <f t="shared" si="55"/>
        <v>0</v>
      </c>
      <c r="K61" s="90"/>
      <c r="L61" s="89">
        <f t="shared" ref="L61:M61" si="56">L112</f>
        <v>0</v>
      </c>
      <c r="M61" s="89">
        <f t="shared" si="56"/>
        <v>0</v>
      </c>
      <c r="O61" s="91"/>
    </row>
    <row r="62" spans="1:15" s="81" customFormat="1" x14ac:dyDescent="0.2">
      <c r="A62" s="54">
        <f t="shared" si="0"/>
        <v>58</v>
      </c>
      <c r="B62" s="81">
        <v>34</v>
      </c>
      <c r="C62" s="89">
        <f t="shared" ref="C62:J62" si="57">C113</f>
        <v>0</v>
      </c>
      <c r="D62" s="89">
        <f t="shared" si="57"/>
        <v>0</v>
      </c>
      <c r="E62" s="89">
        <f t="shared" si="57"/>
        <v>0</v>
      </c>
      <c r="F62" s="89">
        <f t="shared" si="57"/>
        <v>0</v>
      </c>
      <c r="G62" s="89">
        <f t="shared" si="57"/>
        <v>0</v>
      </c>
      <c r="H62" s="89">
        <f t="shared" si="57"/>
        <v>0</v>
      </c>
      <c r="I62" s="89">
        <f t="shared" si="57"/>
        <v>0</v>
      </c>
      <c r="J62" s="89">
        <f t="shared" si="57"/>
        <v>0</v>
      </c>
      <c r="K62" s="90"/>
      <c r="L62" s="89">
        <f t="shared" ref="L62:M62" si="58">L113</f>
        <v>0</v>
      </c>
      <c r="M62" s="89">
        <f t="shared" si="58"/>
        <v>0</v>
      </c>
      <c r="O62" s="91"/>
    </row>
    <row r="63" spans="1:15" s="81" customFormat="1" x14ac:dyDescent="0.2">
      <c r="A63" s="54">
        <f t="shared" si="0"/>
        <v>59</v>
      </c>
      <c r="B63" s="81">
        <v>35</v>
      </c>
      <c r="C63" s="89">
        <f t="shared" ref="C63:J63" si="59">C114</f>
        <v>0</v>
      </c>
      <c r="D63" s="89">
        <f t="shared" si="59"/>
        <v>0</v>
      </c>
      <c r="E63" s="89">
        <f t="shared" si="59"/>
        <v>0</v>
      </c>
      <c r="F63" s="89">
        <f t="shared" si="59"/>
        <v>0</v>
      </c>
      <c r="G63" s="89">
        <f t="shared" si="59"/>
        <v>0</v>
      </c>
      <c r="H63" s="89">
        <f t="shared" si="59"/>
        <v>0</v>
      </c>
      <c r="I63" s="89">
        <f t="shared" si="59"/>
        <v>0</v>
      </c>
      <c r="J63" s="89">
        <f t="shared" si="59"/>
        <v>0</v>
      </c>
      <c r="K63" s="90"/>
      <c r="L63" s="89">
        <f t="shared" ref="L63:M63" si="60">L114</f>
        <v>0</v>
      </c>
      <c r="M63" s="89">
        <f t="shared" si="60"/>
        <v>0</v>
      </c>
      <c r="O63" s="91"/>
    </row>
    <row r="64" spans="1:15" s="81" customFormat="1" x14ac:dyDescent="0.2">
      <c r="A64" s="54">
        <f t="shared" si="0"/>
        <v>60</v>
      </c>
      <c r="B64" s="81">
        <v>36</v>
      </c>
      <c r="C64" s="89">
        <f t="shared" ref="C64:J64" si="61">C115</f>
        <v>0</v>
      </c>
      <c r="D64" s="89">
        <f t="shared" si="61"/>
        <v>0</v>
      </c>
      <c r="E64" s="89">
        <f t="shared" si="61"/>
        <v>0</v>
      </c>
      <c r="F64" s="89">
        <f t="shared" si="61"/>
        <v>0</v>
      </c>
      <c r="G64" s="89">
        <f t="shared" si="61"/>
        <v>0</v>
      </c>
      <c r="H64" s="89">
        <f t="shared" si="61"/>
        <v>0</v>
      </c>
      <c r="I64" s="89">
        <f t="shared" si="61"/>
        <v>0</v>
      </c>
      <c r="J64" s="89">
        <f t="shared" si="61"/>
        <v>0</v>
      </c>
      <c r="K64" s="90"/>
      <c r="L64" s="89">
        <f t="shared" ref="L64:M64" si="62">L115</f>
        <v>0</v>
      </c>
      <c r="M64" s="89">
        <f t="shared" si="62"/>
        <v>0</v>
      </c>
      <c r="O64" s="92"/>
    </row>
    <row r="65" spans="1:17" s="81" customFormat="1" x14ac:dyDescent="0.2">
      <c r="A65" s="54">
        <f t="shared" si="0"/>
        <v>61</v>
      </c>
      <c r="B65" s="81">
        <v>37</v>
      </c>
      <c r="C65" s="89">
        <f t="shared" ref="C65:J65" si="63">C116</f>
        <v>0</v>
      </c>
      <c r="D65" s="89">
        <f t="shared" si="63"/>
        <v>0</v>
      </c>
      <c r="E65" s="89">
        <f t="shared" si="63"/>
        <v>0</v>
      </c>
      <c r="F65" s="89">
        <f t="shared" si="63"/>
        <v>0</v>
      </c>
      <c r="G65" s="89">
        <f t="shared" si="63"/>
        <v>0</v>
      </c>
      <c r="H65" s="89">
        <f t="shared" si="63"/>
        <v>0</v>
      </c>
      <c r="I65" s="89">
        <f t="shared" si="63"/>
        <v>0</v>
      </c>
      <c r="J65" s="89">
        <f t="shared" si="63"/>
        <v>0</v>
      </c>
      <c r="K65" s="90"/>
      <c r="L65" s="89">
        <f t="shared" ref="L65:M65" si="64">L116</f>
        <v>0</v>
      </c>
      <c r="M65" s="89">
        <f t="shared" si="64"/>
        <v>0</v>
      </c>
      <c r="O65" s="92"/>
    </row>
    <row r="66" spans="1:17" s="81" customFormat="1" x14ac:dyDescent="0.2">
      <c r="A66" s="54">
        <f t="shared" si="0"/>
        <v>62</v>
      </c>
      <c r="B66" s="81">
        <v>38</v>
      </c>
      <c r="C66" s="89">
        <f t="shared" ref="C66:J66" si="65">C117</f>
        <v>0</v>
      </c>
      <c r="D66" s="89">
        <f t="shared" si="65"/>
        <v>0</v>
      </c>
      <c r="E66" s="89">
        <f t="shared" si="65"/>
        <v>0</v>
      </c>
      <c r="F66" s="89">
        <f t="shared" si="65"/>
        <v>0</v>
      </c>
      <c r="G66" s="89">
        <f t="shared" si="65"/>
        <v>0</v>
      </c>
      <c r="H66" s="89">
        <f t="shared" si="65"/>
        <v>0</v>
      </c>
      <c r="I66" s="89">
        <f t="shared" si="65"/>
        <v>0</v>
      </c>
      <c r="J66" s="89">
        <f t="shared" si="65"/>
        <v>0</v>
      </c>
      <c r="K66" s="90"/>
      <c r="L66" s="89">
        <f t="shared" ref="L66:M66" si="66">L117</f>
        <v>0</v>
      </c>
      <c r="M66" s="89">
        <f t="shared" si="66"/>
        <v>0</v>
      </c>
      <c r="O66" s="92"/>
    </row>
    <row r="67" spans="1:17" s="81" customFormat="1" x14ac:dyDescent="0.2">
      <c r="A67" s="54">
        <f t="shared" si="0"/>
        <v>63</v>
      </c>
      <c r="B67" s="81">
        <v>39</v>
      </c>
      <c r="C67" s="89">
        <f t="shared" ref="C67:J67" si="67">C118</f>
        <v>0</v>
      </c>
      <c r="D67" s="89">
        <f t="shared" si="67"/>
        <v>0</v>
      </c>
      <c r="E67" s="89">
        <f t="shared" si="67"/>
        <v>0</v>
      </c>
      <c r="F67" s="89">
        <f t="shared" si="67"/>
        <v>0</v>
      </c>
      <c r="G67" s="89">
        <f t="shared" si="67"/>
        <v>0</v>
      </c>
      <c r="H67" s="89">
        <f t="shared" si="67"/>
        <v>0</v>
      </c>
      <c r="I67" s="89">
        <f t="shared" si="67"/>
        <v>0</v>
      </c>
      <c r="J67" s="89">
        <f t="shared" si="67"/>
        <v>0</v>
      </c>
      <c r="K67" s="90"/>
      <c r="L67" s="89">
        <f t="shared" ref="L67:M67" si="68">L118</f>
        <v>0</v>
      </c>
      <c r="M67" s="89">
        <f t="shared" si="68"/>
        <v>0</v>
      </c>
      <c r="O67" s="92"/>
    </row>
    <row r="68" spans="1:17" s="81" customFormat="1" x14ac:dyDescent="0.2">
      <c r="A68" s="54">
        <f t="shared" si="0"/>
        <v>64</v>
      </c>
      <c r="B68" s="81">
        <v>40</v>
      </c>
      <c r="C68" s="89">
        <f t="shared" ref="C68:J68" si="69">C119</f>
        <v>0</v>
      </c>
      <c r="D68" s="89">
        <f t="shared" si="69"/>
        <v>0</v>
      </c>
      <c r="E68" s="89">
        <f t="shared" si="69"/>
        <v>0</v>
      </c>
      <c r="F68" s="89">
        <f t="shared" si="69"/>
        <v>0</v>
      </c>
      <c r="G68" s="89">
        <f t="shared" si="69"/>
        <v>0</v>
      </c>
      <c r="H68" s="89">
        <f t="shared" si="69"/>
        <v>0</v>
      </c>
      <c r="I68" s="89">
        <f t="shared" si="69"/>
        <v>0</v>
      </c>
      <c r="J68" s="89">
        <f t="shared" si="69"/>
        <v>0</v>
      </c>
      <c r="K68" s="90"/>
      <c r="L68" s="89">
        <f t="shared" ref="L68:M68" si="70">L119</f>
        <v>0</v>
      </c>
      <c r="M68" s="89">
        <f t="shared" si="70"/>
        <v>0</v>
      </c>
      <c r="O68" s="92"/>
    </row>
    <row r="69" spans="1:17" x14ac:dyDescent="0.2">
      <c r="A69" s="54">
        <f t="shared" si="0"/>
        <v>65</v>
      </c>
    </row>
    <row r="70" spans="1:17" x14ac:dyDescent="0.2">
      <c r="A70" s="54">
        <f t="shared" si="0"/>
        <v>66</v>
      </c>
      <c r="F70" s="54" t="s">
        <v>215</v>
      </c>
      <c r="J70" s="47"/>
      <c r="L70" s="47">
        <f>SUM(L29:L69)</f>
        <v>15346632.949902173</v>
      </c>
      <c r="M70" s="47"/>
    </row>
    <row r="71" spans="1:17" x14ac:dyDescent="0.2">
      <c r="A71" s="54">
        <f t="shared" si="0"/>
        <v>67</v>
      </c>
    </row>
    <row r="72" spans="1:17" x14ac:dyDescent="0.2">
      <c r="A72" s="54">
        <f t="shared" si="0"/>
        <v>68</v>
      </c>
      <c r="C72" s="82" t="s">
        <v>233</v>
      </c>
      <c r="D72" s="86"/>
      <c r="E72" s="86"/>
      <c r="F72" s="86"/>
      <c r="G72" s="86"/>
      <c r="H72" s="86"/>
      <c r="I72" s="86"/>
      <c r="J72" s="86"/>
      <c r="K72" s="86"/>
      <c r="L72" s="86"/>
      <c r="M72" s="86"/>
    </row>
    <row r="73" spans="1:17" x14ac:dyDescent="0.2">
      <c r="A73" s="54">
        <f t="shared" ref="A73:A136" si="71">A72+1</f>
        <v>69</v>
      </c>
      <c r="B73" s="44"/>
      <c r="C73" s="44"/>
      <c r="D73" s="44"/>
      <c r="E73" s="44"/>
      <c r="F73" s="44"/>
      <c r="G73" s="44"/>
      <c r="H73" s="44"/>
      <c r="I73" s="44"/>
      <c r="J73" s="44"/>
      <c r="K73" s="52"/>
      <c r="L73" s="44"/>
      <c r="M73" s="52" t="s">
        <v>199</v>
      </c>
      <c r="Q73" s="44"/>
    </row>
    <row r="74" spans="1:17" x14ac:dyDescent="0.2">
      <c r="A74" s="54">
        <f t="shared" si="71"/>
        <v>70</v>
      </c>
      <c r="B74" s="44"/>
      <c r="C74" s="44"/>
      <c r="D74" s="44"/>
      <c r="E74" s="44"/>
      <c r="F74" s="44"/>
      <c r="G74" s="52"/>
      <c r="H74" s="44"/>
      <c r="I74" s="44"/>
      <c r="J74" s="52"/>
      <c r="K74" s="52" t="s">
        <v>200</v>
      </c>
      <c r="L74" s="52" t="s">
        <v>200</v>
      </c>
      <c r="M74" s="52" t="s">
        <v>200</v>
      </c>
    </row>
    <row r="75" spans="1:17" x14ac:dyDescent="0.2">
      <c r="A75" s="54">
        <f t="shared" si="71"/>
        <v>71</v>
      </c>
      <c r="B75" s="44"/>
      <c r="C75" s="44"/>
      <c r="D75" s="44"/>
      <c r="E75" s="44"/>
      <c r="F75" s="44"/>
      <c r="G75" s="52"/>
      <c r="H75" s="44"/>
      <c r="I75" s="44"/>
      <c r="J75" s="52" t="s">
        <v>201</v>
      </c>
      <c r="K75" s="52" t="s">
        <v>148</v>
      </c>
      <c r="L75" s="52" t="s">
        <v>148</v>
      </c>
      <c r="M75" s="52" t="s">
        <v>148</v>
      </c>
    </row>
    <row r="76" spans="1:17" x14ac:dyDescent="0.2">
      <c r="A76" s="54">
        <f t="shared" si="71"/>
        <v>72</v>
      </c>
      <c r="B76" s="44"/>
      <c r="C76" s="52"/>
      <c r="D76" s="52" t="s">
        <v>202</v>
      </c>
      <c r="E76" s="52" t="s">
        <v>203</v>
      </c>
      <c r="F76" s="52"/>
      <c r="G76" s="52"/>
      <c r="H76" s="52"/>
      <c r="I76" s="52" t="s">
        <v>204</v>
      </c>
      <c r="J76" s="52" t="s">
        <v>205</v>
      </c>
      <c r="K76" s="52" t="s">
        <v>179</v>
      </c>
      <c r="L76" s="52" t="s">
        <v>206</v>
      </c>
      <c r="M76" s="52" t="s">
        <v>206</v>
      </c>
    </row>
    <row r="77" spans="1:17" x14ac:dyDescent="0.2">
      <c r="A77" s="54">
        <f t="shared" si="71"/>
        <v>73</v>
      </c>
      <c r="B77" s="52" t="s">
        <v>147</v>
      </c>
      <c r="C77" s="52" t="s">
        <v>207</v>
      </c>
      <c r="D77" s="52" t="s">
        <v>208</v>
      </c>
      <c r="E77" s="52" t="s">
        <v>209</v>
      </c>
      <c r="F77" s="52" t="s">
        <v>210</v>
      </c>
      <c r="G77" s="52" t="s">
        <v>179</v>
      </c>
      <c r="H77" s="52" t="s">
        <v>211</v>
      </c>
      <c r="I77" s="52" t="s">
        <v>212</v>
      </c>
      <c r="J77" s="52" t="s">
        <v>213</v>
      </c>
      <c r="K77" s="53" t="s">
        <v>214</v>
      </c>
      <c r="L77" s="52" t="s">
        <v>213</v>
      </c>
      <c r="M77" s="52" t="s">
        <v>213</v>
      </c>
    </row>
    <row r="78" spans="1:17" x14ac:dyDescent="0.2">
      <c r="A78" s="54">
        <f t="shared" si="71"/>
        <v>74</v>
      </c>
    </row>
    <row r="79" spans="1:17" x14ac:dyDescent="0.2">
      <c r="A79" s="54">
        <f t="shared" si="71"/>
        <v>75</v>
      </c>
      <c r="B79" s="43">
        <v>0</v>
      </c>
      <c r="C79" s="66">
        <f>$F$5</f>
        <v>17601900</v>
      </c>
      <c r="D79" s="71"/>
      <c r="E79" s="71"/>
      <c r="F79" s="47"/>
      <c r="G79" s="47"/>
      <c r="I79" s="47"/>
      <c r="J79" s="66"/>
      <c r="K79" s="72">
        <f>IF(B79&gt;F$10,0,1/(1+$F$19)^B79)</f>
        <v>1</v>
      </c>
      <c r="L79" s="73">
        <f t="shared" ref="L79" si="72">J79*K79</f>
        <v>0</v>
      </c>
      <c r="M79" s="47">
        <f>L79</f>
        <v>0</v>
      </c>
    </row>
    <row r="80" spans="1:17" x14ac:dyDescent="0.2">
      <c r="A80" s="54">
        <f t="shared" si="71"/>
        <v>76</v>
      </c>
      <c r="B80" s="43">
        <v>1</v>
      </c>
      <c r="D80" s="74">
        <f>(1/$F$6)*$C$28</f>
        <v>704076</v>
      </c>
      <c r="E80" s="74">
        <f>$C$28-D80</f>
        <v>16897824</v>
      </c>
      <c r="F80" s="74">
        <f t="shared" ref="F80:F119" si="73">E80</f>
        <v>16897824</v>
      </c>
      <c r="G80" s="74">
        <f>$F$15*F80</f>
        <v>405547.77600000001</v>
      </c>
      <c r="H80" s="74">
        <f>IF(B80&gt;=F$10,0,$F$11*(1+$F$12)^B80)</f>
        <v>79560</v>
      </c>
      <c r="I80" s="74">
        <f t="shared" ref="I80:I119" si="74">$F$9*E80</f>
        <v>76040.208000000013</v>
      </c>
      <c r="J80" s="74">
        <f t="shared" ref="J80:J119" si="75">D80+G80+H80+I80</f>
        <v>1265223.9840000002</v>
      </c>
      <c r="K80" s="72">
        <f>IF(B80&gt;F$10,0,1/(1+$F$19)^B80)</f>
        <v>0.95238095238095233</v>
      </c>
      <c r="L80" s="75">
        <f>J80*K80</f>
        <v>1204975.222857143</v>
      </c>
      <c r="M80" s="76">
        <f>IF(B80&gt;F$10,0,M79+L80)</f>
        <v>1204975.222857143</v>
      </c>
      <c r="O80" s="77"/>
    </row>
    <row r="81" spans="1:15" x14ac:dyDescent="0.2">
      <c r="A81" s="54">
        <f t="shared" si="71"/>
        <v>77</v>
      </c>
      <c r="B81" s="43">
        <v>2</v>
      </c>
      <c r="D81" s="76">
        <f t="shared" ref="D81:D119" si="76">IF(E80&lt;=0.001,0,(1/$F$6)*$C$28)</f>
        <v>704076</v>
      </c>
      <c r="E81" s="76">
        <f t="shared" ref="E81:E119" si="77">E80-D81</f>
        <v>16193748</v>
      </c>
      <c r="F81" s="78">
        <f t="shared" si="73"/>
        <v>16193748</v>
      </c>
      <c r="G81" s="78">
        <f t="shared" ref="G81:G119" si="78">$F$15*F81</f>
        <v>388649.95199999999</v>
      </c>
      <c r="H81" s="78">
        <f t="shared" ref="H81:H119" si="79">IF(B81&gt;=F$10,0,$F$11*(1+$F$12)^B81)</f>
        <v>81151.199999999997</v>
      </c>
      <c r="I81" s="78">
        <f t="shared" si="74"/>
        <v>72871.866000000009</v>
      </c>
      <c r="J81" s="78">
        <f t="shared" si="75"/>
        <v>1246749.0179999999</v>
      </c>
      <c r="K81" s="72">
        <f t="shared" ref="K81:K119" si="80">IF(B81&gt;F$10,0,1/(1+$F$19)^B81)</f>
        <v>0.90702947845804982</v>
      </c>
      <c r="L81" s="75">
        <f t="shared" ref="L81:L119" si="81">J81*K81</f>
        <v>1130838.1115646258</v>
      </c>
      <c r="M81" s="76">
        <f t="shared" ref="M81:M119" si="82">IF(B81&gt;F$10,0,M80+L81)</f>
        <v>2335813.3344217688</v>
      </c>
      <c r="O81" s="77"/>
    </row>
    <row r="82" spans="1:15" x14ac:dyDescent="0.2">
      <c r="A82" s="54">
        <f t="shared" si="71"/>
        <v>78</v>
      </c>
      <c r="B82" s="43">
        <v>3</v>
      </c>
      <c r="D82" s="76">
        <f t="shared" si="76"/>
        <v>704076</v>
      </c>
      <c r="E82" s="76">
        <f t="shared" si="77"/>
        <v>15489672</v>
      </c>
      <c r="F82" s="78">
        <f t="shared" si="73"/>
        <v>15489672</v>
      </c>
      <c r="G82" s="78">
        <f t="shared" si="78"/>
        <v>371752.12800000003</v>
      </c>
      <c r="H82" s="78">
        <f t="shared" si="79"/>
        <v>82774.223999999987</v>
      </c>
      <c r="I82" s="78">
        <f t="shared" si="74"/>
        <v>69703.524000000005</v>
      </c>
      <c r="J82" s="78">
        <f t="shared" si="75"/>
        <v>1228305.8759999999</v>
      </c>
      <c r="K82" s="72">
        <f t="shared" si="80"/>
        <v>0.86383759853147601</v>
      </c>
      <c r="L82" s="75">
        <f t="shared" si="81"/>
        <v>1061056.7981859408</v>
      </c>
      <c r="M82" s="76">
        <f t="shared" si="82"/>
        <v>3396870.1326077096</v>
      </c>
      <c r="O82" s="77"/>
    </row>
    <row r="83" spans="1:15" x14ac:dyDescent="0.2">
      <c r="A83" s="54">
        <f t="shared" si="71"/>
        <v>79</v>
      </c>
      <c r="B83" s="43">
        <v>4</v>
      </c>
      <c r="D83" s="76">
        <f t="shared" si="76"/>
        <v>704076</v>
      </c>
      <c r="E83" s="76">
        <f t="shared" si="77"/>
        <v>14785596</v>
      </c>
      <c r="F83" s="78">
        <f t="shared" si="73"/>
        <v>14785596</v>
      </c>
      <c r="G83" s="78">
        <f t="shared" si="78"/>
        <v>354854.304</v>
      </c>
      <c r="H83" s="78">
        <f t="shared" si="79"/>
        <v>84429.708480000001</v>
      </c>
      <c r="I83" s="78">
        <f t="shared" si="74"/>
        <v>66535.182000000001</v>
      </c>
      <c r="J83" s="78">
        <f t="shared" si="75"/>
        <v>1209895.1944800001</v>
      </c>
      <c r="K83" s="72">
        <f t="shared" si="80"/>
        <v>0.82270247479188197</v>
      </c>
      <c r="L83" s="75">
        <f t="shared" si="81"/>
        <v>995383.77073750133</v>
      </c>
      <c r="M83" s="76">
        <f t="shared" si="82"/>
        <v>4392253.9033452105</v>
      </c>
      <c r="O83" s="77"/>
    </row>
    <row r="84" spans="1:15" x14ac:dyDescent="0.2">
      <c r="A84" s="54">
        <f t="shared" si="71"/>
        <v>80</v>
      </c>
      <c r="B84" s="43">
        <v>5</v>
      </c>
      <c r="D84" s="76">
        <f t="shared" si="76"/>
        <v>704076</v>
      </c>
      <c r="E84" s="76">
        <f t="shared" si="77"/>
        <v>14081520</v>
      </c>
      <c r="F84" s="78">
        <f t="shared" si="73"/>
        <v>14081520</v>
      </c>
      <c r="G84" s="78">
        <f t="shared" si="78"/>
        <v>337956.48</v>
      </c>
      <c r="H84" s="78">
        <f t="shared" si="79"/>
        <v>86118.302649599995</v>
      </c>
      <c r="I84" s="78">
        <f t="shared" si="74"/>
        <v>63366.840000000011</v>
      </c>
      <c r="J84" s="78">
        <f t="shared" si="75"/>
        <v>1191517.6226496</v>
      </c>
      <c r="K84" s="72">
        <f t="shared" si="80"/>
        <v>0.78352616646845896</v>
      </c>
      <c r="L84" s="75">
        <f t="shared" si="81"/>
        <v>933585.23515425297</v>
      </c>
      <c r="M84" s="76">
        <f t="shared" si="82"/>
        <v>5325839.138499463</v>
      </c>
      <c r="O84" s="77"/>
    </row>
    <row r="85" spans="1:15" x14ac:dyDescent="0.2">
      <c r="A85" s="54">
        <f t="shared" si="71"/>
        <v>81</v>
      </c>
      <c r="B85" s="43">
        <v>6</v>
      </c>
      <c r="D85" s="76">
        <f t="shared" si="76"/>
        <v>704076</v>
      </c>
      <c r="E85" s="76">
        <f t="shared" si="77"/>
        <v>13377444</v>
      </c>
      <c r="F85" s="78">
        <f t="shared" si="73"/>
        <v>13377444</v>
      </c>
      <c r="G85" s="78">
        <f t="shared" si="78"/>
        <v>321058.65600000002</v>
      </c>
      <c r="H85" s="78">
        <f t="shared" si="79"/>
        <v>87840.668702592011</v>
      </c>
      <c r="I85" s="78">
        <f t="shared" si="74"/>
        <v>60198.498000000007</v>
      </c>
      <c r="J85" s="78">
        <f t="shared" si="75"/>
        <v>1173173.8227025918</v>
      </c>
      <c r="K85" s="72">
        <f t="shared" si="80"/>
        <v>0.74621539663662761</v>
      </c>
      <c r="L85" s="75">
        <f t="shared" si="81"/>
        <v>875440.36943172314</v>
      </c>
      <c r="M85" s="76">
        <f t="shared" si="82"/>
        <v>6201279.5079311859</v>
      </c>
      <c r="O85" s="77"/>
    </row>
    <row r="86" spans="1:15" x14ac:dyDescent="0.2">
      <c r="A86" s="54">
        <f t="shared" si="71"/>
        <v>82</v>
      </c>
      <c r="B86" s="43">
        <v>7</v>
      </c>
      <c r="D86" s="76">
        <f t="shared" si="76"/>
        <v>704076</v>
      </c>
      <c r="E86" s="76">
        <f t="shared" si="77"/>
        <v>12673368</v>
      </c>
      <c r="F86" s="78">
        <f t="shared" si="73"/>
        <v>12673368</v>
      </c>
      <c r="G86" s="78">
        <f t="shared" si="78"/>
        <v>304160.83199999999</v>
      </c>
      <c r="H86" s="78">
        <f t="shared" si="79"/>
        <v>89597.482076643821</v>
      </c>
      <c r="I86" s="78">
        <f t="shared" si="74"/>
        <v>57030.15600000001</v>
      </c>
      <c r="J86" s="78">
        <f t="shared" si="75"/>
        <v>1154864.4700766436</v>
      </c>
      <c r="K86" s="72">
        <f t="shared" si="80"/>
        <v>0.71068133013012147</v>
      </c>
      <c r="L86" s="75">
        <f t="shared" si="81"/>
        <v>820740.61771408701</v>
      </c>
      <c r="M86" s="76">
        <f t="shared" si="82"/>
        <v>7022020.1256452724</v>
      </c>
      <c r="O86" s="77"/>
    </row>
    <row r="87" spans="1:15" x14ac:dyDescent="0.2">
      <c r="A87" s="54">
        <f t="shared" si="71"/>
        <v>83</v>
      </c>
      <c r="B87" s="43">
        <v>8</v>
      </c>
      <c r="D87" s="76">
        <f t="shared" si="76"/>
        <v>704076</v>
      </c>
      <c r="E87" s="76">
        <f t="shared" si="77"/>
        <v>11969292</v>
      </c>
      <c r="F87" s="78">
        <f t="shared" si="73"/>
        <v>11969292</v>
      </c>
      <c r="G87" s="78">
        <f t="shared" si="78"/>
        <v>287263.00800000003</v>
      </c>
      <c r="H87" s="78">
        <f t="shared" si="79"/>
        <v>91389.431718176711</v>
      </c>
      <c r="I87" s="78">
        <f t="shared" si="74"/>
        <v>53861.814000000006</v>
      </c>
      <c r="J87" s="78">
        <f t="shared" si="75"/>
        <v>1136590.2537181769</v>
      </c>
      <c r="K87" s="72">
        <f t="shared" si="80"/>
        <v>0.67683936202868722</v>
      </c>
      <c r="L87" s="75">
        <f t="shared" si="81"/>
        <v>769289.02221463458</v>
      </c>
      <c r="M87" s="76">
        <f t="shared" si="82"/>
        <v>7791309.1478599068</v>
      </c>
      <c r="O87" s="77"/>
    </row>
    <row r="88" spans="1:15" x14ac:dyDescent="0.2">
      <c r="A88" s="54">
        <f t="shared" si="71"/>
        <v>84</v>
      </c>
      <c r="B88" s="43">
        <v>9</v>
      </c>
      <c r="D88" s="76">
        <f t="shared" si="76"/>
        <v>704076</v>
      </c>
      <c r="E88" s="76">
        <f t="shared" si="77"/>
        <v>11265216</v>
      </c>
      <c r="F88" s="78">
        <f t="shared" si="73"/>
        <v>11265216</v>
      </c>
      <c r="G88" s="78">
        <f t="shared" si="78"/>
        <v>270365.18400000001</v>
      </c>
      <c r="H88" s="78">
        <f t="shared" si="79"/>
        <v>93217.220352540244</v>
      </c>
      <c r="I88" s="78">
        <f t="shared" si="74"/>
        <v>50693.472000000009</v>
      </c>
      <c r="J88" s="78">
        <f t="shared" si="75"/>
        <v>1118351.8763525402</v>
      </c>
      <c r="K88" s="72">
        <f t="shared" si="80"/>
        <v>0.64460891621779726</v>
      </c>
      <c r="L88" s="75">
        <f t="shared" si="81"/>
        <v>720899.59096575098</v>
      </c>
      <c r="M88" s="76">
        <f t="shared" si="82"/>
        <v>8512208.7388256583</v>
      </c>
      <c r="O88" s="77"/>
    </row>
    <row r="89" spans="1:15" x14ac:dyDescent="0.2">
      <c r="A89" s="54">
        <f t="shared" si="71"/>
        <v>85</v>
      </c>
      <c r="B89" s="43">
        <v>10</v>
      </c>
      <c r="D89" s="76">
        <f t="shared" si="76"/>
        <v>704076</v>
      </c>
      <c r="E89" s="76">
        <f t="shared" si="77"/>
        <v>10561140</v>
      </c>
      <c r="F89" s="78">
        <f t="shared" si="73"/>
        <v>10561140</v>
      </c>
      <c r="G89" s="78">
        <f t="shared" si="78"/>
        <v>253467.36000000002</v>
      </c>
      <c r="H89" s="78">
        <f t="shared" si="79"/>
        <v>95081.564759591056</v>
      </c>
      <c r="I89" s="78">
        <f t="shared" si="74"/>
        <v>47525.130000000005</v>
      </c>
      <c r="J89" s="78">
        <f t="shared" si="75"/>
        <v>1100150.0547595909</v>
      </c>
      <c r="K89" s="72">
        <f t="shared" si="80"/>
        <v>0.61391325354075932</v>
      </c>
      <c r="L89" s="75">
        <f t="shared" si="81"/>
        <v>675396.699500505</v>
      </c>
      <c r="M89" s="76">
        <f t="shared" si="82"/>
        <v>9187605.4383261632</v>
      </c>
      <c r="O89" s="77"/>
    </row>
    <row r="90" spans="1:15" x14ac:dyDescent="0.2">
      <c r="A90" s="54">
        <f t="shared" si="71"/>
        <v>86</v>
      </c>
      <c r="B90" s="43">
        <v>11</v>
      </c>
      <c r="D90" s="76">
        <f t="shared" si="76"/>
        <v>704076</v>
      </c>
      <c r="E90" s="76">
        <f t="shared" si="77"/>
        <v>9857064</v>
      </c>
      <c r="F90" s="78">
        <f t="shared" si="73"/>
        <v>9857064</v>
      </c>
      <c r="G90" s="78">
        <f t="shared" si="78"/>
        <v>236569.53599999999</v>
      </c>
      <c r="H90" s="78">
        <f t="shared" si="79"/>
        <v>96983.196054782864</v>
      </c>
      <c r="I90" s="78">
        <f t="shared" si="74"/>
        <v>44356.788000000008</v>
      </c>
      <c r="J90" s="78">
        <f t="shared" si="75"/>
        <v>1081985.5200547827</v>
      </c>
      <c r="K90" s="72">
        <f t="shared" si="80"/>
        <v>0.5846792890864374</v>
      </c>
      <c r="L90" s="75">
        <f t="shared" si="81"/>
        <v>632614.52466744964</v>
      </c>
      <c r="M90" s="76">
        <f t="shared" si="82"/>
        <v>9820219.9629936125</v>
      </c>
      <c r="O90" s="77"/>
    </row>
    <row r="91" spans="1:15" x14ac:dyDescent="0.2">
      <c r="A91" s="54">
        <f t="shared" si="71"/>
        <v>87</v>
      </c>
      <c r="B91" s="43">
        <v>12</v>
      </c>
      <c r="D91" s="76">
        <f t="shared" si="76"/>
        <v>704076</v>
      </c>
      <c r="E91" s="76">
        <f t="shared" si="77"/>
        <v>9152988</v>
      </c>
      <c r="F91" s="78">
        <f t="shared" si="73"/>
        <v>9152988</v>
      </c>
      <c r="G91" s="78">
        <f t="shared" si="78"/>
        <v>219671.712</v>
      </c>
      <c r="H91" s="78">
        <f t="shared" si="79"/>
        <v>98922.859975878528</v>
      </c>
      <c r="I91" s="78">
        <f t="shared" si="74"/>
        <v>41188.446000000004</v>
      </c>
      <c r="J91" s="78">
        <f t="shared" si="75"/>
        <v>1063859.0179758787</v>
      </c>
      <c r="K91" s="72">
        <f t="shared" si="80"/>
        <v>0.5568374181775595</v>
      </c>
      <c r="L91" s="75">
        <f t="shared" si="81"/>
        <v>592396.50887460215</v>
      </c>
      <c r="M91" s="76">
        <f t="shared" si="82"/>
        <v>10412616.471868215</v>
      </c>
      <c r="O91" s="77"/>
    </row>
    <row r="92" spans="1:15" x14ac:dyDescent="0.2">
      <c r="A92" s="54">
        <f t="shared" si="71"/>
        <v>88</v>
      </c>
      <c r="B92" s="43">
        <v>13</v>
      </c>
      <c r="D92" s="76">
        <f t="shared" si="76"/>
        <v>704076</v>
      </c>
      <c r="E92" s="76">
        <f t="shared" si="77"/>
        <v>8448912</v>
      </c>
      <c r="F92" s="78">
        <f t="shared" si="73"/>
        <v>8448912</v>
      </c>
      <c r="G92" s="78">
        <f t="shared" si="78"/>
        <v>202773.88800000001</v>
      </c>
      <c r="H92" s="78">
        <f t="shared" si="79"/>
        <v>100901.31717539609</v>
      </c>
      <c r="I92" s="78">
        <f t="shared" si="74"/>
        <v>38020.104000000007</v>
      </c>
      <c r="J92" s="78">
        <f t="shared" si="75"/>
        <v>1045771.3091753962</v>
      </c>
      <c r="K92" s="72">
        <f t="shared" si="80"/>
        <v>0.53032135064529462</v>
      </c>
      <c r="L92" s="75">
        <f t="shared" si="81"/>
        <v>554594.85314799414</v>
      </c>
      <c r="M92" s="76">
        <f t="shared" si="82"/>
        <v>10967211.32501621</v>
      </c>
      <c r="O92" s="77"/>
    </row>
    <row r="93" spans="1:15" x14ac:dyDescent="0.2">
      <c r="A93" s="54">
        <f t="shared" si="71"/>
        <v>89</v>
      </c>
      <c r="B93" s="43">
        <v>14</v>
      </c>
      <c r="D93" s="76">
        <f t="shared" si="76"/>
        <v>704076</v>
      </c>
      <c r="E93" s="76">
        <f t="shared" si="77"/>
        <v>7744836</v>
      </c>
      <c r="F93" s="78">
        <f t="shared" si="73"/>
        <v>7744836</v>
      </c>
      <c r="G93" s="78">
        <f t="shared" si="78"/>
        <v>185876.06400000001</v>
      </c>
      <c r="H93" s="78">
        <f t="shared" si="79"/>
        <v>102919.34351890403</v>
      </c>
      <c r="I93" s="78">
        <f t="shared" si="74"/>
        <v>34851.762000000002</v>
      </c>
      <c r="J93" s="78">
        <f t="shared" si="75"/>
        <v>1027723.1695189041</v>
      </c>
      <c r="K93" s="72">
        <f t="shared" si="80"/>
        <v>0.50506795299551888</v>
      </c>
      <c r="L93" s="75">
        <f t="shared" si="81"/>
        <v>519070.03747497953</v>
      </c>
      <c r="M93" s="76">
        <f t="shared" si="82"/>
        <v>11486281.362491189</v>
      </c>
      <c r="O93" s="77"/>
    </row>
    <row r="94" spans="1:15" x14ac:dyDescent="0.2">
      <c r="A94" s="54">
        <f t="shared" si="71"/>
        <v>90</v>
      </c>
      <c r="B94" s="43">
        <v>15</v>
      </c>
      <c r="D94" s="76">
        <f t="shared" si="76"/>
        <v>704076</v>
      </c>
      <c r="E94" s="76">
        <f t="shared" si="77"/>
        <v>7040760</v>
      </c>
      <c r="F94" s="78">
        <f t="shared" si="73"/>
        <v>7040760</v>
      </c>
      <c r="G94" s="78">
        <f t="shared" si="78"/>
        <v>168978.24</v>
      </c>
      <c r="H94" s="78">
        <f t="shared" si="79"/>
        <v>104977.73038928208</v>
      </c>
      <c r="I94" s="78">
        <f t="shared" si="74"/>
        <v>31683.420000000006</v>
      </c>
      <c r="J94" s="78">
        <f t="shared" si="75"/>
        <v>1009715.3903892821</v>
      </c>
      <c r="K94" s="72">
        <f t="shared" si="80"/>
        <v>0.48101709809097021</v>
      </c>
      <c r="L94" s="75">
        <f t="shared" si="81"/>
        <v>485690.36698284361</v>
      </c>
      <c r="M94" s="76">
        <f t="shared" si="82"/>
        <v>11971971.729474032</v>
      </c>
      <c r="O94" s="77"/>
    </row>
    <row r="95" spans="1:15" x14ac:dyDescent="0.2">
      <c r="A95" s="54">
        <f t="shared" si="71"/>
        <v>91</v>
      </c>
      <c r="B95" s="43">
        <v>16</v>
      </c>
      <c r="D95" s="76">
        <f t="shared" si="76"/>
        <v>704076</v>
      </c>
      <c r="E95" s="76">
        <f t="shared" si="77"/>
        <v>6336684</v>
      </c>
      <c r="F95" s="78">
        <f t="shared" si="73"/>
        <v>6336684</v>
      </c>
      <c r="G95" s="78">
        <f t="shared" si="78"/>
        <v>152080.416</v>
      </c>
      <c r="H95" s="78">
        <f t="shared" si="79"/>
        <v>107077.28499706773</v>
      </c>
      <c r="I95" s="78">
        <f t="shared" si="74"/>
        <v>28515.078000000005</v>
      </c>
      <c r="J95" s="78">
        <f t="shared" si="75"/>
        <v>991748.77899706771</v>
      </c>
      <c r="K95" s="72">
        <f t="shared" si="80"/>
        <v>0.45811152199140021</v>
      </c>
      <c r="L95" s="75">
        <f t="shared" si="81"/>
        <v>454331.54257945949</v>
      </c>
      <c r="M95" s="76">
        <f t="shared" si="82"/>
        <v>12426303.272053491</v>
      </c>
      <c r="O95" s="77"/>
    </row>
    <row r="96" spans="1:15" x14ac:dyDescent="0.2">
      <c r="A96" s="54">
        <f t="shared" si="71"/>
        <v>92</v>
      </c>
      <c r="B96" s="43">
        <v>17</v>
      </c>
      <c r="D96" s="76">
        <f t="shared" si="76"/>
        <v>704076</v>
      </c>
      <c r="E96" s="76">
        <f t="shared" si="77"/>
        <v>5632608</v>
      </c>
      <c r="F96" s="78">
        <f t="shared" si="73"/>
        <v>5632608</v>
      </c>
      <c r="G96" s="78">
        <f t="shared" si="78"/>
        <v>135182.592</v>
      </c>
      <c r="H96" s="78">
        <f t="shared" si="79"/>
        <v>109218.83069700911</v>
      </c>
      <c r="I96" s="78">
        <f t="shared" si="74"/>
        <v>25346.736000000004</v>
      </c>
      <c r="J96" s="78">
        <f t="shared" si="75"/>
        <v>973824.15869700909</v>
      </c>
      <c r="K96" s="72">
        <f t="shared" si="80"/>
        <v>0.43629668761085727</v>
      </c>
      <c r="L96" s="75">
        <f t="shared" si="81"/>
        <v>424876.25475493487</v>
      </c>
      <c r="M96" s="76">
        <f t="shared" si="82"/>
        <v>12851179.526808426</v>
      </c>
      <c r="O96" s="77"/>
    </row>
    <row r="97" spans="1:15" x14ac:dyDescent="0.2">
      <c r="A97" s="54">
        <f t="shared" si="71"/>
        <v>93</v>
      </c>
      <c r="B97" s="43">
        <v>18</v>
      </c>
      <c r="D97" s="76">
        <f t="shared" si="76"/>
        <v>704076</v>
      </c>
      <c r="E97" s="76">
        <f t="shared" si="77"/>
        <v>4928532</v>
      </c>
      <c r="F97" s="78">
        <f t="shared" si="73"/>
        <v>4928532</v>
      </c>
      <c r="G97" s="78">
        <f t="shared" si="78"/>
        <v>118284.768</v>
      </c>
      <c r="H97" s="78">
        <f t="shared" si="79"/>
        <v>111403.20731094928</v>
      </c>
      <c r="I97" s="78">
        <f t="shared" si="74"/>
        <v>22178.394000000004</v>
      </c>
      <c r="J97" s="78">
        <f t="shared" si="75"/>
        <v>955942.36931094935</v>
      </c>
      <c r="K97" s="72">
        <f t="shared" si="80"/>
        <v>0.41552065486748313</v>
      </c>
      <c r="L97" s="75">
        <f t="shared" si="81"/>
        <v>397213.79931165907</v>
      </c>
      <c r="M97" s="76">
        <f t="shared" si="82"/>
        <v>13248393.326120084</v>
      </c>
      <c r="O97" s="77"/>
    </row>
    <row r="98" spans="1:15" x14ac:dyDescent="0.2">
      <c r="A98" s="54">
        <f t="shared" si="71"/>
        <v>94</v>
      </c>
      <c r="B98" s="43">
        <v>19</v>
      </c>
      <c r="D98" s="76">
        <f t="shared" si="76"/>
        <v>704076</v>
      </c>
      <c r="E98" s="76">
        <f t="shared" si="77"/>
        <v>4224456</v>
      </c>
      <c r="F98" s="78">
        <f t="shared" si="73"/>
        <v>4224456</v>
      </c>
      <c r="G98" s="78">
        <f t="shared" si="78"/>
        <v>101386.944</v>
      </c>
      <c r="H98" s="78">
        <f t="shared" si="79"/>
        <v>113631.27145716826</v>
      </c>
      <c r="I98" s="78">
        <f t="shared" si="74"/>
        <v>19010.052000000003</v>
      </c>
      <c r="J98" s="78">
        <f t="shared" si="75"/>
        <v>938104.26745716832</v>
      </c>
      <c r="K98" s="72">
        <f t="shared" si="80"/>
        <v>0.39573395701665059</v>
      </c>
      <c r="L98" s="75">
        <f t="shared" si="81"/>
        <v>371239.71385503153</v>
      </c>
      <c r="M98" s="76">
        <f t="shared" si="82"/>
        <v>13619633.039975116</v>
      </c>
      <c r="O98" s="77"/>
    </row>
    <row r="99" spans="1:15" x14ac:dyDescent="0.2">
      <c r="A99" s="54">
        <f t="shared" si="71"/>
        <v>95</v>
      </c>
      <c r="B99" s="43">
        <v>20</v>
      </c>
      <c r="D99" s="76">
        <f t="shared" si="76"/>
        <v>704076</v>
      </c>
      <c r="E99" s="76">
        <f t="shared" si="77"/>
        <v>3520380</v>
      </c>
      <c r="F99" s="78">
        <f t="shared" si="73"/>
        <v>3520380</v>
      </c>
      <c r="G99" s="78">
        <f t="shared" si="78"/>
        <v>84489.12</v>
      </c>
      <c r="H99" s="78">
        <f t="shared" si="79"/>
        <v>115903.89688631163</v>
      </c>
      <c r="I99" s="78">
        <f t="shared" si="74"/>
        <v>15841.710000000003</v>
      </c>
      <c r="J99" s="78">
        <f t="shared" si="75"/>
        <v>920310.72688631155</v>
      </c>
      <c r="K99" s="72">
        <f t="shared" si="80"/>
        <v>0.37688948287300061</v>
      </c>
      <c r="L99" s="75">
        <f t="shared" si="81"/>
        <v>346855.43393865728</v>
      </c>
      <c r="M99" s="76">
        <f t="shared" si="82"/>
        <v>13966488.473913774</v>
      </c>
      <c r="O99" s="77"/>
    </row>
    <row r="100" spans="1:15" x14ac:dyDescent="0.2">
      <c r="A100" s="54">
        <f t="shared" si="71"/>
        <v>96</v>
      </c>
      <c r="B100" s="43">
        <v>21</v>
      </c>
      <c r="D100" s="76">
        <f t="shared" si="76"/>
        <v>704076</v>
      </c>
      <c r="E100" s="76">
        <f t="shared" si="77"/>
        <v>2816304</v>
      </c>
      <c r="F100" s="78">
        <f t="shared" si="73"/>
        <v>2816304</v>
      </c>
      <c r="G100" s="78">
        <f t="shared" si="78"/>
        <v>67591.296000000002</v>
      </c>
      <c r="H100" s="78">
        <f t="shared" si="79"/>
        <v>118221.97482403785</v>
      </c>
      <c r="I100" s="78">
        <f t="shared" si="74"/>
        <v>12673.368000000002</v>
      </c>
      <c r="J100" s="78">
        <f t="shared" si="75"/>
        <v>902562.63882403786</v>
      </c>
      <c r="K100" s="72">
        <f t="shared" si="80"/>
        <v>0.35894236464095297</v>
      </c>
      <c r="L100" s="75">
        <f t="shared" si="81"/>
        <v>323967.96781607851</v>
      </c>
      <c r="M100" s="76">
        <f t="shared" si="82"/>
        <v>14290456.441729853</v>
      </c>
      <c r="O100" s="77"/>
    </row>
    <row r="101" spans="1:15" x14ac:dyDescent="0.2">
      <c r="A101" s="54">
        <f t="shared" si="71"/>
        <v>97</v>
      </c>
      <c r="B101" s="43">
        <v>22</v>
      </c>
      <c r="D101" s="76">
        <f t="shared" si="76"/>
        <v>704076</v>
      </c>
      <c r="E101" s="76">
        <f t="shared" si="77"/>
        <v>2112228</v>
      </c>
      <c r="F101" s="78">
        <f t="shared" si="73"/>
        <v>2112228</v>
      </c>
      <c r="G101" s="78">
        <f t="shared" si="78"/>
        <v>50693.472000000002</v>
      </c>
      <c r="H101" s="78">
        <f t="shared" si="79"/>
        <v>120586.41432051861</v>
      </c>
      <c r="I101" s="78">
        <f t="shared" si="74"/>
        <v>9505.0260000000017</v>
      </c>
      <c r="J101" s="78">
        <f t="shared" si="75"/>
        <v>884860.91232051852</v>
      </c>
      <c r="K101" s="72">
        <f t="shared" si="80"/>
        <v>0.3418498710866219</v>
      </c>
      <c r="L101" s="75">
        <f t="shared" si="81"/>
        <v>302489.58880635991</v>
      </c>
      <c r="M101" s="76">
        <f t="shared" si="82"/>
        <v>14592946.030536212</v>
      </c>
      <c r="O101" s="77"/>
    </row>
    <row r="102" spans="1:15" x14ac:dyDescent="0.2">
      <c r="A102" s="54">
        <f t="shared" si="71"/>
        <v>98</v>
      </c>
      <c r="B102" s="43">
        <v>23</v>
      </c>
      <c r="D102" s="76">
        <f t="shared" si="76"/>
        <v>704076</v>
      </c>
      <c r="E102" s="76">
        <f t="shared" si="77"/>
        <v>1408152</v>
      </c>
      <c r="F102" s="78">
        <f t="shared" si="73"/>
        <v>1408152</v>
      </c>
      <c r="G102" s="78">
        <f t="shared" si="78"/>
        <v>33795.648000000001</v>
      </c>
      <c r="H102" s="78">
        <f t="shared" si="79"/>
        <v>122998.14260692897</v>
      </c>
      <c r="I102" s="78">
        <f t="shared" si="74"/>
        <v>6336.6840000000011</v>
      </c>
      <c r="J102" s="78">
        <f t="shared" si="75"/>
        <v>867206.474606929</v>
      </c>
      <c r="K102" s="72">
        <f t="shared" si="80"/>
        <v>0.32557130579678267</v>
      </c>
      <c r="L102" s="75">
        <f t="shared" si="81"/>
        <v>282337.54433320236</v>
      </c>
      <c r="M102" s="76">
        <f t="shared" si="82"/>
        <v>14875283.574869415</v>
      </c>
      <c r="O102" s="77"/>
    </row>
    <row r="103" spans="1:15" x14ac:dyDescent="0.2">
      <c r="A103" s="54">
        <f t="shared" si="71"/>
        <v>99</v>
      </c>
      <c r="B103" s="43">
        <v>24</v>
      </c>
      <c r="D103" s="76">
        <f t="shared" si="76"/>
        <v>704076</v>
      </c>
      <c r="E103" s="76">
        <f t="shared" si="77"/>
        <v>704076</v>
      </c>
      <c r="F103" s="78">
        <f t="shared" si="73"/>
        <v>704076</v>
      </c>
      <c r="G103" s="78">
        <f t="shared" si="78"/>
        <v>16897.824000000001</v>
      </c>
      <c r="H103" s="78">
        <f t="shared" si="79"/>
        <v>125458.10545906755</v>
      </c>
      <c r="I103" s="78">
        <f t="shared" si="74"/>
        <v>3168.3420000000006</v>
      </c>
      <c r="J103" s="78">
        <f t="shared" si="75"/>
        <v>849600.27145906747</v>
      </c>
      <c r="K103" s="72">
        <f t="shared" si="80"/>
        <v>0.31006791028265024</v>
      </c>
      <c r="L103" s="75">
        <f t="shared" si="81"/>
        <v>263433.7807468854</v>
      </c>
      <c r="M103" s="76">
        <f t="shared" si="82"/>
        <v>15138717.355616299</v>
      </c>
      <c r="O103" s="77"/>
    </row>
    <row r="104" spans="1:15" x14ac:dyDescent="0.2">
      <c r="A104" s="54">
        <f t="shared" si="71"/>
        <v>100</v>
      </c>
      <c r="B104" s="43">
        <v>25</v>
      </c>
      <c r="D104" s="76">
        <f t="shared" si="76"/>
        <v>704076</v>
      </c>
      <c r="E104" s="76">
        <f t="shared" si="77"/>
        <v>0</v>
      </c>
      <c r="F104" s="78">
        <f t="shared" si="73"/>
        <v>0</v>
      </c>
      <c r="G104" s="78">
        <f t="shared" si="78"/>
        <v>0</v>
      </c>
      <c r="H104" s="78">
        <f t="shared" si="79"/>
        <v>0</v>
      </c>
      <c r="I104" s="78">
        <f t="shared" si="74"/>
        <v>0</v>
      </c>
      <c r="J104" s="78">
        <f t="shared" si="75"/>
        <v>704076</v>
      </c>
      <c r="K104" s="72">
        <f t="shared" si="80"/>
        <v>0.29530277169776209</v>
      </c>
      <c r="L104" s="75">
        <f t="shared" si="81"/>
        <v>207915.59428587355</v>
      </c>
      <c r="M104" s="76">
        <f t="shared" si="82"/>
        <v>15346632.949902173</v>
      </c>
      <c r="O104" s="77"/>
    </row>
    <row r="105" spans="1:15" x14ac:dyDescent="0.2">
      <c r="A105" s="54">
        <f t="shared" si="71"/>
        <v>101</v>
      </c>
      <c r="B105" s="43">
        <v>26</v>
      </c>
      <c r="D105" s="76">
        <f t="shared" si="76"/>
        <v>0</v>
      </c>
      <c r="E105" s="76">
        <f t="shared" si="77"/>
        <v>0</v>
      </c>
      <c r="F105" s="78">
        <f t="shared" si="73"/>
        <v>0</v>
      </c>
      <c r="G105" s="78">
        <f t="shared" si="78"/>
        <v>0</v>
      </c>
      <c r="H105" s="78">
        <f t="shared" si="79"/>
        <v>0</v>
      </c>
      <c r="I105" s="78">
        <f t="shared" si="74"/>
        <v>0</v>
      </c>
      <c r="J105" s="78">
        <f t="shared" si="75"/>
        <v>0</v>
      </c>
      <c r="K105" s="72">
        <f t="shared" si="80"/>
        <v>0</v>
      </c>
      <c r="L105" s="75">
        <f t="shared" si="81"/>
        <v>0</v>
      </c>
      <c r="M105" s="76">
        <f t="shared" si="82"/>
        <v>0</v>
      </c>
      <c r="O105" s="77"/>
    </row>
    <row r="106" spans="1:15" x14ac:dyDescent="0.2">
      <c r="A106" s="54">
        <f t="shared" si="71"/>
        <v>102</v>
      </c>
      <c r="B106" s="43">
        <v>27</v>
      </c>
      <c r="D106" s="76">
        <f t="shared" si="76"/>
        <v>0</v>
      </c>
      <c r="E106" s="76">
        <f t="shared" si="77"/>
        <v>0</v>
      </c>
      <c r="F106" s="78">
        <f t="shared" si="73"/>
        <v>0</v>
      </c>
      <c r="G106" s="78">
        <f t="shared" si="78"/>
        <v>0</v>
      </c>
      <c r="H106" s="78">
        <f t="shared" si="79"/>
        <v>0</v>
      </c>
      <c r="I106" s="78">
        <f t="shared" si="74"/>
        <v>0</v>
      </c>
      <c r="J106" s="78">
        <f t="shared" si="75"/>
        <v>0</v>
      </c>
      <c r="K106" s="72">
        <f t="shared" si="80"/>
        <v>0</v>
      </c>
      <c r="L106" s="75">
        <f t="shared" si="81"/>
        <v>0</v>
      </c>
      <c r="M106" s="76">
        <f t="shared" si="82"/>
        <v>0</v>
      </c>
      <c r="O106" s="77"/>
    </row>
    <row r="107" spans="1:15" x14ac:dyDescent="0.2">
      <c r="A107" s="54">
        <f t="shared" si="71"/>
        <v>103</v>
      </c>
      <c r="B107" s="43">
        <v>28</v>
      </c>
      <c r="D107" s="76">
        <f t="shared" si="76"/>
        <v>0</v>
      </c>
      <c r="E107" s="76">
        <f t="shared" si="77"/>
        <v>0</v>
      </c>
      <c r="F107" s="78">
        <f t="shared" si="73"/>
        <v>0</v>
      </c>
      <c r="G107" s="78">
        <f t="shared" si="78"/>
        <v>0</v>
      </c>
      <c r="H107" s="78">
        <f t="shared" si="79"/>
        <v>0</v>
      </c>
      <c r="I107" s="78">
        <f t="shared" si="74"/>
        <v>0</v>
      </c>
      <c r="J107" s="78">
        <f t="shared" si="75"/>
        <v>0</v>
      </c>
      <c r="K107" s="72">
        <f t="shared" si="80"/>
        <v>0</v>
      </c>
      <c r="L107" s="75">
        <f t="shared" si="81"/>
        <v>0</v>
      </c>
      <c r="M107" s="76">
        <f t="shared" si="82"/>
        <v>0</v>
      </c>
      <c r="O107" s="77"/>
    </row>
    <row r="108" spans="1:15" x14ac:dyDescent="0.2">
      <c r="A108" s="54">
        <f t="shared" si="71"/>
        <v>104</v>
      </c>
      <c r="B108" s="43">
        <v>29</v>
      </c>
      <c r="D108" s="76">
        <f t="shared" si="76"/>
        <v>0</v>
      </c>
      <c r="E108" s="76">
        <f t="shared" si="77"/>
        <v>0</v>
      </c>
      <c r="F108" s="78">
        <f t="shared" si="73"/>
        <v>0</v>
      </c>
      <c r="G108" s="78">
        <f t="shared" si="78"/>
        <v>0</v>
      </c>
      <c r="H108" s="78">
        <f t="shared" si="79"/>
        <v>0</v>
      </c>
      <c r="I108" s="78">
        <f t="shared" si="74"/>
        <v>0</v>
      </c>
      <c r="J108" s="78">
        <f t="shared" si="75"/>
        <v>0</v>
      </c>
      <c r="K108" s="72">
        <f t="shared" si="80"/>
        <v>0</v>
      </c>
      <c r="L108" s="75">
        <f t="shared" si="81"/>
        <v>0</v>
      </c>
      <c r="M108" s="76">
        <f t="shared" si="82"/>
        <v>0</v>
      </c>
      <c r="O108" s="77"/>
    </row>
    <row r="109" spans="1:15" x14ac:dyDescent="0.2">
      <c r="A109" s="54">
        <f t="shared" si="71"/>
        <v>105</v>
      </c>
      <c r="B109" s="43">
        <v>30</v>
      </c>
      <c r="D109" s="76">
        <f t="shared" si="76"/>
        <v>0</v>
      </c>
      <c r="E109" s="76">
        <f t="shared" si="77"/>
        <v>0</v>
      </c>
      <c r="F109" s="78">
        <f t="shared" si="73"/>
        <v>0</v>
      </c>
      <c r="G109" s="78">
        <f t="shared" si="78"/>
        <v>0</v>
      </c>
      <c r="H109" s="78">
        <f t="shared" si="79"/>
        <v>0</v>
      </c>
      <c r="I109" s="78">
        <f t="shared" si="74"/>
        <v>0</v>
      </c>
      <c r="J109" s="78">
        <f t="shared" si="75"/>
        <v>0</v>
      </c>
      <c r="K109" s="72">
        <f t="shared" si="80"/>
        <v>0</v>
      </c>
      <c r="L109" s="75">
        <f t="shared" si="81"/>
        <v>0</v>
      </c>
      <c r="M109" s="76">
        <f t="shared" si="82"/>
        <v>0</v>
      </c>
      <c r="O109" s="77"/>
    </row>
    <row r="110" spans="1:15" x14ac:dyDescent="0.2">
      <c r="A110" s="54">
        <f t="shared" si="71"/>
        <v>106</v>
      </c>
      <c r="B110" s="43">
        <v>31</v>
      </c>
      <c r="D110" s="76">
        <f t="shared" si="76"/>
        <v>0</v>
      </c>
      <c r="E110" s="76">
        <f t="shared" si="77"/>
        <v>0</v>
      </c>
      <c r="F110" s="78">
        <f t="shared" si="73"/>
        <v>0</v>
      </c>
      <c r="G110" s="78">
        <f t="shared" si="78"/>
        <v>0</v>
      </c>
      <c r="H110" s="78">
        <f t="shared" si="79"/>
        <v>0</v>
      </c>
      <c r="I110" s="78">
        <f t="shared" si="74"/>
        <v>0</v>
      </c>
      <c r="J110" s="78">
        <f t="shared" si="75"/>
        <v>0</v>
      </c>
      <c r="K110" s="72">
        <f t="shared" si="80"/>
        <v>0</v>
      </c>
      <c r="L110" s="75">
        <f t="shared" si="81"/>
        <v>0</v>
      </c>
      <c r="M110" s="76">
        <f t="shared" si="82"/>
        <v>0</v>
      </c>
      <c r="O110" s="77"/>
    </row>
    <row r="111" spans="1:15" x14ac:dyDescent="0.2">
      <c r="A111" s="54">
        <f t="shared" si="71"/>
        <v>107</v>
      </c>
      <c r="B111" s="43">
        <v>32</v>
      </c>
      <c r="D111" s="76">
        <f t="shared" si="76"/>
        <v>0</v>
      </c>
      <c r="E111" s="76">
        <f t="shared" si="77"/>
        <v>0</v>
      </c>
      <c r="F111" s="78">
        <f t="shared" si="73"/>
        <v>0</v>
      </c>
      <c r="G111" s="78">
        <f t="shared" si="78"/>
        <v>0</v>
      </c>
      <c r="H111" s="78">
        <f t="shared" si="79"/>
        <v>0</v>
      </c>
      <c r="I111" s="78">
        <f t="shared" si="74"/>
        <v>0</v>
      </c>
      <c r="J111" s="78">
        <f t="shared" si="75"/>
        <v>0</v>
      </c>
      <c r="K111" s="72">
        <f t="shared" si="80"/>
        <v>0</v>
      </c>
      <c r="L111" s="75">
        <f t="shared" si="81"/>
        <v>0</v>
      </c>
      <c r="M111" s="76">
        <f t="shared" si="82"/>
        <v>0</v>
      </c>
      <c r="O111" s="77"/>
    </row>
    <row r="112" spans="1:15" x14ac:dyDescent="0.2">
      <c r="A112" s="54">
        <f t="shared" si="71"/>
        <v>108</v>
      </c>
      <c r="B112" s="43">
        <v>33</v>
      </c>
      <c r="D112" s="76">
        <f t="shared" si="76"/>
        <v>0</v>
      </c>
      <c r="E112" s="76">
        <f t="shared" si="77"/>
        <v>0</v>
      </c>
      <c r="F112" s="78">
        <f t="shared" si="73"/>
        <v>0</v>
      </c>
      <c r="G112" s="78">
        <f t="shared" si="78"/>
        <v>0</v>
      </c>
      <c r="H112" s="78">
        <f t="shared" si="79"/>
        <v>0</v>
      </c>
      <c r="I112" s="78">
        <f t="shared" si="74"/>
        <v>0</v>
      </c>
      <c r="J112" s="78">
        <f t="shared" si="75"/>
        <v>0</v>
      </c>
      <c r="K112" s="72">
        <f t="shared" si="80"/>
        <v>0</v>
      </c>
      <c r="L112" s="75">
        <f t="shared" si="81"/>
        <v>0</v>
      </c>
      <c r="M112" s="76">
        <f t="shared" si="82"/>
        <v>0</v>
      </c>
      <c r="O112" s="77"/>
    </row>
    <row r="113" spans="1:17" x14ac:dyDescent="0.2">
      <c r="A113" s="54">
        <f t="shared" si="71"/>
        <v>109</v>
      </c>
      <c r="B113" s="43">
        <v>34</v>
      </c>
      <c r="D113" s="76">
        <f t="shared" si="76"/>
        <v>0</v>
      </c>
      <c r="E113" s="76">
        <f t="shared" si="77"/>
        <v>0</v>
      </c>
      <c r="F113" s="78">
        <f t="shared" si="73"/>
        <v>0</v>
      </c>
      <c r="G113" s="78">
        <f t="shared" si="78"/>
        <v>0</v>
      </c>
      <c r="H113" s="78">
        <f t="shared" si="79"/>
        <v>0</v>
      </c>
      <c r="I113" s="78">
        <f t="shared" si="74"/>
        <v>0</v>
      </c>
      <c r="J113" s="78">
        <f t="shared" si="75"/>
        <v>0</v>
      </c>
      <c r="K113" s="72">
        <f t="shared" si="80"/>
        <v>0</v>
      </c>
      <c r="L113" s="75">
        <f t="shared" si="81"/>
        <v>0</v>
      </c>
      <c r="M113" s="76">
        <f t="shared" si="82"/>
        <v>0</v>
      </c>
      <c r="O113" s="77"/>
    </row>
    <row r="114" spans="1:17" x14ac:dyDescent="0.2">
      <c r="A114" s="54">
        <f t="shared" si="71"/>
        <v>110</v>
      </c>
      <c r="B114" s="43">
        <v>35</v>
      </c>
      <c r="D114" s="76">
        <f t="shared" si="76"/>
        <v>0</v>
      </c>
      <c r="E114" s="76">
        <f t="shared" si="77"/>
        <v>0</v>
      </c>
      <c r="F114" s="78">
        <f t="shared" si="73"/>
        <v>0</v>
      </c>
      <c r="G114" s="78">
        <f t="shared" si="78"/>
        <v>0</v>
      </c>
      <c r="H114" s="78">
        <f t="shared" si="79"/>
        <v>0</v>
      </c>
      <c r="I114" s="78">
        <f t="shared" si="74"/>
        <v>0</v>
      </c>
      <c r="J114" s="78">
        <f t="shared" si="75"/>
        <v>0</v>
      </c>
      <c r="K114" s="72">
        <f t="shared" si="80"/>
        <v>0</v>
      </c>
      <c r="L114" s="75">
        <f t="shared" si="81"/>
        <v>0</v>
      </c>
      <c r="M114" s="76">
        <f t="shared" si="82"/>
        <v>0</v>
      </c>
      <c r="O114" s="77"/>
    </row>
    <row r="115" spans="1:17" x14ac:dyDescent="0.2">
      <c r="A115" s="54">
        <f t="shared" si="71"/>
        <v>111</v>
      </c>
      <c r="B115" s="43">
        <v>36</v>
      </c>
      <c r="D115" s="76">
        <f t="shared" si="76"/>
        <v>0</v>
      </c>
      <c r="E115" s="76">
        <f t="shared" si="77"/>
        <v>0</v>
      </c>
      <c r="F115" s="78">
        <f t="shared" si="73"/>
        <v>0</v>
      </c>
      <c r="G115" s="78">
        <f t="shared" si="78"/>
        <v>0</v>
      </c>
      <c r="H115" s="78">
        <f t="shared" si="79"/>
        <v>0</v>
      </c>
      <c r="I115" s="78">
        <f t="shared" si="74"/>
        <v>0</v>
      </c>
      <c r="J115" s="78">
        <f t="shared" si="75"/>
        <v>0</v>
      </c>
      <c r="K115" s="72">
        <f t="shared" si="80"/>
        <v>0</v>
      </c>
      <c r="L115" s="75">
        <f t="shared" si="81"/>
        <v>0</v>
      </c>
      <c r="M115" s="76">
        <f t="shared" si="82"/>
        <v>0</v>
      </c>
      <c r="O115" s="79"/>
    </row>
    <row r="116" spans="1:17" x14ac:dyDescent="0.2">
      <c r="A116" s="54">
        <f t="shared" si="71"/>
        <v>112</v>
      </c>
      <c r="B116" s="43">
        <v>37</v>
      </c>
      <c r="D116" s="76">
        <f t="shared" si="76"/>
        <v>0</v>
      </c>
      <c r="E116" s="76">
        <f t="shared" si="77"/>
        <v>0</v>
      </c>
      <c r="F116" s="78">
        <f t="shared" si="73"/>
        <v>0</v>
      </c>
      <c r="G116" s="78">
        <f t="shared" si="78"/>
        <v>0</v>
      </c>
      <c r="H116" s="78">
        <f t="shared" si="79"/>
        <v>0</v>
      </c>
      <c r="I116" s="78">
        <f t="shared" si="74"/>
        <v>0</v>
      </c>
      <c r="J116" s="78">
        <f t="shared" si="75"/>
        <v>0</v>
      </c>
      <c r="K116" s="72">
        <f t="shared" si="80"/>
        <v>0</v>
      </c>
      <c r="L116" s="75">
        <f t="shared" si="81"/>
        <v>0</v>
      </c>
      <c r="M116" s="76">
        <f t="shared" si="82"/>
        <v>0</v>
      </c>
      <c r="O116" s="79"/>
    </row>
    <row r="117" spans="1:17" x14ac:dyDescent="0.2">
      <c r="A117" s="54">
        <f t="shared" si="71"/>
        <v>113</v>
      </c>
      <c r="B117" s="43">
        <v>38</v>
      </c>
      <c r="D117" s="76">
        <f t="shared" si="76"/>
        <v>0</v>
      </c>
      <c r="E117" s="76">
        <f t="shared" si="77"/>
        <v>0</v>
      </c>
      <c r="F117" s="78">
        <f t="shared" si="73"/>
        <v>0</v>
      </c>
      <c r="G117" s="78">
        <f t="shared" si="78"/>
        <v>0</v>
      </c>
      <c r="H117" s="78">
        <f t="shared" si="79"/>
        <v>0</v>
      </c>
      <c r="I117" s="78">
        <f t="shared" si="74"/>
        <v>0</v>
      </c>
      <c r="J117" s="78">
        <f t="shared" si="75"/>
        <v>0</v>
      </c>
      <c r="K117" s="72">
        <f t="shared" si="80"/>
        <v>0</v>
      </c>
      <c r="L117" s="75">
        <f t="shared" si="81"/>
        <v>0</v>
      </c>
      <c r="M117" s="76">
        <f t="shared" si="82"/>
        <v>0</v>
      </c>
      <c r="O117" s="79"/>
    </row>
    <row r="118" spans="1:17" x14ac:dyDescent="0.2">
      <c r="A118" s="54">
        <f t="shared" si="71"/>
        <v>114</v>
      </c>
      <c r="B118" s="43">
        <v>39</v>
      </c>
      <c r="D118" s="76">
        <f t="shared" si="76"/>
        <v>0</v>
      </c>
      <c r="E118" s="76">
        <f t="shared" si="77"/>
        <v>0</v>
      </c>
      <c r="F118" s="78">
        <f t="shared" si="73"/>
        <v>0</v>
      </c>
      <c r="G118" s="78">
        <f t="shared" si="78"/>
        <v>0</v>
      </c>
      <c r="H118" s="78">
        <f t="shared" si="79"/>
        <v>0</v>
      </c>
      <c r="I118" s="78">
        <f t="shared" si="74"/>
        <v>0</v>
      </c>
      <c r="J118" s="78">
        <f t="shared" si="75"/>
        <v>0</v>
      </c>
      <c r="K118" s="72">
        <f t="shared" si="80"/>
        <v>0</v>
      </c>
      <c r="L118" s="75">
        <f t="shared" si="81"/>
        <v>0</v>
      </c>
      <c r="M118" s="76">
        <f t="shared" si="82"/>
        <v>0</v>
      </c>
      <c r="O118" s="79"/>
    </row>
    <row r="119" spans="1:17" x14ac:dyDescent="0.2">
      <c r="A119" s="54">
        <f t="shared" si="71"/>
        <v>115</v>
      </c>
      <c r="B119" s="43">
        <v>40</v>
      </c>
      <c r="D119" s="76">
        <f t="shared" si="76"/>
        <v>0</v>
      </c>
      <c r="E119" s="76">
        <f t="shared" si="77"/>
        <v>0</v>
      </c>
      <c r="F119" s="78">
        <f t="shared" si="73"/>
        <v>0</v>
      </c>
      <c r="G119" s="78">
        <f t="shared" si="78"/>
        <v>0</v>
      </c>
      <c r="H119" s="78">
        <f t="shared" si="79"/>
        <v>0</v>
      </c>
      <c r="I119" s="78">
        <f t="shared" si="74"/>
        <v>0</v>
      </c>
      <c r="J119" s="78">
        <f t="shared" si="75"/>
        <v>0</v>
      </c>
      <c r="K119" s="72">
        <f t="shared" si="80"/>
        <v>0</v>
      </c>
      <c r="L119" s="75">
        <f t="shared" si="81"/>
        <v>0</v>
      </c>
      <c r="M119" s="76">
        <f t="shared" si="82"/>
        <v>0</v>
      </c>
      <c r="O119" s="79"/>
    </row>
    <row r="120" spans="1:17" x14ac:dyDescent="0.2">
      <c r="A120" s="54">
        <f t="shared" si="71"/>
        <v>116</v>
      </c>
    </row>
    <row r="121" spans="1:17" x14ac:dyDescent="0.2">
      <c r="A121" s="54">
        <f t="shared" si="71"/>
        <v>117</v>
      </c>
    </row>
    <row r="122" spans="1:17" x14ac:dyDescent="0.2">
      <c r="A122" s="54">
        <f t="shared" si="71"/>
        <v>118</v>
      </c>
    </row>
    <row r="123" spans="1:17" x14ac:dyDescent="0.2">
      <c r="A123" s="54">
        <f t="shared" si="71"/>
        <v>119</v>
      </c>
    </row>
    <row r="124" spans="1:17" x14ac:dyDescent="0.2">
      <c r="A124" s="54">
        <f t="shared" si="71"/>
        <v>120</v>
      </c>
      <c r="Q124" s="44"/>
    </row>
    <row r="125" spans="1:17" x14ac:dyDescent="0.2">
      <c r="A125" s="54">
        <f t="shared" si="71"/>
        <v>121</v>
      </c>
    </row>
    <row r="126" spans="1:17" x14ac:dyDescent="0.2">
      <c r="A126" s="54">
        <f t="shared" si="71"/>
        <v>122</v>
      </c>
    </row>
    <row r="127" spans="1:17" x14ac:dyDescent="0.2">
      <c r="A127" s="54">
        <f t="shared" si="71"/>
        <v>123</v>
      </c>
    </row>
    <row r="128" spans="1:17" x14ac:dyDescent="0.2">
      <c r="A128" s="54">
        <f t="shared" si="71"/>
        <v>124</v>
      </c>
    </row>
    <row r="129" spans="1:15" x14ac:dyDescent="0.2">
      <c r="A129" s="54">
        <f t="shared" si="71"/>
        <v>125</v>
      </c>
    </row>
    <row r="130" spans="1:15" x14ac:dyDescent="0.2">
      <c r="A130" s="54">
        <f t="shared" si="71"/>
        <v>126</v>
      </c>
    </row>
    <row r="131" spans="1:15" x14ac:dyDescent="0.2">
      <c r="A131" s="54">
        <f t="shared" si="71"/>
        <v>127</v>
      </c>
      <c r="O131" s="77"/>
    </row>
    <row r="132" spans="1:15" x14ac:dyDescent="0.2">
      <c r="A132" s="54">
        <f t="shared" si="71"/>
        <v>128</v>
      </c>
      <c r="O132" s="77"/>
    </row>
    <row r="133" spans="1:15" x14ac:dyDescent="0.2">
      <c r="A133" s="54">
        <f t="shared" si="71"/>
        <v>129</v>
      </c>
      <c r="O133" s="77"/>
    </row>
    <row r="134" spans="1:15" x14ac:dyDescent="0.2">
      <c r="A134" s="54">
        <f t="shared" si="71"/>
        <v>130</v>
      </c>
      <c r="O134" s="77"/>
    </row>
    <row r="135" spans="1:15" x14ac:dyDescent="0.2">
      <c r="A135" s="54">
        <f t="shared" si="71"/>
        <v>131</v>
      </c>
      <c r="O135" s="77"/>
    </row>
    <row r="136" spans="1:15" x14ac:dyDescent="0.2">
      <c r="A136" s="54">
        <f t="shared" si="71"/>
        <v>132</v>
      </c>
      <c r="O136" s="77"/>
    </row>
    <row r="137" spans="1:15" x14ac:dyDescent="0.2">
      <c r="A137" s="54">
        <f t="shared" ref="A137:A172" si="83">A136+1</f>
        <v>133</v>
      </c>
      <c r="O137" s="77"/>
    </row>
    <row r="138" spans="1:15" x14ac:dyDescent="0.2">
      <c r="A138" s="54">
        <f t="shared" si="83"/>
        <v>134</v>
      </c>
      <c r="O138" s="77"/>
    </row>
    <row r="139" spans="1:15" x14ac:dyDescent="0.2">
      <c r="A139" s="54">
        <f t="shared" si="83"/>
        <v>135</v>
      </c>
      <c r="O139" s="77"/>
    </row>
    <row r="140" spans="1:15" x14ac:dyDescent="0.2">
      <c r="A140" s="54">
        <f t="shared" si="83"/>
        <v>136</v>
      </c>
      <c r="O140" s="77"/>
    </row>
    <row r="141" spans="1:15" x14ac:dyDescent="0.2">
      <c r="A141" s="54">
        <f t="shared" si="83"/>
        <v>137</v>
      </c>
      <c r="O141" s="77"/>
    </row>
    <row r="142" spans="1:15" x14ac:dyDescent="0.2">
      <c r="A142" s="54">
        <f t="shared" si="83"/>
        <v>138</v>
      </c>
      <c r="O142" s="77"/>
    </row>
    <row r="143" spans="1:15" x14ac:dyDescent="0.2">
      <c r="A143" s="54">
        <f t="shared" si="83"/>
        <v>139</v>
      </c>
      <c r="O143" s="77"/>
    </row>
    <row r="144" spans="1:15" x14ac:dyDescent="0.2">
      <c r="A144" s="54">
        <f t="shared" si="83"/>
        <v>140</v>
      </c>
      <c r="O144" s="77"/>
    </row>
    <row r="145" spans="1:15" x14ac:dyDescent="0.2">
      <c r="A145" s="54">
        <f t="shared" si="83"/>
        <v>141</v>
      </c>
      <c r="O145" s="77"/>
    </row>
    <row r="146" spans="1:15" x14ac:dyDescent="0.2">
      <c r="A146" s="54">
        <f t="shared" si="83"/>
        <v>142</v>
      </c>
      <c r="O146" s="77"/>
    </row>
    <row r="147" spans="1:15" x14ac:dyDescent="0.2">
      <c r="A147" s="54">
        <f t="shared" si="83"/>
        <v>143</v>
      </c>
      <c r="O147" s="77"/>
    </row>
    <row r="148" spans="1:15" x14ac:dyDescent="0.2">
      <c r="A148" s="54">
        <f t="shared" si="83"/>
        <v>144</v>
      </c>
      <c r="O148" s="77"/>
    </row>
    <row r="149" spans="1:15" x14ac:dyDescent="0.2">
      <c r="A149" s="54">
        <f t="shared" si="83"/>
        <v>145</v>
      </c>
      <c r="O149" s="77"/>
    </row>
    <row r="150" spans="1:15" x14ac:dyDescent="0.2">
      <c r="A150" s="54">
        <f t="shared" si="83"/>
        <v>146</v>
      </c>
      <c r="O150" s="77"/>
    </row>
    <row r="151" spans="1:15" x14ac:dyDescent="0.2">
      <c r="A151" s="54">
        <f t="shared" si="83"/>
        <v>147</v>
      </c>
      <c r="O151" s="77"/>
    </row>
    <row r="152" spans="1:15" x14ac:dyDescent="0.2">
      <c r="A152" s="54">
        <f t="shared" si="83"/>
        <v>148</v>
      </c>
      <c r="O152" s="77"/>
    </row>
    <row r="153" spans="1:15" x14ac:dyDescent="0.2">
      <c r="A153" s="54">
        <f t="shared" si="83"/>
        <v>149</v>
      </c>
      <c r="O153" s="77"/>
    </row>
    <row r="154" spans="1:15" x14ac:dyDescent="0.2">
      <c r="A154" s="54">
        <f t="shared" si="83"/>
        <v>150</v>
      </c>
      <c r="O154" s="77"/>
    </row>
    <row r="155" spans="1:15" x14ac:dyDescent="0.2">
      <c r="A155" s="54">
        <f t="shared" si="83"/>
        <v>151</v>
      </c>
      <c r="O155" s="77"/>
    </row>
    <row r="156" spans="1:15" x14ac:dyDescent="0.2">
      <c r="A156" s="54">
        <f t="shared" si="83"/>
        <v>152</v>
      </c>
      <c r="O156" s="77"/>
    </row>
    <row r="157" spans="1:15" x14ac:dyDescent="0.2">
      <c r="A157" s="54">
        <f t="shared" si="83"/>
        <v>153</v>
      </c>
      <c r="O157" s="77"/>
    </row>
    <row r="158" spans="1:15" x14ac:dyDescent="0.2">
      <c r="A158" s="54">
        <f t="shared" si="83"/>
        <v>154</v>
      </c>
      <c r="O158" s="77"/>
    </row>
    <row r="159" spans="1:15" x14ac:dyDescent="0.2">
      <c r="A159" s="54">
        <f t="shared" si="83"/>
        <v>155</v>
      </c>
      <c r="O159" s="77"/>
    </row>
    <row r="160" spans="1:15" x14ac:dyDescent="0.2">
      <c r="A160" s="54">
        <f t="shared" si="83"/>
        <v>156</v>
      </c>
      <c r="O160" s="77"/>
    </row>
    <row r="161" spans="1:15" x14ac:dyDescent="0.2">
      <c r="A161" s="54">
        <f t="shared" si="83"/>
        <v>157</v>
      </c>
      <c r="O161" s="77"/>
    </row>
    <row r="162" spans="1:15" x14ac:dyDescent="0.2">
      <c r="A162" s="54">
        <f t="shared" si="83"/>
        <v>158</v>
      </c>
      <c r="O162" s="77"/>
    </row>
    <row r="163" spans="1:15" x14ac:dyDescent="0.2">
      <c r="A163" s="54">
        <f t="shared" si="83"/>
        <v>159</v>
      </c>
      <c r="O163" s="77"/>
    </row>
    <row r="164" spans="1:15" x14ac:dyDescent="0.2">
      <c r="A164" s="54">
        <f t="shared" si="83"/>
        <v>160</v>
      </c>
      <c r="O164" s="77"/>
    </row>
    <row r="165" spans="1:15" x14ac:dyDescent="0.2">
      <c r="A165" s="54">
        <f t="shared" si="83"/>
        <v>161</v>
      </c>
      <c r="O165" s="77"/>
    </row>
    <row r="166" spans="1:15" x14ac:dyDescent="0.2">
      <c r="A166" s="54">
        <f t="shared" si="83"/>
        <v>162</v>
      </c>
      <c r="O166" s="79"/>
    </row>
    <row r="167" spans="1:15" x14ac:dyDescent="0.2">
      <c r="A167" s="54">
        <f t="shared" si="83"/>
        <v>163</v>
      </c>
      <c r="O167" s="79"/>
    </row>
    <row r="168" spans="1:15" x14ac:dyDescent="0.2">
      <c r="A168" s="54">
        <f t="shared" si="83"/>
        <v>164</v>
      </c>
      <c r="O168" s="79"/>
    </row>
    <row r="169" spans="1:15" x14ac:dyDescent="0.2">
      <c r="A169" s="54">
        <f t="shared" si="83"/>
        <v>165</v>
      </c>
      <c r="O169" s="79"/>
    </row>
    <row r="170" spans="1:15" x14ac:dyDescent="0.2">
      <c r="A170" s="54">
        <f t="shared" si="83"/>
        <v>166</v>
      </c>
      <c r="O170" s="79"/>
    </row>
    <row r="171" spans="1:15" x14ac:dyDescent="0.2">
      <c r="A171" s="54">
        <f t="shared" si="83"/>
        <v>167</v>
      </c>
    </row>
    <row r="172" spans="1:15" x14ac:dyDescent="0.2">
      <c r="A172" s="54">
        <f t="shared" si="83"/>
        <v>168</v>
      </c>
    </row>
  </sheetData>
  <printOptions horizontalCentered="1"/>
  <pageMargins left="0.75" right="0.75" top="0.66" bottom="0.39" header="0.5" footer="0.14000000000000001"/>
  <pageSetup scale="61" fitToHeight="3" orientation="landscape" verticalDpi="1200" r:id="rId1"/>
  <headerFooter scaleWithDoc="0" alignWithMargins="0">
    <evenFooter xml:space="preserve">&amp;R&amp;12
</evenFooter>
    <firstFooter>&amp;R&amp;12Attachment 1
Page &amp;P of &amp;N</firstFooter>
  </headerFooter>
  <rowBreaks count="2" manualBreakCount="2">
    <brk id="70" max="12" man="1"/>
    <brk id="12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zoomScale="80" zoomScaleNormal="80" workbookViewId="0">
      <selection activeCell="H79" sqref="H79"/>
    </sheetView>
  </sheetViews>
  <sheetFormatPr defaultColWidth="15.625" defaultRowHeight="14.25" x14ac:dyDescent="0.2"/>
  <cols>
    <col min="1" max="1" width="4.625" customWidth="1"/>
  </cols>
  <sheetData>
    <row r="1" spans="1:10" x14ac:dyDescent="0.2">
      <c r="A1" s="1">
        <v>1</v>
      </c>
      <c r="B1" t="s">
        <v>274</v>
      </c>
    </row>
    <row r="2" spans="1:10" x14ac:dyDescent="0.2">
      <c r="A2" s="1">
        <f>A1+1</f>
        <v>2</v>
      </c>
      <c r="B2" t="s">
        <v>275</v>
      </c>
    </row>
    <row r="3" spans="1:10" x14ac:dyDescent="0.2">
      <c r="A3" s="1">
        <f t="shared" ref="A3:A79" si="0">A2+1</f>
        <v>3</v>
      </c>
    </row>
    <row r="4" spans="1:10" ht="15" x14ac:dyDescent="0.25">
      <c r="A4" s="1">
        <f t="shared" si="0"/>
        <v>4</v>
      </c>
      <c r="B4" s="3" t="s">
        <v>0</v>
      </c>
    </row>
    <row r="5" spans="1:10" x14ac:dyDescent="0.2">
      <c r="A5" s="1">
        <f t="shared" si="0"/>
        <v>5</v>
      </c>
    </row>
    <row r="6" spans="1:10" x14ac:dyDescent="0.2">
      <c r="A6" s="1">
        <f t="shared" si="0"/>
        <v>6</v>
      </c>
      <c r="B6" s="2" t="s">
        <v>66</v>
      </c>
    </row>
    <row r="7" spans="1:10" x14ac:dyDescent="0.2">
      <c r="A7" s="1">
        <f t="shared" si="0"/>
        <v>7</v>
      </c>
    </row>
    <row r="8" spans="1:10" x14ac:dyDescent="0.2">
      <c r="A8" s="1">
        <f t="shared" si="0"/>
        <v>8</v>
      </c>
      <c r="B8" t="s">
        <v>1</v>
      </c>
    </row>
    <row r="9" spans="1:10" x14ac:dyDescent="0.2">
      <c r="A9" s="1">
        <f t="shared" si="0"/>
        <v>9</v>
      </c>
      <c r="B9" t="s">
        <v>16</v>
      </c>
    </row>
    <row r="10" spans="1:10" x14ac:dyDescent="0.2">
      <c r="A10" s="1">
        <f t="shared" si="0"/>
        <v>10</v>
      </c>
    </row>
    <row r="11" spans="1:10" x14ac:dyDescent="0.2">
      <c r="A11" s="1">
        <f t="shared" si="0"/>
        <v>11</v>
      </c>
      <c r="B11" t="s">
        <v>2</v>
      </c>
    </row>
    <row r="12" spans="1:10" x14ac:dyDescent="0.2">
      <c r="A12" s="1">
        <f t="shared" si="0"/>
        <v>12</v>
      </c>
      <c r="B12" t="s">
        <v>3</v>
      </c>
    </row>
    <row r="13" spans="1:10" x14ac:dyDescent="0.2">
      <c r="A13" s="1">
        <f t="shared" si="0"/>
        <v>13</v>
      </c>
    </row>
    <row r="14" spans="1:10" x14ac:dyDescent="0.2">
      <c r="A14" s="1">
        <f t="shared" si="0"/>
        <v>14</v>
      </c>
      <c r="C14" s="113" t="s">
        <v>67</v>
      </c>
      <c r="D14" s="114"/>
      <c r="E14" s="114"/>
      <c r="F14" s="115"/>
      <c r="G14" s="113" t="s">
        <v>68</v>
      </c>
      <c r="H14" s="114"/>
      <c r="I14" s="114"/>
      <c r="J14" s="115"/>
    </row>
    <row r="15" spans="1:10" ht="15" thickBot="1" x14ac:dyDescent="0.25">
      <c r="A15" s="1">
        <f t="shared" si="0"/>
        <v>15</v>
      </c>
      <c r="B15" s="4" t="s">
        <v>4</v>
      </c>
      <c r="C15" s="4" t="s">
        <v>269</v>
      </c>
      <c r="D15" s="4" t="s">
        <v>270</v>
      </c>
      <c r="E15" s="4" t="s">
        <v>271</v>
      </c>
      <c r="F15" s="4" t="s">
        <v>272</v>
      </c>
      <c r="G15" s="4" t="s">
        <v>269</v>
      </c>
      <c r="H15" s="4" t="s">
        <v>270</v>
      </c>
      <c r="I15" s="4" t="s">
        <v>271</v>
      </c>
      <c r="J15" s="4" t="s">
        <v>272</v>
      </c>
    </row>
    <row r="16" spans="1:10" x14ac:dyDescent="0.2">
      <c r="A16" s="1">
        <f t="shared" si="0"/>
        <v>16</v>
      </c>
    </row>
    <row r="17" spans="1:10" x14ac:dyDescent="0.2">
      <c r="A17" s="1">
        <f t="shared" si="0"/>
        <v>17</v>
      </c>
      <c r="B17" s="5" t="s">
        <v>5</v>
      </c>
      <c r="C17" s="6">
        <v>-7.0489999999999997E-3</v>
      </c>
      <c r="D17" s="6">
        <v>-6.3499999999999997E-3</v>
      </c>
      <c r="E17" s="6">
        <v>-6.9300000000000004E-3</v>
      </c>
      <c r="F17" s="6">
        <v>-7.43E-3</v>
      </c>
    </row>
    <row r="18" spans="1:10" x14ac:dyDescent="0.2">
      <c r="A18" s="1">
        <f t="shared" si="0"/>
        <v>18</v>
      </c>
      <c r="B18" s="5" t="s">
        <v>6</v>
      </c>
      <c r="C18" s="6">
        <v>-8.5009999999999999E-3</v>
      </c>
      <c r="D18" s="6">
        <v>-7.8600000000000007E-3</v>
      </c>
      <c r="E18" s="6">
        <v>-7.7999999999999996E-3</v>
      </c>
      <c r="F18" s="6">
        <v>-8.2699999999999996E-3</v>
      </c>
    </row>
    <row r="19" spans="1:10" x14ac:dyDescent="0.2">
      <c r="A19" s="1">
        <f t="shared" si="0"/>
        <v>19</v>
      </c>
      <c r="B19" s="5" t="s">
        <v>7</v>
      </c>
      <c r="C19" s="6">
        <v>-6.7559999999999999E-3</v>
      </c>
      <c r="D19" s="6">
        <v>-6.6899999999999998E-3</v>
      </c>
      <c r="E19" s="6">
        <v>-6.9300000000000004E-3</v>
      </c>
      <c r="F19" s="6">
        <v>-8.0199999999999994E-3</v>
      </c>
      <c r="G19" s="17">
        <v>5.3999999999999999E-2</v>
      </c>
      <c r="H19" s="17">
        <v>3.6999999999999998E-2</v>
      </c>
      <c r="I19" s="17">
        <v>3.3599999999999998E-2</v>
      </c>
      <c r="J19" s="17">
        <v>4.7E-2</v>
      </c>
    </row>
    <row r="20" spans="1:10" x14ac:dyDescent="0.2">
      <c r="A20" s="1">
        <f t="shared" si="0"/>
        <v>20</v>
      </c>
      <c r="B20" s="5" t="s">
        <v>8</v>
      </c>
      <c r="C20" s="6">
        <v>-5.6160000000000003E-3</v>
      </c>
      <c r="D20" s="6">
        <v>-5.9500000000000004E-3</v>
      </c>
      <c r="E20" s="6">
        <v>-5.4200000000000003E-3</v>
      </c>
      <c r="F20" s="6">
        <v>-5.9699999999999996E-3</v>
      </c>
      <c r="G20" s="17">
        <v>5.3800000000000001E-2</v>
      </c>
      <c r="H20" s="17">
        <v>3.5999999999999997E-2</v>
      </c>
      <c r="I20" s="17">
        <v>3.4200000000000001E-2</v>
      </c>
      <c r="J20" s="17">
        <v>4.9919999999999999E-2</v>
      </c>
    </row>
    <row r="21" spans="1:10" x14ac:dyDescent="0.2">
      <c r="A21" s="1">
        <f t="shared" si="0"/>
        <v>21</v>
      </c>
      <c r="B21" s="5" t="s">
        <v>9</v>
      </c>
      <c r="C21" s="6">
        <v>-3.9020000000000001E-3</v>
      </c>
      <c r="D21" s="6">
        <v>-3.0500000000000002E-3</v>
      </c>
      <c r="E21" s="6">
        <v>-3.3999999999999998E-3</v>
      </c>
      <c r="F21" s="6">
        <v>-3.0400000000000002E-3</v>
      </c>
      <c r="G21" s="17">
        <v>5.3499999999999999E-2</v>
      </c>
      <c r="H21" s="17">
        <v>3.5000000000000003E-2</v>
      </c>
      <c r="I21" s="17">
        <v>3.39E-2</v>
      </c>
      <c r="J21" s="17">
        <v>4.9160000000000002E-2</v>
      </c>
    </row>
    <row r="22" spans="1:10" x14ac:dyDescent="0.2">
      <c r="A22" s="1">
        <f t="shared" si="0"/>
        <v>22</v>
      </c>
      <c r="B22" s="5" t="s">
        <v>10</v>
      </c>
      <c r="C22" s="6">
        <v>-3.862E-3</v>
      </c>
      <c r="D22" s="6">
        <v>-3.6099999999999999E-3</v>
      </c>
      <c r="E22" s="6">
        <v>-3.4499999999999999E-3</v>
      </c>
      <c r="F22" s="6">
        <v>-3.31E-3</v>
      </c>
      <c r="G22" s="17">
        <v>5.3400000000000003E-2</v>
      </c>
      <c r="H22" s="17">
        <v>3.5000000000000003E-2</v>
      </c>
      <c r="I22" s="17">
        <v>3.73E-2</v>
      </c>
      <c r="J22" s="17">
        <v>5.6009999999999997E-2</v>
      </c>
    </row>
    <row r="23" spans="1:10" x14ac:dyDescent="0.2">
      <c r="A23" s="1">
        <f t="shared" si="0"/>
        <v>23</v>
      </c>
      <c r="B23" s="5" t="s">
        <v>11</v>
      </c>
      <c r="C23" s="6">
        <v>-5.0530000000000002E-3</v>
      </c>
      <c r="D23" s="6">
        <v>-3.7399999999999998E-3</v>
      </c>
      <c r="E23" s="6">
        <v>-4.2399999999999998E-3</v>
      </c>
      <c r="F23" s="6">
        <v>-4.1000000000000003E-3</v>
      </c>
      <c r="G23" s="17">
        <v>5.3100000000000001E-2</v>
      </c>
      <c r="H23" s="17">
        <v>3.6999999999999998E-2</v>
      </c>
      <c r="I23" s="17">
        <v>3.49E-2</v>
      </c>
      <c r="J23" s="17">
        <v>5.1490000000000001E-2</v>
      </c>
    </row>
    <row r="24" spans="1:10" x14ac:dyDescent="0.2">
      <c r="A24" s="1">
        <f t="shared" si="0"/>
        <v>24</v>
      </c>
      <c r="B24" s="5" t="s">
        <v>69</v>
      </c>
      <c r="C24" s="6"/>
      <c r="D24" s="6"/>
      <c r="E24" s="6"/>
      <c r="F24" s="6"/>
      <c r="G24" s="17"/>
      <c r="H24" s="17"/>
      <c r="I24" s="17"/>
      <c r="J24" s="17"/>
    </row>
    <row r="25" spans="1:10" x14ac:dyDescent="0.2">
      <c r="A25" s="1">
        <f t="shared" si="0"/>
        <v>25</v>
      </c>
      <c r="B25" s="5" t="s">
        <v>12</v>
      </c>
      <c r="C25" s="6">
        <f>SUM(C17:C23)</f>
        <v>-4.0738999999999997E-2</v>
      </c>
      <c r="D25" s="6">
        <f>SUM(D17:D23)</f>
        <v>-3.7250000000000005E-2</v>
      </c>
      <c r="E25" s="6">
        <f>SUM(E17:E23)</f>
        <v>-3.8170000000000003E-2</v>
      </c>
      <c r="F25" s="6">
        <f>SUM(F17:F23)</f>
        <v>-4.0139999999999995E-2</v>
      </c>
      <c r="G25" s="17"/>
      <c r="H25" s="17"/>
      <c r="I25" s="17"/>
      <c r="J25" s="17"/>
    </row>
    <row r="26" spans="1:10" x14ac:dyDescent="0.2">
      <c r="A26" s="1">
        <f t="shared" si="0"/>
        <v>26</v>
      </c>
      <c r="B26" s="5" t="s">
        <v>13</v>
      </c>
      <c r="C26" s="6">
        <f>ROUND(C25/7,6)</f>
        <v>-5.8199999999999997E-3</v>
      </c>
      <c r="D26" s="6">
        <f>ROUND(D25/7,6)</f>
        <v>-5.3210000000000002E-3</v>
      </c>
      <c r="E26" s="6">
        <f>ROUND(E25/7,6)</f>
        <v>-5.4530000000000004E-3</v>
      </c>
      <c r="F26" s="6">
        <f>ROUND(F25/7,6)</f>
        <v>-5.7340000000000004E-3</v>
      </c>
      <c r="G26" s="17"/>
      <c r="H26" s="17"/>
      <c r="I26" s="17"/>
      <c r="J26" s="17"/>
    </row>
    <row r="27" spans="1:10" x14ac:dyDescent="0.2">
      <c r="A27" s="1">
        <f t="shared" si="0"/>
        <v>27</v>
      </c>
      <c r="B27" s="5" t="s">
        <v>14</v>
      </c>
      <c r="C27" s="6">
        <v>-2.5100000000000001E-3</v>
      </c>
      <c r="D27" s="6">
        <v>-2.48E-3</v>
      </c>
      <c r="E27" s="6">
        <v>-2.47E-3</v>
      </c>
      <c r="F27" s="6">
        <v>-2.49E-3</v>
      </c>
      <c r="G27" s="17"/>
      <c r="H27" s="17"/>
      <c r="I27" s="17"/>
      <c r="J27" s="17"/>
    </row>
    <row r="28" spans="1:10" x14ac:dyDescent="0.2">
      <c r="A28" s="1">
        <f t="shared" si="0"/>
        <v>28</v>
      </c>
      <c r="B28" s="5"/>
      <c r="G28" s="17"/>
      <c r="H28" s="17"/>
      <c r="I28" s="17"/>
      <c r="J28" s="17"/>
    </row>
    <row r="29" spans="1:10" x14ac:dyDescent="0.2">
      <c r="A29" s="1">
        <f t="shared" si="0"/>
        <v>29</v>
      </c>
      <c r="B29" s="5" t="s">
        <v>15</v>
      </c>
      <c r="C29" s="6">
        <f>C26-C27</f>
        <v>-3.3099999999999996E-3</v>
      </c>
      <c r="D29" s="6">
        <f>D26-D27</f>
        <v>-2.8410000000000002E-3</v>
      </c>
      <c r="E29" s="6">
        <f>E26-E27</f>
        <v>-2.9830000000000004E-3</v>
      </c>
      <c r="F29" s="6">
        <f>F26-F27</f>
        <v>-3.2440000000000004E-3</v>
      </c>
      <c r="G29" s="17"/>
      <c r="H29" s="17"/>
      <c r="I29" s="17"/>
      <c r="J29" s="17"/>
    </row>
    <row r="30" spans="1:10" x14ac:dyDescent="0.2">
      <c r="A30" s="1">
        <f t="shared" si="0"/>
        <v>30</v>
      </c>
      <c r="B30" s="5" t="s">
        <v>70</v>
      </c>
      <c r="C30" s="6"/>
      <c r="D30" s="6"/>
      <c r="E30" s="6"/>
      <c r="F30" s="6"/>
      <c r="G30" s="17"/>
      <c r="H30" s="17"/>
      <c r="I30" s="17"/>
      <c r="J30" s="17"/>
    </row>
    <row r="31" spans="1:10" x14ac:dyDescent="0.2">
      <c r="A31" s="1">
        <f t="shared" si="0"/>
        <v>31</v>
      </c>
      <c r="B31" s="5" t="s">
        <v>12</v>
      </c>
      <c r="C31" s="6"/>
      <c r="D31" s="6"/>
      <c r="E31" s="6"/>
      <c r="F31" s="6"/>
      <c r="G31" s="17">
        <f>SUM(G19:G23)</f>
        <v>0.26779999999999998</v>
      </c>
      <c r="H31" s="17">
        <f>SUM(H19:H23)</f>
        <v>0.18000000000000002</v>
      </c>
      <c r="I31" s="17">
        <f>SUM(I19:I23)</f>
        <v>0.1739</v>
      </c>
      <c r="J31" s="17">
        <f>SUM(J19:J23)</f>
        <v>0.25358000000000003</v>
      </c>
    </row>
    <row r="32" spans="1:10" x14ac:dyDescent="0.2">
      <c r="A32" s="1">
        <f t="shared" si="0"/>
        <v>32</v>
      </c>
      <c r="B32" s="5" t="s">
        <v>71</v>
      </c>
      <c r="C32" s="6"/>
      <c r="D32" s="6"/>
      <c r="E32" s="6"/>
      <c r="F32" s="6"/>
      <c r="G32" s="17"/>
      <c r="H32" s="17"/>
      <c r="I32" s="17"/>
      <c r="J32" s="17"/>
    </row>
    <row r="33" spans="1:10" x14ac:dyDescent="0.2">
      <c r="A33" s="1">
        <f t="shared" si="0"/>
        <v>33</v>
      </c>
      <c r="B33" s="5" t="s">
        <v>72</v>
      </c>
      <c r="C33" s="6"/>
      <c r="D33" s="6"/>
      <c r="E33" s="6"/>
      <c r="F33" s="6"/>
      <c r="G33" s="17">
        <f>ROUND(G31/5,5)</f>
        <v>5.3560000000000003E-2</v>
      </c>
      <c r="H33" s="17">
        <f>ROUND(H31/5,5)</f>
        <v>3.5999999999999997E-2</v>
      </c>
      <c r="I33" s="17">
        <f>ROUND(I31/5,5)</f>
        <v>3.4779999999999998E-2</v>
      </c>
      <c r="J33" s="17">
        <f>ROUND(J31/5,5)</f>
        <v>5.0720000000000001E-2</v>
      </c>
    </row>
    <row r="34" spans="1:10" x14ac:dyDescent="0.2">
      <c r="A34" s="1">
        <f t="shared" si="0"/>
        <v>34</v>
      </c>
      <c r="B34" s="5"/>
      <c r="C34" s="6"/>
      <c r="D34" s="6"/>
      <c r="E34" s="6"/>
      <c r="F34" s="6"/>
      <c r="G34" s="17"/>
      <c r="H34" s="17"/>
      <c r="I34" s="17"/>
      <c r="J34" s="17"/>
    </row>
    <row r="35" spans="1:10" x14ac:dyDescent="0.2">
      <c r="A35" s="1">
        <f t="shared" si="0"/>
        <v>35</v>
      </c>
      <c r="B35" s="18" t="s">
        <v>73</v>
      </c>
      <c r="C35" s="6"/>
      <c r="D35" s="6"/>
      <c r="E35" s="6"/>
      <c r="F35" s="6"/>
      <c r="G35" s="17"/>
      <c r="H35" s="17"/>
      <c r="I35" s="17"/>
      <c r="J35" s="17"/>
    </row>
    <row r="36" spans="1:10" x14ac:dyDescent="0.2">
      <c r="A36" s="1">
        <f t="shared" si="0"/>
        <v>36</v>
      </c>
      <c r="B36" s="5" t="s">
        <v>276</v>
      </c>
    </row>
    <row r="37" spans="1:10" x14ac:dyDescent="0.2">
      <c r="A37" s="1">
        <f t="shared" si="0"/>
        <v>37</v>
      </c>
      <c r="B37" s="5" t="s">
        <v>74</v>
      </c>
    </row>
    <row r="38" spans="1:10" x14ac:dyDescent="0.2">
      <c r="A38" s="1">
        <f t="shared" si="0"/>
        <v>38</v>
      </c>
      <c r="B38" s="5" t="s">
        <v>75</v>
      </c>
    </row>
    <row r="39" spans="1:10" x14ac:dyDescent="0.2">
      <c r="A39" s="1">
        <f t="shared" si="0"/>
        <v>39</v>
      </c>
      <c r="B39" s="5" t="s">
        <v>76</v>
      </c>
    </row>
    <row r="40" spans="1:10" x14ac:dyDescent="0.2">
      <c r="A40" s="1">
        <f t="shared" si="0"/>
        <v>40</v>
      </c>
      <c r="B40" s="5" t="s">
        <v>77</v>
      </c>
    </row>
    <row r="41" spans="1:10" x14ac:dyDescent="0.2">
      <c r="A41" s="1">
        <f t="shared" si="0"/>
        <v>41</v>
      </c>
      <c r="B41" s="18" t="s">
        <v>78</v>
      </c>
    </row>
    <row r="42" spans="1:10" x14ac:dyDescent="0.2">
      <c r="A42" s="1">
        <f t="shared" si="0"/>
        <v>42</v>
      </c>
      <c r="B42" s="19" t="s">
        <v>79</v>
      </c>
    </row>
    <row r="43" spans="1:10" x14ac:dyDescent="0.2">
      <c r="A43" s="1">
        <f t="shared" si="0"/>
        <v>43</v>
      </c>
      <c r="B43" s="5" t="s">
        <v>80</v>
      </c>
    </row>
    <row r="44" spans="1:10" x14ac:dyDescent="0.2">
      <c r="A44" s="1">
        <f t="shared" si="0"/>
        <v>44</v>
      </c>
    </row>
    <row r="45" spans="1:10" x14ac:dyDescent="0.2">
      <c r="A45" s="1">
        <f t="shared" si="0"/>
        <v>45</v>
      </c>
      <c r="B45" s="2" t="s">
        <v>17</v>
      </c>
    </row>
    <row r="46" spans="1:10" x14ac:dyDescent="0.2">
      <c r="A46" s="1">
        <f t="shared" si="0"/>
        <v>46</v>
      </c>
    </row>
    <row r="47" spans="1:10" x14ac:dyDescent="0.2">
      <c r="A47" s="1">
        <f t="shared" si="0"/>
        <v>47</v>
      </c>
      <c r="B47" t="s">
        <v>81</v>
      </c>
    </row>
    <row r="48" spans="1:10" x14ac:dyDescent="0.2">
      <c r="A48" s="1">
        <f t="shared" si="0"/>
        <v>48</v>
      </c>
    </row>
    <row r="49" spans="1:6" ht="15" thickBot="1" x14ac:dyDescent="0.25">
      <c r="A49" s="1">
        <f t="shared" si="0"/>
        <v>49</v>
      </c>
      <c r="C49" s="4" t="s">
        <v>269</v>
      </c>
      <c r="D49" s="4" t="s">
        <v>270</v>
      </c>
      <c r="E49" s="4" t="s">
        <v>271</v>
      </c>
      <c r="F49" s="4" t="s">
        <v>272</v>
      </c>
    </row>
    <row r="50" spans="1:6" x14ac:dyDescent="0.2">
      <c r="A50" s="1">
        <f t="shared" si="0"/>
        <v>50</v>
      </c>
      <c r="C50" s="7"/>
      <c r="F50" s="7"/>
    </row>
    <row r="51" spans="1:6" x14ac:dyDescent="0.2">
      <c r="A51" s="1">
        <f t="shared" si="0"/>
        <v>51</v>
      </c>
      <c r="B51" t="s">
        <v>13</v>
      </c>
      <c r="C51" s="7">
        <v>0.10050000000000001</v>
      </c>
      <c r="D51" s="7">
        <v>0.1125</v>
      </c>
      <c r="E51" s="7">
        <v>0.1115</v>
      </c>
      <c r="F51" s="7">
        <v>0.1076</v>
      </c>
    </row>
    <row r="52" spans="1:6" x14ac:dyDescent="0.2">
      <c r="A52" s="1">
        <f t="shared" si="0"/>
        <v>52</v>
      </c>
    </row>
    <row r="53" spans="1:6" x14ac:dyDescent="0.2">
      <c r="A53" s="1">
        <f t="shared" si="0"/>
        <v>53</v>
      </c>
      <c r="B53" t="s">
        <v>82</v>
      </c>
    </row>
    <row r="54" spans="1:6" x14ac:dyDescent="0.2">
      <c r="A54" s="1">
        <f t="shared" si="0"/>
        <v>54</v>
      </c>
      <c r="B54" t="s">
        <v>83</v>
      </c>
      <c r="C54" s="64">
        <v>0.63770000000000004</v>
      </c>
      <c r="D54" s="64">
        <v>0.63770000000000004</v>
      </c>
      <c r="E54" s="64">
        <v>0.63770000000000004</v>
      </c>
      <c r="F54" s="64">
        <v>0.63770000000000004</v>
      </c>
    </row>
    <row r="55" spans="1:6" x14ac:dyDescent="0.2">
      <c r="A55" s="1">
        <f t="shared" si="0"/>
        <v>55</v>
      </c>
      <c r="B55" t="s">
        <v>84</v>
      </c>
      <c r="C55" s="64">
        <v>0.36230000000000001</v>
      </c>
      <c r="D55" s="64">
        <v>0.36230000000000001</v>
      </c>
      <c r="E55" s="64">
        <v>0.36230000000000001</v>
      </c>
      <c r="F55" s="64">
        <v>0.36230000000000001</v>
      </c>
    </row>
    <row r="56" spans="1:6" x14ac:dyDescent="0.2">
      <c r="A56" s="1">
        <f t="shared" si="0"/>
        <v>56</v>
      </c>
      <c r="C56" s="7"/>
      <c r="D56" s="7"/>
      <c r="E56" s="7"/>
      <c r="F56" s="7"/>
    </row>
    <row r="57" spans="1:6" x14ac:dyDescent="0.2">
      <c r="A57" s="1">
        <f t="shared" si="0"/>
        <v>57</v>
      </c>
      <c r="B57" t="s">
        <v>85</v>
      </c>
      <c r="C57" s="7">
        <f>ROUND(C51*C54,4)</f>
        <v>6.4100000000000004E-2</v>
      </c>
      <c r="D57" s="7">
        <f>ROUND(D51*D54,4)</f>
        <v>7.17E-2</v>
      </c>
      <c r="E57" s="7">
        <f>ROUND(E51*E54,4)</f>
        <v>7.1099999999999997E-2</v>
      </c>
      <c r="F57" s="7">
        <f>ROUND(F51*F54,4)</f>
        <v>6.8599999999999994E-2</v>
      </c>
    </row>
    <row r="58" spans="1:6" x14ac:dyDescent="0.2">
      <c r="A58" s="1">
        <f t="shared" si="0"/>
        <v>58</v>
      </c>
      <c r="B58" t="s">
        <v>86</v>
      </c>
      <c r="C58" s="7">
        <f>ROUND(C51*C55,4)</f>
        <v>3.6400000000000002E-2</v>
      </c>
      <c r="D58" s="7">
        <f>ROUND(D51*D55,4)</f>
        <v>4.0800000000000003E-2</v>
      </c>
      <c r="E58" s="7">
        <f>ROUND(E51*E55,4)</f>
        <v>4.0399999999999998E-2</v>
      </c>
      <c r="F58" s="7">
        <f>ROUND(F51*F55,4)</f>
        <v>3.9E-2</v>
      </c>
    </row>
    <row r="59" spans="1:6" x14ac:dyDescent="0.2">
      <c r="A59" s="1">
        <f t="shared" si="0"/>
        <v>59</v>
      </c>
    </row>
    <row r="60" spans="1:6" x14ac:dyDescent="0.2">
      <c r="A60" s="1">
        <f t="shared" si="0"/>
        <v>60</v>
      </c>
      <c r="B60" t="s">
        <v>87</v>
      </c>
    </row>
    <row r="61" spans="1:6" x14ac:dyDescent="0.2">
      <c r="A61" s="1">
        <f t="shared" si="0"/>
        <v>61</v>
      </c>
      <c r="B61" t="s">
        <v>88</v>
      </c>
    </row>
    <row r="62" spans="1:6" x14ac:dyDescent="0.2">
      <c r="A62" s="1">
        <f t="shared" si="0"/>
        <v>62</v>
      </c>
      <c r="B62" t="s">
        <v>89</v>
      </c>
    </row>
    <row r="63" spans="1:6" x14ac:dyDescent="0.2">
      <c r="A63" s="1">
        <f t="shared" si="0"/>
        <v>63</v>
      </c>
      <c r="B63" t="s">
        <v>90</v>
      </c>
    </row>
    <row r="64" spans="1:6" x14ac:dyDescent="0.2">
      <c r="A64" s="1">
        <f t="shared" si="0"/>
        <v>64</v>
      </c>
      <c r="B64" t="s">
        <v>91</v>
      </c>
    </row>
    <row r="65" spans="1:10" x14ac:dyDescent="0.2">
      <c r="A65" s="1">
        <f t="shared" si="0"/>
        <v>65</v>
      </c>
      <c r="B65" t="s">
        <v>277</v>
      </c>
    </row>
    <row r="66" spans="1:10" x14ac:dyDescent="0.2">
      <c r="A66" s="1">
        <f t="shared" si="0"/>
        <v>66</v>
      </c>
      <c r="B66" t="s">
        <v>92</v>
      </c>
    </row>
    <row r="67" spans="1:10" x14ac:dyDescent="0.2">
      <c r="A67" s="1">
        <f t="shared" si="0"/>
        <v>67</v>
      </c>
      <c r="B67" t="s">
        <v>278</v>
      </c>
    </row>
    <row r="68" spans="1:10" x14ac:dyDescent="0.2">
      <c r="A68" s="1">
        <f t="shared" si="0"/>
        <v>68</v>
      </c>
    </row>
    <row r="69" spans="1:10" x14ac:dyDescent="0.2">
      <c r="A69" s="1">
        <f t="shared" si="0"/>
        <v>69</v>
      </c>
      <c r="B69" s="2" t="s">
        <v>18</v>
      </c>
    </row>
    <row r="70" spans="1:10" x14ac:dyDescent="0.2">
      <c r="A70" s="1">
        <f t="shared" si="0"/>
        <v>70</v>
      </c>
    </row>
    <row r="71" spans="1:10" x14ac:dyDescent="0.2">
      <c r="A71" s="1">
        <f t="shared" si="0"/>
        <v>71</v>
      </c>
      <c r="B71" t="s">
        <v>19</v>
      </c>
      <c r="F71" s="123">
        <v>-2.0799999999999998E-3</v>
      </c>
      <c r="G71" s="124" t="s">
        <v>280</v>
      </c>
      <c r="H71" s="124"/>
      <c r="I71" s="124"/>
      <c r="J71" s="124"/>
    </row>
    <row r="72" spans="1:10" x14ac:dyDescent="0.2">
      <c r="A72" s="1">
        <f t="shared" si="0"/>
        <v>72</v>
      </c>
    </row>
    <row r="73" spans="1:10" x14ac:dyDescent="0.2">
      <c r="A73" s="1">
        <f t="shared" si="0"/>
        <v>73</v>
      </c>
      <c r="B73" t="s">
        <v>20</v>
      </c>
      <c r="F73" s="116">
        <v>0.15290000000000001</v>
      </c>
    </row>
    <row r="74" spans="1:10" x14ac:dyDescent="0.2">
      <c r="A74" s="1">
        <f t="shared" si="0"/>
        <v>74</v>
      </c>
      <c r="E74" t="s">
        <v>93</v>
      </c>
      <c r="F74" s="7">
        <f>ROUND(F73*C54,4)</f>
        <v>9.7500000000000003E-2</v>
      </c>
      <c r="G74" t="s">
        <v>94</v>
      </c>
      <c r="H74" s="7">
        <f>ROUND(F73*C55,4)</f>
        <v>5.5399999999999998E-2</v>
      </c>
    </row>
    <row r="75" spans="1:10" x14ac:dyDescent="0.2">
      <c r="A75" s="1">
        <f t="shared" si="0"/>
        <v>75</v>
      </c>
    </row>
    <row r="76" spans="1:10" x14ac:dyDescent="0.2">
      <c r="A76" s="1">
        <f t="shared" si="0"/>
        <v>76</v>
      </c>
      <c r="B76" s="2" t="s">
        <v>95</v>
      </c>
    </row>
    <row r="77" spans="1:10" x14ac:dyDescent="0.2">
      <c r="A77" s="1">
        <f t="shared" si="0"/>
        <v>77</v>
      </c>
    </row>
    <row r="78" spans="1:10" x14ac:dyDescent="0.2">
      <c r="A78" s="1">
        <f t="shared" si="0"/>
        <v>78</v>
      </c>
      <c r="B78" t="s">
        <v>96</v>
      </c>
    </row>
    <row r="79" spans="1:10" x14ac:dyDescent="0.2">
      <c r="A79" s="1">
        <f t="shared" si="0"/>
        <v>79</v>
      </c>
      <c r="B79" t="s">
        <v>97</v>
      </c>
    </row>
    <row r="80" spans="1:10" x14ac:dyDescent="0.2">
      <c r="A80" s="1">
        <f t="shared" ref="A80:A86" si="1">A79+1</f>
        <v>80</v>
      </c>
      <c r="B80" t="s">
        <v>98</v>
      </c>
    </row>
    <row r="81" spans="1:11" x14ac:dyDescent="0.2">
      <c r="A81" s="1">
        <f t="shared" si="1"/>
        <v>81</v>
      </c>
      <c r="B81" t="s">
        <v>99</v>
      </c>
    </row>
    <row r="82" spans="1:11" x14ac:dyDescent="0.2">
      <c r="A82" s="1">
        <f t="shared" si="1"/>
        <v>82</v>
      </c>
    </row>
    <row r="83" spans="1:11" x14ac:dyDescent="0.2">
      <c r="A83" s="1">
        <f t="shared" si="1"/>
        <v>83</v>
      </c>
      <c r="B83" s="2" t="s">
        <v>218</v>
      </c>
      <c r="E83" s="7"/>
      <c r="J83" s="8"/>
    </row>
    <row r="84" spans="1:11" x14ac:dyDescent="0.2">
      <c r="A84" s="1">
        <f t="shared" si="1"/>
        <v>84</v>
      </c>
    </row>
    <row r="85" spans="1:11" x14ac:dyDescent="0.2">
      <c r="A85" s="1">
        <f t="shared" si="1"/>
        <v>85</v>
      </c>
      <c r="B85">
        <v>2019</v>
      </c>
      <c r="C85">
        <v>2020</v>
      </c>
      <c r="D85">
        <v>2021</v>
      </c>
      <c r="E85">
        <v>2022</v>
      </c>
      <c r="F85">
        <v>2023</v>
      </c>
      <c r="G85">
        <v>2024</v>
      </c>
      <c r="H85">
        <v>2025</v>
      </c>
      <c r="I85">
        <v>2026</v>
      </c>
      <c r="J85">
        <v>2027</v>
      </c>
      <c r="K85" s="15" t="s">
        <v>227</v>
      </c>
    </row>
    <row r="86" spans="1:11" x14ac:dyDescent="0.2">
      <c r="A86" s="1">
        <f t="shared" si="1"/>
        <v>86</v>
      </c>
      <c r="B86" s="65">
        <v>150</v>
      </c>
      <c r="C86" s="65">
        <v>80</v>
      </c>
      <c r="D86" s="65">
        <v>76.5</v>
      </c>
      <c r="E86" s="65">
        <v>140</v>
      </c>
      <c r="F86" s="65">
        <v>121.5</v>
      </c>
      <c r="G86" s="65">
        <v>129.80000000000001</v>
      </c>
      <c r="H86" s="65">
        <v>145.30000000000001</v>
      </c>
      <c r="I86" s="65">
        <v>159.1</v>
      </c>
      <c r="J86" s="65">
        <v>173.4</v>
      </c>
      <c r="K86" s="60">
        <f>AVERAGE(B86:J86)</f>
        <v>130.62222222222221</v>
      </c>
    </row>
  </sheetData>
  <mergeCells count="2">
    <mergeCell ref="C14:F14"/>
    <mergeCell ref="G14:J14"/>
  </mergeCells>
  <pageMargins left="0.7" right="0.7" top="0.75" bottom="0.75" header="0.3" footer="0.3"/>
  <pageSetup scale="70" orientation="landscape" r:id="rId1"/>
  <rowBreaks count="1" manualBreakCount="1">
    <brk id="43"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topLeftCell="A58" zoomScale="80" zoomScaleNormal="80" workbookViewId="0">
      <selection activeCell="C56" sqref="C56"/>
    </sheetView>
  </sheetViews>
  <sheetFormatPr defaultColWidth="15.625" defaultRowHeight="14.25" x14ac:dyDescent="0.2"/>
  <cols>
    <col min="1" max="1" width="4.625" customWidth="1"/>
    <col min="6" max="6" width="6.625" customWidth="1"/>
    <col min="8" max="8" width="15.625" customWidth="1"/>
  </cols>
  <sheetData>
    <row r="1" spans="1:20" x14ac:dyDescent="0.2">
      <c r="A1" s="1">
        <v>1</v>
      </c>
      <c r="B1" t="str">
        <f>Background!B1</f>
        <v>Green Power Tariff - Alternative - Revised 02-08-2019</v>
      </c>
    </row>
    <row r="2" spans="1:20" x14ac:dyDescent="0.2">
      <c r="A2" s="1">
        <f>A1+1</f>
        <v>2</v>
      </c>
      <c r="B2" t="s">
        <v>100</v>
      </c>
    </row>
    <row r="3" spans="1:20" x14ac:dyDescent="0.2">
      <c r="A3" s="1">
        <f t="shared" ref="A3:A95" si="0">A2+1</f>
        <v>3</v>
      </c>
    </row>
    <row r="4" spans="1:20" x14ac:dyDescent="0.2">
      <c r="A4" s="1">
        <f t="shared" si="0"/>
        <v>4</v>
      </c>
    </row>
    <row r="5" spans="1:20" x14ac:dyDescent="0.2">
      <c r="A5" s="1">
        <f t="shared" si="0"/>
        <v>5</v>
      </c>
      <c r="B5" t="s">
        <v>105</v>
      </c>
      <c r="G5" t="s">
        <v>101</v>
      </c>
    </row>
    <row r="6" spans="1:20" x14ac:dyDescent="0.2">
      <c r="A6" s="1">
        <f t="shared" si="0"/>
        <v>6</v>
      </c>
      <c r="I6" s="113" t="s">
        <v>46</v>
      </c>
      <c r="J6" s="114"/>
      <c r="K6" s="115"/>
      <c r="L6" s="113" t="s">
        <v>47</v>
      </c>
      <c r="M6" s="114"/>
      <c r="N6" s="115"/>
      <c r="O6" s="113" t="s">
        <v>48</v>
      </c>
      <c r="P6" s="114"/>
      <c r="Q6" s="115"/>
      <c r="R6" s="113" t="s">
        <v>49</v>
      </c>
      <c r="S6" s="114"/>
      <c r="T6" s="115"/>
    </row>
    <row r="7" spans="1:20" x14ac:dyDescent="0.2">
      <c r="A7" s="1">
        <f t="shared" si="0"/>
        <v>7</v>
      </c>
      <c r="B7" t="s">
        <v>21</v>
      </c>
      <c r="G7" t="s">
        <v>21</v>
      </c>
      <c r="I7" s="21"/>
      <c r="L7" s="21"/>
      <c r="O7" s="21"/>
      <c r="R7" s="21"/>
      <c r="T7" s="23"/>
    </row>
    <row r="8" spans="1:20" x14ac:dyDescent="0.2">
      <c r="A8" s="1">
        <f t="shared" si="0"/>
        <v>8</v>
      </c>
      <c r="I8" s="22"/>
      <c r="L8" s="22"/>
      <c r="O8" s="22"/>
      <c r="R8" s="22"/>
      <c r="T8" s="24"/>
    </row>
    <row r="9" spans="1:20" x14ac:dyDescent="0.2">
      <c r="A9" s="1">
        <f t="shared" si="0"/>
        <v>9</v>
      </c>
      <c r="B9" t="s">
        <v>24</v>
      </c>
      <c r="D9" s="1">
        <v>450</v>
      </c>
      <c r="G9" t="s">
        <v>24</v>
      </c>
      <c r="I9" s="22"/>
      <c r="J9" s="1">
        <f>D9</f>
        <v>450</v>
      </c>
      <c r="K9" s="1"/>
      <c r="L9" s="26"/>
      <c r="M9" s="1">
        <f>J9</f>
        <v>450</v>
      </c>
      <c r="N9" s="1"/>
      <c r="O9" s="26"/>
      <c r="P9" s="1">
        <f>M9</f>
        <v>450</v>
      </c>
      <c r="Q9" s="1"/>
      <c r="R9" s="26"/>
      <c r="S9" s="1">
        <f>P9</f>
        <v>450</v>
      </c>
      <c r="T9" s="25"/>
    </row>
    <row r="10" spans="1:20" x14ac:dyDescent="0.2">
      <c r="A10" s="1">
        <f t="shared" si="0"/>
        <v>10</v>
      </c>
      <c r="D10" s="1"/>
      <c r="G10" t="s">
        <v>102</v>
      </c>
      <c r="I10" s="22"/>
      <c r="J10" s="20">
        <v>1</v>
      </c>
      <c r="K10" s="1"/>
      <c r="L10" s="26"/>
      <c r="M10" s="20">
        <v>1</v>
      </c>
      <c r="N10" s="1"/>
      <c r="O10" s="26"/>
      <c r="P10" s="20">
        <v>1</v>
      </c>
      <c r="Q10" s="1"/>
      <c r="R10" s="26"/>
      <c r="S10" s="20">
        <v>1</v>
      </c>
      <c r="T10" s="25"/>
    </row>
    <row r="11" spans="1:20" x14ac:dyDescent="0.2">
      <c r="A11" s="1">
        <f t="shared" si="0"/>
        <v>11</v>
      </c>
      <c r="B11" t="s">
        <v>129</v>
      </c>
      <c r="D11" s="1">
        <v>197100</v>
      </c>
      <c r="E11" t="s">
        <v>22</v>
      </c>
      <c r="G11" t="s">
        <v>129</v>
      </c>
      <c r="I11" s="22"/>
      <c r="J11" s="1">
        <f>D11</f>
        <v>197100</v>
      </c>
      <c r="K11" s="1"/>
      <c r="L11" s="26"/>
      <c r="M11" s="1">
        <f>J11</f>
        <v>197100</v>
      </c>
      <c r="N11" s="1"/>
      <c r="O11" s="26"/>
      <c r="P11" s="1">
        <f>M11</f>
        <v>197100</v>
      </c>
      <c r="Q11" s="1"/>
      <c r="R11" s="26"/>
      <c r="S11" s="1">
        <f>P11</f>
        <v>197100</v>
      </c>
      <c r="T11" s="25"/>
    </row>
    <row r="12" spans="1:20" x14ac:dyDescent="0.2">
      <c r="A12" s="1">
        <f t="shared" si="0"/>
        <v>12</v>
      </c>
      <c r="B12" t="s">
        <v>23</v>
      </c>
      <c r="D12" s="1"/>
      <c r="G12" t="s">
        <v>23</v>
      </c>
      <c r="I12" s="22"/>
      <c r="J12" s="1"/>
      <c r="K12" s="1"/>
      <c r="L12" s="26"/>
      <c r="M12" s="1"/>
      <c r="N12" s="1"/>
      <c r="O12" s="26"/>
      <c r="P12" s="1"/>
      <c r="Q12" s="1"/>
      <c r="R12" s="26"/>
      <c r="S12" s="1"/>
      <c r="T12" s="25"/>
    </row>
    <row r="13" spans="1:20" x14ac:dyDescent="0.2">
      <c r="A13" s="1">
        <f t="shared" si="0"/>
        <v>13</v>
      </c>
      <c r="B13" t="s">
        <v>25</v>
      </c>
      <c r="D13" s="1">
        <v>20000</v>
      </c>
      <c r="E13" t="s">
        <v>34</v>
      </c>
      <c r="G13" t="s">
        <v>25</v>
      </c>
      <c r="I13" s="22"/>
      <c r="J13" s="1">
        <f>D13</f>
        <v>20000</v>
      </c>
      <c r="K13" s="1"/>
      <c r="L13" s="26"/>
      <c r="M13" s="1">
        <f>J13</f>
        <v>20000</v>
      </c>
      <c r="N13" s="1"/>
      <c r="O13" s="26"/>
      <c r="P13" s="1">
        <f>M13</f>
        <v>20000</v>
      </c>
      <c r="Q13" s="1"/>
      <c r="R13" s="26"/>
      <c r="S13" s="1">
        <f>P13</f>
        <v>20000</v>
      </c>
      <c r="T13" s="25"/>
    </row>
    <row r="14" spans="1:20" x14ac:dyDescent="0.2">
      <c r="A14" s="1">
        <f t="shared" si="0"/>
        <v>14</v>
      </c>
      <c r="D14" s="1"/>
      <c r="G14" t="s">
        <v>103</v>
      </c>
      <c r="I14" s="22"/>
      <c r="J14" s="17">
        <f>Background!G33</f>
        <v>5.3560000000000003E-2</v>
      </c>
      <c r="K14" s="17"/>
      <c r="L14" s="27"/>
      <c r="M14" s="17">
        <f>Background!H33</f>
        <v>3.5999999999999997E-2</v>
      </c>
      <c r="N14" s="17"/>
      <c r="O14" s="27"/>
      <c r="P14" s="17">
        <f>Background!I33</f>
        <v>3.4779999999999998E-2</v>
      </c>
      <c r="Q14" s="17"/>
      <c r="R14" s="27"/>
      <c r="S14" s="17">
        <f>Background!J33</f>
        <v>5.0720000000000001E-2</v>
      </c>
      <c r="T14" s="25"/>
    </row>
    <row r="15" spans="1:20" x14ac:dyDescent="0.2">
      <c r="A15" s="1">
        <f t="shared" si="0"/>
        <v>15</v>
      </c>
      <c r="B15" t="s">
        <v>33</v>
      </c>
      <c r="D15" s="1"/>
      <c r="I15" s="22"/>
      <c r="J15" s="1"/>
      <c r="K15" s="1"/>
      <c r="L15" s="26"/>
      <c r="M15" s="1"/>
      <c r="N15" s="1"/>
      <c r="O15" s="26"/>
      <c r="P15" s="1"/>
      <c r="Q15" s="1"/>
      <c r="R15" s="26"/>
      <c r="S15" s="1"/>
      <c r="T15" s="25"/>
    </row>
    <row r="16" spans="1:20" x14ac:dyDescent="0.2">
      <c r="A16" s="1">
        <f t="shared" si="0"/>
        <v>16</v>
      </c>
      <c r="D16" s="1"/>
      <c r="I16" s="22"/>
      <c r="J16" s="1"/>
      <c r="K16" s="1"/>
      <c r="L16" s="26"/>
      <c r="M16" s="1"/>
      <c r="N16" s="1"/>
      <c r="O16" s="26"/>
      <c r="P16" s="1"/>
      <c r="Q16" s="1"/>
      <c r="R16" s="26"/>
      <c r="S16" s="1"/>
      <c r="T16" s="25"/>
    </row>
    <row r="17" spans="1:20" ht="15" thickBot="1" x14ac:dyDescent="0.25">
      <c r="A17" s="1">
        <f t="shared" si="0"/>
        <v>17</v>
      </c>
      <c r="C17" s="4" t="s">
        <v>26</v>
      </c>
      <c r="D17" s="4" t="s">
        <v>27</v>
      </c>
      <c r="E17" s="4" t="s">
        <v>28</v>
      </c>
      <c r="I17" s="4" t="s">
        <v>26</v>
      </c>
      <c r="J17" s="4" t="s">
        <v>27</v>
      </c>
      <c r="K17" s="4" t="s">
        <v>28</v>
      </c>
      <c r="L17" s="4" t="s">
        <v>26</v>
      </c>
      <c r="M17" s="4" t="s">
        <v>27</v>
      </c>
      <c r="N17" s="4" t="s">
        <v>28</v>
      </c>
      <c r="O17" s="4" t="s">
        <v>26</v>
      </c>
      <c r="P17" s="4" t="s">
        <v>27</v>
      </c>
      <c r="Q17" s="4" t="s">
        <v>28</v>
      </c>
      <c r="R17" s="4" t="s">
        <v>26</v>
      </c>
      <c r="S17" s="4" t="s">
        <v>27</v>
      </c>
      <c r="T17" s="4" t="s">
        <v>28</v>
      </c>
    </row>
    <row r="18" spans="1:20" x14ac:dyDescent="0.2">
      <c r="A18" s="1">
        <f t="shared" si="0"/>
        <v>18</v>
      </c>
    </row>
    <row r="19" spans="1:20" x14ac:dyDescent="0.2">
      <c r="A19" s="1">
        <f t="shared" si="0"/>
        <v>19</v>
      </c>
      <c r="B19" t="s">
        <v>29</v>
      </c>
      <c r="C19" s="1">
        <f>D9</f>
        <v>450</v>
      </c>
      <c r="D19" s="8">
        <v>6.02</v>
      </c>
      <c r="E19" s="9">
        <f>ROUND(C19*D19,0)</f>
        <v>2709</v>
      </c>
      <c r="H19" t="s">
        <v>50</v>
      </c>
      <c r="I19" s="1"/>
      <c r="J19" s="8">
        <v>93.28</v>
      </c>
      <c r="K19" s="8">
        <f>J19</f>
        <v>93.28</v>
      </c>
      <c r="L19" s="8"/>
      <c r="M19" s="8">
        <v>65.510000000000005</v>
      </c>
      <c r="N19" s="8">
        <f>M19</f>
        <v>65.510000000000005</v>
      </c>
      <c r="O19" s="8"/>
      <c r="P19" s="8">
        <v>52.18</v>
      </c>
      <c r="Q19" s="8">
        <f>P19</f>
        <v>52.18</v>
      </c>
      <c r="R19" s="8"/>
      <c r="S19" s="8">
        <v>50</v>
      </c>
      <c r="T19" s="8">
        <f>S19</f>
        <v>50</v>
      </c>
    </row>
    <row r="20" spans="1:20" x14ac:dyDescent="0.2">
      <c r="A20" s="1">
        <f t="shared" si="0"/>
        <v>20</v>
      </c>
      <c r="E20" s="9"/>
      <c r="I20" s="1"/>
      <c r="J20" s="8"/>
      <c r="K20" s="8"/>
      <c r="L20" s="8"/>
      <c r="M20" s="8"/>
      <c r="N20" s="8"/>
      <c r="O20" s="8"/>
      <c r="P20" s="8"/>
      <c r="Q20" s="8"/>
      <c r="R20" s="8"/>
      <c r="S20" s="8"/>
      <c r="T20" s="8"/>
    </row>
    <row r="21" spans="1:20" x14ac:dyDescent="0.2">
      <c r="A21" s="1">
        <f t="shared" si="0"/>
        <v>21</v>
      </c>
      <c r="B21" t="s">
        <v>30</v>
      </c>
      <c r="E21" s="9"/>
      <c r="H21" t="s">
        <v>29</v>
      </c>
      <c r="I21" s="1">
        <f>ROUND(J9*J10,0)</f>
        <v>450</v>
      </c>
      <c r="J21" s="8">
        <v>6.25</v>
      </c>
      <c r="K21" s="8">
        <f>ROUND(I21*J21,2)</f>
        <v>2812.5</v>
      </c>
      <c r="L21" s="1">
        <f>ROUND(M9*M10,0)</f>
        <v>450</v>
      </c>
      <c r="M21" s="8">
        <v>6.93</v>
      </c>
      <c r="N21" s="8">
        <f>ROUND(L21*M21,2)</f>
        <v>3118.5</v>
      </c>
      <c r="O21" s="1">
        <f>ROUND(P9*P10,0)</f>
        <v>450</v>
      </c>
      <c r="P21" s="8">
        <v>6.05</v>
      </c>
      <c r="Q21" s="8">
        <f>ROUND(O21*P21,2)</f>
        <v>2722.5</v>
      </c>
      <c r="R21" s="1">
        <f>ROUND(S9*S10,0)</f>
        <v>450</v>
      </c>
      <c r="S21" s="8">
        <v>7</v>
      </c>
      <c r="T21" s="8">
        <f>ROUND(R21*S21,2)</f>
        <v>3150</v>
      </c>
    </row>
    <row r="22" spans="1:20" x14ac:dyDescent="0.2">
      <c r="A22" s="1">
        <f t="shared" si="0"/>
        <v>22</v>
      </c>
      <c r="B22" t="s">
        <v>31</v>
      </c>
      <c r="C22" s="1">
        <f>ROUND(D11*0.5,0)</f>
        <v>98550</v>
      </c>
      <c r="D22" s="6">
        <v>5.0899E-2</v>
      </c>
      <c r="E22" s="9">
        <f>ROUND(C22*D22,0)</f>
        <v>5016</v>
      </c>
      <c r="I22" s="1"/>
      <c r="J22" s="8"/>
      <c r="K22" s="8"/>
      <c r="L22" s="1"/>
      <c r="M22" s="8"/>
      <c r="N22" s="8"/>
      <c r="O22" s="1"/>
      <c r="P22" s="8"/>
      <c r="Q22" s="8"/>
      <c r="R22" s="1"/>
      <c r="S22" s="8"/>
      <c r="T22" s="8"/>
    </row>
    <row r="23" spans="1:20" x14ac:dyDescent="0.2">
      <c r="A23" s="1">
        <f t="shared" si="0"/>
        <v>23</v>
      </c>
      <c r="B23" t="s">
        <v>32</v>
      </c>
      <c r="C23" s="1">
        <f>ROUND(D11*0.5,0)</f>
        <v>98550</v>
      </c>
      <c r="D23" s="6">
        <v>4.2174000000000003E-2</v>
      </c>
      <c r="E23" s="9">
        <f>ROUND(C23*D23,0)</f>
        <v>4156</v>
      </c>
      <c r="H23" t="s">
        <v>53</v>
      </c>
      <c r="I23" s="1">
        <f>ROUND(J11*(1-J14),0)</f>
        <v>186543</v>
      </c>
      <c r="J23" s="6">
        <v>5.2560000000000003E-2</v>
      </c>
      <c r="K23" s="8">
        <f>ROUND(I23*J23,2)</f>
        <v>9804.7000000000007</v>
      </c>
      <c r="L23" s="1">
        <f>ROUND(M11*(1-M14),0)</f>
        <v>190004</v>
      </c>
      <c r="M23" s="6">
        <v>5.1330000000000001E-2</v>
      </c>
      <c r="N23" s="8">
        <f>ROUND(L23*M23,2)</f>
        <v>9752.91</v>
      </c>
      <c r="O23" s="1">
        <f>ROUND(P11*(1-P14),0)</f>
        <v>190245</v>
      </c>
      <c r="P23" s="6">
        <v>6.1670000000000003E-2</v>
      </c>
      <c r="Q23" s="8">
        <f>ROUND(O23*P23,2)</f>
        <v>11732.41</v>
      </c>
      <c r="R23" s="1">
        <f>ROUND(S11*(1-S14),0)</f>
        <v>187103</v>
      </c>
      <c r="S23" s="6">
        <v>5.7579999999999999E-2</v>
      </c>
      <c r="T23" s="8">
        <f>ROUND(R23*S23,2)</f>
        <v>10773.39</v>
      </c>
    </row>
    <row r="24" spans="1:20" x14ac:dyDescent="0.2">
      <c r="A24" s="1">
        <f t="shared" si="0"/>
        <v>24</v>
      </c>
      <c r="E24" s="9"/>
      <c r="I24" s="1"/>
      <c r="K24" s="8"/>
      <c r="L24" s="1"/>
      <c r="N24" s="8"/>
      <c r="O24" s="1"/>
      <c r="Q24" s="8"/>
      <c r="R24" s="1"/>
      <c r="T24" s="8"/>
    </row>
    <row r="25" spans="1:20" x14ac:dyDescent="0.2">
      <c r="A25" s="1">
        <f t="shared" si="0"/>
        <v>25</v>
      </c>
      <c r="B25" t="s">
        <v>35</v>
      </c>
      <c r="C25" s="1">
        <f>D11</f>
        <v>197100</v>
      </c>
      <c r="D25" s="6">
        <f>Background!F71</f>
        <v>-2.0799999999999998E-3</v>
      </c>
      <c r="E25" s="10">
        <f>ROUND(C25*D25,0)</f>
        <v>-410</v>
      </c>
      <c r="H25" t="s">
        <v>35</v>
      </c>
      <c r="I25" s="1">
        <f>I23</f>
        <v>186543</v>
      </c>
      <c r="J25" s="6">
        <f>Background!C29</f>
        <v>-3.3099999999999996E-3</v>
      </c>
      <c r="K25" s="12">
        <f>ROUND(I25*J25,2)</f>
        <v>-617.46</v>
      </c>
      <c r="L25" s="1">
        <f>L23</f>
        <v>190004</v>
      </c>
      <c r="M25" s="6">
        <f>Background!D29</f>
        <v>-2.8410000000000002E-3</v>
      </c>
      <c r="N25" s="12">
        <f>ROUND(L25*M25,2)</f>
        <v>-539.79999999999995</v>
      </c>
      <c r="O25" s="1">
        <f>O23</f>
        <v>190245</v>
      </c>
      <c r="P25" s="6">
        <f>Background!E29</f>
        <v>-2.9830000000000004E-3</v>
      </c>
      <c r="Q25" s="12">
        <f>ROUND(O25*P25,2)</f>
        <v>-567.5</v>
      </c>
      <c r="R25" s="1">
        <f>R23</f>
        <v>187103</v>
      </c>
      <c r="S25" s="6">
        <f>Background!F29</f>
        <v>-3.2440000000000004E-3</v>
      </c>
      <c r="T25" s="12">
        <f>ROUND(R25*S25,2)</f>
        <v>-606.96</v>
      </c>
    </row>
    <row r="26" spans="1:20" x14ac:dyDescent="0.2">
      <c r="A26" s="1">
        <f t="shared" si="0"/>
        <v>26</v>
      </c>
      <c r="E26" s="9"/>
      <c r="I26" s="1"/>
      <c r="K26" s="8"/>
      <c r="L26" s="8"/>
      <c r="N26" s="8"/>
      <c r="O26" s="8"/>
      <c r="Q26" s="8"/>
      <c r="R26" s="8"/>
      <c r="T26" s="8"/>
    </row>
    <row r="27" spans="1:20" x14ac:dyDescent="0.2">
      <c r="A27" s="1">
        <f t="shared" si="0"/>
        <v>27</v>
      </c>
      <c r="B27" t="s">
        <v>36</v>
      </c>
      <c r="E27" s="9">
        <f>SUM(E19:E25)</f>
        <v>11471</v>
      </c>
      <c r="H27" t="s">
        <v>36</v>
      </c>
      <c r="I27" s="1"/>
      <c r="K27" s="8">
        <f>SUM(K19:K25)</f>
        <v>12093.02</v>
      </c>
      <c r="L27" s="8"/>
      <c r="N27" s="8">
        <f>SUM(N19:N25)</f>
        <v>12397.12</v>
      </c>
      <c r="O27" s="8"/>
      <c r="Q27" s="8">
        <f>SUM(Q19:Q25)</f>
        <v>13939.59</v>
      </c>
      <c r="R27" s="8"/>
      <c r="T27" s="8">
        <f>SUM(T19:T25)</f>
        <v>13366.43</v>
      </c>
    </row>
    <row r="28" spans="1:20" x14ac:dyDescent="0.2">
      <c r="A28" s="1">
        <f t="shared" si="0"/>
        <v>28</v>
      </c>
      <c r="E28" s="9"/>
      <c r="I28" s="1"/>
      <c r="K28" s="8"/>
      <c r="L28" s="8"/>
      <c r="N28" s="8"/>
      <c r="O28" s="8"/>
      <c r="Q28" s="8"/>
      <c r="R28" s="8"/>
      <c r="T28" s="8"/>
    </row>
    <row r="29" spans="1:20" x14ac:dyDescent="0.2">
      <c r="A29" s="1">
        <f t="shared" si="0"/>
        <v>29</v>
      </c>
      <c r="B29" t="s">
        <v>37</v>
      </c>
      <c r="D29" s="7">
        <f>Background!F73</f>
        <v>0.15290000000000001</v>
      </c>
      <c r="E29" s="10">
        <f>ROUND(E27*D29,0)</f>
        <v>1754</v>
      </c>
      <c r="H29" t="s">
        <v>37</v>
      </c>
      <c r="I29" s="1"/>
      <c r="J29" s="7">
        <f>Background!C51</f>
        <v>0.10050000000000001</v>
      </c>
      <c r="K29" s="12">
        <f>ROUND(K27*J29,2)</f>
        <v>1215.3499999999999</v>
      </c>
      <c r="L29" s="8"/>
      <c r="M29" s="7">
        <f>Background!D51</f>
        <v>0.1125</v>
      </c>
      <c r="N29" s="12">
        <f>ROUND(N27*M29,2)</f>
        <v>1394.68</v>
      </c>
      <c r="O29" s="8"/>
      <c r="P29" s="7">
        <f>Background!E51</f>
        <v>0.1115</v>
      </c>
      <c r="Q29" s="12">
        <f>ROUND(Q27*P29,2)</f>
        <v>1554.26</v>
      </c>
      <c r="R29" s="8"/>
      <c r="S29" s="7">
        <f>Background!F51</f>
        <v>0.1076</v>
      </c>
      <c r="T29" s="12">
        <f>ROUND(T27*S29,2)</f>
        <v>1438.23</v>
      </c>
    </row>
    <row r="30" spans="1:20" x14ac:dyDescent="0.2">
      <c r="A30" s="1">
        <f t="shared" si="0"/>
        <v>30</v>
      </c>
      <c r="E30" s="9"/>
      <c r="I30" s="1"/>
      <c r="K30" s="8"/>
      <c r="L30" s="8"/>
      <c r="N30" s="8"/>
      <c r="O30" s="8"/>
      <c r="Q30" s="8"/>
      <c r="R30" s="8"/>
      <c r="T30" s="8"/>
    </row>
    <row r="31" spans="1:20" ht="15" thickBot="1" x14ac:dyDescent="0.25">
      <c r="A31" s="1">
        <f t="shared" si="0"/>
        <v>31</v>
      </c>
      <c r="B31" t="s">
        <v>38</v>
      </c>
      <c r="E31" s="11">
        <f>E27+E29</f>
        <v>13225</v>
      </c>
      <c r="H31" t="s">
        <v>38</v>
      </c>
      <c r="I31" s="1"/>
      <c r="K31" s="14">
        <f>K27+K29</f>
        <v>13308.37</v>
      </c>
      <c r="L31" s="8"/>
      <c r="N31" s="14">
        <f>N27+N29</f>
        <v>13791.800000000001</v>
      </c>
      <c r="O31" s="8"/>
      <c r="Q31" s="14">
        <f>Q27+Q29</f>
        <v>15493.85</v>
      </c>
      <c r="R31" s="8"/>
      <c r="T31" s="14">
        <f>T27+T29</f>
        <v>14804.66</v>
      </c>
    </row>
    <row r="32" spans="1:20" ht="15" thickTop="1" x14ac:dyDescent="0.2">
      <c r="A32" s="1">
        <f t="shared" si="0"/>
        <v>32</v>
      </c>
    </row>
    <row r="33" spans="1:20" ht="15" thickBot="1" x14ac:dyDescent="0.25">
      <c r="A33" s="1">
        <f t="shared" si="0"/>
        <v>33</v>
      </c>
      <c r="H33" t="s">
        <v>104</v>
      </c>
      <c r="K33" s="14">
        <f>K31-$E31</f>
        <v>83.3700000000008</v>
      </c>
      <c r="N33" s="14">
        <f>N31-$E31</f>
        <v>566.80000000000109</v>
      </c>
      <c r="Q33" s="14">
        <f>Q31-$E31</f>
        <v>2268.8500000000004</v>
      </c>
      <c r="T33" s="14">
        <f>T31-$E31</f>
        <v>1579.6599999999999</v>
      </c>
    </row>
    <row r="34" spans="1:20" ht="15" thickTop="1" x14ac:dyDescent="0.2">
      <c r="A34" s="1">
        <f t="shared" si="0"/>
        <v>34</v>
      </c>
    </row>
    <row r="35" spans="1:20" x14ac:dyDescent="0.2">
      <c r="A35" s="1">
        <f t="shared" si="0"/>
        <v>35</v>
      </c>
    </row>
    <row r="36" spans="1:20" x14ac:dyDescent="0.2">
      <c r="A36" s="1">
        <f t="shared" si="0"/>
        <v>36</v>
      </c>
      <c r="B36" t="s">
        <v>106</v>
      </c>
      <c r="G36" t="s">
        <v>107</v>
      </c>
    </row>
    <row r="37" spans="1:20" x14ac:dyDescent="0.2">
      <c r="A37" s="1">
        <f t="shared" si="0"/>
        <v>37</v>
      </c>
      <c r="I37" s="113" t="s">
        <v>46</v>
      </c>
      <c r="J37" s="114"/>
      <c r="K37" s="115"/>
      <c r="L37" s="113" t="s">
        <v>47</v>
      </c>
      <c r="M37" s="114"/>
      <c r="N37" s="115"/>
      <c r="O37" s="113" t="s">
        <v>48</v>
      </c>
      <c r="P37" s="114"/>
      <c r="Q37" s="115"/>
      <c r="R37" s="113" t="s">
        <v>49</v>
      </c>
      <c r="S37" s="114"/>
      <c r="T37" s="115"/>
    </row>
    <row r="38" spans="1:20" ht="15" thickBot="1" x14ac:dyDescent="0.25">
      <c r="A38" s="1">
        <f t="shared" si="0"/>
        <v>38</v>
      </c>
      <c r="C38" s="4" t="s">
        <v>26</v>
      </c>
      <c r="D38" s="4" t="s">
        <v>27</v>
      </c>
      <c r="E38" s="4" t="s">
        <v>28</v>
      </c>
      <c r="I38" s="4" t="s">
        <v>26</v>
      </c>
      <c r="J38" s="4" t="s">
        <v>27</v>
      </c>
      <c r="K38" s="4" t="s">
        <v>28</v>
      </c>
      <c r="L38" s="4" t="s">
        <v>26</v>
      </c>
      <c r="M38" s="4" t="s">
        <v>27</v>
      </c>
      <c r="N38" s="4" t="s">
        <v>28</v>
      </c>
      <c r="O38" s="4" t="s">
        <v>26</v>
      </c>
      <c r="P38" s="4" t="s">
        <v>27</v>
      </c>
      <c r="Q38" s="4" t="s">
        <v>28</v>
      </c>
      <c r="R38" s="4" t="s">
        <v>26</v>
      </c>
      <c r="S38" s="4" t="s">
        <v>27</v>
      </c>
      <c r="T38" s="4" t="s">
        <v>28</v>
      </c>
    </row>
    <row r="39" spans="1:20" x14ac:dyDescent="0.2">
      <c r="A39" s="1">
        <f t="shared" si="0"/>
        <v>39</v>
      </c>
    </row>
    <row r="40" spans="1:20" x14ac:dyDescent="0.2">
      <c r="A40" s="1">
        <f t="shared" si="0"/>
        <v>40</v>
      </c>
      <c r="B40" t="s">
        <v>29</v>
      </c>
      <c r="C40" s="1">
        <f>D9</f>
        <v>450</v>
      </c>
      <c r="D40" s="8">
        <f>D19</f>
        <v>6.02</v>
      </c>
      <c r="E40" s="9">
        <f>ROUND(C40*D40,0)</f>
        <v>2709</v>
      </c>
      <c r="H40" t="s">
        <v>50</v>
      </c>
      <c r="I40" s="1"/>
      <c r="J40" s="8">
        <f>J19</f>
        <v>93.28</v>
      </c>
      <c r="K40" s="8">
        <f>J40</f>
        <v>93.28</v>
      </c>
      <c r="L40" s="1"/>
      <c r="M40" s="8">
        <f>M19</f>
        <v>65.510000000000005</v>
      </c>
      <c r="N40" s="8">
        <f>M40</f>
        <v>65.510000000000005</v>
      </c>
      <c r="O40" s="1"/>
      <c r="P40" s="8">
        <f>P19</f>
        <v>52.18</v>
      </c>
      <c r="Q40" s="8">
        <f>P40</f>
        <v>52.18</v>
      </c>
      <c r="R40" s="1"/>
      <c r="S40" s="8">
        <f>S19</f>
        <v>50</v>
      </c>
      <c r="T40" s="8">
        <f>S40</f>
        <v>50</v>
      </c>
    </row>
    <row r="41" spans="1:20" x14ac:dyDescent="0.2">
      <c r="A41" s="1">
        <f t="shared" si="0"/>
        <v>41</v>
      </c>
      <c r="E41" s="9"/>
      <c r="I41" s="1"/>
      <c r="K41" s="8"/>
      <c r="L41" s="1"/>
      <c r="N41" s="8"/>
      <c r="O41" s="1"/>
      <c r="Q41" s="8"/>
      <c r="R41" s="1"/>
      <c r="T41" s="8"/>
    </row>
    <row r="42" spans="1:20" x14ac:dyDescent="0.2">
      <c r="A42" s="1">
        <f t="shared" si="0"/>
        <v>42</v>
      </c>
      <c r="B42" t="s">
        <v>30</v>
      </c>
      <c r="E42" s="9"/>
      <c r="H42" t="s">
        <v>51</v>
      </c>
      <c r="I42" s="1">
        <f>ROUND(J9*J10,0)</f>
        <v>450</v>
      </c>
      <c r="J42" s="8">
        <f>J21</f>
        <v>6.25</v>
      </c>
      <c r="K42" s="8">
        <f>ROUND(I42*J42,2)</f>
        <v>2812.5</v>
      </c>
      <c r="L42" s="1">
        <f>ROUND(M9*M10,0)</f>
        <v>450</v>
      </c>
      <c r="M42" s="8">
        <f>M21</f>
        <v>6.93</v>
      </c>
      <c r="N42" s="8">
        <f>ROUND(L42*M42,2)</f>
        <v>3118.5</v>
      </c>
      <c r="O42" s="1">
        <f>ROUND(P9*P10,0)</f>
        <v>450</v>
      </c>
      <c r="P42" s="8">
        <f>P21</f>
        <v>6.05</v>
      </c>
      <c r="Q42" s="8">
        <f>ROUND(O42*P42,2)</f>
        <v>2722.5</v>
      </c>
      <c r="R42" s="1">
        <f>ROUND(S9*S10,0)</f>
        <v>450</v>
      </c>
      <c r="S42" s="8">
        <f>S21</f>
        <v>7</v>
      </c>
      <c r="T42" s="8">
        <f>ROUND(R42*S42,2)</f>
        <v>3150</v>
      </c>
    </row>
    <row r="43" spans="1:20" x14ac:dyDescent="0.2">
      <c r="A43" s="1">
        <f t="shared" si="0"/>
        <v>43</v>
      </c>
      <c r="B43" t="s">
        <v>31</v>
      </c>
      <c r="C43" s="1">
        <f>ROUND((D11*0.5)-D13,0)</f>
        <v>78550</v>
      </c>
      <c r="D43" s="6">
        <f>D22</f>
        <v>5.0899E-2</v>
      </c>
      <c r="E43" s="9">
        <f>ROUND(C43*D43,0)</f>
        <v>3998</v>
      </c>
      <c r="I43" s="1"/>
      <c r="K43" s="8"/>
      <c r="L43" s="1"/>
      <c r="N43" s="8"/>
      <c r="O43" s="1"/>
      <c r="Q43" s="8"/>
      <c r="R43" s="1"/>
      <c r="T43" s="8"/>
    </row>
    <row r="44" spans="1:20" x14ac:dyDescent="0.2">
      <c r="A44" s="1">
        <f t="shared" si="0"/>
        <v>44</v>
      </c>
      <c r="B44" t="s">
        <v>32</v>
      </c>
      <c r="C44" s="1">
        <f>ROUND(D11*0.5,0)</f>
        <v>98550</v>
      </c>
      <c r="D44" s="6">
        <f>D23</f>
        <v>4.2174000000000003E-2</v>
      </c>
      <c r="E44" s="9">
        <f>ROUND(C44*D44,0)</f>
        <v>4156</v>
      </c>
      <c r="H44" t="s">
        <v>52</v>
      </c>
      <c r="I44" s="1">
        <f>ROUND((J11-J13)*(1-J14),0)</f>
        <v>167615</v>
      </c>
      <c r="J44" s="6">
        <f>J23</f>
        <v>5.2560000000000003E-2</v>
      </c>
      <c r="K44" s="8">
        <f>ROUND(I44*J44,2)</f>
        <v>8809.84</v>
      </c>
      <c r="L44" s="1">
        <f>ROUND((M11-M13)*(1-M14),0)</f>
        <v>170724</v>
      </c>
      <c r="M44" s="6">
        <f>M23</f>
        <v>5.1330000000000001E-2</v>
      </c>
      <c r="N44" s="8">
        <f>ROUND(L44*M44,2)</f>
        <v>8763.26</v>
      </c>
      <c r="O44" s="1">
        <f>ROUND((P11-P13)*(1-P14),0)</f>
        <v>170940</v>
      </c>
      <c r="P44" s="6">
        <f>P23</f>
        <v>6.1670000000000003E-2</v>
      </c>
      <c r="Q44" s="8">
        <f>ROUND(O44*P44,2)</f>
        <v>10541.87</v>
      </c>
      <c r="R44" s="1">
        <f>ROUND((S11-S13)*(1-S14),0)</f>
        <v>168117</v>
      </c>
      <c r="S44" s="6">
        <f>S23</f>
        <v>5.7579999999999999E-2</v>
      </c>
      <c r="T44" s="8">
        <f>ROUND(R44*S44,2)</f>
        <v>9680.18</v>
      </c>
    </row>
    <row r="45" spans="1:20" x14ac:dyDescent="0.2">
      <c r="A45" s="1">
        <f t="shared" si="0"/>
        <v>45</v>
      </c>
      <c r="C45" s="1"/>
      <c r="E45" s="9"/>
      <c r="I45" s="1"/>
      <c r="J45" s="6"/>
      <c r="K45" s="8"/>
      <c r="L45" s="1"/>
      <c r="M45" s="6"/>
      <c r="N45" s="8"/>
      <c r="O45" s="1"/>
      <c r="P45" s="6"/>
      <c r="Q45" s="8"/>
      <c r="R45" s="1"/>
      <c r="S45" s="6"/>
      <c r="T45" s="8"/>
    </row>
    <row r="46" spans="1:20" x14ac:dyDescent="0.2">
      <c r="A46" s="1">
        <f t="shared" si="0"/>
        <v>46</v>
      </c>
      <c r="B46" t="s">
        <v>35</v>
      </c>
      <c r="C46" s="1">
        <f>C43+C44</f>
        <v>177100</v>
      </c>
      <c r="D46" s="6">
        <f>D25</f>
        <v>-2.0799999999999998E-3</v>
      </c>
      <c r="E46" s="10">
        <f>ROUND(C46*D46,0)</f>
        <v>-368</v>
      </c>
      <c r="H46" t="s">
        <v>35</v>
      </c>
      <c r="I46" s="1">
        <f>I44</f>
        <v>167615</v>
      </c>
      <c r="J46" s="6">
        <f>J25</f>
        <v>-3.3099999999999996E-3</v>
      </c>
      <c r="K46" s="12">
        <f>ROUND(I46*J46,2)</f>
        <v>-554.80999999999995</v>
      </c>
      <c r="L46" s="1">
        <f>L44</f>
        <v>170724</v>
      </c>
      <c r="M46" s="6">
        <f>M25</f>
        <v>-2.8410000000000002E-3</v>
      </c>
      <c r="N46" s="12">
        <f>ROUND(L46*M46,2)</f>
        <v>-485.03</v>
      </c>
      <c r="O46" s="1">
        <f>O44</f>
        <v>170940</v>
      </c>
      <c r="P46" s="6">
        <f>P25</f>
        <v>-2.9830000000000004E-3</v>
      </c>
      <c r="Q46" s="12">
        <f>ROUND(O46*P46,2)</f>
        <v>-509.91</v>
      </c>
      <c r="R46" s="1">
        <f>R44</f>
        <v>168117</v>
      </c>
      <c r="S46" s="6">
        <f>S25</f>
        <v>-3.2440000000000004E-3</v>
      </c>
      <c r="T46" s="12">
        <f>ROUND(R46*S46,2)</f>
        <v>-545.37</v>
      </c>
    </row>
    <row r="47" spans="1:20" x14ac:dyDescent="0.2">
      <c r="A47" s="1">
        <f t="shared" si="0"/>
        <v>47</v>
      </c>
      <c r="E47" s="9"/>
      <c r="I47" s="1"/>
      <c r="K47" s="8"/>
      <c r="L47" s="1"/>
      <c r="N47" s="8"/>
      <c r="O47" s="1"/>
      <c r="Q47" s="8"/>
      <c r="R47" s="1"/>
      <c r="T47" s="8"/>
    </row>
    <row r="48" spans="1:20" x14ac:dyDescent="0.2">
      <c r="A48" s="1">
        <f t="shared" si="0"/>
        <v>48</v>
      </c>
      <c r="B48" t="s">
        <v>36</v>
      </c>
      <c r="E48" s="9">
        <f>SUM(E40:E46)</f>
        <v>10495</v>
      </c>
      <c r="H48" t="s">
        <v>36</v>
      </c>
      <c r="I48" s="1"/>
      <c r="K48" s="8">
        <f>SUM(K40:K46)</f>
        <v>11160.810000000001</v>
      </c>
      <c r="L48" s="1"/>
      <c r="N48" s="8">
        <f>SUM(N40:N46)</f>
        <v>11462.24</v>
      </c>
      <c r="O48" s="1"/>
      <c r="Q48" s="8">
        <f>SUM(Q40:Q46)</f>
        <v>12806.640000000001</v>
      </c>
      <c r="R48" s="1"/>
      <c r="T48" s="8">
        <f>SUM(T40:T46)</f>
        <v>12334.81</v>
      </c>
    </row>
    <row r="49" spans="1:20" x14ac:dyDescent="0.2">
      <c r="A49" s="1">
        <f t="shared" si="0"/>
        <v>49</v>
      </c>
      <c r="E49" s="9"/>
      <c r="I49" s="1"/>
      <c r="K49" s="8"/>
      <c r="L49" s="1"/>
      <c r="N49" s="8"/>
      <c r="O49" s="1"/>
      <c r="Q49" s="8"/>
      <c r="R49" s="1"/>
      <c r="T49" s="8"/>
    </row>
    <row r="50" spans="1:20" x14ac:dyDescent="0.2">
      <c r="A50" s="1">
        <f t="shared" si="0"/>
        <v>50</v>
      </c>
      <c r="B50" t="s">
        <v>37</v>
      </c>
      <c r="D50" s="7">
        <f>D29</f>
        <v>0.15290000000000001</v>
      </c>
      <c r="E50" s="10">
        <f>ROUND(E48*D50,0)</f>
        <v>1605</v>
      </c>
      <c r="H50" t="s">
        <v>37</v>
      </c>
      <c r="I50" s="1"/>
      <c r="J50" s="7">
        <f>J29</f>
        <v>0.10050000000000001</v>
      </c>
      <c r="K50" s="12">
        <f>ROUND(K48*J50,2)</f>
        <v>1121.6600000000001</v>
      </c>
      <c r="L50" s="1"/>
      <c r="M50" s="7">
        <f>M29</f>
        <v>0.1125</v>
      </c>
      <c r="N50" s="12">
        <f>ROUND(N48*M50,2)</f>
        <v>1289.5</v>
      </c>
      <c r="O50" s="1"/>
      <c r="P50" s="7">
        <f>P29</f>
        <v>0.1115</v>
      </c>
      <c r="Q50" s="12">
        <f>ROUND(Q48*P50,2)</f>
        <v>1427.94</v>
      </c>
      <c r="R50" s="1"/>
      <c r="S50" s="7">
        <f>S29</f>
        <v>0.1076</v>
      </c>
      <c r="T50" s="12">
        <f>ROUND(T48*S50,2)</f>
        <v>1327.23</v>
      </c>
    </row>
    <row r="51" spans="1:20" x14ac:dyDescent="0.2">
      <c r="A51" s="1">
        <f t="shared" si="0"/>
        <v>51</v>
      </c>
      <c r="E51" s="9"/>
      <c r="I51" s="1"/>
      <c r="K51" s="8"/>
      <c r="L51" s="1"/>
      <c r="N51" s="8"/>
      <c r="O51" s="1"/>
      <c r="Q51" s="8"/>
      <c r="R51" s="1"/>
      <c r="T51" s="8"/>
    </row>
    <row r="52" spans="1:20" x14ac:dyDescent="0.2">
      <c r="A52" s="1">
        <f t="shared" si="0"/>
        <v>52</v>
      </c>
      <c r="B52" t="s">
        <v>39</v>
      </c>
      <c r="E52" s="9">
        <f>E48+E50</f>
        <v>12100</v>
      </c>
      <c r="H52" t="s">
        <v>39</v>
      </c>
      <c r="I52" s="1"/>
      <c r="K52" s="8">
        <f>K48+K50</f>
        <v>12282.470000000001</v>
      </c>
      <c r="L52" s="1"/>
      <c r="N52" s="8">
        <f>N48+N50</f>
        <v>12751.74</v>
      </c>
      <c r="O52" s="1"/>
      <c r="Q52" s="8">
        <f>Q48+Q50</f>
        <v>14234.580000000002</v>
      </c>
      <c r="R52" s="1"/>
      <c r="T52" s="8">
        <f>T48+T50</f>
        <v>13662.039999999999</v>
      </c>
    </row>
    <row r="53" spans="1:20" x14ac:dyDescent="0.2">
      <c r="A53" s="1">
        <f t="shared" si="0"/>
        <v>53</v>
      </c>
      <c r="E53" s="9"/>
      <c r="I53" s="1"/>
      <c r="K53" s="8"/>
      <c r="L53" s="1"/>
      <c r="N53" s="8"/>
      <c r="O53" s="1"/>
      <c r="Q53" s="8"/>
      <c r="R53" s="1"/>
      <c r="T53" s="8"/>
    </row>
    <row r="54" spans="1:20" x14ac:dyDescent="0.2">
      <c r="A54" s="1">
        <f t="shared" si="0"/>
        <v>54</v>
      </c>
      <c r="B54" t="s">
        <v>40</v>
      </c>
      <c r="E54" s="9"/>
      <c r="H54" t="s">
        <v>40</v>
      </c>
      <c r="I54" s="1"/>
      <c r="K54" s="8"/>
      <c r="L54" s="1"/>
      <c r="N54" s="8"/>
      <c r="O54" s="1"/>
      <c r="Q54" s="8"/>
      <c r="R54" s="1"/>
      <c r="T54" s="8"/>
    </row>
    <row r="55" spans="1:20" x14ac:dyDescent="0.2">
      <c r="A55" s="1">
        <f t="shared" si="0"/>
        <v>55</v>
      </c>
      <c r="B55" t="s">
        <v>41</v>
      </c>
      <c r="C55" s="1">
        <f>D13</f>
        <v>20000</v>
      </c>
      <c r="D55" s="6">
        <f>D43</f>
        <v>5.0899E-2</v>
      </c>
      <c r="E55" s="9">
        <f>ROUND(C55*D55,0)</f>
        <v>1018</v>
      </c>
      <c r="H55" t="s">
        <v>41</v>
      </c>
      <c r="I55" s="1">
        <f>ROUND(J13*(1-J14),0)</f>
        <v>18929</v>
      </c>
      <c r="J55" s="6">
        <f>J23</f>
        <v>5.2560000000000003E-2</v>
      </c>
      <c r="K55" s="8">
        <f>ROUND(I55*J55,2)</f>
        <v>994.91</v>
      </c>
      <c r="L55" s="1">
        <f>ROUND(M13*(1-M14),0)</f>
        <v>19280</v>
      </c>
      <c r="M55" s="6">
        <f>M23</f>
        <v>5.1330000000000001E-2</v>
      </c>
      <c r="N55" s="8">
        <f>ROUND(L55*M55,2)</f>
        <v>989.64</v>
      </c>
      <c r="O55" s="1">
        <f>ROUND(P13*(1-P14),0)</f>
        <v>19304</v>
      </c>
      <c r="P55" s="6">
        <f>P23</f>
        <v>6.1670000000000003E-2</v>
      </c>
      <c r="Q55" s="8">
        <f>ROUND(O55*P55,2)</f>
        <v>1190.48</v>
      </c>
      <c r="R55" s="1">
        <f>ROUND(S13*(1-S14),0)</f>
        <v>18986</v>
      </c>
      <c r="S55" s="6">
        <f>S23</f>
        <v>5.7579999999999999E-2</v>
      </c>
      <c r="T55" s="8">
        <f>ROUND(R55*S55,2)</f>
        <v>1093.21</v>
      </c>
    </row>
    <row r="56" spans="1:20" x14ac:dyDescent="0.2">
      <c r="A56" s="1">
        <f t="shared" si="0"/>
        <v>56</v>
      </c>
      <c r="B56" t="s">
        <v>42</v>
      </c>
      <c r="C56" s="1">
        <f>C55</f>
        <v>20000</v>
      </c>
      <c r="D56" s="6">
        <v>2.776E-2</v>
      </c>
      <c r="E56" s="9">
        <f>ROUND(C56*D56,0)</f>
        <v>555</v>
      </c>
      <c r="H56" t="s">
        <v>42</v>
      </c>
      <c r="I56" s="1">
        <f>I55</f>
        <v>18929</v>
      </c>
      <c r="J56" s="6">
        <v>2.776E-2</v>
      </c>
      <c r="K56" s="8">
        <f>ROUND(I56*J56,2)</f>
        <v>525.47</v>
      </c>
      <c r="L56" s="1">
        <f>L55</f>
        <v>19280</v>
      </c>
      <c r="M56" s="6">
        <v>2.776E-2</v>
      </c>
      <c r="N56" s="8">
        <f>ROUND(L56*M56,2)</f>
        <v>535.21</v>
      </c>
      <c r="O56" s="1">
        <f>O55</f>
        <v>19304</v>
      </c>
      <c r="P56" s="6">
        <v>2.776E-2</v>
      </c>
      <c r="Q56" s="8">
        <f>ROUND(O56*P56,2)</f>
        <v>535.88</v>
      </c>
      <c r="R56" s="1">
        <f>R55</f>
        <v>18986</v>
      </c>
      <c r="S56" s="6">
        <v>2.776E-2</v>
      </c>
      <c r="T56" s="8">
        <f>ROUND(R56*S56,2)</f>
        <v>527.04999999999995</v>
      </c>
    </row>
    <row r="57" spans="1:20" x14ac:dyDescent="0.2">
      <c r="A57" s="1">
        <f t="shared" si="0"/>
        <v>57</v>
      </c>
      <c r="B57" t="s">
        <v>43</v>
      </c>
      <c r="C57" s="1">
        <f>C56</f>
        <v>20000</v>
      </c>
      <c r="D57" s="6">
        <f>D46</f>
        <v>-2.0799999999999998E-3</v>
      </c>
      <c r="E57" s="10">
        <f>ROUND(C57*D57,0)</f>
        <v>-42</v>
      </c>
      <c r="H57" t="s">
        <v>43</v>
      </c>
      <c r="I57" s="1">
        <f>I56</f>
        <v>18929</v>
      </c>
      <c r="J57" s="6">
        <f>J25</f>
        <v>-3.3099999999999996E-3</v>
      </c>
      <c r="K57" s="12">
        <f>ROUND(I57*J57,2)</f>
        <v>-62.65</v>
      </c>
      <c r="L57" s="1">
        <f>L56</f>
        <v>19280</v>
      </c>
      <c r="M57" s="6">
        <f>M25</f>
        <v>-2.8410000000000002E-3</v>
      </c>
      <c r="N57" s="12">
        <f>ROUND(L57*M57,2)</f>
        <v>-54.77</v>
      </c>
      <c r="O57" s="1">
        <f>O56</f>
        <v>19304</v>
      </c>
      <c r="P57" s="6">
        <f>P25</f>
        <v>-2.9830000000000004E-3</v>
      </c>
      <c r="Q57" s="12">
        <f>ROUND(O57*P57,2)</f>
        <v>-57.58</v>
      </c>
      <c r="R57" s="1">
        <f>R56</f>
        <v>18986</v>
      </c>
      <c r="S57" s="6">
        <f>S25</f>
        <v>-3.2440000000000004E-3</v>
      </c>
      <c r="T57" s="12">
        <f>ROUND(R57*S57,2)</f>
        <v>-61.59</v>
      </c>
    </row>
    <row r="58" spans="1:20" x14ac:dyDescent="0.2">
      <c r="A58" s="1">
        <f t="shared" si="0"/>
        <v>58</v>
      </c>
      <c r="B58" t="s">
        <v>110</v>
      </c>
      <c r="E58" s="9">
        <f>E55-E56-E57</f>
        <v>505</v>
      </c>
      <c r="H58" t="s">
        <v>110</v>
      </c>
      <c r="I58" s="1"/>
      <c r="K58" s="8">
        <f>K55-K56-K57</f>
        <v>532.08999999999992</v>
      </c>
      <c r="L58" s="1"/>
      <c r="N58" s="8">
        <f>N55-N56-N57</f>
        <v>509.19999999999993</v>
      </c>
      <c r="O58" s="1"/>
      <c r="Q58" s="8">
        <f>Q55-Q56-Q57</f>
        <v>712.18000000000006</v>
      </c>
      <c r="R58" s="1"/>
      <c r="T58" s="8">
        <f>T55-T56-T57</f>
        <v>627.75000000000011</v>
      </c>
    </row>
    <row r="59" spans="1:20" x14ac:dyDescent="0.2">
      <c r="A59" s="1">
        <f t="shared" si="0"/>
        <v>59</v>
      </c>
      <c r="B59" t="s">
        <v>108</v>
      </c>
      <c r="D59" s="7">
        <f>D50</f>
        <v>0.15290000000000001</v>
      </c>
      <c r="E59" s="9">
        <f>ROUND(E58*D59,0)</f>
        <v>77</v>
      </c>
      <c r="H59" t="s">
        <v>108</v>
      </c>
      <c r="I59" s="1"/>
      <c r="J59" s="7">
        <f>J29</f>
        <v>0.10050000000000001</v>
      </c>
      <c r="K59" s="8">
        <f>ROUND(K58*J59,2)</f>
        <v>53.48</v>
      </c>
      <c r="L59" s="1"/>
      <c r="M59" s="7">
        <f>M29</f>
        <v>0.1125</v>
      </c>
      <c r="N59" s="8">
        <f>ROUND(N58*M59,2)</f>
        <v>57.29</v>
      </c>
      <c r="O59" s="1"/>
      <c r="P59" s="7">
        <f>P29</f>
        <v>0.1115</v>
      </c>
      <c r="Q59" s="8">
        <f>ROUND(Q58*P59,2)</f>
        <v>79.41</v>
      </c>
      <c r="R59" s="1"/>
      <c r="S59" s="7">
        <f>S29</f>
        <v>0.1076</v>
      </c>
      <c r="T59" s="8">
        <f>ROUND(T58*S59,2)</f>
        <v>67.55</v>
      </c>
    </row>
    <row r="60" spans="1:20" x14ac:dyDescent="0.2">
      <c r="A60" s="1">
        <f t="shared" si="0"/>
        <v>60</v>
      </c>
      <c r="B60" t="s">
        <v>109</v>
      </c>
      <c r="D60" s="7">
        <f>Background!H74</f>
        <v>5.5399999999999998E-2</v>
      </c>
      <c r="E60" s="10">
        <f>ROUND(E58*D60,0)</f>
        <v>28</v>
      </c>
      <c r="H60" t="s">
        <v>109</v>
      </c>
      <c r="I60" s="1"/>
      <c r="J60" s="7">
        <f>Background!C58</f>
        <v>3.6400000000000002E-2</v>
      </c>
      <c r="K60" s="12">
        <f>ROUND(K58*J60,2)</f>
        <v>19.37</v>
      </c>
      <c r="L60" s="1"/>
      <c r="M60" s="7">
        <f>Background!D58</f>
        <v>4.0800000000000003E-2</v>
      </c>
      <c r="N60" s="12">
        <f>ROUND(N58*M60,2)</f>
        <v>20.78</v>
      </c>
      <c r="O60" s="1"/>
      <c r="P60" s="7">
        <f>Background!E58</f>
        <v>4.0399999999999998E-2</v>
      </c>
      <c r="Q60" s="12">
        <f>ROUND(Q58*P60,2)</f>
        <v>28.77</v>
      </c>
      <c r="R60" s="1"/>
      <c r="S60" s="7">
        <f>Background!F58</f>
        <v>3.9E-2</v>
      </c>
      <c r="T60" s="12">
        <f>ROUND(T58*S60,2)</f>
        <v>24.48</v>
      </c>
    </row>
    <row r="61" spans="1:20" x14ac:dyDescent="0.2">
      <c r="A61" s="1">
        <f t="shared" si="0"/>
        <v>61</v>
      </c>
      <c r="E61" s="9"/>
      <c r="I61" s="1"/>
      <c r="K61" s="8"/>
      <c r="L61" s="1"/>
      <c r="N61" s="8"/>
      <c r="O61" s="1"/>
      <c r="Q61" s="8"/>
      <c r="R61" s="1"/>
      <c r="T61" s="8"/>
    </row>
    <row r="62" spans="1:20" x14ac:dyDescent="0.2">
      <c r="A62" s="1">
        <f t="shared" si="0"/>
        <v>62</v>
      </c>
      <c r="B62" t="s">
        <v>111</v>
      </c>
      <c r="E62" s="9">
        <f>E58+E59-E60</f>
        <v>554</v>
      </c>
      <c r="H62" t="s">
        <v>111</v>
      </c>
      <c r="I62" s="1"/>
      <c r="K62" s="8">
        <f>K58+K59-K60</f>
        <v>566.19999999999993</v>
      </c>
      <c r="L62" s="1"/>
      <c r="N62" s="8">
        <f>N58+N59-N60</f>
        <v>545.70999999999992</v>
      </c>
      <c r="O62" s="1"/>
      <c r="Q62" s="8">
        <f>Q58+Q59-Q60</f>
        <v>762.82</v>
      </c>
      <c r="R62" s="1"/>
      <c r="T62" s="8">
        <f>T58+T59-T60</f>
        <v>670.82</v>
      </c>
    </row>
    <row r="63" spans="1:20" x14ac:dyDescent="0.2">
      <c r="A63" s="1">
        <f t="shared" si="0"/>
        <v>63</v>
      </c>
      <c r="E63" s="9"/>
      <c r="I63" s="1"/>
      <c r="K63" s="8"/>
      <c r="L63" s="1"/>
      <c r="N63" s="8"/>
      <c r="O63" s="1"/>
      <c r="Q63" s="8"/>
      <c r="R63" s="1"/>
      <c r="T63" s="8"/>
    </row>
    <row r="64" spans="1:20" x14ac:dyDescent="0.2">
      <c r="A64" s="1">
        <f t="shared" si="0"/>
        <v>64</v>
      </c>
      <c r="B64" t="s">
        <v>45</v>
      </c>
      <c r="E64" s="10">
        <v>1500</v>
      </c>
      <c r="H64" t="s">
        <v>44</v>
      </c>
      <c r="I64" s="1"/>
      <c r="K64" s="12">
        <f>$E64</f>
        <v>1500</v>
      </c>
      <c r="L64" s="1"/>
      <c r="N64" s="12">
        <f>$E64</f>
        <v>1500</v>
      </c>
      <c r="O64" s="1"/>
      <c r="Q64" s="12">
        <f>$E64</f>
        <v>1500</v>
      </c>
      <c r="R64" s="1"/>
      <c r="T64" s="12">
        <f>$E64</f>
        <v>1500</v>
      </c>
    </row>
    <row r="65" spans="1:20" x14ac:dyDescent="0.2">
      <c r="A65" s="1">
        <f t="shared" si="0"/>
        <v>65</v>
      </c>
      <c r="E65" s="9"/>
      <c r="I65" s="1"/>
      <c r="K65" s="8"/>
      <c r="L65" s="1"/>
      <c r="N65" s="8"/>
      <c r="O65" s="1"/>
      <c r="Q65" s="8"/>
      <c r="R65" s="1"/>
      <c r="T65" s="8"/>
    </row>
    <row r="66" spans="1:20" ht="15" thickBot="1" x14ac:dyDescent="0.25">
      <c r="A66" s="1">
        <f t="shared" si="0"/>
        <v>66</v>
      </c>
      <c r="B66" t="s">
        <v>38</v>
      </c>
      <c r="E66" s="11">
        <f>E52+E62+E64</f>
        <v>14154</v>
      </c>
      <c r="H66" t="s">
        <v>38</v>
      </c>
      <c r="I66" s="1"/>
      <c r="K66" s="14">
        <f>K52+K62+K64</f>
        <v>14348.670000000002</v>
      </c>
      <c r="L66" s="1"/>
      <c r="N66" s="14">
        <f>N52+N62+N64</f>
        <v>14797.449999999999</v>
      </c>
      <c r="O66" s="1"/>
      <c r="Q66" s="14">
        <f>Q52+Q62+Q64</f>
        <v>16497.400000000001</v>
      </c>
      <c r="R66" s="1"/>
      <c r="T66" s="14">
        <f>T52+T62+T64</f>
        <v>15832.859999999999</v>
      </c>
    </row>
    <row r="67" spans="1:20" ht="15" thickTop="1" x14ac:dyDescent="0.2">
      <c r="A67" s="1">
        <f t="shared" si="0"/>
        <v>67</v>
      </c>
    </row>
    <row r="68" spans="1:20" ht="15" thickBot="1" x14ac:dyDescent="0.25">
      <c r="A68" s="1">
        <f t="shared" si="0"/>
        <v>68</v>
      </c>
      <c r="H68" t="s">
        <v>104</v>
      </c>
      <c r="K68" s="14">
        <f>K66-$E66</f>
        <v>194.67000000000189</v>
      </c>
      <c r="N68" s="14">
        <f>N66-$E66</f>
        <v>643.44999999999891</v>
      </c>
      <c r="Q68" s="14">
        <f>Q66-$E66</f>
        <v>2343.4000000000015</v>
      </c>
      <c r="T68" s="14">
        <f>T66-$E66</f>
        <v>1678.8599999999988</v>
      </c>
    </row>
    <row r="69" spans="1:20" ht="15" thickTop="1" x14ac:dyDescent="0.2">
      <c r="A69" s="1">
        <f t="shared" si="0"/>
        <v>69</v>
      </c>
      <c r="K69" s="13"/>
      <c r="N69" s="13"/>
      <c r="Q69" s="13"/>
      <c r="T69" s="13"/>
    </row>
    <row r="70" spans="1:20" x14ac:dyDescent="0.2">
      <c r="A70" s="1">
        <f t="shared" si="0"/>
        <v>70</v>
      </c>
      <c r="K70" s="13"/>
      <c r="N70" s="13"/>
      <c r="Q70" s="13"/>
      <c r="T70" s="13"/>
    </row>
    <row r="71" spans="1:20" x14ac:dyDescent="0.2">
      <c r="A71" s="1">
        <f t="shared" si="0"/>
        <v>71</v>
      </c>
      <c r="B71" t="s">
        <v>112</v>
      </c>
      <c r="G71" t="s">
        <v>113</v>
      </c>
      <c r="K71" s="13"/>
      <c r="N71" s="13"/>
      <c r="Q71" s="13"/>
      <c r="T71" s="13"/>
    </row>
    <row r="72" spans="1:20" x14ac:dyDescent="0.2">
      <c r="A72" s="1">
        <f t="shared" si="0"/>
        <v>72</v>
      </c>
      <c r="K72" s="13"/>
      <c r="N72" s="13"/>
      <c r="Q72" s="13"/>
      <c r="T72" s="13"/>
    </row>
    <row r="73" spans="1:20" x14ac:dyDescent="0.2">
      <c r="A73" s="1">
        <f t="shared" si="0"/>
        <v>73</v>
      </c>
      <c r="B73" t="s">
        <v>114</v>
      </c>
      <c r="G73" t="s">
        <v>114</v>
      </c>
      <c r="K73" s="13"/>
      <c r="N73" s="13"/>
      <c r="Q73" s="13"/>
      <c r="T73" s="13"/>
    </row>
    <row r="74" spans="1:20" x14ac:dyDescent="0.2">
      <c r="A74" s="1">
        <f t="shared" si="0"/>
        <v>74</v>
      </c>
      <c r="B74" t="s">
        <v>115</v>
      </c>
      <c r="E74" s="9">
        <f>E50+(E59-E60)</f>
        <v>1654</v>
      </c>
      <c r="G74" t="s">
        <v>115</v>
      </c>
      <c r="K74" s="8">
        <f>K50+(K59-K60)</f>
        <v>1155.77</v>
      </c>
      <c r="N74" s="8">
        <f>N50+(N59-N60)</f>
        <v>1326.01</v>
      </c>
      <c r="Q74" s="8">
        <f>Q50+(Q59-Q60)</f>
        <v>1478.5800000000002</v>
      </c>
      <c r="T74" s="8">
        <f>T50+(T59-T60)</f>
        <v>1370.3</v>
      </c>
    </row>
    <row r="75" spans="1:20" x14ac:dyDescent="0.2">
      <c r="A75" s="1">
        <f t="shared" si="0"/>
        <v>75</v>
      </c>
      <c r="B75" t="s">
        <v>116</v>
      </c>
      <c r="E75" s="10">
        <f>E29</f>
        <v>1754</v>
      </c>
      <c r="G75" t="s">
        <v>116</v>
      </c>
      <c r="K75" s="12">
        <f>K29</f>
        <v>1215.3499999999999</v>
      </c>
      <c r="N75" s="12">
        <f>N29</f>
        <v>1394.68</v>
      </c>
      <c r="Q75" s="12">
        <f>Q29</f>
        <v>1554.26</v>
      </c>
      <c r="T75" s="12">
        <f>T29</f>
        <v>1438.23</v>
      </c>
    </row>
    <row r="76" spans="1:20" x14ac:dyDescent="0.2">
      <c r="A76" s="1">
        <f t="shared" si="0"/>
        <v>76</v>
      </c>
      <c r="E76" s="9"/>
      <c r="K76" s="8"/>
      <c r="N76" s="8"/>
      <c r="Q76" s="8"/>
      <c r="T76" s="8"/>
    </row>
    <row r="77" spans="1:20" ht="15" thickBot="1" x14ac:dyDescent="0.25">
      <c r="A77" s="1">
        <f t="shared" si="0"/>
        <v>77</v>
      </c>
      <c r="B77" t="s">
        <v>117</v>
      </c>
      <c r="E77" s="11">
        <f>E74-E75</f>
        <v>-100</v>
      </c>
      <c r="G77" t="s">
        <v>117</v>
      </c>
      <c r="K77" s="14">
        <f>K74-K75</f>
        <v>-59.579999999999927</v>
      </c>
      <c r="N77" s="14">
        <f>N74-N75</f>
        <v>-68.670000000000073</v>
      </c>
      <c r="Q77" s="14">
        <f>Q74-Q75</f>
        <v>-75.679999999999836</v>
      </c>
      <c r="T77" s="14">
        <f>T74-T75</f>
        <v>-67.930000000000064</v>
      </c>
    </row>
    <row r="78" spans="1:20" ht="15" thickTop="1" x14ac:dyDescent="0.2">
      <c r="A78" s="1">
        <f t="shared" si="0"/>
        <v>78</v>
      </c>
      <c r="E78" s="9"/>
      <c r="K78" s="13"/>
      <c r="N78" s="13"/>
      <c r="Q78" s="13"/>
      <c r="T78" s="13"/>
    </row>
    <row r="79" spans="1:20" x14ac:dyDescent="0.2">
      <c r="A79" s="1">
        <f t="shared" si="0"/>
        <v>79</v>
      </c>
      <c r="B79" t="s">
        <v>118</v>
      </c>
      <c r="E79" s="9"/>
      <c r="G79" t="s">
        <v>118</v>
      </c>
      <c r="K79" s="13"/>
      <c r="N79" s="13"/>
      <c r="Q79" s="13"/>
      <c r="T79" s="13"/>
    </row>
    <row r="80" spans="1:20" x14ac:dyDescent="0.2">
      <c r="A80" s="1">
        <f t="shared" si="0"/>
        <v>80</v>
      </c>
      <c r="B80" t="s">
        <v>120</v>
      </c>
      <c r="E80" s="9">
        <f>E66-E64</f>
        <v>12654</v>
      </c>
      <c r="G80" t="s">
        <v>120</v>
      </c>
      <c r="K80" s="8">
        <f>K66-K64</f>
        <v>12848.670000000002</v>
      </c>
      <c r="N80" s="8">
        <f>N66-N64</f>
        <v>13297.449999999999</v>
      </c>
      <c r="Q80" s="8">
        <f>Q66-Q64</f>
        <v>14997.400000000001</v>
      </c>
      <c r="T80" s="8">
        <f>T66-T64</f>
        <v>14332.859999999999</v>
      </c>
    </row>
    <row r="81" spans="1:20" x14ac:dyDescent="0.2">
      <c r="A81" s="1">
        <f t="shared" si="0"/>
        <v>81</v>
      </c>
      <c r="B81" t="s">
        <v>116</v>
      </c>
      <c r="E81" s="10">
        <f>E31</f>
        <v>13225</v>
      </c>
      <c r="G81" t="s">
        <v>116</v>
      </c>
      <c r="K81" s="12">
        <f>K31</f>
        <v>13308.37</v>
      </c>
      <c r="N81" s="12">
        <f>N31</f>
        <v>13791.800000000001</v>
      </c>
      <c r="Q81" s="12">
        <f>Q31</f>
        <v>15493.85</v>
      </c>
      <c r="T81" s="12">
        <f>T31</f>
        <v>14804.66</v>
      </c>
    </row>
    <row r="82" spans="1:20" x14ac:dyDescent="0.2">
      <c r="A82" s="1">
        <f t="shared" si="0"/>
        <v>82</v>
      </c>
      <c r="E82" s="9"/>
      <c r="K82" s="8"/>
      <c r="N82" s="8"/>
      <c r="Q82" s="8"/>
      <c r="T82" s="8"/>
    </row>
    <row r="83" spans="1:20" ht="15" thickBot="1" x14ac:dyDescent="0.25">
      <c r="A83" s="1">
        <f t="shared" si="0"/>
        <v>83</v>
      </c>
      <c r="B83" t="s">
        <v>119</v>
      </c>
      <c r="E83" s="11">
        <f>E80-E81</f>
        <v>-571</v>
      </c>
      <c r="G83" t="s">
        <v>119</v>
      </c>
      <c r="K83" s="14">
        <f>K80-K81</f>
        <v>-459.69999999999891</v>
      </c>
      <c r="N83" s="14">
        <f>N80-N81</f>
        <v>-494.35000000000218</v>
      </c>
      <c r="Q83" s="14">
        <f>Q80-Q81</f>
        <v>-496.44999999999891</v>
      </c>
      <c r="T83" s="14">
        <f>T80-T81</f>
        <v>-471.80000000000109</v>
      </c>
    </row>
    <row r="84" spans="1:20" ht="15" thickTop="1" x14ac:dyDescent="0.2">
      <c r="A84" s="1">
        <f t="shared" si="0"/>
        <v>84</v>
      </c>
      <c r="E84" s="9"/>
      <c r="K84" s="13"/>
      <c r="N84" s="13"/>
      <c r="Q84" s="13"/>
      <c r="T84" s="13"/>
    </row>
    <row r="85" spans="1:20" x14ac:dyDescent="0.2">
      <c r="A85" s="1">
        <f t="shared" si="0"/>
        <v>85</v>
      </c>
      <c r="B85" t="s">
        <v>121</v>
      </c>
      <c r="E85" s="9"/>
      <c r="G85" t="s">
        <v>121</v>
      </c>
      <c r="K85" s="13"/>
      <c r="N85" s="13"/>
      <c r="Q85" s="13"/>
      <c r="T85" s="13"/>
    </row>
    <row r="86" spans="1:20" x14ac:dyDescent="0.2">
      <c r="A86" s="1">
        <f t="shared" si="0"/>
        <v>86</v>
      </c>
      <c r="B86" t="s">
        <v>115</v>
      </c>
      <c r="E86" s="9">
        <f>E66</f>
        <v>14154</v>
      </c>
      <c r="G86" t="s">
        <v>115</v>
      </c>
      <c r="K86" s="8">
        <f>K66</f>
        <v>14348.670000000002</v>
      </c>
      <c r="N86" s="8">
        <f>N66</f>
        <v>14797.449999999999</v>
      </c>
      <c r="Q86" s="8">
        <f>Q66</f>
        <v>16497.400000000001</v>
      </c>
      <c r="T86" s="8">
        <f>T66</f>
        <v>15832.859999999999</v>
      </c>
    </row>
    <row r="87" spans="1:20" x14ac:dyDescent="0.2">
      <c r="A87" s="1">
        <f t="shared" si="0"/>
        <v>87</v>
      </c>
      <c r="B87" t="s">
        <v>116</v>
      </c>
      <c r="E87" s="10">
        <f>E31</f>
        <v>13225</v>
      </c>
      <c r="G87" t="s">
        <v>116</v>
      </c>
      <c r="K87" s="12">
        <f>K31</f>
        <v>13308.37</v>
      </c>
      <c r="N87" s="12">
        <f>N31</f>
        <v>13791.800000000001</v>
      </c>
      <c r="Q87" s="12">
        <f>Q31</f>
        <v>15493.85</v>
      </c>
      <c r="T87" s="12">
        <f>T31</f>
        <v>14804.66</v>
      </c>
    </row>
    <row r="88" spans="1:20" x14ac:dyDescent="0.2">
      <c r="A88" s="1">
        <f t="shared" si="0"/>
        <v>88</v>
      </c>
      <c r="E88" s="9"/>
      <c r="K88" s="8"/>
      <c r="N88" s="8"/>
      <c r="Q88" s="8"/>
      <c r="T88" s="8"/>
    </row>
    <row r="89" spans="1:20" ht="15" thickBot="1" x14ac:dyDescent="0.25">
      <c r="A89" s="1">
        <f t="shared" si="0"/>
        <v>89</v>
      </c>
      <c r="B89" t="s">
        <v>122</v>
      </c>
      <c r="E89" s="11">
        <f>E86-E87</f>
        <v>929</v>
      </c>
      <c r="G89" t="s">
        <v>122</v>
      </c>
      <c r="K89" s="14">
        <f>K86-K87</f>
        <v>1040.3000000000011</v>
      </c>
      <c r="N89" s="14">
        <f>N86-N87</f>
        <v>1005.6499999999978</v>
      </c>
      <c r="Q89" s="14">
        <f>Q86-Q87</f>
        <v>1003.5500000000011</v>
      </c>
      <c r="T89" s="14">
        <f>T86-T87</f>
        <v>1028.1999999999989</v>
      </c>
    </row>
    <row r="90" spans="1:20" ht="15" thickTop="1" x14ac:dyDescent="0.2">
      <c r="A90" s="1">
        <f t="shared" si="0"/>
        <v>90</v>
      </c>
      <c r="E90" s="9"/>
      <c r="K90" s="13"/>
      <c r="N90" s="13"/>
      <c r="Q90" s="13"/>
      <c r="T90" s="13"/>
    </row>
    <row r="91" spans="1:20" x14ac:dyDescent="0.2">
      <c r="A91" s="1">
        <f t="shared" si="0"/>
        <v>91</v>
      </c>
      <c r="E91" s="9"/>
      <c r="K91" s="13"/>
      <c r="N91" s="13"/>
      <c r="Q91" s="13"/>
      <c r="T91" s="13"/>
    </row>
    <row r="92" spans="1:20" x14ac:dyDescent="0.2">
      <c r="A92" s="1">
        <f t="shared" si="0"/>
        <v>92</v>
      </c>
      <c r="B92" s="15" t="s">
        <v>54</v>
      </c>
      <c r="C92" t="s">
        <v>55</v>
      </c>
    </row>
    <row r="93" spans="1:20" x14ac:dyDescent="0.2">
      <c r="A93" s="1">
        <f t="shared" si="0"/>
        <v>93</v>
      </c>
      <c r="C93" t="s">
        <v>123</v>
      </c>
    </row>
    <row r="94" spans="1:20" x14ac:dyDescent="0.2">
      <c r="A94" s="1">
        <f t="shared" si="0"/>
        <v>94</v>
      </c>
      <c r="C94" t="s">
        <v>124</v>
      </c>
    </row>
    <row r="95" spans="1:20" x14ac:dyDescent="0.2">
      <c r="A95" s="1">
        <f t="shared" si="0"/>
        <v>95</v>
      </c>
      <c r="C95" t="s">
        <v>125</v>
      </c>
    </row>
    <row r="96" spans="1:20" x14ac:dyDescent="0.2">
      <c r="A96" s="1">
        <f t="shared" ref="A96" si="1">A95+1</f>
        <v>96</v>
      </c>
    </row>
  </sheetData>
  <mergeCells count="8">
    <mergeCell ref="I6:K6"/>
    <mergeCell ref="L6:N6"/>
    <mergeCell ref="O6:Q6"/>
    <mergeCell ref="R6:T6"/>
    <mergeCell ref="I37:K37"/>
    <mergeCell ref="L37:N37"/>
    <mergeCell ref="O37:Q37"/>
    <mergeCell ref="R37:T37"/>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8"/>
  <sheetViews>
    <sheetView zoomScale="80" zoomScaleNormal="80" workbookViewId="0">
      <selection activeCell="G9" sqref="G9"/>
    </sheetView>
  </sheetViews>
  <sheetFormatPr defaultColWidth="15.625" defaultRowHeight="14.25" x14ac:dyDescent="0.2"/>
  <cols>
    <col min="1" max="1" width="4.625" customWidth="1"/>
    <col min="2" max="2" width="16.125" customWidth="1"/>
    <col min="8" max="8" width="6.5" customWidth="1"/>
    <col min="9" max="9" width="15.625" customWidth="1"/>
    <col min="10" max="10" width="16.125" customWidth="1"/>
  </cols>
  <sheetData>
    <row r="1" spans="1:22" x14ac:dyDescent="0.2">
      <c r="A1" s="1">
        <v>1</v>
      </c>
      <c r="B1" t="str">
        <f>Background!B1</f>
        <v>Green Power Tariff - Alternative - Revised 02-08-2019</v>
      </c>
    </row>
    <row r="2" spans="1:22" x14ac:dyDescent="0.2">
      <c r="A2" s="1">
        <f>A1+1</f>
        <v>2</v>
      </c>
      <c r="B2" t="s">
        <v>126</v>
      </c>
    </row>
    <row r="3" spans="1:22" x14ac:dyDescent="0.2">
      <c r="A3" s="1">
        <f t="shared" ref="A3:A66" si="0">A2+1</f>
        <v>3</v>
      </c>
    </row>
    <row r="4" spans="1:22" x14ac:dyDescent="0.2">
      <c r="A4" s="1">
        <f t="shared" si="0"/>
        <v>4</v>
      </c>
    </row>
    <row r="5" spans="1:22" x14ac:dyDescent="0.2">
      <c r="A5" s="1">
        <f t="shared" si="0"/>
        <v>5</v>
      </c>
      <c r="B5" t="s">
        <v>127</v>
      </c>
      <c r="I5" t="s">
        <v>128</v>
      </c>
    </row>
    <row r="6" spans="1:22" x14ac:dyDescent="0.2">
      <c r="A6" s="1">
        <f t="shared" si="0"/>
        <v>6</v>
      </c>
      <c r="K6" s="113" t="s">
        <v>140</v>
      </c>
      <c r="L6" s="114"/>
      <c r="M6" s="115"/>
      <c r="N6" s="113" t="s">
        <v>141</v>
      </c>
      <c r="O6" s="114"/>
      <c r="P6" s="115"/>
      <c r="Q6" s="113" t="s">
        <v>142</v>
      </c>
      <c r="R6" s="114"/>
      <c r="S6" s="115"/>
      <c r="T6" s="113" t="s">
        <v>143</v>
      </c>
      <c r="U6" s="114"/>
      <c r="V6" s="115"/>
    </row>
    <row r="7" spans="1:22" x14ac:dyDescent="0.2">
      <c r="A7" s="1">
        <f t="shared" si="0"/>
        <v>7</v>
      </c>
      <c r="B7" t="s">
        <v>21</v>
      </c>
      <c r="I7" t="s">
        <v>21</v>
      </c>
      <c r="K7" s="21"/>
      <c r="L7" s="28"/>
      <c r="M7" s="28"/>
      <c r="N7" s="29"/>
      <c r="O7" s="28"/>
      <c r="P7" s="28"/>
      <c r="Q7" s="29"/>
      <c r="R7" s="28"/>
      <c r="S7" s="28"/>
      <c r="T7" s="29"/>
      <c r="U7" s="28"/>
      <c r="V7" s="31"/>
    </row>
    <row r="8" spans="1:22" x14ac:dyDescent="0.2">
      <c r="A8" s="1">
        <f t="shared" si="0"/>
        <v>8</v>
      </c>
      <c r="K8" s="22"/>
      <c r="L8" s="28"/>
      <c r="M8" s="28"/>
      <c r="N8" s="30"/>
      <c r="O8" s="28"/>
      <c r="P8" s="28"/>
      <c r="Q8" s="30"/>
      <c r="R8" s="28"/>
      <c r="S8" s="28"/>
      <c r="T8" s="30"/>
      <c r="U8" s="28"/>
      <c r="V8" s="32"/>
    </row>
    <row r="9" spans="1:22" x14ac:dyDescent="0.2">
      <c r="A9" s="1">
        <f t="shared" si="0"/>
        <v>9</v>
      </c>
      <c r="B9" t="s">
        <v>24</v>
      </c>
      <c r="D9" s="1">
        <v>650</v>
      </c>
      <c r="I9" t="s">
        <v>24</v>
      </c>
      <c r="K9" s="22"/>
      <c r="L9" s="33">
        <f>$D9</f>
        <v>650</v>
      </c>
      <c r="M9" s="28"/>
      <c r="N9" s="30"/>
      <c r="O9" s="33">
        <f>$D9</f>
        <v>650</v>
      </c>
      <c r="P9" s="28"/>
      <c r="Q9" s="30"/>
      <c r="R9" s="33">
        <f>$D9</f>
        <v>650</v>
      </c>
      <c r="S9" s="28"/>
      <c r="T9" s="30"/>
      <c r="U9" s="33">
        <f>$D9</f>
        <v>650</v>
      </c>
      <c r="V9" s="32"/>
    </row>
    <row r="10" spans="1:22" x14ac:dyDescent="0.2">
      <c r="A10" s="1">
        <f t="shared" si="0"/>
        <v>10</v>
      </c>
      <c r="D10" s="1"/>
      <c r="I10" t="s">
        <v>102</v>
      </c>
      <c r="K10" s="22"/>
      <c r="L10" s="35">
        <v>1</v>
      </c>
      <c r="M10" s="28"/>
      <c r="N10" s="30"/>
      <c r="O10" s="35">
        <v>1</v>
      </c>
      <c r="P10" s="28"/>
      <c r="Q10" s="30"/>
      <c r="R10" s="35">
        <v>1</v>
      </c>
      <c r="S10" s="28"/>
      <c r="T10" s="30"/>
      <c r="U10" s="35">
        <v>1</v>
      </c>
      <c r="V10" s="32"/>
    </row>
    <row r="11" spans="1:22" x14ac:dyDescent="0.2">
      <c r="A11" s="1">
        <f t="shared" si="0"/>
        <v>11</v>
      </c>
      <c r="B11" t="s">
        <v>129</v>
      </c>
      <c r="D11" s="1">
        <v>392000</v>
      </c>
      <c r="I11" t="s">
        <v>129</v>
      </c>
      <c r="K11" s="22"/>
      <c r="L11" s="33">
        <f>$D11</f>
        <v>392000</v>
      </c>
      <c r="M11" s="28"/>
      <c r="N11" s="30"/>
      <c r="O11" s="33">
        <f>$D11</f>
        <v>392000</v>
      </c>
      <c r="P11" s="28"/>
      <c r="Q11" s="30"/>
      <c r="R11" s="33">
        <f>$D11</f>
        <v>392000</v>
      </c>
      <c r="S11" s="28"/>
      <c r="T11" s="30"/>
      <c r="U11" s="33">
        <f>$D11</f>
        <v>392000</v>
      </c>
      <c r="V11" s="32"/>
    </row>
    <row r="12" spans="1:22" x14ac:dyDescent="0.2">
      <c r="A12" s="1">
        <f t="shared" si="0"/>
        <v>12</v>
      </c>
      <c r="B12" t="s">
        <v>130</v>
      </c>
      <c r="D12" s="1">
        <v>100000</v>
      </c>
      <c r="E12" t="s">
        <v>34</v>
      </c>
      <c r="I12" t="s">
        <v>130</v>
      </c>
      <c r="K12" s="22"/>
      <c r="L12" s="33">
        <f>$D12</f>
        <v>100000</v>
      </c>
      <c r="M12" s="28"/>
      <c r="N12" s="30"/>
      <c r="O12" s="33">
        <f>$D12</f>
        <v>100000</v>
      </c>
      <c r="P12" s="28"/>
      <c r="Q12" s="30"/>
      <c r="R12" s="33">
        <f>$D12</f>
        <v>100000</v>
      </c>
      <c r="S12" s="28"/>
      <c r="T12" s="30"/>
      <c r="U12" s="33">
        <f>$D12</f>
        <v>100000</v>
      </c>
      <c r="V12" s="32"/>
    </row>
    <row r="13" spans="1:22" x14ac:dyDescent="0.2">
      <c r="A13" s="1">
        <f t="shared" si="0"/>
        <v>13</v>
      </c>
      <c r="I13" t="s">
        <v>103</v>
      </c>
      <c r="K13" s="22"/>
      <c r="L13" s="37">
        <f>Background!G33</f>
        <v>5.3560000000000003E-2</v>
      </c>
      <c r="M13" s="28"/>
      <c r="N13" s="30"/>
      <c r="O13" s="37">
        <f>Background!H33</f>
        <v>3.5999999999999997E-2</v>
      </c>
      <c r="P13" s="28"/>
      <c r="Q13" s="30"/>
      <c r="R13" s="37">
        <f>Background!I33</f>
        <v>3.4779999999999998E-2</v>
      </c>
      <c r="S13" s="28"/>
      <c r="T13" s="30"/>
      <c r="U13" s="37">
        <f>Background!J33</f>
        <v>5.0720000000000001E-2</v>
      </c>
      <c r="V13" s="32"/>
    </row>
    <row r="14" spans="1:22" x14ac:dyDescent="0.2">
      <c r="A14" s="1">
        <f t="shared" si="0"/>
        <v>14</v>
      </c>
      <c r="B14" t="s">
        <v>56</v>
      </c>
      <c r="K14" s="22"/>
      <c r="L14" s="34"/>
      <c r="M14" s="28"/>
      <c r="N14" s="30"/>
      <c r="O14" s="34"/>
      <c r="P14" s="28"/>
      <c r="Q14" s="30"/>
      <c r="R14" s="34"/>
      <c r="S14" s="28"/>
      <c r="T14" s="30"/>
      <c r="U14" s="34"/>
      <c r="V14" s="32"/>
    </row>
    <row r="15" spans="1:22" x14ac:dyDescent="0.2">
      <c r="A15" s="1">
        <f t="shared" si="0"/>
        <v>15</v>
      </c>
      <c r="K15" s="22"/>
      <c r="L15" s="34"/>
      <c r="M15" s="28"/>
      <c r="N15" s="30"/>
      <c r="O15" s="34"/>
      <c r="P15" s="28"/>
      <c r="Q15" s="30"/>
      <c r="R15" s="34"/>
      <c r="S15" s="28"/>
      <c r="T15" s="30"/>
      <c r="U15" s="34"/>
      <c r="V15" s="32"/>
    </row>
    <row r="16" spans="1:22" x14ac:dyDescent="0.2">
      <c r="A16" s="1">
        <f t="shared" si="0"/>
        <v>16</v>
      </c>
      <c r="B16" t="s">
        <v>131</v>
      </c>
      <c r="D16" s="1">
        <v>3000</v>
      </c>
      <c r="I16" t="s">
        <v>131</v>
      </c>
      <c r="K16" s="22"/>
      <c r="L16" s="33">
        <f>$D16</f>
        <v>3000</v>
      </c>
      <c r="M16" s="28"/>
      <c r="N16" s="30"/>
      <c r="O16" s="33">
        <f>$D16</f>
        <v>3000</v>
      </c>
      <c r="P16" s="28"/>
      <c r="Q16" s="30"/>
      <c r="R16" s="33">
        <f>$D16</f>
        <v>3000</v>
      </c>
      <c r="S16" s="28"/>
      <c r="T16" s="30"/>
      <c r="U16" s="33">
        <f>$D16</f>
        <v>3000</v>
      </c>
      <c r="V16" s="32"/>
    </row>
    <row r="17" spans="1:22" x14ac:dyDescent="0.2">
      <c r="A17" s="1">
        <f t="shared" si="0"/>
        <v>17</v>
      </c>
      <c r="B17" t="s">
        <v>132</v>
      </c>
      <c r="D17" s="59">
        <v>0</v>
      </c>
      <c r="E17" t="s">
        <v>138</v>
      </c>
      <c r="I17" t="s">
        <v>132</v>
      </c>
      <c r="K17" s="22"/>
      <c r="L17" s="36">
        <f>$D17</f>
        <v>0</v>
      </c>
      <c r="M17" s="28"/>
      <c r="N17" s="30"/>
      <c r="O17" s="36">
        <f>$D17</f>
        <v>0</v>
      </c>
      <c r="P17" s="28"/>
      <c r="Q17" s="30"/>
      <c r="R17" s="36">
        <f>$D17</f>
        <v>0</v>
      </c>
      <c r="S17" s="28"/>
      <c r="T17" s="30"/>
      <c r="U17" s="36">
        <f>$D17</f>
        <v>0</v>
      </c>
      <c r="V17" s="32"/>
    </row>
    <row r="18" spans="1:22" x14ac:dyDescent="0.2">
      <c r="A18" s="1">
        <f t="shared" si="0"/>
        <v>18</v>
      </c>
      <c r="K18" s="22"/>
      <c r="L18" s="34"/>
      <c r="M18" s="28"/>
      <c r="N18" s="30"/>
      <c r="O18" s="34"/>
      <c r="P18" s="28"/>
      <c r="Q18" s="30"/>
      <c r="R18" s="34"/>
      <c r="S18" s="28"/>
      <c r="T18" s="30"/>
      <c r="U18" s="34"/>
      <c r="V18" s="32"/>
    </row>
    <row r="19" spans="1:22" x14ac:dyDescent="0.2">
      <c r="A19" s="1">
        <f t="shared" si="0"/>
        <v>19</v>
      </c>
      <c r="B19" t="s">
        <v>134</v>
      </c>
      <c r="D19" s="8">
        <v>-1.44</v>
      </c>
      <c r="E19" t="s">
        <v>137</v>
      </c>
      <c r="I19" t="s">
        <v>134</v>
      </c>
      <c r="K19" s="22"/>
      <c r="L19" s="36">
        <f>$D19</f>
        <v>-1.44</v>
      </c>
      <c r="M19" s="28"/>
      <c r="N19" s="30"/>
      <c r="O19" s="36">
        <f>$D19</f>
        <v>-1.44</v>
      </c>
      <c r="P19" s="28"/>
      <c r="Q19" s="30"/>
      <c r="R19" s="36">
        <f>$D19</f>
        <v>-1.44</v>
      </c>
      <c r="S19" s="28"/>
      <c r="T19" s="30"/>
      <c r="U19" s="36">
        <f>$D19</f>
        <v>-1.44</v>
      </c>
      <c r="V19" s="32"/>
    </row>
    <row r="20" spans="1:22" x14ac:dyDescent="0.2">
      <c r="A20" s="1">
        <f t="shared" si="0"/>
        <v>20</v>
      </c>
      <c r="B20" t="s">
        <v>133</v>
      </c>
      <c r="D20" s="8">
        <v>-0.34</v>
      </c>
      <c r="E20" t="s">
        <v>136</v>
      </c>
      <c r="I20" t="s">
        <v>133</v>
      </c>
      <c r="K20" s="22"/>
      <c r="L20" s="36">
        <f>$D20</f>
        <v>-0.34</v>
      </c>
      <c r="M20" s="28"/>
      <c r="N20" s="30"/>
      <c r="O20" s="36">
        <f>$D20</f>
        <v>-0.34</v>
      </c>
      <c r="P20" s="28"/>
      <c r="Q20" s="30"/>
      <c r="R20" s="36">
        <f>$D20</f>
        <v>-0.34</v>
      </c>
      <c r="S20" s="28"/>
      <c r="T20" s="30"/>
      <c r="U20" s="36">
        <f>$D20</f>
        <v>-0.34</v>
      </c>
      <c r="V20" s="32"/>
    </row>
    <row r="21" spans="1:22" x14ac:dyDescent="0.2">
      <c r="A21" s="1">
        <f t="shared" si="0"/>
        <v>21</v>
      </c>
      <c r="B21" t="s">
        <v>135</v>
      </c>
      <c r="D21" s="8">
        <v>0.35</v>
      </c>
      <c r="E21" t="s">
        <v>137</v>
      </c>
      <c r="I21" t="s">
        <v>135</v>
      </c>
      <c r="K21" s="22"/>
      <c r="L21" s="36">
        <f>$D21</f>
        <v>0.35</v>
      </c>
      <c r="M21" s="28"/>
      <c r="N21" s="30"/>
      <c r="O21" s="36">
        <f>$D21</f>
        <v>0.35</v>
      </c>
      <c r="P21" s="28"/>
      <c r="Q21" s="30"/>
      <c r="R21" s="36">
        <f>$D21</f>
        <v>0.35</v>
      </c>
      <c r="S21" s="28"/>
      <c r="T21" s="30"/>
      <c r="U21" s="36">
        <f>$D21</f>
        <v>0.35</v>
      </c>
      <c r="V21" s="32"/>
    </row>
    <row r="22" spans="1:22" x14ac:dyDescent="0.2">
      <c r="A22" s="1">
        <f t="shared" si="0"/>
        <v>22</v>
      </c>
      <c r="K22" s="22"/>
      <c r="L22" s="34"/>
      <c r="M22" s="28"/>
      <c r="N22" s="30"/>
      <c r="O22" s="28"/>
      <c r="P22" s="28"/>
      <c r="Q22" s="30"/>
      <c r="R22" s="28"/>
      <c r="S22" s="28"/>
      <c r="T22" s="30"/>
      <c r="U22" s="28"/>
      <c r="V22" s="32"/>
    </row>
    <row r="23" spans="1:22" x14ac:dyDescent="0.2">
      <c r="A23" s="1">
        <f t="shared" si="0"/>
        <v>23</v>
      </c>
      <c r="D23" s="113" t="s">
        <v>57</v>
      </c>
      <c r="E23" s="115"/>
      <c r="F23" s="113" t="s">
        <v>58</v>
      </c>
      <c r="G23" s="115"/>
      <c r="L23" s="28"/>
      <c r="M23" s="28"/>
      <c r="N23" s="28"/>
      <c r="O23" s="28"/>
      <c r="P23" s="28"/>
      <c r="Q23" s="28"/>
      <c r="R23" s="28"/>
      <c r="S23" s="28"/>
      <c r="T23" s="28"/>
      <c r="U23" s="28"/>
      <c r="V23" s="28"/>
    </row>
    <row r="24" spans="1:22" ht="15" thickBot="1" x14ac:dyDescent="0.25">
      <c r="A24" s="1">
        <f t="shared" si="0"/>
        <v>24</v>
      </c>
      <c r="C24" s="4" t="s">
        <v>26</v>
      </c>
      <c r="D24" s="4" t="s">
        <v>27</v>
      </c>
      <c r="E24" s="4" t="s">
        <v>28</v>
      </c>
      <c r="F24" s="4" t="s">
        <v>27</v>
      </c>
      <c r="G24" s="4" t="s">
        <v>28</v>
      </c>
      <c r="K24" s="4" t="s">
        <v>26</v>
      </c>
      <c r="L24" s="4" t="s">
        <v>27</v>
      </c>
      <c r="M24" s="4" t="s">
        <v>28</v>
      </c>
      <c r="N24" s="4" t="s">
        <v>26</v>
      </c>
      <c r="O24" s="4" t="s">
        <v>27</v>
      </c>
      <c r="P24" s="4" t="s">
        <v>28</v>
      </c>
      <c r="Q24" s="4" t="s">
        <v>26</v>
      </c>
      <c r="R24" s="4" t="s">
        <v>27</v>
      </c>
      <c r="S24" s="4" t="s">
        <v>28</v>
      </c>
      <c r="T24" s="4" t="s">
        <v>26</v>
      </c>
      <c r="U24" s="4" t="s">
        <v>27</v>
      </c>
      <c r="V24" s="4" t="s">
        <v>28</v>
      </c>
    </row>
    <row r="25" spans="1:22" x14ac:dyDescent="0.2">
      <c r="A25" s="1">
        <f t="shared" si="0"/>
        <v>25</v>
      </c>
    </row>
    <row r="26" spans="1:22" x14ac:dyDescent="0.2">
      <c r="A26" s="1">
        <f t="shared" si="0"/>
        <v>26</v>
      </c>
      <c r="B26" t="s">
        <v>29</v>
      </c>
      <c r="C26" s="1">
        <f>D9</f>
        <v>650</v>
      </c>
      <c r="D26" s="8">
        <v>6.02</v>
      </c>
      <c r="E26" s="9">
        <f>ROUND(C26*D26,0)</f>
        <v>3913</v>
      </c>
      <c r="F26" s="8">
        <v>7.17</v>
      </c>
      <c r="G26" s="9">
        <f>ROUND(C26*F26,0)</f>
        <v>4661</v>
      </c>
      <c r="J26" t="s">
        <v>50</v>
      </c>
      <c r="L26" s="8">
        <v>107.68</v>
      </c>
      <c r="M26" s="8">
        <f>L26</f>
        <v>107.68</v>
      </c>
      <c r="O26" s="8">
        <v>65.510000000000005</v>
      </c>
      <c r="P26" s="8">
        <f>O26</f>
        <v>65.510000000000005</v>
      </c>
      <c r="R26" s="8">
        <v>614.28</v>
      </c>
      <c r="S26" s="8">
        <f>R26</f>
        <v>614.28</v>
      </c>
      <c r="U26" s="8">
        <f>145.86+367.59</f>
        <v>513.45000000000005</v>
      </c>
      <c r="V26" s="8">
        <f>U26</f>
        <v>513.45000000000005</v>
      </c>
    </row>
    <row r="27" spans="1:22" x14ac:dyDescent="0.2">
      <c r="A27" s="1">
        <f t="shared" si="0"/>
        <v>27</v>
      </c>
      <c r="E27" s="9"/>
      <c r="G27" s="9"/>
      <c r="L27" s="8"/>
      <c r="M27" s="8"/>
      <c r="O27" s="8"/>
      <c r="P27" s="8"/>
      <c r="R27" s="8"/>
      <c r="S27" s="8"/>
      <c r="U27" s="8"/>
      <c r="V27" s="8"/>
    </row>
    <row r="28" spans="1:22" x14ac:dyDescent="0.2">
      <c r="A28" s="1">
        <f t="shared" si="0"/>
        <v>28</v>
      </c>
      <c r="B28" t="s">
        <v>30</v>
      </c>
      <c r="E28" s="9"/>
      <c r="G28" s="9"/>
      <c r="J28" t="s">
        <v>29</v>
      </c>
      <c r="K28" s="1">
        <f>ROUND(L9*L10,0)</f>
        <v>650</v>
      </c>
      <c r="L28" s="8">
        <v>6.25</v>
      </c>
      <c r="M28" s="8">
        <f>ROUND(K28*L28,2)</f>
        <v>4062.5</v>
      </c>
      <c r="N28" s="1">
        <f>ROUND(O9*O10,0)</f>
        <v>650</v>
      </c>
      <c r="O28" s="8">
        <v>6.93</v>
      </c>
      <c r="P28" s="8">
        <f>ROUND(N28*O28,2)</f>
        <v>4504.5</v>
      </c>
      <c r="Q28" s="1">
        <f>ROUND(R9*R10,0)</f>
        <v>650</v>
      </c>
      <c r="R28" s="8">
        <v>7.17</v>
      </c>
      <c r="S28" s="8">
        <f>ROUND(Q28*R28,2)</f>
        <v>4660.5</v>
      </c>
      <c r="T28" s="1">
        <f>ROUND(U9*U10,0)</f>
        <v>650</v>
      </c>
      <c r="U28" s="8">
        <v>6.29</v>
      </c>
      <c r="V28" s="8">
        <f>ROUND(T28*U28,2)</f>
        <v>4088.5</v>
      </c>
    </row>
    <row r="29" spans="1:22" x14ac:dyDescent="0.2">
      <c r="A29" s="1">
        <f t="shared" si="0"/>
        <v>29</v>
      </c>
      <c r="B29" t="s">
        <v>59</v>
      </c>
      <c r="C29" s="1">
        <f>D11</f>
        <v>392000</v>
      </c>
      <c r="D29" s="6"/>
      <c r="E29" s="9"/>
      <c r="F29" s="6">
        <v>4.0502000000000003E-2</v>
      </c>
      <c r="G29" s="9">
        <f>ROUND(C29*F29,0)</f>
        <v>15877</v>
      </c>
      <c r="K29" s="1"/>
      <c r="M29" s="8"/>
      <c r="N29" s="1"/>
      <c r="P29" s="8"/>
      <c r="Q29" s="1"/>
      <c r="S29" s="8"/>
      <c r="T29" s="1"/>
      <c r="V29" s="8"/>
    </row>
    <row r="30" spans="1:22" x14ac:dyDescent="0.2">
      <c r="A30" s="1">
        <f t="shared" si="0"/>
        <v>30</v>
      </c>
      <c r="B30" t="s">
        <v>31</v>
      </c>
      <c r="C30" s="1">
        <f>ROUND(D11*0.5,0)</f>
        <v>196000</v>
      </c>
      <c r="D30" s="6">
        <v>5.0899E-2</v>
      </c>
      <c r="E30" s="9">
        <f t="shared" ref="E30:E31" si="1">ROUND(C30*D30,0)</f>
        <v>9976</v>
      </c>
      <c r="G30" s="9"/>
      <c r="J30" t="s">
        <v>53</v>
      </c>
      <c r="K30" s="1">
        <f>ROUND(L11*(1-L13),0)</f>
        <v>371004</v>
      </c>
      <c r="L30" s="6">
        <v>5.176E-2</v>
      </c>
      <c r="M30" s="8">
        <f>ROUND(K30*L30,2)</f>
        <v>19203.169999999998</v>
      </c>
      <c r="N30" s="1">
        <f>ROUND(O11*(1-O13),0)</f>
        <v>377888</v>
      </c>
      <c r="O30" s="6">
        <v>5.1330000000000001E-2</v>
      </c>
      <c r="P30" s="8">
        <f>ROUND(N30*O30,2)</f>
        <v>19396.990000000002</v>
      </c>
      <c r="Q30" s="1">
        <f>ROUND(R11*(1-R13),0)</f>
        <v>378366</v>
      </c>
      <c r="R30" s="6">
        <v>4.9829999999999999E-2</v>
      </c>
      <c r="S30" s="8">
        <f>ROUND(Q30*R30,2)</f>
        <v>18853.98</v>
      </c>
      <c r="T30" s="1">
        <f>ROUND(U11*(1-U13),0)</f>
        <v>372118</v>
      </c>
      <c r="U30" s="6">
        <v>4.904E-2</v>
      </c>
      <c r="V30" s="8">
        <f>ROUND(T30*U30,2)</f>
        <v>18248.669999999998</v>
      </c>
    </row>
    <row r="31" spans="1:22" x14ac:dyDescent="0.2">
      <c r="A31" s="1">
        <f t="shared" si="0"/>
        <v>31</v>
      </c>
      <c r="B31" t="s">
        <v>32</v>
      </c>
      <c r="C31" s="1">
        <f>ROUND(D11*0.5,0)</f>
        <v>196000</v>
      </c>
      <c r="D31" s="6">
        <v>4.2174000000000003E-2</v>
      </c>
      <c r="E31" s="9">
        <f t="shared" si="1"/>
        <v>8266</v>
      </c>
      <c r="G31" s="9"/>
      <c r="K31" s="1"/>
      <c r="M31" s="8"/>
      <c r="N31" s="1"/>
      <c r="P31" s="8"/>
      <c r="Q31" s="1"/>
      <c r="S31" s="8"/>
      <c r="T31" s="1"/>
      <c r="V31" s="8"/>
    </row>
    <row r="32" spans="1:22" x14ac:dyDescent="0.2">
      <c r="A32" s="1">
        <f t="shared" si="0"/>
        <v>32</v>
      </c>
      <c r="E32" s="9"/>
      <c r="G32" s="9"/>
      <c r="J32" t="s">
        <v>35</v>
      </c>
      <c r="K32" s="1">
        <f>K30</f>
        <v>371004</v>
      </c>
      <c r="L32" s="6">
        <f>Background!C29</f>
        <v>-3.3099999999999996E-3</v>
      </c>
      <c r="M32" s="12">
        <f>ROUND(K32*L32,2)</f>
        <v>-1228.02</v>
      </c>
      <c r="N32" s="1">
        <f>N30</f>
        <v>377888</v>
      </c>
      <c r="O32" s="6">
        <f>Background!D29</f>
        <v>-2.8410000000000002E-3</v>
      </c>
      <c r="P32" s="12">
        <f>ROUND(N32*O32,2)</f>
        <v>-1073.58</v>
      </c>
      <c r="Q32" s="1">
        <f>Q30</f>
        <v>378366</v>
      </c>
      <c r="R32" s="6">
        <f>Background!E29</f>
        <v>-2.9830000000000004E-3</v>
      </c>
      <c r="S32" s="12">
        <f>ROUND(Q32*R32,2)</f>
        <v>-1128.67</v>
      </c>
      <c r="T32" s="1">
        <f>T30</f>
        <v>372118</v>
      </c>
      <c r="U32" s="6">
        <f>Background!F29</f>
        <v>-3.2440000000000004E-3</v>
      </c>
      <c r="V32" s="12">
        <f>ROUND(T32*U32,2)</f>
        <v>-1207.1500000000001</v>
      </c>
    </row>
    <row r="33" spans="1:22" x14ac:dyDescent="0.2">
      <c r="A33" s="1">
        <f t="shared" si="0"/>
        <v>33</v>
      </c>
      <c r="B33" t="s">
        <v>35</v>
      </c>
      <c r="C33" s="1">
        <f>C29</f>
        <v>392000</v>
      </c>
      <c r="D33" s="6">
        <f>Background!F71</f>
        <v>-2.0799999999999998E-3</v>
      </c>
      <c r="E33" s="10">
        <f>ROUND(C33*D33,0)</f>
        <v>-815</v>
      </c>
      <c r="F33" s="6">
        <f>D33</f>
        <v>-2.0799999999999998E-3</v>
      </c>
      <c r="G33" s="10">
        <f>ROUND(C33*F33,0)</f>
        <v>-815</v>
      </c>
      <c r="M33" s="8"/>
      <c r="P33" s="8"/>
      <c r="S33" s="8"/>
      <c r="V33" s="8"/>
    </row>
    <row r="34" spans="1:22" x14ac:dyDescent="0.2">
      <c r="A34" s="1">
        <f t="shared" si="0"/>
        <v>34</v>
      </c>
      <c r="E34" s="9"/>
      <c r="G34" s="9"/>
      <c r="M34" s="8"/>
      <c r="P34" s="8"/>
      <c r="S34" s="8"/>
      <c r="V34" s="8"/>
    </row>
    <row r="35" spans="1:22" x14ac:dyDescent="0.2">
      <c r="A35" s="1">
        <f t="shared" si="0"/>
        <v>35</v>
      </c>
      <c r="B35" t="s">
        <v>36</v>
      </c>
      <c r="E35" s="9">
        <f>SUM(E26:E33)</f>
        <v>21340</v>
      </c>
      <c r="G35" s="9">
        <f>SUM(G26:G33)</f>
        <v>19723</v>
      </c>
      <c r="J35" t="s">
        <v>36</v>
      </c>
      <c r="M35" s="8">
        <f>SUM(M26:M32)</f>
        <v>22145.329999999998</v>
      </c>
      <c r="P35" s="8">
        <f>SUM(P26:P32)</f>
        <v>22893.42</v>
      </c>
      <c r="S35" s="8">
        <f>SUM(S26:S32)</f>
        <v>23000.089999999997</v>
      </c>
      <c r="V35" s="8">
        <f>SUM(V26:V32)</f>
        <v>21643.469999999998</v>
      </c>
    </row>
    <row r="36" spans="1:22" x14ac:dyDescent="0.2">
      <c r="A36" s="1">
        <f t="shared" si="0"/>
        <v>36</v>
      </c>
      <c r="E36" s="9"/>
      <c r="G36" s="9"/>
      <c r="M36" s="8"/>
      <c r="P36" s="8"/>
      <c r="S36" s="8"/>
      <c r="V36" s="8"/>
    </row>
    <row r="37" spans="1:22" x14ac:dyDescent="0.2">
      <c r="A37" s="1">
        <f t="shared" si="0"/>
        <v>37</v>
      </c>
      <c r="B37" t="s">
        <v>37</v>
      </c>
      <c r="D37" s="7">
        <f>Background!F73</f>
        <v>0.15290000000000001</v>
      </c>
      <c r="E37" s="10">
        <f>ROUND(E35*D37,0)</f>
        <v>3263</v>
      </c>
      <c r="F37" s="7">
        <f>D37</f>
        <v>0.15290000000000001</v>
      </c>
      <c r="G37" s="10">
        <f>ROUND(G35*F37,0)</f>
        <v>3016</v>
      </c>
      <c r="J37" t="s">
        <v>37</v>
      </c>
      <c r="L37" s="7">
        <f>Background!C51</f>
        <v>0.10050000000000001</v>
      </c>
      <c r="M37" s="12">
        <f>ROUND(M35*L37,2)</f>
        <v>2225.61</v>
      </c>
      <c r="O37" s="7">
        <f>Background!D51</f>
        <v>0.1125</v>
      </c>
      <c r="P37" s="12">
        <f>ROUND(P35*O37,2)</f>
        <v>2575.5100000000002</v>
      </c>
      <c r="R37" s="7">
        <f>Background!E51</f>
        <v>0.1115</v>
      </c>
      <c r="S37" s="12">
        <f>ROUND(S35*R37,2)</f>
        <v>2564.5100000000002</v>
      </c>
      <c r="U37" s="7">
        <f>Background!F51</f>
        <v>0.1076</v>
      </c>
      <c r="V37" s="12">
        <f>ROUND(V35*U37,2)</f>
        <v>2328.84</v>
      </c>
    </row>
    <row r="38" spans="1:22" x14ac:dyDescent="0.2">
      <c r="A38" s="1">
        <f t="shared" si="0"/>
        <v>38</v>
      </c>
      <c r="E38" s="9"/>
      <c r="G38" s="9"/>
      <c r="M38" s="8"/>
      <c r="P38" s="8"/>
      <c r="S38" s="8"/>
      <c r="V38" s="8"/>
    </row>
    <row r="39" spans="1:22" x14ac:dyDescent="0.2">
      <c r="A39" s="1">
        <f t="shared" si="0"/>
        <v>39</v>
      </c>
      <c r="B39" t="s">
        <v>36</v>
      </c>
      <c r="E39" s="9">
        <f>E35+E37</f>
        <v>24603</v>
      </c>
      <c r="G39" s="9">
        <f>G35+G37</f>
        <v>22739</v>
      </c>
      <c r="J39" t="s">
        <v>36</v>
      </c>
      <c r="M39" s="8">
        <f>M35+M37</f>
        <v>24370.94</v>
      </c>
      <c r="P39" s="8">
        <f>P35+P37</f>
        <v>25468.93</v>
      </c>
      <c r="S39" s="8">
        <f>S35+S37</f>
        <v>25564.6</v>
      </c>
      <c r="V39" s="8">
        <f>V35+V37</f>
        <v>23972.309999999998</v>
      </c>
    </row>
    <row r="40" spans="1:22" x14ac:dyDescent="0.2">
      <c r="A40" s="1">
        <f t="shared" si="0"/>
        <v>40</v>
      </c>
      <c r="E40" s="9"/>
      <c r="G40" s="9"/>
      <c r="M40" s="8"/>
      <c r="P40" s="8"/>
      <c r="S40" s="8"/>
      <c r="V40" s="8"/>
    </row>
    <row r="41" spans="1:22" x14ac:dyDescent="0.2">
      <c r="A41" s="1">
        <f t="shared" si="0"/>
        <v>41</v>
      </c>
      <c r="B41" t="s">
        <v>60</v>
      </c>
      <c r="E41" s="9"/>
      <c r="G41" s="9"/>
      <c r="J41" t="s">
        <v>60</v>
      </c>
      <c r="M41" s="8"/>
      <c r="P41" s="8"/>
      <c r="S41" s="8"/>
      <c r="V41" s="8"/>
    </row>
    <row r="42" spans="1:22" x14ac:dyDescent="0.2">
      <c r="A42" s="1">
        <f t="shared" si="0"/>
        <v>42</v>
      </c>
      <c r="B42" t="s">
        <v>41</v>
      </c>
      <c r="C42" s="1">
        <f>D16</f>
        <v>3000</v>
      </c>
      <c r="D42" s="8">
        <f>D19</f>
        <v>-1.44</v>
      </c>
      <c r="E42" s="9">
        <f t="shared" ref="E42:E44" si="2">ROUND(C42*D42,0)</f>
        <v>-4320</v>
      </c>
      <c r="F42" s="8">
        <f>D42</f>
        <v>-1.44</v>
      </c>
      <c r="G42" s="16">
        <f t="shared" ref="G42:G44" si="3">ROUND(C42*F42,0)</f>
        <v>-4320</v>
      </c>
      <c r="J42" t="s">
        <v>41</v>
      </c>
      <c r="K42" s="1">
        <f>D16</f>
        <v>3000</v>
      </c>
      <c r="L42" s="8">
        <f>$D19</f>
        <v>-1.44</v>
      </c>
      <c r="M42" s="13">
        <f t="shared" ref="M42:M44" si="4">ROUND(K42*L42,2)</f>
        <v>-4320</v>
      </c>
      <c r="N42" s="1">
        <f>K42</f>
        <v>3000</v>
      </c>
      <c r="O42" s="8">
        <f>$D19</f>
        <v>-1.44</v>
      </c>
      <c r="P42" s="8">
        <f t="shared" ref="P42:P44" si="5">ROUND(N42*O42,2)</f>
        <v>-4320</v>
      </c>
      <c r="Q42" s="1">
        <f>K42</f>
        <v>3000</v>
      </c>
      <c r="R42" s="8">
        <f>$D19</f>
        <v>-1.44</v>
      </c>
      <c r="S42" s="8">
        <f t="shared" ref="S42:S44" si="6">ROUND(Q42*R42,2)</f>
        <v>-4320</v>
      </c>
      <c r="T42" s="1">
        <f>K42</f>
        <v>3000</v>
      </c>
      <c r="U42" s="8">
        <f>$D19</f>
        <v>-1.44</v>
      </c>
      <c r="V42" s="8">
        <f t="shared" ref="V42:V44" si="7">ROUND(T42*U42,2)</f>
        <v>-4320</v>
      </c>
    </row>
    <row r="43" spans="1:22" x14ac:dyDescent="0.2">
      <c r="A43" s="1">
        <f t="shared" si="0"/>
        <v>43</v>
      </c>
      <c r="B43" t="s">
        <v>61</v>
      </c>
      <c r="C43" s="1">
        <f>C42</f>
        <v>3000</v>
      </c>
      <c r="D43" s="8">
        <f>D20</f>
        <v>-0.34</v>
      </c>
      <c r="E43" s="9">
        <f t="shared" si="2"/>
        <v>-1020</v>
      </c>
      <c r="F43" s="8">
        <f>D43</f>
        <v>-0.34</v>
      </c>
      <c r="G43" s="16">
        <f t="shared" si="3"/>
        <v>-1020</v>
      </c>
      <c r="J43" t="s">
        <v>61</v>
      </c>
      <c r="K43" s="1">
        <f>K42</f>
        <v>3000</v>
      </c>
      <c r="L43" s="8">
        <f>$D20</f>
        <v>-0.34</v>
      </c>
      <c r="M43" s="13">
        <f t="shared" si="4"/>
        <v>-1020</v>
      </c>
      <c r="N43" s="1">
        <f>K43</f>
        <v>3000</v>
      </c>
      <c r="O43" s="8">
        <f>$D20</f>
        <v>-0.34</v>
      </c>
      <c r="P43" s="8">
        <f t="shared" si="5"/>
        <v>-1020</v>
      </c>
      <c r="Q43" s="1">
        <f>K43</f>
        <v>3000</v>
      </c>
      <c r="R43" s="8">
        <f>$D20</f>
        <v>-0.34</v>
      </c>
      <c r="S43" s="8">
        <f t="shared" si="6"/>
        <v>-1020</v>
      </c>
      <c r="T43" s="1">
        <f>K43</f>
        <v>3000</v>
      </c>
      <c r="U43" s="8">
        <f>$D20</f>
        <v>-0.34</v>
      </c>
      <c r="V43" s="8">
        <f t="shared" si="7"/>
        <v>-1020</v>
      </c>
    </row>
    <row r="44" spans="1:22" x14ac:dyDescent="0.2">
      <c r="A44" s="1">
        <f t="shared" si="0"/>
        <v>44</v>
      </c>
      <c r="B44" t="s">
        <v>62</v>
      </c>
      <c r="C44" s="1">
        <f>C42</f>
        <v>3000</v>
      </c>
      <c r="D44" s="8">
        <f>D21</f>
        <v>0.35</v>
      </c>
      <c r="E44" s="10">
        <f t="shared" si="2"/>
        <v>1050</v>
      </c>
      <c r="F44" s="8">
        <f>D44</f>
        <v>0.35</v>
      </c>
      <c r="G44" s="10">
        <f t="shared" si="3"/>
        <v>1050</v>
      </c>
      <c r="J44" t="s">
        <v>62</v>
      </c>
      <c r="K44" s="1">
        <f>K42</f>
        <v>3000</v>
      </c>
      <c r="L44" s="8">
        <f>$D21</f>
        <v>0.35</v>
      </c>
      <c r="M44" s="12">
        <f t="shared" si="4"/>
        <v>1050</v>
      </c>
      <c r="N44" s="1">
        <f>K44</f>
        <v>3000</v>
      </c>
      <c r="O44" s="8">
        <f>$D21</f>
        <v>0.35</v>
      </c>
      <c r="P44" s="12">
        <f t="shared" si="5"/>
        <v>1050</v>
      </c>
      <c r="Q44" s="1">
        <f>K44</f>
        <v>3000</v>
      </c>
      <c r="R44" s="8">
        <f>$D21</f>
        <v>0.35</v>
      </c>
      <c r="S44" s="12">
        <f t="shared" si="6"/>
        <v>1050</v>
      </c>
      <c r="T44" s="1">
        <f>K44</f>
        <v>3000</v>
      </c>
      <c r="U44" s="8">
        <f>$D21</f>
        <v>0.35</v>
      </c>
      <c r="V44" s="12">
        <f t="shared" si="7"/>
        <v>1050</v>
      </c>
    </row>
    <row r="45" spans="1:22" x14ac:dyDescent="0.2">
      <c r="A45" s="1">
        <f t="shared" si="0"/>
        <v>45</v>
      </c>
      <c r="B45" t="s">
        <v>63</v>
      </c>
      <c r="E45" s="9">
        <f>SUM(E42:E44)</f>
        <v>-4290</v>
      </c>
      <c r="G45" s="9">
        <f>SUM(G42:G44)</f>
        <v>-4290</v>
      </c>
      <c r="J45" t="s">
        <v>63</v>
      </c>
      <c r="M45" s="8">
        <f>SUM(M42:M44)</f>
        <v>-4290</v>
      </c>
      <c r="P45" s="8">
        <f>SUM(P42:P44)</f>
        <v>-4290</v>
      </c>
      <c r="S45" s="8">
        <f>SUM(S42:S44)</f>
        <v>-4290</v>
      </c>
      <c r="V45" s="8">
        <f>SUM(V42:V44)</f>
        <v>-4290</v>
      </c>
    </row>
    <row r="46" spans="1:22" x14ac:dyDescent="0.2">
      <c r="A46" s="1">
        <f t="shared" si="0"/>
        <v>46</v>
      </c>
      <c r="E46" s="9"/>
      <c r="G46" s="9"/>
      <c r="M46" s="8"/>
      <c r="P46" s="8"/>
      <c r="S46" s="8"/>
      <c r="V46" s="8"/>
    </row>
    <row r="47" spans="1:22" ht="15" thickBot="1" x14ac:dyDescent="0.25">
      <c r="A47" s="1">
        <f t="shared" si="0"/>
        <v>47</v>
      </c>
      <c r="B47" t="s">
        <v>64</v>
      </c>
      <c r="E47" s="11">
        <f>E39+E45</f>
        <v>20313</v>
      </c>
      <c r="G47" s="11">
        <f>G39+G45</f>
        <v>18449</v>
      </c>
      <c r="J47" t="s">
        <v>64</v>
      </c>
      <c r="M47" s="14">
        <f>M39+M45</f>
        <v>20080.939999999999</v>
      </c>
      <c r="P47" s="14">
        <f>P39+P45</f>
        <v>21178.93</v>
      </c>
      <c r="S47" s="14">
        <f>S39+S45</f>
        <v>21274.6</v>
      </c>
      <c r="V47" s="14">
        <f>V39+V45</f>
        <v>19682.309999999998</v>
      </c>
    </row>
    <row r="48" spans="1:22" ht="15" thickTop="1" x14ac:dyDescent="0.2">
      <c r="A48" s="1">
        <f t="shared" si="0"/>
        <v>48</v>
      </c>
      <c r="E48" s="9"/>
      <c r="G48" s="9"/>
      <c r="M48" s="8"/>
      <c r="P48" s="8"/>
      <c r="S48" s="8"/>
      <c r="V48" s="8"/>
    </row>
    <row r="49" spans="1:22" ht="15" thickBot="1" x14ac:dyDescent="0.25">
      <c r="A49" s="1">
        <f t="shared" si="0"/>
        <v>49</v>
      </c>
      <c r="E49" s="9"/>
      <c r="G49" s="9"/>
      <c r="J49" t="s">
        <v>104</v>
      </c>
      <c r="M49" s="14">
        <f>M47-E47</f>
        <v>-232.06000000000131</v>
      </c>
      <c r="P49" s="14">
        <f>P47-E47</f>
        <v>865.93000000000029</v>
      </c>
      <c r="S49" s="14">
        <f>S47-G47</f>
        <v>2825.5999999999985</v>
      </c>
      <c r="V49" s="14">
        <f>V47-G47</f>
        <v>1233.3099999999977</v>
      </c>
    </row>
    <row r="50" spans="1:22" ht="15" thickTop="1" x14ac:dyDescent="0.2">
      <c r="A50" s="1">
        <f t="shared" si="0"/>
        <v>50</v>
      </c>
      <c r="E50" s="9"/>
      <c r="G50" s="9"/>
      <c r="M50" s="8"/>
      <c r="P50" s="8"/>
      <c r="S50" s="8"/>
      <c r="V50" s="8"/>
    </row>
    <row r="51" spans="1:22" ht="15" thickBot="1" x14ac:dyDescent="0.25">
      <c r="A51" s="1">
        <f t="shared" si="0"/>
        <v>51</v>
      </c>
      <c r="B51" t="s">
        <v>139</v>
      </c>
      <c r="E51" s="11">
        <f>ROUND(D16*D17,0)</f>
        <v>0</v>
      </c>
      <c r="G51" s="11">
        <f>ROUND(D16*D17,0)</f>
        <v>0</v>
      </c>
      <c r="J51" t="s">
        <v>139</v>
      </c>
      <c r="M51" s="14">
        <f>E51</f>
        <v>0</v>
      </c>
      <c r="P51" s="14">
        <f>E51</f>
        <v>0</v>
      </c>
      <c r="S51" s="14">
        <f>G51</f>
        <v>0</v>
      </c>
      <c r="V51" s="14">
        <f>G51</f>
        <v>0</v>
      </c>
    </row>
    <row r="52" spans="1:22" ht="15" thickTop="1" x14ac:dyDescent="0.2">
      <c r="A52" s="1">
        <f t="shared" si="0"/>
        <v>52</v>
      </c>
    </row>
    <row r="53" spans="1:22" x14ac:dyDescent="0.2">
      <c r="A53" s="1">
        <f t="shared" si="0"/>
        <v>53</v>
      </c>
    </row>
    <row r="54" spans="1:22" x14ac:dyDescent="0.2">
      <c r="A54" s="1">
        <f t="shared" si="0"/>
        <v>54</v>
      </c>
      <c r="B54" t="s">
        <v>144</v>
      </c>
      <c r="I54" t="s">
        <v>145</v>
      </c>
    </row>
    <row r="55" spans="1:22" x14ac:dyDescent="0.2">
      <c r="A55" s="1">
        <f t="shared" si="0"/>
        <v>55</v>
      </c>
      <c r="K55" s="113" t="s">
        <v>140</v>
      </c>
      <c r="L55" s="114"/>
      <c r="M55" s="115"/>
      <c r="N55" s="113" t="s">
        <v>141</v>
      </c>
      <c r="O55" s="114"/>
      <c r="P55" s="115"/>
      <c r="Q55" s="113" t="s">
        <v>142</v>
      </c>
      <c r="R55" s="114"/>
      <c r="S55" s="115"/>
      <c r="T55" s="113" t="s">
        <v>143</v>
      </c>
      <c r="U55" s="114"/>
      <c r="V55" s="115"/>
    </row>
    <row r="56" spans="1:22" x14ac:dyDescent="0.2">
      <c r="A56" s="1">
        <f t="shared" si="0"/>
        <v>56</v>
      </c>
      <c r="B56" t="s">
        <v>154</v>
      </c>
      <c r="I56" t="s">
        <v>158</v>
      </c>
      <c r="K56" s="21"/>
      <c r="N56" s="21"/>
      <c r="Q56" s="21"/>
      <c r="T56" s="21"/>
      <c r="V56" s="23"/>
    </row>
    <row r="57" spans="1:22" x14ac:dyDescent="0.2">
      <c r="A57" s="1">
        <f t="shared" si="0"/>
        <v>57</v>
      </c>
      <c r="K57" s="22"/>
      <c r="N57" s="22"/>
      <c r="Q57" s="22"/>
      <c r="T57" s="22"/>
      <c r="V57" s="24"/>
    </row>
    <row r="58" spans="1:22" x14ac:dyDescent="0.2">
      <c r="A58" s="1">
        <f t="shared" si="0"/>
        <v>58</v>
      </c>
      <c r="B58" t="s">
        <v>131</v>
      </c>
      <c r="E58" s="1">
        <f>D16</f>
        <v>3000</v>
      </c>
      <c r="I58" t="s">
        <v>131</v>
      </c>
      <c r="K58" s="22"/>
      <c r="L58" s="1">
        <f>$E58</f>
        <v>3000</v>
      </c>
      <c r="N58" s="22"/>
      <c r="O58" s="1">
        <f>$E58</f>
        <v>3000</v>
      </c>
      <c r="Q58" s="22"/>
      <c r="R58" s="1">
        <f>$E58</f>
        <v>3000</v>
      </c>
      <c r="T58" s="22"/>
      <c r="U58" s="1">
        <f>$E58</f>
        <v>3000</v>
      </c>
      <c r="V58" s="24"/>
    </row>
    <row r="59" spans="1:22" x14ac:dyDescent="0.2">
      <c r="A59" s="1">
        <f t="shared" si="0"/>
        <v>59</v>
      </c>
      <c r="B59" t="s">
        <v>155</v>
      </c>
      <c r="E59" s="8">
        <f>G138</f>
        <v>338.84000000000003</v>
      </c>
      <c r="F59" t="s">
        <v>167</v>
      </c>
      <c r="I59" t="s">
        <v>157</v>
      </c>
      <c r="K59" s="22"/>
      <c r="L59" s="8">
        <f>$E59</f>
        <v>338.84000000000003</v>
      </c>
      <c r="N59" s="22"/>
      <c r="O59" s="8">
        <f>$E59</f>
        <v>338.84000000000003</v>
      </c>
      <c r="Q59" s="22"/>
      <c r="R59" s="8">
        <f>$E59</f>
        <v>338.84000000000003</v>
      </c>
      <c r="T59" s="22"/>
      <c r="U59" s="8">
        <f>$E59</f>
        <v>338.84000000000003</v>
      </c>
      <c r="V59" s="24"/>
    </row>
    <row r="60" spans="1:22" x14ac:dyDescent="0.2">
      <c r="A60" s="1">
        <f t="shared" si="0"/>
        <v>60</v>
      </c>
      <c r="B60" t="s">
        <v>156</v>
      </c>
      <c r="E60" s="1">
        <f>ROUND(15*12,0)</f>
        <v>180</v>
      </c>
      <c r="I60" t="s">
        <v>156</v>
      </c>
      <c r="K60" s="22"/>
      <c r="L60" s="1">
        <f>$E60</f>
        <v>180</v>
      </c>
      <c r="N60" s="22"/>
      <c r="O60" s="1">
        <f>$E60</f>
        <v>180</v>
      </c>
      <c r="Q60" s="22"/>
      <c r="R60" s="1">
        <f>$E60</f>
        <v>180</v>
      </c>
      <c r="T60" s="22"/>
      <c r="U60" s="1">
        <f>$E60</f>
        <v>180</v>
      </c>
      <c r="V60" s="24"/>
    </row>
    <row r="61" spans="1:22" x14ac:dyDescent="0.2">
      <c r="A61" s="1">
        <f t="shared" si="0"/>
        <v>61</v>
      </c>
      <c r="K61" s="22"/>
      <c r="N61" s="22"/>
      <c r="Q61" s="22"/>
      <c r="T61" s="22"/>
      <c r="V61" s="24"/>
    </row>
    <row r="62" spans="1:22" x14ac:dyDescent="0.2">
      <c r="A62" s="1">
        <f t="shared" si="0"/>
        <v>62</v>
      </c>
      <c r="D62" s="113" t="s">
        <v>57</v>
      </c>
      <c r="E62" s="115"/>
      <c r="F62" s="113" t="s">
        <v>58</v>
      </c>
      <c r="G62" s="115"/>
      <c r="L62" s="28"/>
      <c r="M62" s="28"/>
      <c r="N62" s="28"/>
      <c r="O62" s="28"/>
      <c r="P62" s="28"/>
      <c r="Q62" s="28"/>
      <c r="R62" s="28"/>
      <c r="S62" s="28"/>
      <c r="T62" s="28"/>
      <c r="U62" s="28"/>
      <c r="V62" s="28"/>
    </row>
    <row r="63" spans="1:22" ht="15" thickBot="1" x14ac:dyDescent="0.25">
      <c r="A63" s="1">
        <f t="shared" si="0"/>
        <v>63</v>
      </c>
      <c r="C63" s="4" t="s">
        <v>26</v>
      </c>
      <c r="D63" s="4" t="s">
        <v>27</v>
      </c>
      <c r="E63" s="4" t="s">
        <v>28</v>
      </c>
      <c r="F63" s="4" t="s">
        <v>27</v>
      </c>
      <c r="G63" s="4" t="s">
        <v>28</v>
      </c>
      <c r="K63" s="4" t="s">
        <v>26</v>
      </c>
      <c r="L63" s="4" t="s">
        <v>27</v>
      </c>
      <c r="M63" s="4" t="s">
        <v>28</v>
      </c>
      <c r="N63" s="4" t="s">
        <v>26</v>
      </c>
      <c r="O63" s="4" t="s">
        <v>27</v>
      </c>
      <c r="P63" s="4" t="s">
        <v>28</v>
      </c>
      <c r="Q63" s="4" t="s">
        <v>26</v>
      </c>
      <c r="R63" s="4" t="s">
        <v>27</v>
      </c>
      <c r="S63" s="4" t="s">
        <v>28</v>
      </c>
      <c r="T63" s="4" t="s">
        <v>26</v>
      </c>
      <c r="U63" s="4" t="s">
        <v>27</v>
      </c>
      <c r="V63" s="4" t="s">
        <v>28</v>
      </c>
    </row>
    <row r="64" spans="1:22" x14ac:dyDescent="0.2">
      <c r="A64" s="1">
        <f t="shared" si="0"/>
        <v>64</v>
      </c>
    </row>
    <row r="65" spans="1:22" x14ac:dyDescent="0.2">
      <c r="A65" s="1">
        <f t="shared" si="0"/>
        <v>65</v>
      </c>
      <c r="B65" t="s">
        <v>29</v>
      </c>
      <c r="C65" s="1">
        <f>D9</f>
        <v>650</v>
      </c>
      <c r="D65" s="8">
        <f>D26</f>
        <v>6.02</v>
      </c>
      <c r="E65" s="9">
        <f>ROUND(C65*D65,0)</f>
        <v>3913</v>
      </c>
      <c r="F65" s="8">
        <f>F26</f>
        <v>7.17</v>
      </c>
      <c r="G65" s="9">
        <f>ROUND(C65*F65,0)</f>
        <v>4661</v>
      </c>
      <c r="J65" t="s">
        <v>50</v>
      </c>
      <c r="L65" s="8">
        <f>L26</f>
        <v>107.68</v>
      </c>
      <c r="M65" s="8">
        <f>L65</f>
        <v>107.68</v>
      </c>
      <c r="O65" s="8">
        <f>O26</f>
        <v>65.510000000000005</v>
      </c>
      <c r="P65" s="8">
        <f>O65</f>
        <v>65.510000000000005</v>
      </c>
      <c r="R65" s="8">
        <f>R26</f>
        <v>614.28</v>
      </c>
      <c r="S65" s="8">
        <f>R65</f>
        <v>614.28</v>
      </c>
      <c r="U65" s="8">
        <f>U26</f>
        <v>513.45000000000005</v>
      </c>
      <c r="V65" s="8">
        <f>U65</f>
        <v>513.45000000000005</v>
      </c>
    </row>
    <row r="66" spans="1:22" x14ac:dyDescent="0.2">
      <c r="A66" s="1">
        <f t="shared" si="0"/>
        <v>66</v>
      </c>
      <c r="E66" s="9"/>
      <c r="G66" s="9"/>
      <c r="M66" s="8"/>
      <c r="P66" s="8"/>
      <c r="S66" s="8"/>
      <c r="V66" s="8"/>
    </row>
    <row r="67" spans="1:22" x14ac:dyDescent="0.2">
      <c r="A67" s="1">
        <f t="shared" ref="A67:A130" si="8">A66+1</f>
        <v>67</v>
      </c>
      <c r="B67" t="s">
        <v>30</v>
      </c>
      <c r="E67" s="9"/>
      <c r="G67" s="9"/>
      <c r="J67" t="s">
        <v>29</v>
      </c>
      <c r="K67" s="1">
        <f>ROUND(L9*L10,0)</f>
        <v>650</v>
      </c>
      <c r="L67" s="8">
        <f>L28</f>
        <v>6.25</v>
      </c>
      <c r="M67" s="8">
        <f>ROUND(K67*L67,2)</f>
        <v>4062.5</v>
      </c>
      <c r="N67" s="1">
        <f>ROUND(O9*O10,0)</f>
        <v>650</v>
      </c>
      <c r="O67" s="8">
        <f>O28</f>
        <v>6.93</v>
      </c>
      <c r="P67" s="8">
        <f>ROUND(N67*O67,2)</f>
        <v>4504.5</v>
      </c>
      <c r="Q67" s="1">
        <f>ROUND(R9*R10,0)</f>
        <v>650</v>
      </c>
      <c r="R67" s="8">
        <f>R28</f>
        <v>7.17</v>
      </c>
      <c r="S67" s="8">
        <f>ROUND(Q67*R67,2)</f>
        <v>4660.5</v>
      </c>
      <c r="T67" s="1">
        <f>ROUND(U9*U10,0)</f>
        <v>650</v>
      </c>
      <c r="U67" s="8">
        <f>U28</f>
        <v>6.29</v>
      </c>
      <c r="V67" s="8">
        <f>ROUND(T67*U67,2)</f>
        <v>4088.5</v>
      </c>
    </row>
    <row r="68" spans="1:22" x14ac:dyDescent="0.2">
      <c r="A68" s="1">
        <f t="shared" si="8"/>
        <v>68</v>
      </c>
      <c r="B68" t="s">
        <v>59</v>
      </c>
      <c r="C68" s="1">
        <f>D11-D12</f>
        <v>292000</v>
      </c>
      <c r="E68" s="9"/>
      <c r="F68" s="6">
        <f>F29</f>
        <v>4.0502000000000003E-2</v>
      </c>
      <c r="G68" s="9">
        <f>ROUND(C68*F68,0)</f>
        <v>11827</v>
      </c>
      <c r="M68" s="8"/>
      <c r="P68" s="8"/>
      <c r="S68" s="8"/>
      <c r="V68" s="8"/>
    </row>
    <row r="69" spans="1:22" x14ac:dyDescent="0.2">
      <c r="A69" s="1">
        <f t="shared" si="8"/>
        <v>69</v>
      </c>
      <c r="B69" t="s">
        <v>31</v>
      </c>
      <c r="C69" s="1">
        <f>ROUND((D11*0.5)-D12,0)</f>
        <v>96000</v>
      </c>
      <c r="D69" s="6">
        <f>D30</f>
        <v>5.0899E-2</v>
      </c>
      <c r="E69" s="9">
        <f t="shared" ref="E69:E70" si="9">ROUND(C69*D69,0)</f>
        <v>4886</v>
      </c>
      <c r="G69" s="9"/>
      <c r="J69" t="s">
        <v>53</v>
      </c>
      <c r="K69" s="1">
        <f>ROUND((L11-L12)*(1-L13),0)</f>
        <v>276360</v>
      </c>
      <c r="L69" s="6">
        <f>L30</f>
        <v>5.176E-2</v>
      </c>
      <c r="M69" s="8">
        <f>ROUND(K69*L69,2)</f>
        <v>14304.39</v>
      </c>
      <c r="N69" s="1">
        <f>ROUND((O11-O12)*(1-O13),0)</f>
        <v>281488</v>
      </c>
      <c r="O69" s="6">
        <f>O30</f>
        <v>5.1330000000000001E-2</v>
      </c>
      <c r="P69" s="8">
        <f>ROUND(N69*O69,2)</f>
        <v>14448.78</v>
      </c>
      <c r="Q69" s="1">
        <f>ROUND((R11-R12)*(1-R13),0)</f>
        <v>281844</v>
      </c>
      <c r="R69" s="6">
        <f>R30</f>
        <v>4.9829999999999999E-2</v>
      </c>
      <c r="S69" s="8">
        <f>ROUND(Q69*R69,2)</f>
        <v>14044.29</v>
      </c>
      <c r="T69" s="1">
        <f>ROUND((U11-U12)*(1-U13),0)</f>
        <v>277190</v>
      </c>
      <c r="U69" s="6">
        <f>U30</f>
        <v>4.904E-2</v>
      </c>
      <c r="V69" s="8">
        <f>ROUND(T69*U69,2)</f>
        <v>13593.4</v>
      </c>
    </row>
    <row r="70" spans="1:22" x14ac:dyDescent="0.2">
      <c r="A70" s="1">
        <f t="shared" si="8"/>
        <v>70</v>
      </c>
      <c r="B70" t="s">
        <v>32</v>
      </c>
      <c r="C70" s="1">
        <f>ROUND(D11*0.5,0)</f>
        <v>196000</v>
      </c>
      <c r="D70" s="6">
        <f>D31</f>
        <v>4.2174000000000003E-2</v>
      </c>
      <c r="E70" s="9">
        <f t="shared" si="9"/>
        <v>8266</v>
      </c>
      <c r="G70" s="9"/>
      <c r="M70" s="8"/>
      <c r="P70" s="8"/>
      <c r="S70" s="8"/>
      <c r="V70" s="8"/>
    </row>
    <row r="71" spans="1:22" x14ac:dyDescent="0.2">
      <c r="A71" s="1">
        <f t="shared" si="8"/>
        <v>71</v>
      </c>
      <c r="E71" s="9"/>
      <c r="G71" s="9"/>
      <c r="J71" t="s">
        <v>35</v>
      </c>
      <c r="K71" s="1">
        <f>K69</f>
        <v>276360</v>
      </c>
      <c r="L71" s="6">
        <f>L32</f>
        <v>-3.3099999999999996E-3</v>
      </c>
      <c r="M71" s="12">
        <f>ROUND(K71*L71,2)</f>
        <v>-914.75</v>
      </c>
      <c r="N71" s="1">
        <f>N69</f>
        <v>281488</v>
      </c>
      <c r="O71" s="6">
        <f>O32</f>
        <v>-2.8410000000000002E-3</v>
      </c>
      <c r="P71" s="12">
        <f>ROUND(N71*O71,2)</f>
        <v>-799.71</v>
      </c>
      <c r="Q71" s="1">
        <f>Q69</f>
        <v>281844</v>
      </c>
      <c r="R71" s="6">
        <f>R32</f>
        <v>-2.9830000000000004E-3</v>
      </c>
      <c r="S71" s="12">
        <f>ROUND(Q71*R71,2)</f>
        <v>-840.74</v>
      </c>
      <c r="T71" s="1">
        <f>T69</f>
        <v>277190</v>
      </c>
      <c r="U71" s="6">
        <f>U32</f>
        <v>-3.2440000000000004E-3</v>
      </c>
      <c r="V71" s="12">
        <f>ROUND(T71*U71,2)</f>
        <v>-899.2</v>
      </c>
    </row>
    <row r="72" spans="1:22" x14ac:dyDescent="0.2">
      <c r="A72" s="1">
        <f t="shared" si="8"/>
        <v>72</v>
      </c>
      <c r="B72" t="s">
        <v>35</v>
      </c>
      <c r="C72" s="1">
        <f>C69+C70</f>
        <v>292000</v>
      </c>
      <c r="D72" s="6">
        <f>D33</f>
        <v>-2.0799999999999998E-3</v>
      </c>
      <c r="E72" s="10">
        <f>ROUND(C72*D72,0)</f>
        <v>-607</v>
      </c>
      <c r="F72" s="6">
        <f>F33</f>
        <v>-2.0799999999999998E-3</v>
      </c>
      <c r="G72" s="10">
        <f>ROUND(C72*F72,0)</f>
        <v>-607</v>
      </c>
      <c r="M72" s="8"/>
      <c r="P72" s="8"/>
      <c r="S72" s="8"/>
      <c r="V72" s="8"/>
    </row>
    <row r="73" spans="1:22" x14ac:dyDescent="0.2">
      <c r="A73" s="1">
        <f t="shared" si="8"/>
        <v>73</v>
      </c>
      <c r="E73" s="9"/>
      <c r="G73" s="9"/>
      <c r="M73" s="8"/>
      <c r="P73" s="8"/>
      <c r="S73" s="8"/>
      <c r="V73" s="8"/>
    </row>
    <row r="74" spans="1:22" x14ac:dyDescent="0.2">
      <c r="A74" s="1">
        <f t="shared" si="8"/>
        <v>74</v>
      </c>
      <c r="B74" t="s">
        <v>36</v>
      </c>
      <c r="E74" s="9">
        <f>SUM(E65:E72)</f>
        <v>16458</v>
      </c>
      <c r="G74" s="9">
        <f>SUM(G65:G72)</f>
        <v>15881</v>
      </c>
      <c r="J74" t="s">
        <v>36</v>
      </c>
      <c r="M74" s="8">
        <f>SUM(M65:M71)</f>
        <v>17559.82</v>
      </c>
      <c r="P74" s="8">
        <f>SUM(P65:P71)</f>
        <v>18219.080000000002</v>
      </c>
      <c r="S74" s="8">
        <f>SUM(S65:S71)</f>
        <v>18478.329999999998</v>
      </c>
      <c r="V74" s="8">
        <f>SUM(V65:V71)</f>
        <v>17296.149999999998</v>
      </c>
    </row>
    <row r="75" spans="1:22" x14ac:dyDescent="0.2">
      <c r="A75" s="1">
        <f t="shared" si="8"/>
        <v>75</v>
      </c>
      <c r="E75" s="9"/>
      <c r="G75" s="9"/>
      <c r="M75" s="8"/>
      <c r="P75" s="8"/>
      <c r="S75" s="8"/>
      <c r="V75" s="8"/>
    </row>
    <row r="76" spans="1:22" x14ac:dyDescent="0.2">
      <c r="A76" s="1">
        <f t="shared" si="8"/>
        <v>76</v>
      </c>
      <c r="B76" t="s">
        <v>37</v>
      </c>
      <c r="D76" s="7">
        <f>D37</f>
        <v>0.15290000000000001</v>
      </c>
      <c r="E76" s="10">
        <f>ROUND(E74*D76,0)</f>
        <v>2516</v>
      </c>
      <c r="F76" s="7">
        <f>F37</f>
        <v>0.15290000000000001</v>
      </c>
      <c r="G76" s="10">
        <f>ROUND(G74*F76,0)</f>
        <v>2428</v>
      </c>
      <c r="J76" t="s">
        <v>37</v>
      </c>
      <c r="L76" s="7">
        <f>L37</f>
        <v>0.10050000000000001</v>
      </c>
      <c r="M76" s="12">
        <f>ROUND(M74*L76,2)</f>
        <v>1764.76</v>
      </c>
      <c r="O76" s="7">
        <f>O37</f>
        <v>0.1125</v>
      </c>
      <c r="P76" s="12">
        <f>ROUND(P74*O76,2)</f>
        <v>2049.65</v>
      </c>
      <c r="R76" s="7">
        <f>R37</f>
        <v>0.1115</v>
      </c>
      <c r="S76" s="12">
        <f>ROUND(S74*R76,2)</f>
        <v>2060.33</v>
      </c>
      <c r="U76" s="7">
        <f>U37</f>
        <v>0.1076</v>
      </c>
      <c r="V76" s="12">
        <f>ROUND(V74*U76,2)</f>
        <v>1861.07</v>
      </c>
    </row>
    <row r="77" spans="1:22" x14ac:dyDescent="0.2">
      <c r="A77" s="1">
        <f t="shared" si="8"/>
        <v>77</v>
      </c>
      <c r="E77" s="9"/>
      <c r="G77" s="9"/>
      <c r="M77" s="8"/>
      <c r="P77" s="8"/>
      <c r="S77" s="8"/>
      <c r="V77" s="8"/>
    </row>
    <row r="78" spans="1:22" x14ac:dyDescent="0.2">
      <c r="A78" s="1">
        <f t="shared" si="8"/>
        <v>78</v>
      </c>
      <c r="B78" t="s">
        <v>159</v>
      </c>
      <c r="E78" s="9">
        <f>E74+E76</f>
        <v>18974</v>
      </c>
      <c r="G78" s="9">
        <f>G74+G76</f>
        <v>18309</v>
      </c>
      <c r="J78" t="s">
        <v>159</v>
      </c>
      <c r="M78" s="8">
        <f>M74+M76</f>
        <v>19324.579999999998</v>
      </c>
      <c r="P78" s="8">
        <f>P74+P76</f>
        <v>20268.730000000003</v>
      </c>
      <c r="S78" s="8">
        <f>S74+S76</f>
        <v>20538.659999999996</v>
      </c>
      <c r="V78" s="8">
        <f>V74+V76</f>
        <v>19157.219999999998</v>
      </c>
    </row>
    <row r="79" spans="1:22" x14ac:dyDescent="0.2">
      <c r="A79" s="1">
        <f t="shared" si="8"/>
        <v>79</v>
      </c>
      <c r="E79" s="9"/>
      <c r="G79" s="9"/>
      <c r="M79" s="8"/>
      <c r="P79" s="8"/>
      <c r="S79" s="8"/>
      <c r="V79" s="8"/>
    </row>
    <row r="80" spans="1:22" x14ac:dyDescent="0.2">
      <c r="A80" s="1">
        <f t="shared" si="8"/>
        <v>80</v>
      </c>
      <c r="B80" t="s">
        <v>160</v>
      </c>
      <c r="E80" s="9"/>
      <c r="G80" s="9"/>
      <c r="J80" t="s">
        <v>160</v>
      </c>
      <c r="M80" s="8"/>
      <c r="P80" s="8"/>
      <c r="S80" s="8"/>
      <c r="V80" s="8"/>
    </row>
    <row r="81" spans="1:22" x14ac:dyDescent="0.2">
      <c r="A81" s="1">
        <f t="shared" si="8"/>
        <v>81</v>
      </c>
      <c r="B81" t="s">
        <v>41</v>
      </c>
      <c r="C81" s="1">
        <f>D12</f>
        <v>100000</v>
      </c>
      <c r="D81" s="6">
        <f>D69</f>
        <v>5.0899E-2</v>
      </c>
      <c r="E81" s="9">
        <f t="shared" ref="E81:E83" si="10">ROUND(C81*D81,0)</f>
        <v>5090</v>
      </c>
      <c r="F81" s="6">
        <f>F68</f>
        <v>4.0502000000000003E-2</v>
      </c>
      <c r="G81" s="9">
        <f t="shared" ref="G81:G83" si="11">ROUND(C81*F81,0)</f>
        <v>4050</v>
      </c>
      <c r="J81" t="s">
        <v>41</v>
      </c>
      <c r="K81" s="1">
        <f>ROUND(L12*(1-L13),0)</f>
        <v>94644</v>
      </c>
      <c r="L81" s="6">
        <f>L69</f>
        <v>5.176E-2</v>
      </c>
      <c r="M81" s="8">
        <f t="shared" ref="M81:M83" si="12">ROUND(K81*L81,2)</f>
        <v>4898.7700000000004</v>
      </c>
      <c r="N81" s="1">
        <f>ROUND(O12*(1-O13),0)</f>
        <v>96400</v>
      </c>
      <c r="O81" s="6">
        <f>O69</f>
        <v>5.1330000000000001E-2</v>
      </c>
      <c r="P81" s="8">
        <f t="shared" ref="P81:P83" si="13">ROUND(N81*O81,2)</f>
        <v>4948.21</v>
      </c>
      <c r="Q81" s="1">
        <f>ROUND(R12*(1-R13),0)</f>
        <v>96522</v>
      </c>
      <c r="R81" s="6">
        <f>R69</f>
        <v>4.9829999999999999E-2</v>
      </c>
      <c r="S81" s="8">
        <f t="shared" ref="S81:S83" si="14">ROUND(Q81*R81,2)</f>
        <v>4809.6899999999996</v>
      </c>
      <c r="T81" s="1">
        <f>ROUND(U12*(1-U13),0)</f>
        <v>94928</v>
      </c>
      <c r="U81" s="6">
        <f>U69</f>
        <v>4.904E-2</v>
      </c>
      <c r="V81" s="8">
        <f t="shared" ref="V81:V83" si="15">ROUND(T81*U81,2)</f>
        <v>4655.2700000000004</v>
      </c>
    </row>
    <row r="82" spans="1:22" x14ac:dyDescent="0.2">
      <c r="A82" s="1">
        <f t="shared" si="8"/>
        <v>82</v>
      </c>
      <c r="B82" t="s">
        <v>65</v>
      </c>
      <c r="C82" s="1">
        <f>C81</f>
        <v>100000</v>
      </c>
      <c r="D82" s="6">
        <v>2.776E-2</v>
      </c>
      <c r="E82" s="9">
        <f t="shared" si="10"/>
        <v>2776</v>
      </c>
      <c r="F82" s="6">
        <f>D82</f>
        <v>2.776E-2</v>
      </c>
      <c r="G82" s="9">
        <f t="shared" si="11"/>
        <v>2776</v>
      </c>
      <c r="J82" t="s">
        <v>65</v>
      </c>
      <c r="K82" s="1">
        <f>K81</f>
        <v>94644</v>
      </c>
      <c r="L82" s="6">
        <v>2.776E-2</v>
      </c>
      <c r="M82" s="8">
        <f t="shared" si="12"/>
        <v>2627.32</v>
      </c>
      <c r="N82" s="1">
        <f>N81</f>
        <v>96400</v>
      </c>
      <c r="O82" s="6">
        <f>L82</f>
        <v>2.776E-2</v>
      </c>
      <c r="P82" s="8">
        <f t="shared" si="13"/>
        <v>2676.06</v>
      </c>
      <c r="Q82" s="1">
        <f>Q81</f>
        <v>96522</v>
      </c>
      <c r="R82" s="6">
        <f>L82</f>
        <v>2.776E-2</v>
      </c>
      <c r="S82" s="8">
        <f t="shared" si="14"/>
        <v>2679.45</v>
      </c>
      <c r="T82" s="1">
        <f>T81</f>
        <v>94928</v>
      </c>
      <c r="U82" s="6">
        <f>L82</f>
        <v>2.776E-2</v>
      </c>
      <c r="V82" s="8">
        <f t="shared" si="15"/>
        <v>2635.2</v>
      </c>
    </row>
    <row r="83" spans="1:22" x14ac:dyDescent="0.2">
      <c r="A83" s="1">
        <f t="shared" si="8"/>
        <v>83</v>
      </c>
      <c r="B83" t="s">
        <v>43</v>
      </c>
      <c r="C83" s="1">
        <f>C81</f>
        <v>100000</v>
      </c>
      <c r="D83" s="6">
        <f>D72</f>
        <v>-2.0799999999999998E-3</v>
      </c>
      <c r="E83" s="10">
        <f t="shared" si="10"/>
        <v>-208</v>
      </c>
      <c r="F83" s="6">
        <f>F72</f>
        <v>-2.0799999999999998E-3</v>
      </c>
      <c r="G83" s="10">
        <f t="shared" si="11"/>
        <v>-208</v>
      </c>
      <c r="J83" t="s">
        <v>43</v>
      </c>
      <c r="K83" s="1">
        <f>K81</f>
        <v>94644</v>
      </c>
      <c r="L83" s="6">
        <f>L71</f>
        <v>-3.3099999999999996E-3</v>
      </c>
      <c r="M83" s="12">
        <f t="shared" si="12"/>
        <v>-313.27</v>
      </c>
      <c r="N83" s="1">
        <f>N81</f>
        <v>96400</v>
      </c>
      <c r="O83" s="6">
        <f>O71</f>
        <v>-2.8410000000000002E-3</v>
      </c>
      <c r="P83" s="12">
        <f t="shared" si="13"/>
        <v>-273.87</v>
      </c>
      <c r="Q83" s="1">
        <f>Q81</f>
        <v>96522</v>
      </c>
      <c r="R83" s="6">
        <f>R71</f>
        <v>-2.9830000000000004E-3</v>
      </c>
      <c r="S83" s="12">
        <f t="shared" si="14"/>
        <v>-287.93</v>
      </c>
      <c r="T83" s="1">
        <f>T81</f>
        <v>94928</v>
      </c>
      <c r="U83" s="6">
        <f>U71</f>
        <v>-3.2440000000000004E-3</v>
      </c>
      <c r="V83" s="12">
        <f t="shared" si="15"/>
        <v>-307.95</v>
      </c>
    </row>
    <row r="84" spans="1:22" x14ac:dyDescent="0.2">
      <c r="A84" s="1">
        <f t="shared" si="8"/>
        <v>84</v>
      </c>
      <c r="B84" t="s">
        <v>161</v>
      </c>
      <c r="C84" s="1"/>
      <c r="E84" s="9">
        <f>E81-E82-E83</f>
        <v>2522</v>
      </c>
      <c r="G84" s="9">
        <f>G81-G82-G83</f>
        <v>1482</v>
      </c>
      <c r="J84" t="s">
        <v>161</v>
      </c>
      <c r="M84" s="8">
        <f>M81-M82-M83</f>
        <v>2584.7200000000003</v>
      </c>
      <c r="P84" s="8">
        <f>P81-P82-P83</f>
        <v>2546.02</v>
      </c>
      <c r="S84" s="8">
        <f>S81-S82-S83</f>
        <v>2418.1699999999996</v>
      </c>
      <c r="V84" s="8">
        <f>V81-V82-V83</f>
        <v>2328.0200000000004</v>
      </c>
    </row>
    <row r="85" spans="1:22" x14ac:dyDescent="0.2">
      <c r="A85" s="1">
        <f t="shared" si="8"/>
        <v>85</v>
      </c>
      <c r="B85" t="s">
        <v>62</v>
      </c>
      <c r="C85" s="1">
        <f>D16</f>
        <v>3000</v>
      </c>
      <c r="D85" s="8">
        <f>D21</f>
        <v>0.35</v>
      </c>
      <c r="E85" s="10">
        <f t="shared" ref="E85" si="16">ROUND(C85*D85,0)</f>
        <v>1050</v>
      </c>
      <c r="F85" s="8">
        <f>D85</f>
        <v>0.35</v>
      </c>
      <c r="G85" s="10">
        <f>ROUND(C85*F85,0)</f>
        <v>1050</v>
      </c>
      <c r="J85" t="s">
        <v>62</v>
      </c>
      <c r="K85" s="1">
        <f>L58</f>
        <v>3000</v>
      </c>
      <c r="L85" s="8">
        <f>L21</f>
        <v>0.35</v>
      </c>
      <c r="M85" s="12">
        <f>ROUND(K85*L85,2)</f>
        <v>1050</v>
      </c>
      <c r="N85" s="1">
        <f>O58</f>
        <v>3000</v>
      </c>
      <c r="O85" s="8">
        <f>O21</f>
        <v>0.35</v>
      </c>
      <c r="P85" s="12">
        <f>ROUND(N85*O85,2)</f>
        <v>1050</v>
      </c>
      <c r="Q85" s="1">
        <f>R58</f>
        <v>3000</v>
      </c>
      <c r="R85" s="8">
        <f>R21</f>
        <v>0.35</v>
      </c>
      <c r="S85" s="12">
        <f>ROUND(Q85*R85,2)</f>
        <v>1050</v>
      </c>
      <c r="T85" s="1">
        <f>U58</f>
        <v>3000</v>
      </c>
      <c r="U85" s="8">
        <f>U21</f>
        <v>0.35</v>
      </c>
      <c r="V85" s="12">
        <f>ROUND(T85*U85,2)</f>
        <v>1050</v>
      </c>
    </row>
    <row r="86" spans="1:22" x14ac:dyDescent="0.2">
      <c r="A86" s="1">
        <f t="shared" si="8"/>
        <v>86</v>
      </c>
      <c r="B86" t="s">
        <v>162</v>
      </c>
      <c r="E86" s="9">
        <f>E84+E85</f>
        <v>3572</v>
      </c>
      <c r="G86" s="9">
        <f>G84+G85</f>
        <v>2532</v>
      </c>
      <c r="J86" t="s">
        <v>162</v>
      </c>
      <c r="M86" s="8">
        <f>M84+M85</f>
        <v>3634.7200000000003</v>
      </c>
      <c r="P86" s="8">
        <f>P84+P85</f>
        <v>3596.02</v>
      </c>
      <c r="S86" s="8">
        <f>S84+S85</f>
        <v>3468.1699999999996</v>
      </c>
      <c r="V86" s="8">
        <f>V84+V85</f>
        <v>3378.0200000000004</v>
      </c>
    </row>
    <row r="87" spans="1:22" x14ac:dyDescent="0.2">
      <c r="A87" s="1">
        <f t="shared" si="8"/>
        <v>87</v>
      </c>
      <c r="B87" t="s">
        <v>163</v>
      </c>
      <c r="D87" s="7">
        <f>D76</f>
        <v>0.15290000000000001</v>
      </c>
      <c r="E87" s="9">
        <f>ROUND(E86*D87,0)</f>
        <v>546</v>
      </c>
      <c r="F87" s="7">
        <f>D87</f>
        <v>0.15290000000000001</v>
      </c>
      <c r="G87" s="9">
        <f>ROUND(G86*F87,0)</f>
        <v>387</v>
      </c>
      <c r="J87" t="s">
        <v>163</v>
      </c>
      <c r="L87" s="7">
        <f>L76</f>
        <v>0.10050000000000001</v>
      </c>
      <c r="M87" s="8">
        <f>ROUND(M86*L87,2)</f>
        <v>365.29</v>
      </c>
      <c r="O87" s="7">
        <f>O76</f>
        <v>0.1125</v>
      </c>
      <c r="P87" s="8">
        <f>ROUND(P86*O87,2)</f>
        <v>404.55</v>
      </c>
      <c r="R87" s="7">
        <f>R76</f>
        <v>0.1115</v>
      </c>
      <c r="S87" s="8">
        <f>ROUND(S86*R87,2)</f>
        <v>386.7</v>
      </c>
      <c r="U87" s="7">
        <f>U76</f>
        <v>0.1076</v>
      </c>
      <c r="V87" s="8">
        <f>ROUND(V86*U87,2)</f>
        <v>363.47</v>
      </c>
    </row>
    <row r="88" spans="1:22" x14ac:dyDescent="0.2">
      <c r="A88" s="1">
        <f t="shared" si="8"/>
        <v>88</v>
      </c>
      <c r="B88" t="s">
        <v>109</v>
      </c>
      <c r="D88" s="7">
        <f>Background!H74</f>
        <v>5.5399999999999998E-2</v>
      </c>
      <c r="E88" s="10">
        <f>ROUND(E86*D88,0)</f>
        <v>198</v>
      </c>
      <c r="F88" s="7">
        <f>D88</f>
        <v>5.5399999999999998E-2</v>
      </c>
      <c r="G88" s="10">
        <f>ROUND(G86*F88,0)</f>
        <v>140</v>
      </c>
      <c r="J88" t="s">
        <v>109</v>
      </c>
      <c r="L88" s="7">
        <f>Background!C58</f>
        <v>3.6400000000000002E-2</v>
      </c>
      <c r="M88" s="12">
        <f>ROUND(M86*L88,2)</f>
        <v>132.30000000000001</v>
      </c>
      <c r="O88" s="7">
        <f>Background!D58</f>
        <v>4.0800000000000003E-2</v>
      </c>
      <c r="P88" s="12">
        <f>ROUND(P86*O88,2)</f>
        <v>146.72</v>
      </c>
      <c r="R88" s="7">
        <f>Background!E58</f>
        <v>4.0399999999999998E-2</v>
      </c>
      <c r="S88" s="12">
        <f>ROUND(S86*R88,2)</f>
        <v>140.11000000000001</v>
      </c>
      <c r="U88" s="7">
        <f>Background!F58</f>
        <v>3.9E-2</v>
      </c>
      <c r="V88" s="12">
        <f>ROUND(V86*U88,2)</f>
        <v>131.74</v>
      </c>
    </row>
    <row r="89" spans="1:22" x14ac:dyDescent="0.2">
      <c r="A89" s="1">
        <f t="shared" si="8"/>
        <v>89</v>
      </c>
      <c r="B89" t="s">
        <v>164</v>
      </c>
      <c r="E89" s="9">
        <f>E86+E87-E88</f>
        <v>3920</v>
      </c>
      <c r="G89" s="9">
        <f>G86+G87-G88</f>
        <v>2779</v>
      </c>
      <c r="J89" t="s">
        <v>164</v>
      </c>
      <c r="M89" s="8">
        <f>M86+M87-M88</f>
        <v>3867.71</v>
      </c>
      <c r="P89" s="8">
        <f>P86+P87-P88</f>
        <v>3853.8500000000004</v>
      </c>
      <c r="S89" s="8">
        <f>S86+S87-S88</f>
        <v>3714.7599999999993</v>
      </c>
      <c r="V89" s="8">
        <f>V86+V87-V88</f>
        <v>3609.7500000000009</v>
      </c>
    </row>
    <row r="90" spans="1:22" x14ac:dyDescent="0.2">
      <c r="A90" s="1">
        <f t="shared" si="8"/>
        <v>90</v>
      </c>
      <c r="E90" s="9"/>
      <c r="G90" s="9"/>
      <c r="M90" s="8"/>
      <c r="P90" s="8"/>
      <c r="S90" s="8"/>
      <c r="V90" s="8"/>
    </row>
    <row r="91" spans="1:22" x14ac:dyDescent="0.2">
      <c r="A91" s="1">
        <f t="shared" si="8"/>
        <v>91</v>
      </c>
      <c r="B91" t="s">
        <v>165</v>
      </c>
      <c r="C91" s="1">
        <f>C85</f>
        <v>3000</v>
      </c>
      <c r="D91" s="8">
        <f>D20</f>
        <v>-0.34</v>
      </c>
      <c r="E91" s="9">
        <f t="shared" ref="E91" si="17">ROUND(C91*D91,0)</f>
        <v>-1020</v>
      </c>
      <c r="F91" s="8">
        <f>D91</f>
        <v>-0.34</v>
      </c>
      <c r="G91" s="9">
        <f>ROUND(C91*F91,0)</f>
        <v>-1020</v>
      </c>
      <c r="J91" t="s">
        <v>165</v>
      </c>
      <c r="K91" s="1">
        <f>K85</f>
        <v>3000</v>
      </c>
      <c r="L91" s="8">
        <f>L20</f>
        <v>-0.34</v>
      </c>
      <c r="M91" s="8">
        <f>ROUND(K91*L91,2)</f>
        <v>-1020</v>
      </c>
      <c r="N91" s="1">
        <f>N85</f>
        <v>3000</v>
      </c>
      <c r="O91" s="8">
        <f>O20</f>
        <v>-0.34</v>
      </c>
      <c r="P91" s="8">
        <f>ROUND(N91*O91,2)</f>
        <v>-1020</v>
      </c>
      <c r="Q91" s="1">
        <f>Q85</f>
        <v>3000</v>
      </c>
      <c r="R91" s="8">
        <f>R20</f>
        <v>-0.34</v>
      </c>
      <c r="S91" s="8">
        <f>ROUND(Q91*R91,2)</f>
        <v>-1020</v>
      </c>
      <c r="T91" s="1">
        <f>T85</f>
        <v>3000</v>
      </c>
      <c r="U91" s="8">
        <f>U20</f>
        <v>-0.34</v>
      </c>
      <c r="V91" s="8">
        <f>ROUND(T91*U91,2)</f>
        <v>-1020</v>
      </c>
    </row>
    <row r="92" spans="1:22" x14ac:dyDescent="0.2">
      <c r="A92" s="1">
        <f t="shared" si="8"/>
        <v>92</v>
      </c>
      <c r="B92" t="s">
        <v>166</v>
      </c>
      <c r="E92" s="10">
        <f>ROUND((E58*E59)/E60,0)</f>
        <v>5647</v>
      </c>
      <c r="G92" s="10">
        <f>ROUND((E58*E59)/E60,0)</f>
        <v>5647</v>
      </c>
      <c r="J92" t="s">
        <v>166</v>
      </c>
      <c r="M92" s="12">
        <f>ROUND((L58*L59)/L60,2)</f>
        <v>5647.33</v>
      </c>
      <c r="P92" s="12">
        <f>ROUND((O58*O59)/O60,2)</f>
        <v>5647.33</v>
      </c>
      <c r="S92" s="12">
        <f>ROUND((R58*R59)/R60,2)</f>
        <v>5647.33</v>
      </c>
      <c r="V92" s="12">
        <f>ROUND((U58*U59)/U60,2)</f>
        <v>5647.33</v>
      </c>
    </row>
    <row r="93" spans="1:22" x14ac:dyDescent="0.2">
      <c r="A93" s="1">
        <f t="shared" si="8"/>
        <v>93</v>
      </c>
      <c r="E93" s="9"/>
      <c r="G93" s="9"/>
      <c r="M93" s="8"/>
      <c r="P93" s="8"/>
      <c r="S93" s="8"/>
      <c r="V93" s="8"/>
    </row>
    <row r="94" spans="1:22" x14ac:dyDescent="0.2">
      <c r="A94" s="1">
        <f t="shared" si="8"/>
        <v>94</v>
      </c>
      <c r="B94" t="s">
        <v>168</v>
      </c>
      <c r="E94" s="10">
        <f>E89+E91+E92</f>
        <v>8547</v>
      </c>
      <c r="G94" s="10">
        <f>G89+G91+G92</f>
        <v>7406</v>
      </c>
      <c r="J94" t="s">
        <v>168</v>
      </c>
      <c r="M94" s="12">
        <f>M89+M91+M92</f>
        <v>8495.0400000000009</v>
      </c>
      <c r="P94" s="12">
        <f>P89+P91+P92</f>
        <v>8481.18</v>
      </c>
      <c r="S94" s="12">
        <f>S89+S91+S92</f>
        <v>8342.09</v>
      </c>
      <c r="V94" s="12">
        <f>V89+V91+V92</f>
        <v>8237.0800000000017</v>
      </c>
    </row>
    <row r="95" spans="1:22" x14ac:dyDescent="0.2">
      <c r="A95" s="1">
        <f t="shared" si="8"/>
        <v>95</v>
      </c>
      <c r="E95" s="9"/>
      <c r="G95" s="9"/>
      <c r="M95" s="8"/>
      <c r="P95" s="8"/>
      <c r="S95" s="8"/>
      <c r="V95" s="8"/>
    </row>
    <row r="96" spans="1:22" ht="15" thickBot="1" x14ac:dyDescent="0.25">
      <c r="A96" s="1">
        <f t="shared" si="8"/>
        <v>96</v>
      </c>
      <c r="B96" t="s">
        <v>38</v>
      </c>
      <c r="E96" s="11">
        <f>E78+E94</f>
        <v>27521</v>
      </c>
      <c r="G96" s="11">
        <f>G78+G94</f>
        <v>25715</v>
      </c>
      <c r="J96" t="s">
        <v>38</v>
      </c>
      <c r="M96" s="14">
        <f>M78+M94</f>
        <v>27819.62</v>
      </c>
      <c r="P96" s="14">
        <f>P78+P94</f>
        <v>28749.910000000003</v>
      </c>
      <c r="S96" s="14">
        <f>S78+S94</f>
        <v>28880.749999999996</v>
      </c>
      <c r="V96" s="14">
        <f>V78+V94</f>
        <v>27394.3</v>
      </c>
    </row>
    <row r="97" spans="1:22" ht="15" thickTop="1" x14ac:dyDescent="0.2">
      <c r="A97" s="1">
        <f t="shared" si="8"/>
        <v>97</v>
      </c>
      <c r="M97" s="8"/>
      <c r="P97" s="8"/>
      <c r="S97" s="8"/>
      <c r="V97" s="8"/>
    </row>
    <row r="98" spans="1:22" ht="15" thickBot="1" x14ac:dyDescent="0.25">
      <c r="A98" s="1">
        <f t="shared" si="8"/>
        <v>98</v>
      </c>
      <c r="J98" t="s">
        <v>104</v>
      </c>
      <c r="M98" s="14">
        <f>M96-E96</f>
        <v>298.61999999999898</v>
      </c>
      <c r="P98" s="14">
        <f>P96-E96</f>
        <v>1228.9100000000035</v>
      </c>
      <c r="S98" s="14">
        <f>S96-G96</f>
        <v>3165.7499999999964</v>
      </c>
      <c r="V98" s="14">
        <f>V96-G96</f>
        <v>1679.2999999999993</v>
      </c>
    </row>
    <row r="99" spans="1:22" ht="15" thickTop="1" x14ac:dyDescent="0.2">
      <c r="A99" s="1">
        <f t="shared" si="8"/>
        <v>99</v>
      </c>
    </row>
    <row r="100" spans="1:22" x14ac:dyDescent="0.2">
      <c r="A100" s="1">
        <f t="shared" si="8"/>
        <v>100</v>
      </c>
    </row>
    <row r="101" spans="1:22" x14ac:dyDescent="0.2">
      <c r="A101" s="1">
        <f t="shared" si="8"/>
        <v>101</v>
      </c>
      <c r="B101" t="s">
        <v>169</v>
      </c>
      <c r="I101" t="s">
        <v>170</v>
      </c>
    </row>
    <row r="102" spans="1:22" x14ac:dyDescent="0.2">
      <c r="A102" s="1">
        <f t="shared" si="8"/>
        <v>102</v>
      </c>
    </row>
    <row r="103" spans="1:22" x14ac:dyDescent="0.2">
      <c r="A103" s="1">
        <f t="shared" si="8"/>
        <v>103</v>
      </c>
      <c r="B103" t="s">
        <v>171</v>
      </c>
      <c r="E103" s="9"/>
      <c r="G103" s="9"/>
      <c r="I103" t="s">
        <v>171</v>
      </c>
    </row>
    <row r="104" spans="1:22" x14ac:dyDescent="0.2">
      <c r="A104" s="1">
        <f t="shared" si="8"/>
        <v>104</v>
      </c>
      <c r="B104" t="s">
        <v>172</v>
      </c>
      <c r="E104" s="9">
        <f>E76+E87-E88</f>
        <v>2864</v>
      </c>
      <c r="G104" s="9">
        <f>G76+G87-G88</f>
        <v>2675</v>
      </c>
      <c r="I104" t="s">
        <v>172</v>
      </c>
      <c r="M104" s="8">
        <f>M76+M87-M88</f>
        <v>1997.7500000000002</v>
      </c>
      <c r="P104" s="8">
        <f>P76+P87-P88</f>
        <v>2307.4800000000005</v>
      </c>
      <c r="S104" s="8">
        <f>S76+S87-S88</f>
        <v>2306.9199999999996</v>
      </c>
      <c r="V104" s="8">
        <f>V76+V87-V88</f>
        <v>2092.8000000000002</v>
      </c>
    </row>
    <row r="105" spans="1:22" x14ac:dyDescent="0.2">
      <c r="A105" s="1">
        <f t="shared" si="8"/>
        <v>105</v>
      </c>
      <c r="B105" t="s">
        <v>173</v>
      </c>
      <c r="E105" s="10">
        <f>E37</f>
        <v>3263</v>
      </c>
      <c r="G105" s="10">
        <f>G37</f>
        <v>3016</v>
      </c>
      <c r="I105" t="s">
        <v>173</v>
      </c>
      <c r="M105" s="12">
        <f>M37</f>
        <v>2225.61</v>
      </c>
      <c r="P105" s="12">
        <f>P37</f>
        <v>2575.5100000000002</v>
      </c>
      <c r="S105" s="12">
        <f>S37</f>
        <v>2564.5100000000002</v>
      </c>
      <c r="V105" s="12">
        <f>V37</f>
        <v>2328.84</v>
      </c>
    </row>
    <row r="106" spans="1:22" x14ac:dyDescent="0.2">
      <c r="A106" s="1">
        <f t="shared" si="8"/>
        <v>106</v>
      </c>
      <c r="E106" s="9"/>
      <c r="G106" s="9"/>
      <c r="M106" s="8"/>
      <c r="P106" s="8"/>
      <c r="S106" s="8"/>
      <c r="V106" s="8"/>
    </row>
    <row r="107" spans="1:22" ht="15" thickBot="1" x14ac:dyDescent="0.25">
      <c r="A107" s="1">
        <f t="shared" si="8"/>
        <v>107</v>
      </c>
      <c r="B107" t="s">
        <v>117</v>
      </c>
      <c r="E107" s="11">
        <f>E104-E105</f>
        <v>-399</v>
      </c>
      <c r="G107" s="11">
        <f>G104-G105</f>
        <v>-341</v>
      </c>
      <c r="I107" t="s">
        <v>117</v>
      </c>
      <c r="M107" s="14">
        <f>M104-M105</f>
        <v>-227.8599999999999</v>
      </c>
      <c r="P107" s="14">
        <f>P104-P105</f>
        <v>-268.02999999999975</v>
      </c>
      <c r="S107" s="14">
        <f>S104-S105</f>
        <v>-257.5900000000006</v>
      </c>
      <c r="V107" s="14">
        <f>V104-V105</f>
        <v>-236.03999999999996</v>
      </c>
    </row>
    <row r="108" spans="1:22" ht="15" thickTop="1" x14ac:dyDescent="0.2">
      <c r="A108" s="1">
        <f t="shared" si="8"/>
        <v>108</v>
      </c>
      <c r="E108" s="9"/>
      <c r="G108" s="9"/>
      <c r="M108" s="8"/>
      <c r="P108" s="8"/>
      <c r="S108" s="8"/>
      <c r="V108" s="8"/>
    </row>
    <row r="109" spans="1:22" x14ac:dyDescent="0.2">
      <c r="A109" s="1">
        <f t="shared" si="8"/>
        <v>109</v>
      </c>
      <c r="B109" t="s">
        <v>174</v>
      </c>
      <c r="E109" s="9"/>
      <c r="G109" s="9"/>
      <c r="I109" t="s">
        <v>174</v>
      </c>
      <c r="M109" s="8"/>
      <c r="P109" s="8"/>
      <c r="S109" s="8"/>
      <c r="V109" s="8"/>
    </row>
    <row r="110" spans="1:22" x14ac:dyDescent="0.2">
      <c r="A110" s="1">
        <f t="shared" si="8"/>
        <v>110</v>
      </c>
      <c r="B110" t="s">
        <v>172</v>
      </c>
      <c r="E110" s="9">
        <f>E96-E92</f>
        <v>21874</v>
      </c>
      <c r="G110" s="9">
        <f>G96-G92</f>
        <v>20068</v>
      </c>
      <c r="I110" t="s">
        <v>172</v>
      </c>
      <c r="M110" s="8">
        <f>M96-M92</f>
        <v>22172.29</v>
      </c>
      <c r="P110" s="8">
        <f>P96-P92</f>
        <v>23102.58</v>
      </c>
      <c r="S110" s="8">
        <f>S96-S92</f>
        <v>23233.42</v>
      </c>
      <c r="V110" s="8">
        <f>V96-V92</f>
        <v>21746.97</v>
      </c>
    </row>
    <row r="111" spans="1:22" x14ac:dyDescent="0.2">
      <c r="A111" s="1">
        <f t="shared" si="8"/>
        <v>111</v>
      </c>
      <c r="B111" t="s">
        <v>173</v>
      </c>
      <c r="E111" s="10">
        <f>E47</f>
        <v>20313</v>
      </c>
      <c r="G111" s="10">
        <f>G47</f>
        <v>18449</v>
      </c>
      <c r="I111" t="s">
        <v>173</v>
      </c>
      <c r="M111" s="12">
        <f>M47</f>
        <v>20080.939999999999</v>
      </c>
      <c r="P111" s="12">
        <f>P47</f>
        <v>21178.93</v>
      </c>
      <c r="S111" s="12">
        <f>S47</f>
        <v>21274.6</v>
      </c>
      <c r="V111" s="12">
        <f>V47</f>
        <v>19682.309999999998</v>
      </c>
    </row>
    <row r="112" spans="1:22" x14ac:dyDescent="0.2">
      <c r="A112" s="1">
        <f t="shared" si="8"/>
        <v>112</v>
      </c>
      <c r="E112" s="9"/>
      <c r="G112" s="9"/>
      <c r="M112" s="8"/>
      <c r="P112" s="8"/>
      <c r="S112" s="8"/>
      <c r="V112" s="8"/>
    </row>
    <row r="113" spans="1:22" ht="15" thickBot="1" x14ac:dyDescent="0.25">
      <c r="A113" s="1">
        <f t="shared" si="8"/>
        <v>113</v>
      </c>
      <c r="B113" t="s">
        <v>175</v>
      </c>
      <c r="E113" s="11">
        <f>E110-E111</f>
        <v>1561</v>
      </c>
      <c r="G113" s="11">
        <f>G110-G111</f>
        <v>1619</v>
      </c>
      <c r="I113" t="s">
        <v>175</v>
      </c>
      <c r="M113" s="14">
        <f>M110-M111</f>
        <v>2091.3500000000022</v>
      </c>
      <c r="P113" s="14">
        <f>P110-P111</f>
        <v>1923.6500000000015</v>
      </c>
      <c r="S113" s="14">
        <f>S110-S111</f>
        <v>1958.8199999999997</v>
      </c>
      <c r="V113" s="14">
        <f>V110-V111</f>
        <v>2064.6600000000035</v>
      </c>
    </row>
    <row r="114" spans="1:22" ht="15" thickTop="1" x14ac:dyDescent="0.2">
      <c r="A114" s="1">
        <f t="shared" si="8"/>
        <v>114</v>
      </c>
      <c r="E114" s="9"/>
      <c r="G114" s="9"/>
      <c r="M114" s="8"/>
      <c r="P114" s="8"/>
      <c r="S114" s="8"/>
      <c r="V114" s="8"/>
    </row>
    <row r="115" spans="1:22" x14ac:dyDescent="0.2">
      <c r="A115" s="1">
        <f t="shared" si="8"/>
        <v>115</v>
      </c>
      <c r="B115" t="s">
        <v>121</v>
      </c>
      <c r="E115" s="9"/>
      <c r="G115" s="9"/>
      <c r="I115" t="s">
        <v>121</v>
      </c>
      <c r="M115" s="8"/>
      <c r="P115" s="8"/>
      <c r="S115" s="8"/>
      <c r="V115" s="8"/>
    </row>
    <row r="116" spans="1:22" x14ac:dyDescent="0.2">
      <c r="A116" s="1">
        <f t="shared" si="8"/>
        <v>116</v>
      </c>
      <c r="B116" t="s">
        <v>172</v>
      </c>
      <c r="E116" s="9">
        <f>E96</f>
        <v>27521</v>
      </c>
      <c r="G116" s="9">
        <f>G96</f>
        <v>25715</v>
      </c>
      <c r="I116" t="s">
        <v>172</v>
      </c>
      <c r="M116" s="8">
        <f>M96</f>
        <v>27819.62</v>
      </c>
      <c r="P116" s="8">
        <f>P96</f>
        <v>28749.910000000003</v>
      </c>
      <c r="S116" s="8">
        <f>S96</f>
        <v>28880.749999999996</v>
      </c>
      <c r="V116" s="8">
        <f>V96</f>
        <v>27394.3</v>
      </c>
    </row>
    <row r="117" spans="1:22" x14ac:dyDescent="0.2">
      <c r="A117" s="1">
        <f t="shared" si="8"/>
        <v>117</v>
      </c>
      <c r="B117" t="s">
        <v>173</v>
      </c>
      <c r="E117" s="10">
        <f>E47</f>
        <v>20313</v>
      </c>
      <c r="G117" s="10">
        <f>G47</f>
        <v>18449</v>
      </c>
      <c r="I117" t="s">
        <v>173</v>
      </c>
      <c r="M117" s="12">
        <f>M47</f>
        <v>20080.939999999999</v>
      </c>
      <c r="P117" s="12">
        <f>P47</f>
        <v>21178.93</v>
      </c>
      <c r="S117" s="12">
        <f>S47</f>
        <v>21274.6</v>
      </c>
      <c r="V117" s="12">
        <f>V47</f>
        <v>19682.309999999998</v>
      </c>
    </row>
    <row r="118" spans="1:22" x14ac:dyDescent="0.2">
      <c r="A118" s="1">
        <f t="shared" si="8"/>
        <v>118</v>
      </c>
      <c r="E118" s="9"/>
      <c r="G118" s="9"/>
      <c r="M118" s="8"/>
      <c r="P118" s="8"/>
      <c r="S118" s="8"/>
      <c r="V118" s="8"/>
    </row>
    <row r="119" spans="1:22" ht="15" thickBot="1" x14ac:dyDescent="0.25">
      <c r="A119" s="1">
        <f t="shared" si="8"/>
        <v>119</v>
      </c>
      <c r="B119" t="s">
        <v>122</v>
      </c>
      <c r="E119" s="11">
        <f>E116-E117</f>
        <v>7208</v>
      </c>
      <c r="G119" s="11">
        <f>G116-G117</f>
        <v>7266</v>
      </c>
      <c r="I119" t="s">
        <v>122</v>
      </c>
      <c r="M119" s="14">
        <f>M116-M117</f>
        <v>7738.68</v>
      </c>
      <c r="P119" s="14">
        <f>P116-P117</f>
        <v>7570.9800000000032</v>
      </c>
      <c r="S119" s="14">
        <f>S116-S117</f>
        <v>7606.1499999999978</v>
      </c>
      <c r="V119" s="14">
        <f>V116-V117</f>
        <v>7711.9900000000016</v>
      </c>
    </row>
    <row r="120" spans="1:22" ht="15" thickTop="1" x14ac:dyDescent="0.2">
      <c r="A120" s="1">
        <f t="shared" si="8"/>
        <v>120</v>
      </c>
    </row>
    <row r="121" spans="1:22" x14ac:dyDescent="0.2">
      <c r="A121" s="1">
        <f t="shared" si="8"/>
        <v>121</v>
      </c>
    </row>
    <row r="122" spans="1:22" x14ac:dyDescent="0.2">
      <c r="A122" s="1">
        <f t="shared" si="8"/>
        <v>122</v>
      </c>
      <c r="B122" s="15" t="s">
        <v>54</v>
      </c>
      <c r="C122" t="s">
        <v>176</v>
      </c>
    </row>
    <row r="123" spans="1:22" x14ac:dyDescent="0.2">
      <c r="A123" s="1">
        <f t="shared" si="8"/>
        <v>123</v>
      </c>
      <c r="C123" t="s">
        <v>123</v>
      </c>
    </row>
    <row r="124" spans="1:22" x14ac:dyDescent="0.2">
      <c r="A124" s="1">
        <f t="shared" si="8"/>
        <v>124</v>
      </c>
      <c r="C124" t="s">
        <v>124</v>
      </c>
    </row>
    <row r="125" spans="1:22" x14ac:dyDescent="0.2">
      <c r="A125" s="1">
        <f t="shared" si="8"/>
        <v>125</v>
      </c>
      <c r="C125" t="s">
        <v>177</v>
      </c>
    </row>
    <row r="126" spans="1:22" x14ac:dyDescent="0.2">
      <c r="A126" s="1">
        <f t="shared" si="8"/>
        <v>126</v>
      </c>
      <c r="C126" t="s">
        <v>178</v>
      </c>
    </row>
    <row r="127" spans="1:22" x14ac:dyDescent="0.2">
      <c r="A127" s="1">
        <f t="shared" si="8"/>
        <v>127</v>
      </c>
    </row>
    <row r="128" spans="1:22" x14ac:dyDescent="0.2">
      <c r="A128" s="1">
        <f t="shared" si="8"/>
        <v>128</v>
      </c>
    </row>
    <row r="129" spans="1:11" x14ac:dyDescent="0.2">
      <c r="A129" s="1">
        <f t="shared" si="8"/>
        <v>129</v>
      </c>
      <c r="B129" t="s">
        <v>146</v>
      </c>
    </row>
    <row r="130" spans="1:11" x14ac:dyDescent="0.2">
      <c r="A130" s="1">
        <f t="shared" si="8"/>
        <v>130</v>
      </c>
    </row>
    <row r="131" spans="1:11" ht="15" thickBot="1" x14ac:dyDescent="0.25">
      <c r="A131" s="1">
        <f t="shared" ref="A131:A158" si="18">A130+1</f>
        <v>131</v>
      </c>
      <c r="B131" s="4" t="s">
        <v>147</v>
      </c>
      <c r="C131" s="4" t="s">
        <v>27</v>
      </c>
      <c r="D131" s="4" t="s">
        <v>148</v>
      </c>
    </row>
    <row r="132" spans="1:11" x14ac:dyDescent="0.2">
      <c r="A132" s="1">
        <f t="shared" si="18"/>
        <v>132</v>
      </c>
      <c r="H132" t="s">
        <v>147</v>
      </c>
      <c r="I132" t="s">
        <v>180</v>
      </c>
      <c r="J132" t="s">
        <v>181</v>
      </c>
      <c r="K132" t="s">
        <v>179</v>
      </c>
    </row>
    <row r="133" spans="1:11" x14ac:dyDescent="0.2">
      <c r="A133" s="1">
        <f t="shared" si="18"/>
        <v>133</v>
      </c>
      <c r="B133" s="39">
        <v>1</v>
      </c>
      <c r="C133" s="38">
        <v>0.92</v>
      </c>
      <c r="D133" s="8">
        <f>ROUND(C133*460,2)</f>
        <v>423.2</v>
      </c>
      <c r="E133" t="s">
        <v>149</v>
      </c>
      <c r="H133">
        <v>1</v>
      </c>
      <c r="I133" s="8">
        <f>($G$135-D133)</f>
        <v>36.800000000000011</v>
      </c>
      <c r="J133" s="8">
        <f>PMT($K$133,12,-I133)</f>
        <v>3.6970047454050405</v>
      </c>
      <c r="K133" s="40">
        <v>0.03</v>
      </c>
    </row>
    <row r="134" spans="1:11" x14ac:dyDescent="0.2">
      <c r="A134" s="1">
        <f t="shared" si="18"/>
        <v>134</v>
      </c>
      <c r="B134" s="39">
        <v>2</v>
      </c>
      <c r="C134" s="38">
        <v>0.84640000000000004</v>
      </c>
      <c r="D134" s="8">
        <f t="shared" ref="D134:D157" si="19">ROUND(C134*460,2)</f>
        <v>389.34</v>
      </c>
      <c r="H134">
        <v>2</v>
      </c>
      <c r="I134" s="8">
        <f>D133-D134</f>
        <v>33.860000000000014</v>
      </c>
      <c r="J134" s="8">
        <f t="shared" ref="J134:J157" si="20">PMT($K$133,12,-I134)</f>
        <v>3.4016462141145292</v>
      </c>
    </row>
    <row r="135" spans="1:11" x14ac:dyDescent="0.2">
      <c r="A135" s="1">
        <f t="shared" si="18"/>
        <v>135</v>
      </c>
      <c r="B135" s="39">
        <v>3</v>
      </c>
      <c r="C135" s="38">
        <v>0.77868800000000005</v>
      </c>
      <c r="D135" s="8">
        <f t="shared" si="19"/>
        <v>358.2</v>
      </c>
      <c r="E135" t="s">
        <v>150</v>
      </c>
      <c r="G135" s="8">
        <v>460</v>
      </c>
      <c r="H135">
        <v>3</v>
      </c>
      <c r="I135" s="8">
        <f t="shared" ref="I135:I147" si="21">D134-D135</f>
        <v>31.139999999999986</v>
      </c>
      <c r="J135" s="8">
        <f t="shared" si="20"/>
        <v>3.128389341628067</v>
      </c>
    </row>
    <row r="136" spans="1:11" x14ac:dyDescent="0.2">
      <c r="A136" s="1">
        <f t="shared" si="18"/>
        <v>136</v>
      </c>
      <c r="B136" s="39">
        <v>4</v>
      </c>
      <c r="C136" s="38">
        <v>0.71639299999999995</v>
      </c>
      <c r="D136" s="8">
        <f t="shared" si="19"/>
        <v>329.54</v>
      </c>
      <c r="E136" t="s">
        <v>151</v>
      </c>
      <c r="G136" s="8">
        <v>121.16</v>
      </c>
      <c r="H136">
        <v>4</v>
      </c>
      <c r="I136" s="8">
        <f t="shared" si="21"/>
        <v>28.659999999999968</v>
      </c>
      <c r="J136" s="8">
        <f t="shared" si="20"/>
        <v>2.879243369655117</v>
      </c>
    </row>
    <row r="137" spans="1:11" x14ac:dyDescent="0.2">
      <c r="A137" s="1">
        <f t="shared" si="18"/>
        <v>137</v>
      </c>
      <c r="B137" s="39">
        <v>5</v>
      </c>
      <c r="C137" s="38">
        <v>0.65908199999999995</v>
      </c>
      <c r="D137" s="8">
        <f t="shared" si="19"/>
        <v>303.18</v>
      </c>
      <c r="G137" s="8"/>
      <c r="H137">
        <v>5</v>
      </c>
      <c r="I137" s="8">
        <f t="shared" si="21"/>
        <v>26.360000000000014</v>
      </c>
      <c r="J137" s="8">
        <f t="shared" si="20"/>
        <v>2.6481805730673065</v>
      </c>
    </row>
    <row r="138" spans="1:11" x14ac:dyDescent="0.2">
      <c r="A138" s="1">
        <f t="shared" si="18"/>
        <v>138</v>
      </c>
      <c r="B138" s="39">
        <v>6</v>
      </c>
      <c r="C138" s="38">
        <v>0.60635499999999998</v>
      </c>
      <c r="D138" s="8">
        <f t="shared" si="19"/>
        <v>278.92</v>
      </c>
      <c r="E138" t="s">
        <v>152</v>
      </c>
      <c r="G138" s="8">
        <f>G135-G136</f>
        <v>338.84000000000003</v>
      </c>
      <c r="H138">
        <v>6</v>
      </c>
      <c r="I138" s="8">
        <f t="shared" si="21"/>
        <v>24.259999999999991</v>
      </c>
      <c r="J138" s="8">
        <f t="shared" si="20"/>
        <v>2.437210193574082</v>
      </c>
    </row>
    <row r="139" spans="1:11" x14ac:dyDescent="0.2">
      <c r="A139" s="1">
        <f t="shared" si="18"/>
        <v>139</v>
      </c>
      <c r="B139" s="39">
        <v>7</v>
      </c>
      <c r="C139" s="38">
        <v>0.55784699999999998</v>
      </c>
      <c r="D139" s="8">
        <f t="shared" si="19"/>
        <v>256.61</v>
      </c>
      <c r="E139" t="s">
        <v>153</v>
      </c>
      <c r="H139">
        <v>7</v>
      </c>
      <c r="I139" s="8">
        <f t="shared" si="21"/>
        <v>22.310000000000002</v>
      </c>
      <c r="J139" s="8">
        <f t="shared" si="20"/>
        <v>2.2413091269018053</v>
      </c>
    </row>
    <row r="140" spans="1:11" x14ac:dyDescent="0.2">
      <c r="A140" s="1">
        <f t="shared" si="18"/>
        <v>140</v>
      </c>
      <c r="B140" s="39">
        <v>8</v>
      </c>
      <c r="C140" s="38">
        <v>0.51321899999999998</v>
      </c>
      <c r="D140" s="8">
        <f t="shared" si="19"/>
        <v>236.08</v>
      </c>
      <c r="H140">
        <v>8</v>
      </c>
      <c r="I140" s="8">
        <f t="shared" si="21"/>
        <v>20.53</v>
      </c>
      <c r="J140" s="8">
        <f t="shared" si="20"/>
        <v>2.0624866147599308</v>
      </c>
    </row>
    <row r="141" spans="1:11" x14ac:dyDescent="0.2">
      <c r="A141" s="1">
        <f t="shared" si="18"/>
        <v>141</v>
      </c>
      <c r="B141" s="39">
        <v>9</v>
      </c>
      <c r="C141" s="38">
        <v>0.472161</v>
      </c>
      <c r="D141" s="8">
        <f t="shared" si="19"/>
        <v>217.19</v>
      </c>
      <c r="H141">
        <v>9</v>
      </c>
      <c r="I141" s="8">
        <f t="shared" si="21"/>
        <v>18.890000000000015</v>
      </c>
      <c r="J141" s="8">
        <f t="shared" si="20"/>
        <v>1.8977287945842727</v>
      </c>
    </row>
    <row r="142" spans="1:11" x14ac:dyDescent="0.2">
      <c r="A142" s="1">
        <f t="shared" si="18"/>
        <v>142</v>
      </c>
      <c r="B142" s="39">
        <v>10</v>
      </c>
      <c r="C142" s="38">
        <v>0.434388</v>
      </c>
      <c r="D142" s="8">
        <f t="shared" si="19"/>
        <v>199.82</v>
      </c>
      <c r="H142">
        <v>10</v>
      </c>
      <c r="I142" s="8">
        <f t="shared" si="21"/>
        <v>17.370000000000005</v>
      </c>
      <c r="J142" s="8">
        <f t="shared" si="20"/>
        <v>1.7450264246653682</v>
      </c>
    </row>
    <row r="143" spans="1:11" x14ac:dyDescent="0.2">
      <c r="A143" s="1">
        <f t="shared" si="18"/>
        <v>143</v>
      </c>
      <c r="B143" s="39">
        <v>11</v>
      </c>
      <c r="C143" s="38">
        <v>0.39963700000000002</v>
      </c>
      <c r="D143" s="8">
        <f t="shared" si="19"/>
        <v>183.83</v>
      </c>
      <c r="H143">
        <v>11</v>
      </c>
      <c r="I143" s="8">
        <f t="shared" si="21"/>
        <v>15.989999999999981</v>
      </c>
      <c r="J143" s="8">
        <f t="shared" si="20"/>
        <v>1.6063887467126767</v>
      </c>
    </row>
    <row r="144" spans="1:11" x14ac:dyDescent="0.2">
      <c r="A144" s="1">
        <f t="shared" si="18"/>
        <v>144</v>
      </c>
      <c r="B144" s="39">
        <v>12</v>
      </c>
      <c r="C144" s="38">
        <v>0.36766599999999999</v>
      </c>
      <c r="D144" s="8">
        <f t="shared" si="19"/>
        <v>169.13</v>
      </c>
      <c r="H144">
        <v>12</v>
      </c>
      <c r="I144" s="8">
        <f t="shared" si="21"/>
        <v>14.700000000000017</v>
      </c>
      <c r="J144" s="8">
        <f t="shared" si="20"/>
        <v>1.4767926564525582</v>
      </c>
    </row>
    <row r="145" spans="1:10" x14ac:dyDescent="0.2">
      <c r="A145" s="1">
        <f t="shared" si="18"/>
        <v>145</v>
      </c>
      <c r="B145" s="39">
        <v>13</v>
      </c>
      <c r="C145" s="38">
        <v>0.33825300000000003</v>
      </c>
      <c r="D145" s="8">
        <f t="shared" si="19"/>
        <v>155.6</v>
      </c>
      <c r="H145">
        <v>13</v>
      </c>
      <c r="I145" s="8">
        <f t="shared" si="21"/>
        <v>13.530000000000001</v>
      </c>
      <c r="J145" s="8">
        <f t="shared" si="20"/>
        <v>1.3592520164491897</v>
      </c>
    </row>
    <row r="146" spans="1:10" x14ac:dyDescent="0.2">
      <c r="A146" s="1">
        <f t="shared" si="18"/>
        <v>146</v>
      </c>
      <c r="B146" s="39">
        <v>14</v>
      </c>
      <c r="C146" s="38">
        <v>0.311193</v>
      </c>
      <c r="D146" s="8">
        <f t="shared" si="19"/>
        <v>143.15</v>
      </c>
      <c r="H146">
        <v>14</v>
      </c>
      <c r="I146" s="8">
        <f t="shared" si="21"/>
        <v>12.449999999999989</v>
      </c>
      <c r="J146" s="8">
        <f t="shared" si="20"/>
        <v>1.2507529641383885</v>
      </c>
    </row>
    <row r="147" spans="1:10" x14ac:dyDescent="0.2">
      <c r="A147" s="1">
        <f t="shared" si="18"/>
        <v>147</v>
      </c>
      <c r="B147" s="39">
        <v>15</v>
      </c>
      <c r="C147" s="38">
        <v>0.28629700000000002</v>
      </c>
      <c r="D147" s="8">
        <f t="shared" si="19"/>
        <v>131.69999999999999</v>
      </c>
      <c r="H147">
        <v>15</v>
      </c>
      <c r="I147" s="8">
        <f t="shared" si="21"/>
        <v>11.450000000000017</v>
      </c>
      <c r="J147" s="8">
        <f t="shared" si="20"/>
        <v>1.1502908786654282</v>
      </c>
    </row>
    <row r="148" spans="1:10" x14ac:dyDescent="0.2">
      <c r="A148" s="1">
        <f t="shared" si="18"/>
        <v>148</v>
      </c>
      <c r="B148" s="39">
        <v>16</v>
      </c>
      <c r="C148" s="38">
        <v>0.26339400000000002</v>
      </c>
      <c r="D148" s="8">
        <f t="shared" si="19"/>
        <v>121.16</v>
      </c>
      <c r="H148">
        <v>16</v>
      </c>
      <c r="I148" s="8">
        <f t="shared" ref="I148:I157" si="22">D147-D148</f>
        <v>10.539999999999992</v>
      </c>
      <c r="J148" s="8">
        <f t="shared" si="20"/>
        <v>1.0588703808850293</v>
      </c>
    </row>
    <row r="149" spans="1:10" x14ac:dyDescent="0.2">
      <c r="A149" s="1">
        <f t="shared" si="18"/>
        <v>149</v>
      </c>
      <c r="B149" s="39">
        <v>17</v>
      </c>
      <c r="C149" s="38">
        <v>0.24232200000000001</v>
      </c>
      <c r="D149" s="8">
        <f t="shared" si="19"/>
        <v>111.47</v>
      </c>
      <c r="H149">
        <v>17</v>
      </c>
      <c r="I149" s="8">
        <f t="shared" si="22"/>
        <v>9.6899999999999977</v>
      </c>
      <c r="J149" s="8">
        <f t="shared" si="20"/>
        <v>0.97347760823301144</v>
      </c>
    </row>
    <row r="150" spans="1:10" x14ac:dyDescent="0.2">
      <c r="A150" s="1">
        <f t="shared" si="18"/>
        <v>150</v>
      </c>
      <c r="B150" s="39">
        <v>18</v>
      </c>
      <c r="C150" s="38">
        <v>0.222936</v>
      </c>
      <c r="D150" s="8">
        <f t="shared" si="19"/>
        <v>102.55</v>
      </c>
      <c r="H150">
        <v>18</v>
      </c>
      <c r="I150" s="8">
        <f t="shared" si="22"/>
        <v>8.9200000000000017</v>
      </c>
      <c r="J150" s="8">
        <f t="shared" si="20"/>
        <v>0.89612180241883033</v>
      </c>
    </row>
    <row r="151" spans="1:10" x14ac:dyDescent="0.2">
      <c r="A151" s="1">
        <f t="shared" si="18"/>
        <v>151</v>
      </c>
      <c r="B151" s="39">
        <v>19</v>
      </c>
      <c r="C151" s="38">
        <v>0.20510100000000001</v>
      </c>
      <c r="D151" s="8">
        <f t="shared" si="19"/>
        <v>94.35</v>
      </c>
      <c r="H151">
        <v>19</v>
      </c>
      <c r="I151" s="8">
        <f t="shared" si="22"/>
        <v>8.2000000000000028</v>
      </c>
      <c r="J151" s="8">
        <f t="shared" si="20"/>
        <v>0.82378910087829704</v>
      </c>
    </row>
    <row r="152" spans="1:10" x14ac:dyDescent="0.2">
      <c r="A152" s="1">
        <f t="shared" si="18"/>
        <v>152</v>
      </c>
      <c r="B152" s="39">
        <v>20</v>
      </c>
      <c r="C152" s="38">
        <v>0.188693</v>
      </c>
      <c r="D152" s="8">
        <f t="shared" si="19"/>
        <v>86.8</v>
      </c>
      <c r="H152">
        <v>20</v>
      </c>
      <c r="I152" s="8">
        <f t="shared" si="22"/>
        <v>7.5499999999999972</v>
      </c>
      <c r="J152" s="8">
        <f t="shared" si="20"/>
        <v>0.75848874532087041</v>
      </c>
    </row>
    <row r="153" spans="1:10" x14ac:dyDescent="0.2">
      <c r="A153" s="1">
        <f t="shared" si="18"/>
        <v>153</v>
      </c>
      <c r="B153" s="39">
        <v>21</v>
      </c>
      <c r="C153" s="38">
        <v>0.173598</v>
      </c>
      <c r="D153" s="8">
        <f t="shared" si="19"/>
        <v>79.86</v>
      </c>
      <c r="H153">
        <v>21</v>
      </c>
      <c r="I153" s="8">
        <f t="shared" si="22"/>
        <v>6.9399999999999977</v>
      </c>
      <c r="J153" s="8">
        <f t="shared" si="20"/>
        <v>0.69720687318236307</v>
      </c>
    </row>
    <row r="154" spans="1:10" x14ac:dyDescent="0.2">
      <c r="A154" s="1">
        <f t="shared" si="18"/>
        <v>154</v>
      </c>
      <c r="B154" s="39">
        <v>22</v>
      </c>
      <c r="C154" s="38">
        <v>0.15970999999999999</v>
      </c>
      <c r="D154" s="8">
        <f t="shared" si="19"/>
        <v>73.47</v>
      </c>
      <c r="H154">
        <v>22</v>
      </c>
      <c r="I154" s="8">
        <f t="shared" si="22"/>
        <v>6.3900000000000006</v>
      </c>
      <c r="J154" s="8">
        <f t="shared" si="20"/>
        <v>0.64195272617223376</v>
      </c>
    </row>
    <row r="155" spans="1:10" x14ac:dyDescent="0.2">
      <c r="A155" s="1">
        <f t="shared" si="18"/>
        <v>155</v>
      </c>
      <c r="B155" s="39">
        <v>23</v>
      </c>
      <c r="C155" s="38">
        <v>0.14693300000000001</v>
      </c>
      <c r="D155" s="8">
        <f t="shared" si="19"/>
        <v>67.59</v>
      </c>
      <c r="H155">
        <v>23</v>
      </c>
      <c r="I155" s="8">
        <f t="shared" si="22"/>
        <v>5.8799999999999955</v>
      </c>
      <c r="J155" s="8">
        <f t="shared" si="20"/>
        <v>0.59071706258102208</v>
      </c>
    </row>
    <row r="156" spans="1:10" x14ac:dyDescent="0.2">
      <c r="A156" s="1">
        <f t="shared" si="18"/>
        <v>156</v>
      </c>
      <c r="B156" s="39">
        <v>24</v>
      </c>
      <c r="C156" s="38">
        <v>0.13517899999999999</v>
      </c>
      <c r="D156" s="8">
        <f t="shared" si="19"/>
        <v>62.18</v>
      </c>
      <c r="H156">
        <v>24</v>
      </c>
      <c r="I156" s="8">
        <f t="shared" si="22"/>
        <v>5.4100000000000037</v>
      </c>
      <c r="J156" s="8">
        <f t="shared" si="20"/>
        <v>0.54349988240873026</v>
      </c>
    </row>
    <row r="157" spans="1:10" x14ac:dyDescent="0.2">
      <c r="A157" s="1">
        <f t="shared" si="18"/>
        <v>157</v>
      </c>
      <c r="B157" s="39">
        <v>25</v>
      </c>
      <c r="C157" s="38">
        <v>0.124364</v>
      </c>
      <c r="D157" s="8">
        <f t="shared" si="19"/>
        <v>57.21</v>
      </c>
      <c r="H157">
        <v>25</v>
      </c>
      <c r="I157" s="8">
        <f t="shared" si="22"/>
        <v>4.9699999999999989</v>
      </c>
      <c r="J157" s="8">
        <f t="shared" si="20"/>
        <v>0.49929656480062612</v>
      </c>
    </row>
    <row r="158" spans="1:10" x14ac:dyDescent="0.2">
      <c r="A158" s="1">
        <f t="shared" si="18"/>
        <v>158</v>
      </c>
    </row>
  </sheetData>
  <mergeCells count="12">
    <mergeCell ref="K6:M6"/>
    <mergeCell ref="N6:P6"/>
    <mergeCell ref="Q6:S6"/>
    <mergeCell ref="T6:V6"/>
    <mergeCell ref="T55:V55"/>
    <mergeCell ref="N55:P55"/>
    <mergeCell ref="Q55:S55"/>
    <mergeCell ref="D62:E62"/>
    <mergeCell ref="F62:G62"/>
    <mergeCell ref="D23:E23"/>
    <mergeCell ref="F23:G23"/>
    <mergeCell ref="K55:M55"/>
  </mergeCells>
  <pageMargins left="0.7" right="0.7" top="0.75" bottom="0.75" header="0.3" footer="0.3"/>
  <pageSetup orientation="portrait" verticalDpi="0" r:id="rId1"/>
  <ignoredErrors>
    <ignoredError sqref="F3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topLeftCell="A31" zoomScale="80" zoomScaleNormal="80" workbookViewId="0">
      <selection activeCell="D16" sqref="D16"/>
    </sheetView>
  </sheetViews>
  <sheetFormatPr defaultColWidth="15.625" defaultRowHeight="14.25" x14ac:dyDescent="0.2"/>
  <cols>
    <col min="1" max="1" width="4.625" customWidth="1"/>
    <col min="2" max="2" width="16.125" customWidth="1"/>
    <col min="8" max="8" width="6.5" customWidth="1"/>
    <col min="9" max="9" width="15.625" customWidth="1"/>
    <col min="10" max="10" width="16.125" customWidth="1"/>
  </cols>
  <sheetData>
    <row r="1" spans="1:22" x14ac:dyDescent="0.2">
      <c r="A1" s="1">
        <v>1</v>
      </c>
      <c r="B1" t="str">
        <f>Background!B1</f>
        <v>Green Power Tariff - Alternative - Revised 02-08-2019</v>
      </c>
    </row>
    <row r="2" spans="1:22" x14ac:dyDescent="0.2">
      <c r="A2" s="1">
        <f>A1+1</f>
        <v>2</v>
      </c>
      <c r="B2" t="s">
        <v>126</v>
      </c>
    </row>
    <row r="3" spans="1:22" x14ac:dyDescent="0.2">
      <c r="A3" s="1">
        <f t="shared" ref="A3:A70" si="0">A2+1</f>
        <v>3</v>
      </c>
    </row>
    <row r="4" spans="1:22" x14ac:dyDescent="0.2">
      <c r="A4" s="1">
        <f t="shared" si="0"/>
        <v>4</v>
      </c>
    </row>
    <row r="5" spans="1:22" x14ac:dyDescent="0.2">
      <c r="A5" s="1">
        <f t="shared" si="0"/>
        <v>5</v>
      </c>
      <c r="B5" t="s">
        <v>127</v>
      </c>
      <c r="I5" t="s">
        <v>128</v>
      </c>
    </row>
    <row r="6" spans="1:22" x14ac:dyDescent="0.2">
      <c r="A6" s="1">
        <f t="shared" si="0"/>
        <v>6</v>
      </c>
      <c r="K6" s="113" t="s">
        <v>140</v>
      </c>
      <c r="L6" s="114"/>
      <c r="M6" s="115"/>
      <c r="N6" s="113" t="s">
        <v>141</v>
      </c>
      <c r="O6" s="114"/>
      <c r="P6" s="115"/>
      <c r="Q6" s="113" t="s">
        <v>142</v>
      </c>
      <c r="R6" s="114"/>
      <c r="S6" s="115"/>
      <c r="T6" s="113" t="s">
        <v>143</v>
      </c>
      <c r="U6" s="114"/>
      <c r="V6" s="115"/>
    </row>
    <row r="7" spans="1:22" x14ac:dyDescent="0.2">
      <c r="A7" s="1">
        <f t="shared" si="0"/>
        <v>7</v>
      </c>
      <c r="B7" t="s">
        <v>21</v>
      </c>
      <c r="I7" t="s">
        <v>21</v>
      </c>
      <c r="K7" s="21"/>
      <c r="L7" s="28"/>
      <c r="M7" s="28"/>
      <c r="N7" s="29"/>
      <c r="O7" s="28"/>
      <c r="P7" s="28"/>
      <c r="Q7" s="29"/>
      <c r="R7" s="28"/>
      <c r="S7" s="28"/>
      <c r="T7" s="29"/>
      <c r="U7" s="28"/>
      <c r="V7" s="31"/>
    </row>
    <row r="8" spans="1:22" x14ac:dyDescent="0.2">
      <c r="A8" s="1">
        <f t="shared" si="0"/>
        <v>8</v>
      </c>
      <c r="K8" s="22"/>
      <c r="L8" s="28"/>
      <c r="M8" s="28"/>
      <c r="N8" s="30"/>
      <c r="O8" s="28"/>
      <c r="P8" s="28"/>
      <c r="Q8" s="30"/>
      <c r="R8" s="28"/>
      <c r="S8" s="28"/>
      <c r="T8" s="30"/>
      <c r="U8" s="28"/>
      <c r="V8" s="32"/>
    </row>
    <row r="9" spans="1:22" x14ac:dyDescent="0.2">
      <c r="A9" s="1">
        <f t="shared" si="0"/>
        <v>9</v>
      </c>
      <c r="B9" t="s">
        <v>24</v>
      </c>
      <c r="D9" s="1">
        <v>650</v>
      </c>
      <c r="I9" t="s">
        <v>24</v>
      </c>
      <c r="K9" s="22"/>
      <c r="L9" s="33">
        <f>$D9</f>
        <v>650</v>
      </c>
      <c r="M9" s="28"/>
      <c r="N9" s="30"/>
      <c r="O9" s="33">
        <f>$D9</f>
        <v>650</v>
      </c>
      <c r="P9" s="28"/>
      <c r="Q9" s="30"/>
      <c r="R9" s="33">
        <f>$D9</f>
        <v>650</v>
      </c>
      <c r="S9" s="28"/>
      <c r="T9" s="30"/>
      <c r="U9" s="33">
        <f>$D9</f>
        <v>650</v>
      </c>
      <c r="V9" s="32"/>
    </row>
    <row r="10" spans="1:22" x14ac:dyDescent="0.2">
      <c r="A10" s="1">
        <f t="shared" si="0"/>
        <v>10</v>
      </c>
      <c r="D10" s="1"/>
      <c r="I10" t="s">
        <v>102</v>
      </c>
      <c r="K10" s="22"/>
      <c r="L10" s="35">
        <v>1</v>
      </c>
      <c r="M10" s="28"/>
      <c r="N10" s="30"/>
      <c r="O10" s="35">
        <v>1</v>
      </c>
      <c r="P10" s="28"/>
      <c r="Q10" s="30"/>
      <c r="R10" s="35">
        <v>1</v>
      </c>
      <c r="S10" s="28"/>
      <c r="T10" s="30"/>
      <c r="U10" s="35">
        <v>1</v>
      </c>
      <c r="V10" s="32"/>
    </row>
    <row r="11" spans="1:22" x14ac:dyDescent="0.2">
      <c r="A11" s="1">
        <f t="shared" si="0"/>
        <v>11</v>
      </c>
      <c r="B11" t="s">
        <v>129</v>
      </c>
      <c r="D11" s="1">
        <v>392000</v>
      </c>
      <c r="I11" t="s">
        <v>129</v>
      </c>
      <c r="K11" s="22"/>
      <c r="L11" s="33">
        <f>$D11</f>
        <v>392000</v>
      </c>
      <c r="M11" s="28"/>
      <c r="N11" s="30"/>
      <c r="O11" s="33">
        <f>$D11</f>
        <v>392000</v>
      </c>
      <c r="P11" s="28"/>
      <c r="Q11" s="30"/>
      <c r="R11" s="33">
        <f>$D11</f>
        <v>392000</v>
      </c>
      <c r="S11" s="28"/>
      <c r="T11" s="30"/>
      <c r="U11" s="33">
        <f>$D11</f>
        <v>392000</v>
      </c>
      <c r="V11" s="32"/>
    </row>
    <row r="12" spans="1:22" x14ac:dyDescent="0.2">
      <c r="A12" s="1">
        <f t="shared" si="0"/>
        <v>12</v>
      </c>
      <c r="B12" t="s">
        <v>130</v>
      </c>
      <c r="D12" s="1">
        <v>100000</v>
      </c>
      <c r="E12" t="s">
        <v>34</v>
      </c>
      <c r="I12" t="s">
        <v>130</v>
      </c>
      <c r="K12" s="22"/>
      <c r="L12" s="33">
        <f>$D12</f>
        <v>100000</v>
      </c>
      <c r="M12" s="28"/>
      <c r="N12" s="30"/>
      <c r="O12" s="33">
        <f>$D12</f>
        <v>100000</v>
      </c>
      <c r="P12" s="28"/>
      <c r="Q12" s="30"/>
      <c r="R12" s="33">
        <f>$D12</f>
        <v>100000</v>
      </c>
      <c r="S12" s="28"/>
      <c r="T12" s="30"/>
      <c r="U12" s="33">
        <f>$D12</f>
        <v>100000</v>
      </c>
      <c r="V12" s="32"/>
    </row>
    <row r="13" spans="1:22" x14ac:dyDescent="0.2">
      <c r="A13" s="1">
        <f t="shared" si="0"/>
        <v>13</v>
      </c>
      <c r="I13" t="s">
        <v>103</v>
      </c>
      <c r="K13" s="22"/>
      <c r="L13" s="37">
        <f>Background!G33</f>
        <v>5.3560000000000003E-2</v>
      </c>
      <c r="M13" s="28"/>
      <c r="N13" s="30"/>
      <c r="O13" s="37">
        <f>Background!H33</f>
        <v>3.5999999999999997E-2</v>
      </c>
      <c r="P13" s="28"/>
      <c r="Q13" s="30"/>
      <c r="R13" s="37">
        <f>Background!I33</f>
        <v>3.4779999999999998E-2</v>
      </c>
      <c r="S13" s="28"/>
      <c r="T13" s="30"/>
      <c r="U13" s="37">
        <f>Background!J33</f>
        <v>5.0720000000000001E-2</v>
      </c>
      <c r="V13" s="32"/>
    </row>
    <row r="14" spans="1:22" x14ac:dyDescent="0.2">
      <c r="A14" s="1">
        <f t="shared" si="0"/>
        <v>14</v>
      </c>
      <c r="B14" t="s">
        <v>56</v>
      </c>
      <c r="K14" s="22"/>
      <c r="L14" s="34"/>
      <c r="M14" s="28"/>
      <c r="N14" s="30"/>
      <c r="O14" s="34"/>
      <c r="P14" s="28"/>
      <c r="Q14" s="30"/>
      <c r="R14" s="34"/>
      <c r="S14" s="28"/>
      <c r="T14" s="30"/>
      <c r="U14" s="34"/>
      <c r="V14" s="32"/>
    </row>
    <row r="15" spans="1:22" x14ac:dyDescent="0.2">
      <c r="A15" s="1">
        <f t="shared" si="0"/>
        <v>15</v>
      </c>
      <c r="K15" s="22"/>
      <c r="L15" s="34"/>
      <c r="M15" s="28"/>
      <c r="N15" s="30"/>
      <c r="O15" s="34"/>
      <c r="P15" s="28"/>
      <c r="Q15" s="30"/>
      <c r="R15" s="34"/>
      <c r="S15" s="28"/>
      <c r="T15" s="30"/>
      <c r="U15" s="34"/>
      <c r="V15" s="32"/>
    </row>
    <row r="16" spans="1:22" x14ac:dyDescent="0.2">
      <c r="A16" s="1">
        <f t="shared" si="0"/>
        <v>16</v>
      </c>
      <c r="B16" t="s">
        <v>131</v>
      </c>
      <c r="D16" s="1">
        <v>3000</v>
      </c>
      <c r="I16" t="s">
        <v>131</v>
      </c>
      <c r="K16" s="22"/>
      <c r="L16" s="33">
        <f>$D16</f>
        <v>3000</v>
      </c>
      <c r="M16" s="28"/>
      <c r="N16" s="30"/>
      <c r="O16" s="33">
        <f>$D16</f>
        <v>3000</v>
      </c>
      <c r="P16" s="28"/>
      <c r="Q16" s="30"/>
      <c r="R16" s="33">
        <f>$D16</f>
        <v>3000</v>
      </c>
      <c r="S16" s="28"/>
      <c r="T16" s="30"/>
      <c r="U16" s="33">
        <f>$D16</f>
        <v>3000</v>
      </c>
      <c r="V16" s="32"/>
    </row>
    <row r="17" spans="1:22" x14ac:dyDescent="0.2">
      <c r="A17" s="1">
        <f t="shared" si="0"/>
        <v>17</v>
      </c>
      <c r="B17" t="s">
        <v>132</v>
      </c>
      <c r="D17" s="59">
        <v>0</v>
      </c>
      <c r="I17" t="s">
        <v>132</v>
      </c>
      <c r="K17" s="22"/>
      <c r="L17" s="36">
        <f>$D17</f>
        <v>0</v>
      </c>
      <c r="M17" s="28"/>
      <c r="N17" s="30"/>
      <c r="O17" s="36">
        <f>$D17</f>
        <v>0</v>
      </c>
      <c r="P17" s="28"/>
      <c r="Q17" s="30"/>
      <c r="R17" s="36">
        <f>$D17</f>
        <v>0</v>
      </c>
      <c r="S17" s="28"/>
      <c r="T17" s="30"/>
      <c r="U17" s="36">
        <f>$D17</f>
        <v>0</v>
      </c>
      <c r="V17" s="32"/>
    </row>
    <row r="18" spans="1:22" x14ac:dyDescent="0.2">
      <c r="A18" s="1">
        <f t="shared" si="0"/>
        <v>18</v>
      </c>
      <c r="K18" s="22"/>
      <c r="L18" s="34"/>
      <c r="M18" s="28"/>
      <c r="N18" s="30"/>
      <c r="O18" s="34"/>
      <c r="P18" s="28"/>
      <c r="Q18" s="30"/>
      <c r="R18" s="34"/>
      <c r="S18" s="28"/>
      <c r="T18" s="30"/>
      <c r="U18" s="34"/>
      <c r="V18" s="32"/>
    </row>
    <row r="19" spans="1:22" x14ac:dyDescent="0.2">
      <c r="A19" s="1">
        <f t="shared" si="0"/>
        <v>19</v>
      </c>
      <c r="B19" t="s">
        <v>134</v>
      </c>
      <c r="D19" s="8">
        <v>-1.44</v>
      </c>
      <c r="I19" t="s">
        <v>134</v>
      </c>
      <c r="K19" s="22"/>
      <c r="L19" s="36">
        <f>$D19</f>
        <v>-1.44</v>
      </c>
      <c r="M19" s="28"/>
      <c r="N19" s="30"/>
      <c r="O19" s="36">
        <f>$D19</f>
        <v>-1.44</v>
      </c>
      <c r="P19" s="28"/>
      <c r="Q19" s="30"/>
      <c r="R19" s="36">
        <f>$D19</f>
        <v>-1.44</v>
      </c>
      <c r="S19" s="28"/>
      <c r="T19" s="30"/>
      <c r="U19" s="36">
        <f>$D19</f>
        <v>-1.44</v>
      </c>
      <c r="V19" s="32"/>
    </row>
    <row r="20" spans="1:22" x14ac:dyDescent="0.2">
      <c r="A20" s="1">
        <f t="shared" si="0"/>
        <v>20</v>
      </c>
      <c r="B20" t="s">
        <v>133</v>
      </c>
      <c r="D20" s="8">
        <v>-0.34</v>
      </c>
      <c r="I20" t="s">
        <v>133</v>
      </c>
      <c r="K20" s="22"/>
      <c r="L20" s="36">
        <f>$D20</f>
        <v>-0.34</v>
      </c>
      <c r="M20" s="28"/>
      <c r="N20" s="30"/>
      <c r="O20" s="36">
        <f>$D20</f>
        <v>-0.34</v>
      </c>
      <c r="P20" s="28"/>
      <c r="Q20" s="30"/>
      <c r="R20" s="36">
        <f>$D20</f>
        <v>-0.34</v>
      </c>
      <c r="S20" s="28"/>
      <c r="T20" s="30"/>
      <c r="U20" s="36">
        <f>$D20</f>
        <v>-0.34</v>
      </c>
      <c r="V20" s="32"/>
    </row>
    <row r="21" spans="1:22" x14ac:dyDescent="0.2">
      <c r="A21" s="1">
        <f t="shared" si="0"/>
        <v>21</v>
      </c>
      <c r="B21" t="s">
        <v>135</v>
      </c>
      <c r="D21" s="8">
        <v>0.35</v>
      </c>
      <c r="I21" t="s">
        <v>135</v>
      </c>
      <c r="K21" s="22"/>
      <c r="L21" s="36">
        <f>$D21</f>
        <v>0.35</v>
      </c>
      <c r="M21" s="28"/>
      <c r="N21" s="30"/>
      <c r="O21" s="36">
        <f>$D21</f>
        <v>0.35</v>
      </c>
      <c r="P21" s="28"/>
      <c r="Q21" s="30"/>
      <c r="R21" s="36">
        <f>$D21</f>
        <v>0.35</v>
      </c>
      <c r="S21" s="28"/>
      <c r="T21" s="30"/>
      <c r="U21" s="36">
        <f>$D21</f>
        <v>0.35</v>
      </c>
      <c r="V21" s="32"/>
    </row>
    <row r="22" spans="1:22" x14ac:dyDescent="0.2">
      <c r="A22" s="1">
        <f t="shared" si="0"/>
        <v>22</v>
      </c>
      <c r="K22" s="22"/>
      <c r="L22" s="34"/>
      <c r="M22" s="28"/>
      <c r="N22" s="30"/>
      <c r="O22" s="28"/>
      <c r="P22" s="28"/>
      <c r="Q22" s="30"/>
      <c r="R22" s="28"/>
      <c r="S22" s="28"/>
      <c r="T22" s="30"/>
      <c r="U22" s="28"/>
      <c r="V22" s="32"/>
    </row>
    <row r="23" spans="1:22" x14ac:dyDescent="0.2">
      <c r="A23" s="1">
        <f t="shared" si="0"/>
        <v>23</v>
      </c>
      <c r="D23" s="113" t="s">
        <v>57</v>
      </c>
      <c r="E23" s="115"/>
      <c r="F23" s="113" t="s">
        <v>58</v>
      </c>
      <c r="G23" s="115"/>
      <c r="L23" s="28"/>
      <c r="M23" s="28"/>
      <c r="N23" s="28"/>
      <c r="O23" s="28"/>
      <c r="P23" s="28"/>
      <c r="Q23" s="28"/>
      <c r="R23" s="28"/>
      <c r="S23" s="28"/>
      <c r="T23" s="28"/>
      <c r="U23" s="28"/>
      <c r="V23" s="28"/>
    </row>
    <row r="24" spans="1:22" ht="15" thickBot="1" x14ac:dyDescent="0.25">
      <c r="A24" s="1">
        <f t="shared" si="0"/>
        <v>24</v>
      </c>
      <c r="C24" s="4" t="s">
        <v>26</v>
      </c>
      <c r="D24" s="4" t="s">
        <v>27</v>
      </c>
      <c r="E24" s="4" t="s">
        <v>28</v>
      </c>
      <c r="F24" s="4" t="s">
        <v>27</v>
      </c>
      <c r="G24" s="4" t="s">
        <v>28</v>
      </c>
      <c r="K24" s="4" t="s">
        <v>26</v>
      </c>
      <c r="L24" s="4" t="s">
        <v>27</v>
      </c>
      <c r="M24" s="4" t="s">
        <v>28</v>
      </c>
      <c r="N24" s="4" t="s">
        <v>26</v>
      </c>
      <c r="O24" s="4" t="s">
        <v>27</v>
      </c>
      <c r="P24" s="4" t="s">
        <v>28</v>
      </c>
      <c r="Q24" s="4" t="s">
        <v>26</v>
      </c>
      <c r="R24" s="4" t="s">
        <v>27</v>
      </c>
      <c r="S24" s="4" t="s">
        <v>28</v>
      </c>
      <c r="T24" s="4" t="s">
        <v>26</v>
      </c>
      <c r="U24" s="4" t="s">
        <v>27</v>
      </c>
      <c r="V24" s="4" t="s">
        <v>28</v>
      </c>
    </row>
    <row r="25" spans="1:22" x14ac:dyDescent="0.2">
      <c r="A25" s="1">
        <f t="shared" si="0"/>
        <v>25</v>
      </c>
    </row>
    <row r="26" spans="1:22" x14ac:dyDescent="0.2">
      <c r="A26" s="1">
        <f t="shared" si="0"/>
        <v>26</v>
      </c>
      <c r="B26" t="s">
        <v>29</v>
      </c>
      <c r="C26" s="1">
        <f>D9</f>
        <v>650</v>
      </c>
      <c r="D26" s="8">
        <v>6.02</v>
      </c>
      <c r="E26" s="9">
        <f>ROUND(C26*D26,0)</f>
        <v>3913</v>
      </c>
      <c r="F26" s="8">
        <v>7.17</v>
      </c>
      <c r="G26" s="9">
        <f>ROUND(C26*F26,0)</f>
        <v>4661</v>
      </c>
      <c r="J26" t="s">
        <v>50</v>
      </c>
      <c r="L26" s="8">
        <v>107.68</v>
      </c>
      <c r="M26" s="8">
        <f>L26</f>
        <v>107.68</v>
      </c>
      <c r="O26" s="8">
        <v>65.510000000000005</v>
      </c>
      <c r="P26" s="8">
        <f>O26</f>
        <v>65.510000000000005</v>
      </c>
      <c r="R26" s="8">
        <v>614.28</v>
      </c>
      <c r="S26" s="8">
        <f>R26</f>
        <v>614.28</v>
      </c>
      <c r="U26" s="8">
        <f>145.86+367.59</f>
        <v>513.45000000000005</v>
      </c>
      <c r="V26" s="8">
        <f>U26</f>
        <v>513.45000000000005</v>
      </c>
    </row>
    <row r="27" spans="1:22" x14ac:dyDescent="0.2">
      <c r="A27" s="1">
        <f t="shared" si="0"/>
        <v>27</v>
      </c>
      <c r="E27" s="9"/>
      <c r="G27" s="9"/>
      <c r="L27" s="8"/>
      <c r="M27" s="8"/>
      <c r="O27" s="8"/>
      <c r="P27" s="8"/>
      <c r="R27" s="8"/>
      <c r="S27" s="8"/>
      <c r="U27" s="8"/>
      <c r="V27" s="8"/>
    </row>
    <row r="28" spans="1:22" x14ac:dyDescent="0.2">
      <c r="A28" s="1">
        <f t="shared" si="0"/>
        <v>28</v>
      </c>
      <c r="B28" t="s">
        <v>30</v>
      </c>
      <c r="E28" s="9"/>
      <c r="G28" s="9"/>
      <c r="J28" t="s">
        <v>29</v>
      </c>
      <c r="K28" s="1">
        <f>ROUND(L9*L10,0)</f>
        <v>650</v>
      </c>
      <c r="L28" s="8">
        <v>6.25</v>
      </c>
      <c r="M28" s="8">
        <f>ROUND(K28*L28,2)</f>
        <v>4062.5</v>
      </c>
      <c r="N28" s="1">
        <f>ROUND(O9*O10,0)</f>
        <v>650</v>
      </c>
      <c r="O28" s="8">
        <v>6.93</v>
      </c>
      <c r="P28" s="8">
        <f>ROUND(N28*O28,2)</f>
        <v>4504.5</v>
      </c>
      <c r="Q28" s="1">
        <f>ROUND(R9*R10,0)</f>
        <v>650</v>
      </c>
      <c r="R28" s="8">
        <v>7.17</v>
      </c>
      <c r="S28" s="8">
        <f>ROUND(Q28*R28,2)</f>
        <v>4660.5</v>
      </c>
      <c r="T28" s="1">
        <f>ROUND(U9*U10,0)</f>
        <v>650</v>
      </c>
      <c r="U28" s="8">
        <v>6.29</v>
      </c>
      <c r="V28" s="8">
        <f>ROUND(T28*U28,2)</f>
        <v>4088.5</v>
      </c>
    </row>
    <row r="29" spans="1:22" x14ac:dyDescent="0.2">
      <c r="A29" s="1">
        <f t="shared" si="0"/>
        <v>29</v>
      </c>
      <c r="B29" t="s">
        <v>59</v>
      </c>
      <c r="C29" s="1">
        <f>D11</f>
        <v>392000</v>
      </c>
      <c r="D29" s="6"/>
      <c r="E29" s="9"/>
      <c r="F29" s="6">
        <v>4.0502000000000003E-2</v>
      </c>
      <c r="G29" s="9">
        <f>ROUND(C29*F29,0)</f>
        <v>15877</v>
      </c>
      <c r="K29" s="1"/>
      <c r="M29" s="8"/>
      <c r="N29" s="1"/>
      <c r="P29" s="8"/>
      <c r="Q29" s="1"/>
      <c r="S29" s="8"/>
      <c r="T29" s="1"/>
      <c r="V29" s="8"/>
    </row>
    <row r="30" spans="1:22" x14ac:dyDescent="0.2">
      <c r="A30" s="1">
        <f t="shared" si="0"/>
        <v>30</v>
      </c>
      <c r="B30" t="s">
        <v>31</v>
      </c>
      <c r="C30" s="1">
        <f>ROUND(D11*0.5,0)</f>
        <v>196000</v>
      </c>
      <c r="D30" s="6">
        <v>5.0899E-2</v>
      </c>
      <c r="E30" s="9">
        <f t="shared" ref="E30:E31" si="1">ROUND(C30*D30,0)</f>
        <v>9976</v>
      </c>
      <c r="G30" s="9"/>
      <c r="J30" t="s">
        <v>53</v>
      </c>
      <c r="K30" s="1">
        <f>ROUND(L11*(1-L13),0)</f>
        <v>371004</v>
      </c>
      <c r="L30" s="6">
        <v>5.176E-2</v>
      </c>
      <c r="M30" s="8">
        <f>ROUND(K30*L30,2)</f>
        <v>19203.169999999998</v>
      </c>
      <c r="N30" s="1">
        <f>ROUND(O11*(1-O13),0)</f>
        <v>377888</v>
      </c>
      <c r="O30" s="6">
        <v>5.1330000000000001E-2</v>
      </c>
      <c r="P30" s="8">
        <f>ROUND(N30*O30,2)</f>
        <v>19396.990000000002</v>
      </c>
      <c r="Q30" s="1">
        <f>ROUND(R11*(1-R13),0)</f>
        <v>378366</v>
      </c>
      <c r="R30" s="6">
        <v>4.9829999999999999E-2</v>
      </c>
      <c r="S30" s="8">
        <f>ROUND(Q30*R30,2)</f>
        <v>18853.98</v>
      </c>
      <c r="T30" s="1">
        <f>ROUND(U11*(1-U13),0)</f>
        <v>372118</v>
      </c>
      <c r="U30" s="6">
        <v>4.904E-2</v>
      </c>
      <c r="V30" s="8">
        <f>ROUND(T30*U30,2)</f>
        <v>18248.669999999998</v>
      </c>
    </row>
    <row r="31" spans="1:22" x14ac:dyDescent="0.2">
      <c r="A31" s="1">
        <f t="shared" si="0"/>
        <v>31</v>
      </c>
      <c r="B31" t="s">
        <v>32</v>
      </c>
      <c r="C31" s="1">
        <f>ROUND(D11*0.5,0)</f>
        <v>196000</v>
      </c>
      <c r="D31" s="6">
        <v>4.2174000000000003E-2</v>
      </c>
      <c r="E31" s="9">
        <f t="shared" si="1"/>
        <v>8266</v>
      </c>
      <c r="G31" s="9"/>
      <c r="K31" s="1"/>
      <c r="M31" s="8"/>
      <c r="N31" s="1"/>
      <c r="P31" s="8"/>
      <c r="Q31" s="1"/>
      <c r="S31" s="8"/>
      <c r="T31" s="1"/>
      <c r="V31" s="8"/>
    </row>
    <row r="32" spans="1:22" x14ac:dyDescent="0.2">
      <c r="A32" s="1">
        <f t="shared" si="0"/>
        <v>32</v>
      </c>
      <c r="E32" s="9"/>
      <c r="G32" s="9"/>
      <c r="J32" t="s">
        <v>35</v>
      </c>
      <c r="K32" s="1">
        <f>K30</f>
        <v>371004</v>
      </c>
      <c r="L32" s="6">
        <f>Background!C29</f>
        <v>-3.3099999999999996E-3</v>
      </c>
      <c r="M32" s="12">
        <f>ROUND(K32*L32,2)</f>
        <v>-1228.02</v>
      </c>
      <c r="N32" s="1">
        <f>N30</f>
        <v>377888</v>
      </c>
      <c r="O32" s="6">
        <f>Background!D29</f>
        <v>-2.8410000000000002E-3</v>
      </c>
      <c r="P32" s="12">
        <f>ROUND(N32*O32,2)</f>
        <v>-1073.58</v>
      </c>
      <c r="Q32" s="1">
        <f>Q30</f>
        <v>378366</v>
      </c>
      <c r="R32" s="6">
        <f>Background!E29</f>
        <v>-2.9830000000000004E-3</v>
      </c>
      <c r="S32" s="12">
        <f>ROUND(Q32*R32,2)</f>
        <v>-1128.67</v>
      </c>
      <c r="T32" s="1">
        <f>T30</f>
        <v>372118</v>
      </c>
      <c r="U32" s="6">
        <f>Background!F29</f>
        <v>-3.2440000000000004E-3</v>
      </c>
      <c r="V32" s="12">
        <f>ROUND(T32*U32,2)</f>
        <v>-1207.1500000000001</v>
      </c>
    </row>
    <row r="33" spans="1:22" x14ac:dyDescent="0.2">
      <c r="A33" s="1">
        <f t="shared" si="0"/>
        <v>33</v>
      </c>
      <c r="B33" t="s">
        <v>35</v>
      </c>
      <c r="C33" s="1">
        <f>C29</f>
        <v>392000</v>
      </c>
      <c r="D33" s="6">
        <f>Background!F71</f>
        <v>-2.0799999999999998E-3</v>
      </c>
      <c r="E33" s="10">
        <f>ROUND(C33*D33,0)</f>
        <v>-815</v>
      </c>
      <c r="F33" s="6">
        <f>D33</f>
        <v>-2.0799999999999998E-3</v>
      </c>
      <c r="G33" s="10">
        <f>ROUND(C33*F33,0)</f>
        <v>-815</v>
      </c>
      <c r="M33" s="8"/>
      <c r="P33" s="8"/>
      <c r="S33" s="8"/>
      <c r="V33" s="8"/>
    </row>
    <row r="34" spans="1:22" x14ac:dyDescent="0.2">
      <c r="A34" s="1">
        <f t="shared" si="0"/>
        <v>34</v>
      </c>
      <c r="E34" s="9"/>
      <c r="G34" s="9"/>
      <c r="M34" s="8"/>
      <c r="P34" s="8"/>
      <c r="S34" s="8"/>
      <c r="V34" s="8"/>
    </row>
    <row r="35" spans="1:22" x14ac:dyDescent="0.2">
      <c r="A35" s="1">
        <f t="shared" si="0"/>
        <v>35</v>
      </c>
      <c r="B35" t="s">
        <v>36</v>
      </c>
      <c r="E35" s="9">
        <f>SUM(E26:E33)</f>
        <v>21340</v>
      </c>
      <c r="G35" s="9">
        <f>SUM(G26:G33)</f>
        <v>19723</v>
      </c>
      <c r="J35" t="s">
        <v>36</v>
      </c>
      <c r="M35" s="8">
        <f>SUM(M26:M32)</f>
        <v>22145.329999999998</v>
      </c>
      <c r="P35" s="8">
        <f>SUM(P26:P32)</f>
        <v>22893.42</v>
      </c>
      <c r="S35" s="8">
        <f>SUM(S26:S32)</f>
        <v>23000.089999999997</v>
      </c>
      <c r="V35" s="8">
        <f>SUM(V26:V32)</f>
        <v>21643.469999999998</v>
      </c>
    </row>
    <row r="36" spans="1:22" x14ac:dyDescent="0.2">
      <c r="A36" s="1">
        <f t="shared" si="0"/>
        <v>36</v>
      </c>
      <c r="E36" s="9"/>
      <c r="G36" s="9"/>
      <c r="M36" s="8"/>
      <c r="P36" s="8"/>
      <c r="S36" s="8"/>
      <c r="V36" s="8"/>
    </row>
    <row r="37" spans="1:22" x14ac:dyDescent="0.2">
      <c r="A37" s="1">
        <f t="shared" si="0"/>
        <v>37</v>
      </c>
      <c r="B37" t="s">
        <v>37</v>
      </c>
      <c r="D37" s="7">
        <f>Background!F73</f>
        <v>0.15290000000000001</v>
      </c>
      <c r="E37" s="10">
        <f>ROUND(E35*D37,0)</f>
        <v>3263</v>
      </c>
      <c r="F37" s="7">
        <f>D37</f>
        <v>0.15290000000000001</v>
      </c>
      <c r="G37" s="10">
        <f>ROUND(G35*F37,0)</f>
        <v>3016</v>
      </c>
      <c r="J37" t="s">
        <v>37</v>
      </c>
      <c r="L37" s="7">
        <f>Background!C51</f>
        <v>0.10050000000000001</v>
      </c>
      <c r="M37" s="12">
        <f>ROUND(M35*L37,2)</f>
        <v>2225.61</v>
      </c>
      <c r="O37" s="7">
        <f>Background!D51</f>
        <v>0.1125</v>
      </c>
      <c r="P37" s="12">
        <f>ROUND(P35*O37,2)</f>
        <v>2575.5100000000002</v>
      </c>
      <c r="R37" s="7">
        <f>Background!E51</f>
        <v>0.1115</v>
      </c>
      <c r="S37" s="12">
        <f>ROUND(S35*R37,2)</f>
        <v>2564.5100000000002</v>
      </c>
      <c r="U37" s="7">
        <f>Background!F51</f>
        <v>0.1076</v>
      </c>
      <c r="V37" s="12">
        <f>ROUND(V35*U37,2)</f>
        <v>2328.84</v>
      </c>
    </row>
    <row r="38" spans="1:22" x14ac:dyDescent="0.2">
      <c r="A38" s="1">
        <f t="shared" si="0"/>
        <v>38</v>
      </c>
      <c r="E38" s="9"/>
      <c r="G38" s="9"/>
      <c r="M38" s="8"/>
      <c r="P38" s="8"/>
      <c r="S38" s="8"/>
      <c r="V38" s="8"/>
    </row>
    <row r="39" spans="1:22" x14ac:dyDescent="0.2">
      <c r="A39" s="1">
        <f t="shared" si="0"/>
        <v>39</v>
      </c>
      <c r="B39" t="s">
        <v>36</v>
      </c>
      <c r="E39" s="9">
        <f>E35+E37</f>
        <v>24603</v>
      </c>
      <c r="G39" s="9">
        <f>G35+G37</f>
        <v>22739</v>
      </c>
      <c r="J39" t="s">
        <v>36</v>
      </c>
      <c r="M39" s="8">
        <f>M35+M37</f>
        <v>24370.94</v>
      </c>
      <c r="P39" s="8">
        <f>P35+P37</f>
        <v>25468.93</v>
      </c>
      <c r="S39" s="8">
        <f>S35+S37</f>
        <v>25564.6</v>
      </c>
      <c r="V39" s="8">
        <f>V35+V37</f>
        <v>23972.309999999998</v>
      </c>
    </row>
    <row r="40" spans="1:22" x14ac:dyDescent="0.2">
      <c r="A40" s="1">
        <f t="shared" si="0"/>
        <v>40</v>
      </c>
      <c r="E40" s="9"/>
      <c r="G40" s="9"/>
      <c r="M40" s="8"/>
      <c r="P40" s="8"/>
      <c r="S40" s="8"/>
      <c r="V40" s="8"/>
    </row>
    <row r="41" spans="1:22" x14ac:dyDescent="0.2">
      <c r="A41" s="1">
        <f t="shared" si="0"/>
        <v>41</v>
      </c>
      <c r="B41" t="s">
        <v>60</v>
      </c>
      <c r="E41" s="9"/>
      <c r="G41" s="9"/>
      <c r="J41" t="s">
        <v>60</v>
      </c>
      <c r="M41" s="8"/>
      <c r="P41" s="8"/>
      <c r="S41" s="8"/>
      <c r="V41" s="8"/>
    </row>
    <row r="42" spans="1:22" x14ac:dyDescent="0.2">
      <c r="A42" s="1">
        <f t="shared" si="0"/>
        <v>42</v>
      </c>
      <c r="B42" t="s">
        <v>219</v>
      </c>
      <c r="C42" s="1">
        <f>D16</f>
        <v>3000</v>
      </c>
      <c r="D42" s="8">
        <f>D19</f>
        <v>-1.44</v>
      </c>
      <c r="E42" s="9">
        <f t="shared" ref="E42:E48" si="2">ROUND(C42*D42,0)</f>
        <v>-4320</v>
      </c>
      <c r="F42" s="8">
        <f>D42</f>
        <v>-1.44</v>
      </c>
      <c r="G42" s="16">
        <f t="shared" ref="G42:G48" si="3">ROUND(C42*F42,0)</f>
        <v>-4320</v>
      </c>
      <c r="J42" t="str">
        <f>B42</f>
        <v>Base Rate</v>
      </c>
      <c r="K42" s="1">
        <f>D16</f>
        <v>3000</v>
      </c>
      <c r="L42" s="8">
        <f>$D19</f>
        <v>-1.44</v>
      </c>
      <c r="M42" s="13">
        <f t="shared" ref="M42:M48" si="4">ROUND(K42*L42,2)</f>
        <v>-4320</v>
      </c>
      <c r="N42" s="1">
        <f>K42</f>
        <v>3000</v>
      </c>
      <c r="O42" s="8">
        <f>$D19</f>
        <v>-1.44</v>
      </c>
      <c r="P42" s="8">
        <f t="shared" ref="P42:P48" si="5">ROUND(N42*O42,2)</f>
        <v>-4320</v>
      </c>
      <c r="Q42" s="1">
        <f>K42</f>
        <v>3000</v>
      </c>
      <c r="R42" s="8">
        <f>$D19</f>
        <v>-1.44</v>
      </c>
      <c r="S42" s="8">
        <f t="shared" ref="S42:S48" si="6">ROUND(Q42*R42,2)</f>
        <v>-4320</v>
      </c>
      <c r="T42" s="1">
        <f>K42</f>
        <v>3000</v>
      </c>
      <c r="U42" s="8">
        <f>$D19</f>
        <v>-1.44</v>
      </c>
      <c r="V42" s="8">
        <f t="shared" ref="V42:V48" si="7">ROUND(T42*U42,2)</f>
        <v>-4320</v>
      </c>
    </row>
    <row r="43" spans="1:22" x14ac:dyDescent="0.2">
      <c r="A43" s="1"/>
      <c r="B43" t="s">
        <v>35</v>
      </c>
      <c r="C43" s="1"/>
      <c r="D43" s="8"/>
      <c r="E43" s="9"/>
      <c r="F43" s="8"/>
      <c r="G43" s="16"/>
      <c r="K43" s="1"/>
      <c r="L43" s="8"/>
      <c r="M43" s="13"/>
      <c r="N43" s="1"/>
      <c r="O43" s="8"/>
      <c r="P43" s="8"/>
      <c r="Q43" s="1"/>
      <c r="R43" s="8"/>
      <c r="S43" s="8"/>
      <c r="T43" s="1"/>
      <c r="U43" s="8"/>
      <c r="V43" s="8"/>
    </row>
    <row r="44" spans="1:22" x14ac:dyDescent="0.2">
      <c r="A44" s="1"/>
      <c r="B44" t="s">
        <v>220</v>
      </c>
      <c r="C44" s="1"/>
      <c r="D44" s="8"/>
      <c r="E44" s="9"/>
      <c r="F44" s="8"/>
      <c r="G44" s="16"/>
      <c r="K44" s="1"/>
      <c r="L44" s="8"/>
      <c r="M44" s="13"/>
      <c r="N44" s="1"/>
      <c r="O44" s="8"/>
      <c r="P44" s="8"/>
      <c r="Q44" s="1"/>
      <c r="R44" s="8"/>
      <c r="S44" s="8"/>
      <c r="T44" s="1"/>
      <c r="U44" s="8"/>
      <c r="V44" s="8"/>
    </row>
    <row r="45" spans="1:22" x14ac:dyDescent="0.2">
      <c r="A45" s="1"/>
      <c r="B45" t="s">
        <v>221</v>
      </c>
      <c r="C45" s="1"/>
      <c r="D45" s="8"/>
      <c r="E45" s="9"/>
      <c r="F45" s="8"/>
      <c r="G45" s="16"/>
      <c r="K45" s="1"/>
      <c r="L45" s="8"/>
      <c r="M45" s="13"/>
      <c r="N45" s="1"/>
      <c r="O45" s="8"/>
      <c r="P45" s="8"/>
      <c r="Q45" s="1"/>
      <c r="R45" s="8"/>
      <c r="S45" s="8"/>
      <c r="T45" s="1"/>
      <c r="U45" s="8"/>
      <c r="V45" s="8"/>
    </row>
    <row r="46" spans="1:22" x14ac:dyDescent="0.2">
      <c r="A46" s="1"/>
      <c r="B46" t="s">
        <v>222</v>
      </c>
      <c r="C46" s="1"/>
      <c r="D46" s="8"/>
      <c r="E46" s="9"/>
      <c r="F46" s="8"/>
      <c r="G46" s="16"/>
      <c r="K46" s="1"/>
      <c r="L46" s="8"/>
      <c r="M46" s="13"/>
      <c r="N46" s="1"/>
      <c r="O46" s="8"/>
      <c r="P46" s="8"/>
      <c r="Q46" s="1"/>
      <c r="R46" s="8"/>
      <c r="S46" s="8"/>
      <c r="T46" s="1"/>
      <c r="U46" s="8"/>
      <c r="V46" s="8"/>
    </row>
    <row r="47" spans="1:22" x14ac:dyDescent="0.2">
      <c r="A47" s="1">
        <f>A42+1</f>
        <v>43</v>
      </c>
      <c r="C47" s="1">
        <f>C42</f>
        <v>3000</v>
      </c>
      <c r="D47" s="8">
        <f>D20</f>
        <v>-0.34</v>
      </c>
      <c r="E47" s="9">
        <f t="shared" si="2"/>
        <v>-1020</v>
      </c>
      <c r="F47" s="8">
        <f>D47</f>
        <v>-0.34</v>
      </c>
      <c r="G47" s="16">
        <f t="shared" si="3"/>
        <v>-1020</v>
      </c>
      <c r="J47" t="s">
        <v>61</v>
      </c>
      <c r="K47" s="1">
        <f>K42</f>
        <v>3000</v>
      </c>
      <c r="L47" s="8">
        <f>$D20</f>
        <v>-0.34</v>
      </c>
      <c r="M47" s="13">
        <f t="shared" si="4"/>
        <v>-1020</v>
      </c>
      <c r="N47" s="1">
        <f>K47</f>
        <v>3000</v>
      </c>
      <c r="O47" s="8">
        <f>$D20</f>
        <v>-0.34</v>
      </c>
      <c r="P47" s="8">
        <f t="shared" si="5"/>
        <v>-1020</v>
      </c>
      <c r="Q47" s="1">
        <f>K47</f>
        <v>3000</v>
      </c>
      <c r="R47" s="8">
        <f>$D20</f>
        <v>-0.34</v>
      </c>
      <c r="S47" s="8">
        <f t="shared" si="6"/>
        <v>-1020</v>
      </c>
      <c r="T47" s="1">
        <f>K47</f>
        <v>3000</v>
      </c>
      <c r="U47" s="8">
        <f>$D20</f>
        <v>-0.34</v>
      </c>
      <c r="V47" s="8">
        <f t="shared" si="7"/>
        <v>-1020</v>
      </c>
    </row>
    <row r="48" spans="1:22" x14ac:dyDescent="0.2">
      <c r="A48" s="1">
        <f t="shared" si="0"/>
        <v>44</v>
      </c>
      <c r="C48" s="1">
        <f>C42</f>
        <v>3000</v>
      </c>
      <c r="D48" s="8">
        <f>D21</f>
        <v>0.35</v>
      </c>
      <c r="E48" s="10">
        <f t="shared" si="2"/>
        <v>1050</v>
      </c>
      <c r="F48" s="8">
        <f>D48</f>
        <v>0.35</v>
      </c>
      <c r="G48" s="10">
        <f t="shared" si="3"/>
        <v>1050</v>
      </c>
      <c r="J48" t="s">
        <v>62</v>
      </c>
      <c r="K48" s="1">
        <f>K42</f>
        <v>3000</v>
      </c>
      <c r="L48" s="8">
        <f>$D21</f>
        <v>0.35</v>
      </c>
      <c r="M48" s="12">
        <f t="shared" si="4"/>
        <v>1050</v>
      </c>
      <c r="N48" s="1">
        <f>K48</f>
        <v>3000</v>
      </c>
      <c r="O48" s="8">
        <f>$D21</f>
        <v>0.35</v>
      </c>
      <c r="P48" s="12">
        <f t="shared" si="5"/>
        <v>1050</v>
      </c>
      <c r="Q48" s="1">
        <f>K48</f>
        <v>3000</v>
      </c>
      <c r="R48" s="8">
        <f>$D21</f>
        <v>0.35</v>
      </c>
      <c r="S48" s="12">
        <f t="shared" si="6"/>
        <v>1050</v>
      </c>
      <c r="T48" s="1">
        <f>K48</f>
        <v>3000</v>
      </c>
      <c r="U48" s="8">
        <f>$D21</f>
        <v>0.35</v>
      </c>
      <c r="V48" s="12">
        <f t="shared" si="7"/>
        <v>1050</v>
      </c>
    </row>
    <row r="49" spans="1:22" x14ac:dyDescent="0.2">
      <c r="A49" s="1">
        <f t="shared" si="0"/>
        <v>45</v>
      </c>
      <c r="B49" t="s">
        <v>63</v>
      </c>
      <c r="E49" s="9">
        <f>SUM(E42:E48)</f>
        <v>-4290</v>
      </c>
      <c r="G49" s="9">
        <f>SUM(G42:G48)</f>
        <v>-4290</v>
      </c>
      <c r="J49" t="s">
        <v>63</v>
      </c>
      <c r="M49" s="8">
        <f>SUM(M42:M48)</f>
        <v>-4290</v>
      </c>
      <c r="P49" s="8">
        <f>SUM(P42:P48)</f>
        <v>-4290</v>
      </c>
      <c r="S49" s="8">
        <f>SUM(S42:S48)</f>
        <v>-4290</v>
      </c>
      <c r="V49" s="8">
        <f>SUM(V42:V48)</f>
        <v>-4290</v>
      </c>
    </row>
    <row r="50" spans="1:22" x14ac:dyDescent="0.2">
      <c r="A50" s="1">
        <f t="shared" si="0"/>
        <v>46</v>
      </c>
      <c r="E50" s="9"/>
      <c r="G50" s="9"/>
      <c r="M50" s="8"/>
      <c r="P50" s="8"/>
      <c r="S50" s="8"/>
      <c r="V50" s="8"/>
    </row>
    <row r="51" spans="1:22" ht="15" thickBot="1" x14ac:dyDescent="0.25">
      <c r="A51" s="1">
        <f t="shared" si="0"/>
        <v>47</v>
      </c>
      <c r="B51" t="s">
        <v>64</v>
      </c>
      <c r="E51" s="11">
        <f>E39+E49</f>
        <v>20313</v>
      </c>
      <c r="G51" s="11">
        <f>G39+G49</f>
        <v>18449</v>
      </c>
      <c r="J51" t="s">
        <v>64</v>
      </c>
      <c r="M51" s="14">
        <f>M39+M49</f>
        <v>20080.939999999999</v>
      </c>
      <c r="P51" s="14">
        <f>P39+P49</f>
        <v>21178.93</v>
      </c>
      <c r="S51" s="14">
        <f>S39+S49</f>
        <v>21274.6</v>
      </c>
      <c r="V51" s="14">
        <f>V39+V49</f>
        <v>19682.309999999998</v>
      </c>
    </row>
    <row r="52" spans="1:22" ht="15" thickTop="1" x14ac:dyDescent="0.2">
      <c r="A52" s="1">
        <f t="shared" si="0"/>
        <v>48</v>
      </c>
      <c r="E52" s="9"/>
      <c r="G52" s="9"/>
      <c r="M52" s="8"/>
      <c r="P52" s="8"/>
      <c r="S52" s="8"/>
      <c r="V52" s="8"/>
    </row>
    <row r="53" spans="1:22" ht="15" thickBot="1" x14ac:dyDescent="0.25">
      <c r="A53" s="1">
        <f t="shared" si="0"/>
        <v>49</v>
      </c>
      <c r="E53" s="9"/>
      <c r="G53" s="9"/>
      <c r="J53" t="s">
        <v>104</v>
      </c>
      <c r="M53" s="14">
        <f>M51-E51</f>
        <v>-232.06000000000131</v>
      </c>
      <c r="P53" s="14">
        <f>P51-E51</f>
        <v>865.93000000000029</v>
      </c>
      <c r="S53" s="14">
        <f>S51-G51</f>
        <v>2825.5999999999985</v>
      </c>
      <c r="V53" s="14">
        <f>V51-G51</f>
        <v>1233.3099999999977</v>
      </c>
    </row>
    <row r="54" spans="1:22" ht="15" thickTop="1" x14ac:dyDescent="0.2">
      <c r="A54" s="1">
        <f t="shared" si="0"/>
        <v>50</v>
      </c>
      <c r="E54" s="9"/>
      <c r="G54" s="9"/>
      <c r="M54" s="8"/>
      <c r="P54" s="8"/>
      <c r="S54" s="8"/>
      <c r="V54" s="8"/>
    </row>
    <row r="55" spans="1:22" ht="15" thickBot="1" x14ac:dyDescent="0.25">
      <c r="A55" s="1">
        <f t="shared" si="0"/>
        <v>51</v>
      </c>
      <c r="B55" t="s">
        <v>139</v>
      </c>
      <c r="E55" s="11">
        <f>ROUND(D16*D17,0)</f>
        <v>0</v>
      </c>
      <c r="G55" s="11">
        <f>ROUND(D16*D17,0)</f>
        <v>0</v>
      </c>
      <c r="J55" t="s">
        <v>139</v>
      </c>
      <c r="M55" s="14">
        <f>E55</f>
        <v>0</v>
      </c>
      <c r="P55" s="14">
        <f>E55</f>
        <v>0</v>
      </c>
      <c r="S55" s="14">
        <f>G55</f>
        <v>0</v>
      </c>
      <c r="V55" s="14">
        <f>G55</f>
        <v>0</v>
      </c>
    </row>
    <row r="56" spans="1:22" ht="15" thickTop="1" x14ac:dyDescent="0.2">
      <c r="A56" s="1">
        <f t="shared" si="0"/>
        <v>52</v>
      </c>
    </row>
    <row r="57" spans="1:22" x14ac:dyDescent="0.2">
      <c r="A57" s="1">
        <f t="shared" si="0"/>
        <v>53</v>
      </c>
    </row>
    <row r="58" spans="1:22" x14ac:dyDescent="0.2">
      <c r="A58" s="1">
        <f t="shared" si="0"/>
        <v>54</v>
      </c>
      <c r="B58" t="s">
        <v>144</v>
      </c>
      <c r="I58" t="s">
        <v>145</v>
      </c>
    </row>
    <row r="59" spans="1:22" x14ac:dyDescent="0.2">
      <c r="A59" s="1">
        <f t="shared" si="0"/>
        <v>55</v>
      </c>
      <c r="K59" s="113" t="s">
        <v>140</v>
      </c>
      <c r="L59" s="114"/>
      <c r="M59" s="115"/>
      <c r="N59" s="113" t="s">
        <v>141</v>
      </c>
      <c r="O59" s="114"/>
      <c r="P59" s="115"/>
      <c r="Q59" s="113" t="s">
        <v>142</v>
      </c>
      <c r="R59" s="114"/>
      <c r="S59" s="115"/>
      <c r="T59" s="113" t="s">
        <v>143</v>
      </c>
      <c r="U59" s="114"/>
      <c r="V59" s="115"/>
    </row>
    <row r="60" spans="1:22" x14ac:dyDescent="0.2">
      <c r="A60" s="1">
        <f t="shared" si="0"/>
        <v>56</v>
      </c>
      <c r="B60" t="s">
        <v>154</v>
      </c>
      <c r="I60" t="s">
        <v>158</v>
      </c>
      <c r="K60" s="21"/>
      <c r="N60" s="21"/>
      <c r="Q60" s="21"/>
      <c r="T60" s="21"/>
      <c r="V60" s="23"/>
    </row>
    <row r="61" spans="1:22" x14ac:dyDescent="0.2">
      <c r="A61" s="1">
        <f t="shared" si="0"/>
        <v>57</v>
      </c>
      <c r="K61" s="22"/>
      <c r="N61" s="22"/>
      <c r="Q61" s="22"/>
      <c r="T61" s="22"/>
      <c r="V61" s="24"/>
    </row>
    <row r="62" spans="1:22" x14ac:dyDescent="0.2">
      <c r="A62" s="1">
        <f t="shared" si="0"/>
        <v>58</v>
      </c>
      <c r="B62" t="s">
        <v>131</v>
      </c>
      <c r="E62" s="1">
        <f>D16</f>
        <v>3000</v>
      </c>
      <c r="I62" t="s">
        <v>131</v>
      </c>
      <c r="K62" s="22"/>
      <c r="L62" s="1">
        <f>$E62</f>
        <v>3000</v>
      </c>
      <c r="N62" s="22"/>
      <c r="O62" s="1">
        <f>$E62</f>
        <v>3000</v>
      </c>
      <c r="Q62" s="22"/>
      <c r="R62" s="1">
        <f>$E62</f>
        <v>3000</v>
      </c>
      <c r="T62" s="22"/>
      <c r="U62" s="1">
        <f>$E62</f>
        <v>3000</v>
      </c>
      <c r="V62" s="24"/>
    </row>
    <row r="63" spans="1:22" x14ac:dyDescent="0.2">
      <c r="A63" s="1">
        <f t="shared" si="0"/>
        <v>59</v>
      </c>
      <c r="B63" t="s">
        <v>155</v>
      </c>
      <c r="E63" s="8">
        <f>G142</f>
        <v>338.84000000000003</v>
      </c>
      <c r="F63" t="s">
        <v>167</v>
      </c>
      <c r="I63" t="s">
        <v>157</v>
      </c>
      <c r="K63" s="22"/>
      <c r="L63" s="8">
        <f>$E63</f>
        <v>338.84000000000003</v>
      </c>
      <c r="N63" s="22"/>
      <c r="O63" s="8">
        <f>$E63</f>
        <v>338.84000000000003</v>
      </c>
      <c r="Q63" s="22"/>
      <c r="R63" s="8">
        <f>$E63</f>
        <v>338.84000000000003</v>
      </c>
      <c r="T63" s="22"/>
      <c r="U63" s="8">
        <f>$E63</f>
        <v>338.84000000000003</v>
      </c>
      <c r="V63" s="24"/>
    </row>
    <row r="64" spans="1:22" x14ac:dyDescent="0.2">
      <c r="A64" s="1">
        <f t="shared" si="0"/>
        <v>60</v>
      </c>
      <c r="B64" t="s">
        <v>156</v>
      </c>
      <c r="E64" s="1">
        <f>ROUND(15*12,0)</f>
        <v>180</v>
      </c>
      <c r="I64" t="s">
        <v>156</v>
      </c>
      <c r="K64" s="22"/>
      <c r="L64" s="1">
        <f>$E64</f>
        <v>180</v>
      </c>
      <c r="N64" s="22"/>
      <c r="O64" s="1">
        <f>$E64</f>
        <v>180</v>
      </c>
      <c r="Q64" s="22"/>
      <c r="R64" s="1">
        <f>$E64</f>
        <v>180</v>
      </c>
      <c r="T64" s="22"/>
      <c r="U64" s="1">
        <f>$E64</f>
        <v>180</v>
      </c>
      <c r="V64" s="24"/>
    </row>
    <row r="65" spans="1:22" x14ac:dyDescent="0.2">
      <c r="A65" s="1">
        <f t="shared" si="0"/>
        <v>61</v>
      </c>
      <c r="K65" s="22"/>
      <c r="N65" s="22"/>
      <c r="Q65" s="22"/>
      <c r="T65" s="22"/>
      <c r="V65" s="24"/>
    </row>
    <row r="66" spans="1:22" x14ac:dyDescent="0.2">
      <c r="A66" s="1">
        <f t="shared" si="0"/>
        <v>62</v>
      </c>
      <c r="D66" s="113" t="s">
        <v>57</v>
      </c>
      <c r="E66" s="115"/>
      <c r="F66" s="113" t="s">
        <v>58</v>
      </c>
      <c r="G66" s="115"/>
      <c r="L66" s="28"/>
      <c r="M66" s="28"/>
      <c r="N66" s="28"/>
      <c r="O66" s="28"/>
      <c r="P66" s="28"/>
      <c r="Q66" s="28"/>
      <c r="R66" s="28"/>
      <c r="S66" s="28"/>
      <c r="T66" s="28"/>
      <c r="U66" s="28"/>
      <c r="V66" s="28"/>
    </row>
    <row r="67" spans="1:22" ht="15" thickBot="1" x14ac:dyDescent="0.25">
      <c r="A67" s="1">
        <f t="shared" si="0"/>
        <v>63</v>
      </c>
      <c r="C67" s="4" t="s">
        <v>26</v>
      </c>
      <c r="D67" s="4" t="s">
        <v>27</v>
      </c>
      <c r="E67" s="4" t="s">
        <v>28</v>
      </c>
      <c r="F67" s="4" t="s">
        <v>27</v>
      </c>
      <c r="G67" s="4" t="s">
        <v>28</v>
      </c>
      <c r="K67" s="4" t="s">
        <v>26</v>
      </c>
      <c r="L67" s="4" t="s">
        <v>27</v>
      </c>
      <c r="M67" s="4" t="s">
        <v>28</v>
      </c>
      <c r="N67" s="4" t="s">
        <v>26</v>
      </c>
      <c r="O67" s="4" t="s">
        <v>27</v>
      </c>
      <c r="P67" s="4" t="s">
        <v>28</v>
      </c>
      <c r="Q67" s="4" t="s">
        <v>26</v>
      </c>
      <c r="R67" s="4" t="s">
        <v>27</v>
      </c>
      <c r="S67" s="4" t="s">
        <v>28</v>
      </c>
      <c r="T67" s="4" t="s">
        <v>26</v>
      </c>
      <c r="U67" s="4" t="s">
        <v>27</v>
      </c>
      <c r="V67" s="4" t="s">
        <v>28</v>
      </c>
    </row>
    <row r="68" spans="1:22" x14ac:dyDescent="0.2">
      <c r="A68" s="1">
        <f t="shared" si="0"/>
        <v>64</v>
      </c>
    </row>
    <row r="69" spans="1:22" x14ac:dyDescent="0.2">
      <c r="A69" s="1">
        <f t="shared" si="0"/>
        <v>65</v>
      </c>
      <c r="B69" t="s">
        <v>29</v>
      </c>
      <c r="C69" s="1">
        <f>D9</f>
        <v>650</v>
      </c>
      <c r="D69" s="8">
        <f>D26</f>
        <v>6.02</v>
      </c>
      <c r="E69" s="9">
        <f>ROUND(C69*D69,0)</f>
        <v>3913</v>
      </c>
      <c r="F69" s="8">
        <f>F26</f>
        <v>7.17</v>
      </c>
      <c r="G69" s="9">
        <f>ROUND(C69*F69,0)</f>
        <v>4661</v>
      </c>
      <c r="J69" t="s">
        <v>50</v>
      </c>
      <c r="L69" s="8">
        <f>L26</f>
        <v>107.68</v>
      </c>
      <c r="M69" s="8">
        <f>L69</f>
        <v>107.68</v>
      </c>
      <c r="O69" s="8">
        <f>O26</f>
        <v>65.510000000000005</v>
      </c>
      <c r="P69" s="8">
        <f>O69</f>
        <v>65.510000000000005</v>
      </c>
      <c r="R69" s="8">
        <f>R26</f>
        <v>614.28</v>
      </c>
      <c r="S69" s="8">
        <f>R69</f>
        <v>614.28</v>
      </c>
      <c r="U69" s="8">
        <f>U26</f>
        <v>513.45000000000005</v>
      </c>
      <c r="V69" s="8">
        <f>U69</f>
        <v>513.45000000000005</v>
      </c>
    </row>
    <row r="70" spans="1:22" x14ac:dyDescent="0.2">
      <c r="A70" s="1">
        <f t="shared" si="0"/>
        <v>66</v>
      </c>
      <c r="E70" s="9"/>
      <c r="G70" s="9"/>
      <c r="M70" s="8"/>
      <c r="P70" s="8"/>
      <c r="S70" s="8"/>
      <c r="V70" s="8"/>
    </row>
    <row r="71" spans="1:22" x14ac:dyDescent="0.2">
      <c r="A71" s="1">
        <f t="shared" ref="A71:A134" si="8">A70+1</f>
        <v>67</v>
      </c>
      <c r="B71" t="s">
        <v>30</v>
      </c>
      <c r="E71" s="9"/>
      <c r="G71" s="9"/>
      <c r="J71" t="s">
        <v>29</v>
      </c>
      <c r="K71" s="1">
        <f>ROUND(L9*L10,0)</f>
        <v>650</v>
      </c>
      <c r="L71" s="8">
        <f>L28</f>
        <v>6.25</v>
      </c>
      <c r="M71" s="8">
        <f>ROUND(K71*L71,2)</f>
        <v>4062.5</v>
      </c>
      <c r="N71" s="1">
        <f>ROUND(O9*O10,0)</f>
        <v>650</v>
      </c>
      <c r="O71" s="8">
        <f>O28</f>
        <v>6.93</v>
      </c>
      <c r="P71" s="8">
        <f>ROUND(N71*O71,2)</f>
        <v>4504.5</v>
      </c>
      <c r="Q71" s="1">
        <f>ROUND(R9*R10,0)</f>
        <v>650</v>
      </c>
      <c r="R71" s="8">
        <f>R28</f>
        <v>7.17</v>
      </c>
      <c r="S71" s="8">
        <f>ROUND(Q71*R71,2)</f>
        <v>4660.5</v>
      </c>
      <c r="T71" s="1">
        <f>ROUND(U9*U10,0)</f>
        <v>650</v>
      </c>
      <c r="U71" s="8">
        <f>U28</f>
        <v>6.29</v>
      </c>
      <c r="V71" s="8">
        <f>ROUND(T71*U71,2)</f>
        <v>4088.5</v>
      </c>
    </row>
    <row r="72" spans="1:22" x14ac:dyDescent="0.2">
      <c r="A72" s="1">
        <f t="shared" si="8"/>
        <v>68</v>
      </c>
      <c r="B72" t="s">
        <v>59</v>
      </c>
      <c r="C72" s="1">
        <f>D11-D12</f>
        <v>292000</v>
      </c>
      <c r="E72" s="9"/>
      <c r="F72" s="6">
        <f>F29</f>
        <v>4.0502000000000003E-2</v>
      </c>
      <c r="G72" s="9">
        <f>ROUND(C72*F72,0)</f>
        <v>11827</v>
      </c>
      <c r="M72" s="8"/>
      <c r="P72" s="8"/>
      <c r="S72" s="8"/>
      <c r="V72" s="8"/>
    </row>
    <row r="73" spans="1:22" x14ac:dyDescent="0.2">
      <c r="A73" s="1">
        <f t="shared" si="8"/>
        <v>69</v>
      </c>
      <c r="B73" t="s">
        <v>31</v>
      </c>
      <c r="C73" s="1">
        <f>ROUND((D11*0.5)-D12,0)</f>
        <v>96000</v>
      </c>
      <c r="D73" s="6">
        <f>D30</f>
        <v>5.0899E-2</v>
      </c>
      <c r="E73" s="9">
        <f t="shared" ref="E73:E74" si="9">ROUND(C73*D73,0)</f>
        <v>4886</v>
      </c>
      <c r="G73" s="9"/>
      <c r="J73" t="s">
        <v>53</v>
      </c>
      <c r="K73" s="1">
        <f>ROUND((L11-L12)*(1-L13),0)</f>
        <v>276360</v>
      </c>
      <c r="L73" s="6">
        <f>L30</f>
        <v>5.176E-2</v>
      </c>
      <c r="M73" s="8">
        <f>ROUND(K73*L73,2)</f>
        <v>14304.39</v>
      </c>
      <c r="N73" s="1">
        <f>ROUND((O11-O12)*(1-O13),0)</f>
        <v>281488</v>
      </c>
      <c r="O73" s="6">
        <f>O30</f>
        <v>5.1330000000000001E-2</v>
      </c>
      <c r="P73" s="8">
        <f>ROUND(N73*O73,2)</f>
        <v>14448.78</v>
      </c>
      <c r="Q73" s="1">
        <f>ROUND((R11-R12)*(1-R13),0)</f>
        <v>281844</v>
      </c>
      <c r="R73" s="6">
        <f>R30</f>
        <v>4.9829999999999999E-2</v>
      </c>
      <c r="S73" s="8">
        <f>ROUND(Q73*R73,2)</f>
        <v>14044.29</v>
      </c>
      <c r="T73" s="1">
        <f>ROUND((U11-U12)*(1-U13),0)</f>
        <v>277190</v>
      </c>
      <c r="U73" s="6">
        <f>U30</f>
        <v>4.904E-2</v>
      </c>
      <c r="V73" s="8">
        <f>ROUND(T73*U73,2)</f>
        <v>13593.4</v>
      </c>
    </row>
    <row r="74" spans="1:22" x14ac:dyDescent="0.2">
      <c r="A74" s="1">
        <f t="shared" si="8"/>
        <v>70</v>
      </c>
      <c r="B74" t="s">
        <v>32</v>
      </c>
      <c r="C74" s="1">
        <f>ROUND(D11*0.5,0)</f>
        <v>196000</v>
      </c>
      <c r="D74" s="6">
        <f>D31</f>
        <v>4.2174000000000003E-2</v>
      </c>
      <c r="E74" s="9">
        <f t="shared" si="9"/>
        <v>8266</v>
      </c>
      <c r="G74" s="9"/>
      <c r="M74" s="8"/>
      <c r="P74" s="8"/>
      <c r="S74" s="8"/>
      <c r="V74" s="8"/>
    </row>
    <row r="75" spans="1:22" x14ac:dyDescent="0.2">
      <c r="A75" s="1">
        <f t="shared" si="8"/>
        <v>71</v>
      </c>
      <c r="E75" s="9"/>
      <c r="G75" s="9"/>
      <c r="J75" t="s">
        <v>35</v>
      </c>
      <c r="K75" s="1">
        <f>K73</f>
        <v>276360</v>
      </c>
      <c r="L75" s="6">
        <f>L32</f>
        <v>-3.3099999999999996E-3</v>
      </c>
      <c r="M75" s="12">
        <f>ROUND(K75*L75,2)</f>
        <v>-914.75</v>
      </c>
      <c r="N75" s="1">
        <f>N73</f>
        <v>281488</v>
      </c>
      <c r="O75" s="6">
        <f>O32</f>
        <v>-2.8410000000000002E-3</v>
      </c>
      <c r="P75" s="12">
        <f>ROUND(N75*O75,2)</f>
        <v>-799.71</v>
      </c>
      <c r="Q75" s="1">
        <f>Q73</f>
        <v>281844</v>
      </c>
      <c r="R75" s="6">
        <f>R32</f>
        <v>-2.9830000000000004E-3</v>
      </c>
      <c r="S75" s="12">
        <f>ROUND(Q75*R75,2)</f>
        <v>-840.74</v>
      </c>
      <c r="T75" s="1">
        <f>T73</f>
        <v>277190</v>
      </c>
      <c r="U75" s="6">
        <f>U32</f>
        <v>-3.2440000000000004E-3</v>
      </c>
      <c r="V75" s="12">
        <f>ROUND(T75*U75,2)</f>
        <v>-899.2</v>
      </c>
    </row>
    <row r="76" spans="1:22" x14ac:dyDescent="0.2">
      <c r="A76" s="1">
        <f t="shared" si="8"/>
        <v>72</v>
      </c>
      <c r="B76" t="s">
        <v>35</v>
      </c>
      <c r="C76" s="1">
        <f>C73+C74</f>
        <v>292000</v>
      </c>
      <c r="D76" s="6">
        <f>D33</f>
        <v>-2.0799999999999998E-3</v>
      </c>
      <c r="E76" s="10">
        <f>ROUND(C76*D76,0)</f>
        <v>-607</v>
      </c>
      <c r="F76" s="6">
        <f>F33</f>
        <v>-2.0799999999999998E-3</v>
      </c>
      <c r="G76" s="10">
        <f>ROUND(C76*F76,0)</f>
        <v>-607</v>
      </c>
      <c r="M76" s="8"/>
      <c r="P76" s="8"/>
      <c r="S76" s="8"/>
      <c r="V76" s="8"/>
    </row>
    <row r="77" spans="1:22" x14ac:dyDescent="0.2">
      <c r="A77" s="1">
        <f t="shared" si="8"/>
        <v>73</v>
      </c>
      <c r="E77" s="9"/>
      <c r="G77" s="9"/>
      <c r="M77" s="8"/>
      <c r="P77" s="8"/>
      <c r="S77" s="8"/>
      <c r="V77" s="8"/>
    </row>
    <row r="78" spans="1:22" x14ac:dyDescent="0.2">
      <c r="A78" s="1">
        <f t="shared" si="8"/>
        <v>74</v>
      </c>
      <c r="B78" t="s">
        <v>36</v>
      </c>
      <c r="E78" s="9">
        <f>SUM(E69:E76)</f>
        <v>16458</v>
      </c>
      <c r="G78" s="9">
        <f>SUM(G69:G76)</f>
        <v>15881</v>
      </c>
      <c r="J78" t="s">
        <v>36</v>
      </c>
      <c r="M78" s="8">
        <f>SUM(M69:M75)</f>
        <v>17559.82</v>
      </c>
      <c r="P78" s="8">
        <f>SUM(P69:P75)</f>
        <v>18219.080000000002</v>
      </c>
      <c r="S78" s="8">
        <f>SUM(S69:S75)</f>
        <v>18478.329999999998</v>
      </c>
      <c r="V78" s="8">
        <f>SUM(V69:V75)</f>
        <v>17296.149999999998</v>
      </c>
    </row>
    <row r="79" spans="1:22" x14ac:dyDescent="0.2">
      <c r="A79" s="1">
        <f t="shared" si="8"/>
        <v>75</v>
      </c>
      <c r="E79" s="9"/>
      <c r="G79" s="9"/>
      <c r="M79" s="8"/>
      <c r="P79" s="8"/>
      <c r="S79" s="8"/>
      <c r="V79" s="8"/>
    </row>
    <row r="80" spans="1:22" x14ac:dyDescent="0.2">
      <c r="A80" s="1">
        <f t="shared" si="8"/>
        <v>76</v>
      </c>
      <c r="B80" t="s">
        <v>37</v>
      </c>
      <c r="D80" s="7">
        <f>D37</f>
        <v>0.15290000000000001</v>
      </c>
      <c r="E80" s="10">
        <f>ROUND(E78*D80,0)</f>
        <v>2516</v>
      </c>
      <c r="F80" s="7">
        <f>F37</f>
        <v>0.15290000000000001</v>
      </c>
      <c r="G80" s="10">
        <f>ROUND(G78*F80,0)</f>
        <v>2428</v>
      </c>
      <c r="J80" t="s">
        <v>37</v>
      </c>
      <c r="L80" s="7">
        <f>L37</f>
        <v>0.10050000000000001</v>
      </c>
      <c r="M80" s="12">
        <f>ROUND(M78*L80,2)</f>
        <v>1764.76</v>
      </c>
      <c r="O80" s="7">
        <f>O37</f>
        <v>0.1125</v>
      </c>
      <c r="P80" s="12">
        <f>ROUND(P78*O80,2)</f>
        <v>2049.65</v>
      </c>
      <c r="R80" s="7">
        <f>R37</f>
        <v>0.1115</v>
      </c>
      <c r="S80" s="12">
        <f>ROUND(S78*R80,2)</f>
        <v>2060.33</v>
      </c>
      <c r="U80" s="7">
        <f>U37</f>
        <v>0.1076</v>
      </c>
      <c r="V80" s="12">
        <f>ROUND(V78*U80,2)</f>
        <v>1861.07</v>
      </c>
    </row>
    <row r="81" spans="1:22" x14ac:dyDescent="0.2">
      <c r="A81" s="1">
        <f t="shared" si="8"/>
        <v>77</v>
      </c>
      <c r="E81" s="9"/>
      <c r="G81" s="9"/>
      <c r="M81" s="8"/>
      <c r="P81" s="8"/>
      <c r="S81" s="8"/>
      <c r="V81" s="8"/>
    </row>
    <row r="82" spans="1:22" x14ac:dyDescent="0.2">
      <c r="A82" s="1">
        <f t="shared" si="8"/>
        <v>78</v>
      </c>
      <c r="B82" t="s">
        <v>159</v>
      </c>
      <c r="E82" s="9">
        <f>E78+E80</f>
        <v>18974</v>
      </c>
      <c r="G82" s="9">
        <f>G78+G80</f>
        <v>18309</v>
      </c>
      <c r="J82" t="s">
        <v>159</v>
      </c>
      <c r="M82" s="8">
        <f>M78+M80</f>
        <v>19324.579999999998</v>
      </c>
      <c r="P82" s="8">
        <f>P78+P80</f>
        <v>20268.730000000003</v>
      </c>
      <c r="S82" s="8">
        <f>S78+S80</f>
        <v>20538.659999999996</v>
      </c>
      <c r="V82" s="8">
        <f>V78+V80</f>
        <v>19157.219999999998</v>
      </c>
    </row>
    <row r="83" spans="1:22" x14ac:dyDescent="0.2">
      <c r="A83" s="1">
        <f t="shared" si="8"/>
        <v>79</v>
      </c>
      <c r="E83" s="9"/>
      <c r="G83" s="9"/>
      <c r="M83" s="8"/>
      <c r="P83" s="8"/>
      <c r="S83" s="8"/>
      <c r="V83" s="8"/>
    </row>
    <row r="84" spans="1:22" x14ac:dyDescent="0.2">
      <c r="A84" s="1">
        <f t="shared" si="8"/>
        <v>80</v>
      </c>
      <c r="B84" t="s">
        <v>160</v>
      </c>
      <c r="E84" s="9"/>
      <c r="G84" s="9"/>
      <c r="J84" t="s">
        <v>160</v>
      </c>
      <c r="M84" s="8"/>
      <c r="P84" s="8"/>
      <c r="S84" s="8"/>
      <c r="V84" s="8"/>
    </row>
    <row r="85" spans="1:22" x14ac:dyDescent="0.2">
      <c r="A85" s="1">
        <f t="shared" si="8"/>
        <v>81</v>
      </c>
      <c r="B85" t="s">
        <v>41</v>
      </c>
      <c r="C85" s="1">
        <f>D12</f>
        <v>100000</v>
      </c>
      <c r="D85" s="6">
        <f>D73</f>
        <v>5.0899E-2</v>
      </c>
      <c r="E85" s="9">
        <f t="shared" ref="E85:E87" si="10">ROUND(C85*D85,0)</f>
        <v>5090</v>
      </c>
      <c r="F85" s="6">
        <f>F72</f>
        <v>4.0502000000000003E-2</v>
      </c>
      <c r="G85" s="9">
        <f t="shared" ref="G85:G87" si="11">ROUND(C85*F85,0)</f>
        <v>4050</v>
      </c>
      <c r="J85" t="s">
        <v>41</v>
      </c>
      <c r="K85" s="1">
        <f>ROUND(L12*(1-L13),0)</f>
        <v>94644</v>
      </c>
      <c r="L85" s="6">
        <f>L73</f>
        <v>5.176E-2</v>
      </c>
      <c r="M85" s="8">
        <f t="shared" ref="M85:M87" si="12">ROUND(K85*L85,2)</f>
        <v>4898.7700000000004</v>
      </c>
      <c r="N85" s="1">
        <f>ROUND(O12*(1-O13),0)</f>
        <v>96400</v>
      </c>
      <c r="O85" s="6">
        <f>O73</f>
        <v>5.1330000000000001E-2</v>
      </c>
      <c r="P85" s="8">
        <f t="shared" ref="P85:P87" si="13">ROUND(N85*O85,2)</f>
        <v>4948.21</v>
      </c>
      <c r="Q85" s="1">
        <f>ROUND(R12*(1-R13),0)</f>
        <v>96522</v>
      </c>
      <c r="R85" s="6">
        <f>R73</f>
        <v>4.9829999999999999E-2</v>
      </c>
      <c r="S85" s="8">
        <f t="shared" ref="S85:S87" si="14">ROUND(Q85*R85,2)</f>
        <v>4809.6899999999996</v>
      </c>
      <c r="T85" s="1">
        <f>ROUND(U12*(1-U13),0)</f>
        <v>94928</v>
      </c>
      <c r="U85" s="6">
        <f>U73</f>
        <v>4.904E-2</v>
      </c>
      <c r="V85" s="8">
        <f t="shared" ref="V85:V87" si="15">ROUND(T85*U85,2)</f>
        <v>4655.2700000000004</v>
      </c>
    </row>
    <row r="86" spans="1:22" x14ac:dyDescent="0.2">
      <c r="A86" s="1">
        <f t="shared" si="8"/>
        <v>82</v>
      </c>
      <c r="B86" t="s">
        <v>65</v>
      </c>
      <c r="C86" s="1">
        <f>C85</f>
        <v>100000</v>
      </c>
      <c r="D86" s="6">
        <v>2.776E-2</v>
      </c>
      <c r="E86" s="9">
        <f t="shared" si="10"/>
        <v>2776</v>
      </c>
      <c r="F86" s="6">
        <f>D86</f>
        <v>2.776E-2</v>
      </c>
      <c r="G86" s="9">
        <f t="shared" si="11"/>
        <v>2776</v>
      </c>
      <c r="J86" t="s">
        <v>65</v>
      </c>
      <c r="K86" s="1">
        <f>K85</f>
        <v>94644</v>
      </c>
      <c r="L86" s="6">
        <v>2.776E-2</v>
      </c>
      <c r="M86" s="8">
        <f t="shared" si="12"/>
        <v>2627.32</v>
      </c>
      <c r="N86" s="1">
        <f>N85</f>
        <v>96400</v>
      </c>
      <c r="O86" s="6">
        <f>L86</f>
        <v>2.776E-2</v>
      </c>
      <c r="P86" s="8">
        <f t="shared" si="13"/>
        <v>2676.06</v>
      </c>
      <c r="Q86" s="1">
        <f>Q85</f>
        <v>96522</v>
      </c>
      <c r="R86" s="6">
        <f>L86</f>
        <v>2.776E-2</v>
      </c>
      <c r="S86" s="8">
        <f t="shared" si="14"/>
        <v>2679.45</v>
      </c>
      <c r="T86" s="1">
        <f>T85</f>
        <v>94928</v>
      </c>
      <c r="U86" s="6">
        <f>L86</f>
        <v>2.776E-2</v>
      </c>
      <c r="V86" s="8">
        <f t="shared" si="15"/>
        <v>2635.2</v>
      </c>
    </row>
    <row r="87" spans="1:22" x14ac:dyDescent="0.2">
      <c r="A87" s="1">
        <f t="shared" si="8"/>
        <v>83</v>
      </c>
      <c r="B87" t="s">
        <v>43</v>
      </c>
      <c r="C87" s="1">
        <f>C85</f>
        <v>100000</v>
      </c>
      <c r="D87" s="6">
        <f>D76</f>
        <v>-2.0799999999999998E-3</v>
      </c>
      <c r="E87" s="10">
        <f t="shared" si="10"/>
        <v>-208</v>
      </c>
      <c r="F87" s="6">
        <f>F76</f>
        <v>-2.0799999999999998E-3</v>
      </c>
      <c r="G87" s="10">
        <f t="shared" si="11"/>
        <v>-208</v>
      </c>
      <c r="J87" t="s">
        <v>43</v>
      </c>
      <c r="K87" s="1">
        <f>K85</f>
        <v>94644</v>
      </c>
      <c r="L87" s="6">
        <f>L75</f>
        <v>-3.3099999999999996E-3</v>
      </c>
      <c r="M87" s="12">
        <f t="shared" si="12"/>
        <v>-313.27</v>
      </c>
      <c r="N87" s="1">
        <f>N85</f>
        <v>96400</v>
      </c>
      <c r="O87" s="6">
        <f>O75</f>
        <v>-2.8410000000000002E-3</v>
      </c>
      <c r="P87" s="12">
        <f t="shared" si="13"/>
        <v>-273.87</v>
      </c>
      <c r="Q87" s="1">
        <f>Q85</f>
        <v>96522</v>
      </c>
      <c r="R87" s="6">
        <f>R75</f>
        <v>-2.9830000000000004E-3</v>
      </c>
      <c r="S87" s="12">
        <f t="shared" si="14"/>
        <v>-287.93</v>
      </c>
      <c r="T87" s="1">
        <f>T85</f>
        <v>94928</v>
      </c>
      <c r="U87" s="6">
        <f>U75</f>
        <v>-3.2440000000000004E-3</v>
      </c>
      <c r="V87" s="12">
        <f t="shared" si="15"/>
        <v>-307.95</v>
      </c>
    </row>
    <row r="88" spans="1:22" x14ac:dyDescent="0.2">
      <c r="A88" s="1">
        <f t="shared" si="8"/>
        <v>84</v>
      </c>
      <c r="B88" t="s">
        <v>161</v>
      </c>
      <c r="C88" s="1"/>
      <c r="E88" s="9">
        <f>E85-E86-E87</f>
        <v>2522</v>
      </c>
      <c r="G88" s="9">
        <f>G85-G86-G87</f>
        <v>1482</v>
      </c>
      <c r="J88" t="s">
        <v>161</v>
      </c>
      <c r="M88" s="8">
        <f>M85-M86-M87</f>
        <v>2584.7200000000003</v>
      </c>
      <c r="P88" s="8">
        <f>P85-P86-P87</f>
        <v>2546.02</v>
      </c>
      <c r="S88" s="8">
        <f>S85-S86-S87</f>
        <v>2418.1699999999996</v>
      </c>
      <c r="V88" s="8">
        <f>V85-V86-V87</f>
        <v>2328.0200000000004</v>
      </c>
    </row>
    <row r="89" spans="1:22" x14ac:dyDescent="0.2">
      <c r="A89" s="1">
        <f t="shared" si="8"/>
        <v>85</v>
      </c>
      <c r="B89" t="s">
        <v>62</v>
      </c>
      <c r="C89" s="1">
        <f>D16</f>
        <v>3000</v>
      </c>
      <c r="D89" s="8">
        <f>D21</f>
        <v>0.35</v>
      </c>
      <c r="E89" s="10">
        <f t="shared" ref="E89" si="16">ROUND(C89*D89,0)</f>
        <v>1050</v>
      </c>
      <c r="F89" s="8">
        <f>D89</f>
        <v>0.35</v>
      </c>
      <c r="G89" s="10">
        <f>ROUND(C89*F89,0)</f>
        <v>1050</v>
      </c>
      <c r="J89" t="s">
        <v>62</v>
      </c>
      <c r="K89" s="1">
        <f>L62</f>
        <v>3000</v>
      </c>
      <c r="L89" s="8">
        <f>L21</f>
        <v>0.35</v>
      </c>
      <c r="M89" s="12">
        <f>ROUND(K89*L89,2)</f>
        <v>1050</v>
      </c>
      <c r="N89" s="1">
        <f>O62</f>
        <v>3000</v>
      </c>
      <c r="O89" s="8">
        <f>O21</f>
        <v>0.35</v>
      </c>
      <c r="P89" s="12">
        <f>ROUND(N89*O89,2)</f>
        <v>1050</v>
      </c>
      <c r="Q89" s="1">
        <f>R62</f>
        <v>3000</v>
      </c>
      <c r="R89" s="8">
        <f>R21</f>
        <v>0.35</v>
      </c>
      <c r="S89" s="12">
        <f>ROUND(Q89*R89,2)</f>
        <v>1050</v>
      </c>
      <c r="T89" s="1">
        <f>U62</f>
        <v>3000</v>
      </c>
      <c r="U89" s="8">
        <f>U21</f>
        <v>0.35</v>
      </c>
      <c r="V89" s="12">
        <f>ROUND(T89*U89,2)</f>
        <v>1050</v>
      </c>
    </row>
    <row r="90" spans="1:22" x14ac:dyDescent="0.2">
      <c r="A90" s="1">
        <f t="shared" si="8"/>
        <v>86</v>
      </c>
      <c r="B90" t="s">
        <v>162</v>
      </c>
      <c r="E90" s="9">
        <f>E88+E89</f>
        <v>3572</v>
      </c>
      <c r="G90" s="9">
        <f>G88+G89</f>
        <v>2532</v>
      </c>
      <c r="J90" t="s">
        <v>162</v>
      </c>
      <c r="M90" s="8">
        <f>M88+M89</f>
        <v>3634.7200000000003</v>
      </c>
      <c r="P90" s="8">
        <f>P88+P89</f>
        <v>3596.02</v>
      </c>
      <c r="S90" s="8">
        <f>S88+S89</f>
        <v>3468.1699999999996</v>
      </c>
      <c r="V90" s="8">
        <f>V88+V89</f>
        <v>3378.0200000000004</v>
      </c>
    </row>
    <row r="91" spans="1:22" x14ac:dyDescent="0.2">
      <c r="A91" s="1">
        <f t="shared" si="8"/>
        <v>87</v>
      </c>
      <c r="B91" t="s">
        <v>163</v>
      </c>
      <c r="D91" s="7">
        <f>D80</f>
        <v>0.15290000000000001</v>
      </c>
      <c r="E91" s="9">
        <f>ROUND(E90*D91,0)</f>
        <v>546</v>
      </c>
      <c r="F91" s="7">
        <f>D91</f>
        <v>0.15290000000000001</v>
      </c>
      <c r="G91" s="9">
        <f>ROUND(G90*F91,0)</f>
        <v>387</v>
      </c>
      <c r="J91" t="s">
        <v>163</v>
      </c>
      <c r="L91" s="7">
        <f>L80</f>
        <v>0.10050000000000001</v>
      </c>
      <c r="M91" s="8">
        <f>ROUND(M90*L91,2)</f>
        <v>365.29</v>
      </c>
      <c r="O91" s="7">
        <f>O80</f>
        <v>0.1125</v>
      </c>
      <c r="P91" s="8">
        <f>ROUND(P90*O91,2)</f>
        <v>404.55</v>
      </c>
      <c r="R91" s="7">
        <f>R80</f>
        <v>0.1115</v>
      </c>
      <c r="S91" s="8">
        <f>ROUND(S90*R91,2)</f>
        <v>386.7</v>
      </c>
      <c r="U91" s="7">
        <f>U80</f>
        <v>0.1076</v>
      </c>
      <c r="V91" s="8">
        <f>ROUND(V90*U91,2)</f>
        <v>363.47</v>
      </c>
    </row>
    <row r="92" spans="1:22" x14ac:dyDescent="0.2">
      <c r="A92" s="1">
        <f t="shared" si="8"/>
        <v>88</v>
      </c>
      <c r="B92" t="s">
        <v>109</v>
      </c>
      <c r="D92" s="7">
        <f>Background!H74</f>
        <v>5.5399999999999998E-2</v>
      </c>
      <c r="E92" s="10">
        <f>ROUND(E90*D92,0)</f>
        <v>198</v>
      </c>
      <c r="F92" s="7">
        <f>D92</f>
        <v>5.5399999999999998E-2</v>
      </c>
      <c r="G92" s="10">
        <f>ROUND(G90*F92,0)</f>
        <v>140</v>
      </c>
      <c r="J92" t="s">
        <v>109</v>
      </c>
      <c r="L92" s="7">
        <f>Background!C58</f>
        <v>3.6400000000000002E-2</v>
      </c>
      <c r="M92" s="12">
        <f>ROUND(M90*L92,2)</f>
        <v>132.30000000000001</v>
      </c>
      <c r="O92" s="7">
        <f>Background!D58</f>
        <v>4.0800000000000003E-2</v>
      </c>
      <c r="P92" s="12">
        <f>ROUND(P90*O92,2)</f>
        <v>146.72</v>
      </c>
      <c r="R92" s="7">
        <f>Background!E58</f>
        <v>4.0399999999999998E-2</v>
      </c>
      <c r="S92" s="12">
        <f>ROUND(S90*R92,2)</f>
        <v>140.11000000000001</v>
      </c>
      <c r="U92" s="7">
        <f>Background!F58</f>
        <v>3.9E-2</v>
      </c>
      <c r="V92" s="12">
        <f>ROUND(V90*U92,2)</f>
        <v>131.74</v>
      </c>
    </row>
    <row r="93" spans="1:22" x14ac:dyDescent="0.2">
      <c r="A93" s="1">
        <f t="shared" si="8"/>
        <v>89</v>
      </c>
      <c r="B93" t="s">
        <v>164</v>
      </c>
      <c r="E93" s="9">
        <f>E90+E91-E92</f>
        <v>3920</v>
      </c>
      <c r="G93" s="9">
        <f>G90+G91-G92</f>
        <v>2779</v>
      </c>
      <c r="J93" t="s">
        <v>164</v>
      </c>
      <c r="M93" s="8">
        <f>M90+M91-M92</f>
        <v>3867.71</v>
      </c>
      <c r="P93" s="8">
        <f>P90+P91-P92</f>
        <v>3853.8500000000004</v>
      </c>
      <c r="S93" s="8">
        <f>S90+S91-S92</f>
        <v>3714.7599999999993</v>
      </c>
      <c r="V93" s="8">
        <f>V90+V91-V92</f>
        <v>3609.7500000000009</v>
      </c>
    </row>
    <row r="94" spans="1:22" x14ac:dyDescent="0.2">
      <c r="A94" s="1">
        <f t="shared" si="8"/>
        <v>90</v>
      </c>
      <c r="E94" s="9"/>
      <c r="G94" s="9"/>
      <c r="M94" s="8"/>
      <c r="P94" s="8"/>
      <c r="S94" s="8"/>
      <c r="V94" s="8"/>
    </row>
    <row r="95" spans="1:22" x14ac:dyDescent="0.2">
      <c r="A95" s="1">
        <f t="shared" si="8"/>
        <v>91</v>
      </c>
      <c r="B95" t="s">
        <v>165</v>
      </c>
      <c r="C95" s="1">
        <f>C89</f>
        <v>3000</v>
      </c>
      <c r="D95" s="8">
        <f>D20</f>
        <v>-0.34</v>
      </c>
      <c r="E95" s="9">
        <f t="shared" ref="E95" si="17">ROUND(C95*D95,0)</f>
        <v>-1020</v>
      </c>
      <c r="F95" s="8">
        <f>D95</f>
        <v>-0.34</v>
      </c>
      <c r="G95" s="9">
        <f>ROUND(C95*F95,0)</f>
        <v>-1020</v>
      </c>
      <c r="J95" t="s">
        <v>165</v>
      </c>
      <c r="K95" s="1">
        <f>K89</f>
        <v>3000</v>
      </c>
      <c r="L95" s="8">
        <f>L20</f>
        <v>-0.34</v>
      </c>
      <c r="M95" s="8">
        <f>ROUND(K95*L95,2)</f>
        <v>-1020</v>
      </c>
      <c r="N95" s="1">
        <f>N89</f>
        <v>3000</v>
      </c>
      <c r="O95" s="8">
        <f>O20</f>
        <v>-0.34</v>
      </c>
      <c r="P95" s="8">
        <f>ROUND(N95*O95,2)</f>
        <v>-1020</v>
      </c>
      <c r="Q95" s="1">
        <f>Q89</f>
        <v>3000</v>
      </c>
      <c r="R95" s="8">
        <f>R20</f>
        <v>-0.34</v>
      </c>
      <c r="S95" s="8">
        <f>ROUND(Q95*R95,2)</f>
        <v>-1020</v>
      </c>
      <c r="T95" s="1">
        <f>T89</f>
        <v>3000</v>
      </c>
      <c r="U95" s="8">
        <f>U20</f>
        <v>-0.34</v>
      </c>
      <c r="V95" s="8">
        <f>ROUND(T95*U95,2)</f>
        <v>-1020</v>
      </c>
    </row>
    <row r="96" spans="1:22" x14ac:dyDescent="0.2">
      <c r="A96" s="1">
        <f t="shared" si="8"/>
        <v>92</v>
      </c>
      <c r="B96" t="s">
        <v>166</v>
      </c>
      <c r="E96" s="10">
        <f>ROUND((E62*E63)/E64,0)</f>
        <v>5647</v>
      </c>
      <c r="G96" s="10">
        <f>ROUND((E62*E63)/E64,0)</f>
        <v>5647</v>
      </c>
      <c r="J96" t="s">
        <v>166</v>
      </c>
      <c r="M96" s="12">
        <f>ROUND((L62*L63)/L64,2)</f>
        <v>5647.33</v>
      </c>
      <c r="P96" s="12">
        <f>ROUND((O62*O63)/O64,2)</f>
        <v>5647.33</v>
      </c>
      <c r="S96" s="12">
        <f>ROUND((R62*R63)/R64,2)</f>
        <v>5647.33</v>
      </c>
      <c r="V96" s="12">
        <f>ROUND((U62*U63)/U64,2)</f>
        <v>5647.33</v>
      </c>
    </row>
    <row r="97" spans="1:22" x14ac:dyDescent="0.2">
      <c r="A97" s="1">
        <f t="shared" si="8"/>
        <v>93</v>
      </c>
      <c r="E97" s="9"/>
      <c r="G97" s="9"/>
      <c r="M97" s="8"/>
      <c r="P97" s="8"/>
      <c r="S97" s="8"/>
      <c r="V97" s="8"/>
    </row>
    <row r="98" spans="1:22" x14ac:dyDescent="0.2">
      <c r="A98" s="1">
        <f t="shared" si="8"/>
        <v>94</v>
      </c>
      <c r="B98" t="s">
        <v>168</v>
      </c>
      <c r="E98" s="10">
        <f>E93+E95+E96</f>
        <v>8547</v>
      </c>
      <c r="G98" s="10">
        <f>G93+G95+G96</f>
        <v>7406</v>
      </c>
      <c r="J98" t="s">
        <v>168</v>
      </c>
      <c r="M98" s="12">
        <f>M93+M95+M96</f>
        <v>8495.0400000000009</v>
      </c>
      <c r="P98" s="12">
        <f>P93+P95+P96</f>
        <v>8481.18</v>
      </c>
      <c r="S98" s="12">
        <f>S93+S95+S96</f>
        <v>8342.09</v>
      </c>
      <c r="V98" s="12">
        <f>V93+V95+V96</f>
        <v>8237.0800000000017</v>
      </c>
    </row>
    <row r="99" spans="1:22" x14ac:dyDescent="0.2">
      <c r="A99" s="1">
        <f t="shared" si="8"/>
        <v>95</v>
      </c>
      <c r="E99" s="9"/>
      <c r="G99" s="9"/>
      <c r="M99" s="8"/>
      <c r="P99" s="8"/>
      <c r="S99" s="8"/>
      <c r="V99" s="8"/>
    </row>
    <row r="100" spans="1:22" ht="15" thickBot="1" x14ac:dyDescent="0.25">
      <c r="A100" s="1">
        <f t="shared" si="8"/>
        <v>96</v>
      </c>
      <c r="B100" t="s">
        <v>38</v>
      </c>
      <c r="E100" s="11">
        <f>E82+E98</f>
        <v>27521</v>
      </c>
      <c r="G100" s="11">
        <f>G82+G98</f>
        <v>25715</v>
      </c>
      <c r="J100" t="s">
        <v>38</v>
      </c>
      <c r="M100" s="14">
        <f>M82+M98</f>
        <v>27819.62</v>
      </c>
      <c r="P100" s="14">
        <f>P82+P98</f>
        <v>28749.910000000003</v>
      </c>
      <c r="S100" s="14">
        <f>S82+S98</f>
        <v>28880.749999999996</v>
      </c>
      <c r="V100" s="14">
        <f>V82+V98</f>
        <v>27394.3</v>
      </c>
    </row>
    <row r="101" spans="1:22" ht="15" thickTop="1" x14ac:dyDescent="0.2">
      <c r="A101" s="1">
        <f t="shared" si="8"/>
        <v>97</v>
      </c>
      <c r="M101" s="8"/>
      <c r="P101" s="8"/>
      <c r="S101" s="8"/>
      <c r="V101" s="8"/>
    </row>
    <row r="102" spans="1:22" ht="15" thickBot="1" x14ac:dyDescent="0.25">
      <c r="A102" s="1">
        <f t="shared" si="8"/>
        <v>98</v>
      </c>
      <c r="J102" t="s">
        <v>104</v>
      </c>
      <c r="M102" s="14">
        <f>M100-E100</f>
        <v>298.61999999999898</v>
      </c>
      <c r="P102" s="14">
        <f>P100-E100</f>
        <v>1228.9100000000035</v>
      </c>
      <c r="S102" s="14">
        <f>S100-G100</f>
        <v>3165.7499999999964</v>
      </c>
      <c r="V102" s="14">
        <f>V100-G100</f>
        <v>1679.2999999999993</v>
      </c>
    </row>
    <row r="103" spans="1:22" ht="15" thickTop="1" x14ac:dyDescent="0.2">
      <c r="A103" s="1">
        <f t="shared" si="8"/>
        <v>99</v>
      </c>
    </row>
    <row r="104" spans="1:22" x14ac:dyDescent="0.2">
      <c r="A104" s="1">
        <f t="shared" si="8"/>
        <v>100</v>
      </c>
    </row>
    <row r="105" spans="1:22" x14ac:dyDescent="0.2">
      <c r="A105" s="1">
        <f t="shared" si="8"/>
        <v>101</v>
      </c>
      <c r="B105" t="s">
        <v>169</v>
      </c>
      <c r="I105" t="s">
        <v>170</v>
      </c>
    </row>
    <row r="106" spans="1:22" x14ac:dyDescent="0.2">
      <c r="A106" s="1">
        <f t="shared" si="8"/>
        <v>102</v>
      </c>
    </row>
    <row r="107" spans="1:22" x14ac:dyDescent="0.2">
      <c r="A107" s="1">
        <f t="shared" si="8"/>
        <v>103</v>
      </c>
      <c r="B107" t="s">
        <v>171</v>
      </c>
      <c r="E107" s="9"/>
      <c r="G107" s="9"/>
      <c r="I107" t="s">
        <v>171</v>
      </c>
    </row>
    <row r="108" spans="1:22" x14ac:dyDescent="0.2">
      <c r="A108" s="1">
        <f t="shared" si="8"/>
        <v>104</v>
      </c>
      <c r="B108" t="s">
        <v>172</v>
      </c>
      <c r="E108" s="9">
        <f>E80+E91-E92</f>
        <v>2864</v>
      </c>
      <c r="G108" s="9">
        <f>G80+G91-G92</f>
        <v>2675</v>
      </c>
      <c r="I108" t="s">
        <v>172</v>
      </c>
      <c r="M108" s="8">
        <f>M80+M91-M92</f>
        <v>1997.7500000000002</v>
      </c>
      <c r="P108" s="8">
        <f>P80+P91-P92</f>
        <v>2307.4800000000005</v>
      </c>
      <c r="S108" s="8">
        <f>S80+S91-S92</f>
        <v>2306.9199999999996</v>
      </c>
      <c r="V108" s="8">
        <f>V80+V91-V92</f>
        <v>2092.8000000000002</v>
      </c>
    </row>
    <row r="109" spans="1:22" x14ac:dyDescent="0.2">
      <c r="A109" s="1">
        <f t="shared" si="8"/>
        <v>105</v>
      </c>
      <c r="B109" t="s">
        <v>173</v>
      </c>
      <c r="E109" s="10">
        <f>E37</f>
        <v>3263</v>
      </c>
      <c r="G109" s="10">
        <f>G37</f>
        <v>3016</v>
      </c>
      <c r="I109" t="s">
        <v>173</v>
      </c>
      <c r="M109" s="12">
        <f>M37</f>
        <v>2225.61</v>
      </c>
      <c r="P109" s="12">
        <f>P37</f>
        <v>2575.5100000000002</v>
      </c>
      <c r="S109" s="12">
        <f>S37</f>
        <v>2564.5100000000002</v>
      </c>
      <c r="V109" s="12">
        <f>V37</f>
        <v>2328.84</v>
      </c>
    </row>
    <row r="110" spans="1:22" x14ac:dyDescent="0.2">
      <c r="A110" s="1">
        <f t="shared" si="8"/>
        <v>106</v>
      </c>
      <c r="E110" s="9"/>
      <c r="G110" s="9"/>
      <c r="M110" s="8"/>
      <c r="P110" s="8"/>
      <c r="S110" s="8"/>
      <c r="V110" s="8"/>
    </row>
    <row r="111" spans="1:22" ht="15" thickBot="1" x14ac:dyDescent="0.25">
      <c r="A111" s="1">
        <f t="shared" si="8"/>
        <v>107</v>
      </c>
      <c r="B111" t="s">
        <v>117</v>
      </c>
      <c r="E111" s="11">
        <f>E108-E109</f>
        <v>-399</v>
      </c>
      <c r="G111" s="11">
        <f>G108-G109</f>
        <v>-341</v>
      </c>
      <c r="I111" t="s">
        <v>117</v>
      </c>
      <c r="M111" s="14">
        <f>M108-M109</f>
        <v>-227.8599999999999</v>
      </c>
      <c r="P111" s="14">
        <f>P108-P109</f>
        <v>-268.02999999999975</v>
      </c>
      <c r="S111" s="14">
        <f>S108-S109</f>
        <v>-257.5900000000006</v>
      </c>
      <c r="V111" s="14">
        <f>V108-V109</f>
        <v>-236.03999999999996</v>
      </c>
    </row>
    <row r="112" spans="1:22" ht="15" thickTop="1" x14ac:dyDescent="0.2">
      <c r="A112" s="1">
        <f t="shared" si="8"/>
        <v>108</v>
      </c>
      <c r="E112" s="9"/>
      <c r="G112" s="9"/>
      <c r="M112" s="8"/>
      <c r="P112" s="8"/>
      <c r="S112" s="8"/>
      <c r="V112" s="8"/>
    </row>
    <row r="113" spans="1:22" x14ac:dyDescent="0.2">
      <c r="A113" s="1">
        <f t="shared" si="8"/>
        <v>109</v>
      </c>
      <c r="B113" t="s">
        <v>174</v>
      </c>
      <c r="E113" s="9"/>
      <c r="G113" s="9"/>
      <c r="I113" t="s">
        <v>174</v>
      </c>
      <c r="M113" s="8"/>
      <c r="P113" s="8"/>
      <c r="S113" s="8"/>
      <c r="V113" s="8"/>
    </row>
    <row r="114" spans="1:22" x14ac:dyDescent="0.2">
      <c r="A114" s="1">
        <f t="shared" si="8"/>
        <v>110</v>
      </c>
      <c r="B114" t="s">
        <v>172</v>
      </c>
      <c r="E114" s="9">
        <f>E100-E96</f>
        <v>21874</v>
      </c>
      <c r="G114" s="9">
        <f>G100-G96</f>
        <v>20068</v>
      </c>
      <c r="I114" t="s">
        <v>172</v>
      </c>
      <c r="M114" s="8">
        <f>M100-M96</f>
        <v>22172.29</v>
      </c>
      <c r="P114" s="8">
        <f>P100-P96</f>
        <v>23102.58</v>
      </c>
      <c r="S114" s="8">
        <f>S100-S96</f>
        <v>23233.42</v>
      </c>
      <c r="V114" s="8">
        <f>V100-V96</f>
        <v>21746.97</v>
      </c>
    </row>
    <row r="115" spans="1:22" x14ac:dyDescent="0.2">
      <c r="A115" s="1">
        <f t="shared" si="8"/>
        <v>111</v>
      </c>
      <c r="B115" t="s">
        <v>173</v>
      </c>
      <c r="E115" s="10">
        <f>E51</f>
        <v>20313</v>
      </c>
      <c r="G115" s="10">
        <f>G51</f>
        <v>18449</v>
      </c>
      <c r="I115" t="s">
        <v>173</v>
      </c>
      <c r="M115" s="12">
        <f>M51</f>
        <v>20080.939999999999</v>
      </c>
      <c r="P115" s="12">
        <f>P51</f>
        <v>21178.93</v>
      </c>
      <c r="S115" s="12">
        <f>S51</f>
        <v>21274.6</v>
      </c>
      <c r="V115" s="12">
        <f>V51</f>
        <v>19682.309999999998</v>
      </c>
    </row>
    <row r="116" spans="1:22" x14ac:dyDescent="0.2">
      <c r="A116" s="1">
        <f t="shared" si="8"/>
        <v>112</v>
      </c>
      <c r="E116" s="9"/>
      <c r="G116" s="9"/>
      <c r="M116" s="8"/>
      <c r="P116" s="8"/>
      <c r="S116" s="8"/>
      <c r="V116" s="8"/>
    </row>
    <row r="117" spans="1:22" ht="15" thickBot="1" x14ac:dyDescent="0.25">
      <c r="A117" s="1">
        <f t="shared" si="8"/>
        <v>113</v>
      </c>
      <c r="B117" t="s">
        <v>175</v>
      </c>
      <c r="E117" s="11">
        <f>E114-E115</f>
        <v>1561</v>
      </c>
      <c r="G117" s="11">
        <f>G114-G115</f>
        <v>1619</v>
      </c>
      <c r="I117" t="s">
        <v>175</v>
      </c>
      <c r="M117" s="14">
        <f>M114-M115</f>
        <v>2091.3500000000022</v>
      </c>
      <c r="P117" s="14">
        <f>P114-P115</f>
        <v>1923.6500000000015</v>
      </c>
      <c r="S117" s="14">
        <f>S114-S115</f>
        <v>1958.8199999999997</v>
      </c>
      <c r="V117" s="14">
        <f>V114-V115</f>
        <v>2064.6600000000035</v>
      </c>
    </row>
    <row r="118" spans="1:22" ht="15" thickTop="1" x14ac:dyDescent="0.2">
      <c r="A118" s="1">
        <f t="shared" si="8"/>
        <v>114</v>
      </c>
      <c r="E118" s="9"/>
      <c r="G118" s="9"/>
      <c r="M118" s="8"/>
      <c r="P118" s="8"/>
      <c r="S118" s="8"/>
      <c r="V118" s="8"/>
    </row>
    <row r="119" spans="1:22" x14ac:dyDescent="0.2">
      <c r="A119" s="1">
        <f t="shared" si="8"/>
        <v>115</v>
      </c>
      <c r="B119" t="s">
        <v>121</v>
      </c>
      <c r="E119" s="9"/>
      <c r="G119" s="9"/>
      <c r="I119" t="s">
        <v>121</v>
      </c>
      <c r="M119" s="8"/>
      <c r="P119" s="8"/>
      <c r="S119" s="8"/>
      <c r="V119" s="8"/>
    </row>
    <row r="120" spans="1:22" x14ac:dyDescent="0.2">
      <c r="A120" s="1">
        <f t="shared" si="8"/>
        <v>116</v>
      </c>
      <c r="B120" t="s">
        <v>172</v>
      </c>
      <c r="E120" s="9">
        <f>E100</f>
        <v>27521</v>
      </c>
      <c r="G120" s="9">
        <f>G100</f>
        <v>25715</v>
      </c>
      <c r="I120" t="s">
        <v>172</v>
      </c>
      <c r="M120" s="8">
        <f>M100</f>
        <v>27819.62</v>
      </c>
      <c r="P120" s="8">
        <f>P100</f>
        <v>28749.910000000003</v>
      </c>
      <c r="S120" s="8">
        <f>S100</f>
        <v>28880.749999999996</v>
      </c>
      <c r="V120" s="8">
        <f>V100</f>
        <v>27394.3</v>
      </c>
    </row>
    <row r="121" spans="1:22" x14ac:dyDescent="0.2">
      <c r="A121" s="1">
        <f t="shared" si="8"/>
        <v>117</v>
      </c>
      <c r="B121" t="s">
        <v>173</v>
      </c>
      <c r="E121" s="10">
        <f>E51</f>
        <v>20313</v>
      </c>
      <c r="G121" s="10">
        <f>G51</f>
        <v>18449</v>
      </c>
      <c r="I121" t="s">
        <v>173</v>
      </c>
      <c r="M121" s="12">
        <f>M51</f>
        <v>20080.939999999999</v>
      </c>
      <c r="P121" s="12">
        <f>P51</f>
        <v>21178.93</v>
      </c>
      <c r="S121" s="12">
        <f>S51</f>
        <v>21274.6</v>
      </c>
      <c r="V121" s="12">
        <f>V51</f>
        <v>19682.309999999998</v>
      </c>
    </row>
    <row r="122" spans="1:22" x14ac:dyDescent="0.2">
      <c r="A122" s="1">
        <f t="shared" si="8"/>
        <v>118</v>
      </c>
      <c r="E122" s="9"/>
      <c r="G122" s="9"/>
      <c r="M122" s="8"/>
      <c r="P122" s="8"/>
      <c r="S122" s="8"/>
      <c r="V122" s="8"/>
    </row>
    <row r="123" spans="1:22" ht="15" thickBot="1" x14ac:dyDescent="0.25">
      <c r="A123" s="1">
        <f t="shared" si="8"/>
        <v>119</v>
      </c>
      <c r="B123" t="s">
        <v>122</v>
      </c>
      <c r="E123" s="11">
        <f>E120-E121</f>
        <v>7208</v>
      </c>
      <c r="G123" s="11">
        <f>G120-G121</f>
        <v>7266</v>
      </c>
      <c r="I123" t="s">
        <v>122</v>
      </c>
      <c r="M123" s="14">
        <f>M120-M121</f>
        <v>7738.68</v>
      </c>
      <c r="P123" s="14">
        <f>P120-P121</f>
        <v>7570.9800000000032</v>
      </c>
      <c r="S123" s="14">
        <f>S120-S121</f>
        <v>7606.1499999999978</v>
      </c>
      <c r="V123" s="14">
        <f>V120-V121</f>
        <v>7711.9900000000016</v>
      </c>
    </row>
    <row r="124" spans="1:22" ht="15" thickTop="1" x14ac:dyDescent="0.2">
      <c r="A124" s="1">
        <f t="shared" si="8"/>
        <v>120</v>
      </c>
    </row>
    <row r="125" spans="1:22" x14ac:dyDescent="0.2">
      <c r="A125" s="1">
        <f t="shared" si="8"/>
        <v>121</v>
      </c>
    </row>
    <row r="126" spans="1:22" x14ac:dyDescent="0.2">
      <c r="A126" s="1">
        <f t="shared" si="8"/>
        <v>122</v>
      </c>
      <c r="B126" s="15" t="s">
        <v>54</v>
      </c>
      <c r="C126" t="s">
        <v>176</v>
      </c>
    </row>
    <row r="127" spans="1:22" x14ac:dyDescent="0.2">
      <c r="A127" s="1">
        <f t="shared" si="8"/>
        <v>123</v>
      </c>
      <c r="C127" t="s">
        <v>123</v>
      </c>
    </row>
    <row r="128" spans="1:22" x14ac:dyDescent="0.2">
      <c r="A128" s="1">
        <f t="shared" si="8"/>
        <v>124</v>
      </c>
      <c r="C128" t="s">
        <v>124</v>
      </c>
    </row>
    <row r="129" spans="1:11" x14ac:dyDescent="0.2">
      <c r="A129" s="1">
        <f t="shared" si="8"/>
        <v>125</v>
      </c>
      <c r="C129" t="s">
        <v>177</v>
      </c>
    </row>
    <row r="130" spans="1:11" x14ac:dyDescent="0.2">
      <c r="A130" s="1">
        <f t="shared" si="8"/>
        <v>126</v>
      </c>
      <c r="C130" t="s">
        <v>178</v>
      </c>
    </row>
    <row r="131" spans="1:11" x14ac:dyDescent="0.2">
      <c r="A131" s="1">
        <f t="shared" si="8"/>
        <v>127</v>
      </c>
    </row>
    <row r="132" spans="1:11" x14ac:dyDescent="0.2">
      <c r="A132" s="1">
        <f t="shared" si="8"/>
        <v>128</v>
      </c>
    </row>
    <row r="133" spans="1:11" x14ac:dyDescent="0.2">
      <c r="A133" s="1">
        <f t="shared" si="8"/>
        <v>129</v>
      </c>
      <c r="B133" t="s">
        <v>146</v>
      </c>
    </row>
    <row r="134" spans="1:11" x14ac:dyDescent="0.2">
      <c r="A134" s="1">
        <f t="shared" si="8"/>
        <v>130</v>
      </c>
    </row>
    <row r="135" spans="1:11" ht="15" thickBot="1" x14ac:dyDescent="0.25">
      <c r="A135" s="1">
        <f t="shared" ref="A135:A162" si="18">A134+1</f>
        <v>131</v>
      </c>
      <c r="B135" s="4" t="s">
        <v>147</v>
      </c>
      <c r="C135" s="4" t="s">
        <v>27</v>
      </c>
      <c r="D135" s="4" t="s">
        <v>148</v>
      </c>
    </row>
    <row r="136" spans="1:11" x14ac:dyDescent="0.2">
      <c r="A136" s="1">
        <f t="shared" si="18"/>
        <v>132</v>
      </c>
      <c r="H136" t="s">
        <v>147</v>
      </c>
      <c r="I136" t="s">
        <v>180</v>
      </c>
      <c r="J136" t="s">
        <v>181</v>
      </c>
      <c r="K136" t="s">
        <v>179</v>
      </c>
    </row>
    <row r="137" spans="1:11" x14ac:dyDescent="0.2">
      <c r="A137" s="1">
        <f t="shared" si="18"/>
        <v>133</v>
      </c>
      <c r="B137" s="39">
        <v>1</v>
      </c>
      <c r="C137" s="38">
        <v>0.92</v>
      </c>
      <c r="D137" s="8">
        <f>ROUND(C137*460,2)</f>
        <v>423.2</v>
      </c>
      <c r="E137" t="s">
        <v>149</v>
      </c>
      <c r="H137">
        <v>1</v>
      </c>
      <c r="I137" s="8">
        <f>($G$139-D137)</f>
        <v>36.800000000000011</v>
      </c>
      <c r="J137" s="8">
        <f>PMT($K$137,12,-I137)</f>
        <v>3.6970047454050405</v>
      </c>
      <c r="K137" s="40">
        <v>0.03</v>
      </c>
    </row>
    <row r="138" spans="1:11" x14ac:dyDescent="0.2">
      <c r="A138" s="1">
        <f t="shared" si="18"/>
        <v>134</v>
      </c>
      <c r="B138" s="39">
        <v>2</v>
      </c>
      <c r="C138" s="38">
        <v>0.84640000000000004</v>
      </c>
      <c r="D138" s="8">
        <f t="shared" ref="D138:D161" si="19">ROUND(C138*460,2)</f>
        <v>389.34</v>
      </c>
      <c r="H138">
        <v>2</v>
      </c>
      <c r="I138" s="8">
        <f>D137-D138</f>
        <v>33.860000000000014</v>
      </c>
      <c r="J138" s="8">
        <f t="shared" ref="J138:J161" si="20">PMT($K$137,12,-I138)</f>
        <v>3.4016462141145292</v>
      </c>
    </row>
    <row r="139" spans="1:11" x14ac:dyDescent="0.2">
      <c r="A139" s="1">
        <f t="shared" si="18"/>
        <v>135</v>
      </c>
      <c r="B139" s="39">
        <v>3</v>
      </c>
      <c r="C139" s="38">
        <v>0.77868800000000005</v>
      </c>
      <c r="D139" s="8">
        <f t="shared" si="19"/>
        <v>358.2</v>
      </c>
      <c r="E139" t="s">
        <v>150</v>
      </c>
      <c r="G139" s="8">
        <v>460</v>
      </c>
      <c r="H139">
        <v>3</v>
      </c>
      <c r="I139" s="8">
        <f t="shared" ref="I139:I161" si="21">D138-D139</f>
        <v>31.139999999999986</v>
      </c>
      <c r="J139" s="8">
        <f t="shared" si="20"/>
        <v>3.128389341628067</v>
      </c>
    </row>
    <row r="140" spans="1:11" x14ac:dyDescent="0.2">
      <c r="A140" s="1">
        <f t="shared" si="18"/>
        <v>136</v>
      </c>
      <c r="B140" s="39">
        <v>4</v>
      </c>
      <c r="C140" s="38">
        <v>0.71639299999999995</v>
      </c>
      <c r="D140" s="8">
        <f t="shared" si="19"/>
        <v>329.54</v>
      </c>
      <c r="E140" t="s">
        <v>151</v>
      </c>
      <c r="G140" s="8">
        <v>121.16</v>
      </c>
      <c r="H140">
        <v>4</v>
      </c>
      <c r="I140" s="8">
        <f t="shared" si="21"/>
        <v>28.659999999999968</v>
      </c>
      <c r="J140" s="8">
        <f t="shared" si="20"/>
        <v>2.879243369655117</v>
      </c>
    </row>
    <row r="141" spans="1:11" x14ac:dyDescent="0.2">
      <c r="A141" s="1">
        <f t="shared" si="18"/>
        <v>137</v>
      </c>
      <c r="B141" s="39">
        <v>5</v>
      </c>
      <c r="C141" s="38">
        <v>0.65908199999999995</v>
      </c>
      <c r="D141" s="8">
        <f t="shared" si="19"/>
        <v>303.18</v>
      </c>
      <c r="G141" s="8"/>
      <c r="H141">
        <v>5</v>
      </c>
      <c r="I141" s="8">
        <f t="shared" si="21"/>
        <v>26.360000000000014</v>
      </c>
      <c r="J141" s="8">
        <f t="shared" si="20"/>
        <v>2.6481805730673065</v>
      </c>
    </row>
    <row r="142" spans="1:11" x14ac:dyDescent="0.2">
      <c r="A142" s="1">
        <f t="shared" si="18"/>
        <v>138</v>
      </c>
      <c r="B142" s="39">
        <v>6</v>
      </c>
      <c r="C142" s="38">
        <v>0.60635499999999998</v>
      </c>
      <c r="D142" s="8">
        <f t="shared" si="19"/>
        <v>278.92</v>
      </c>
      <c r="E142" t="s">
        <v>152</v>
      </c>
      <c r="G142" s="8">
        <f>G139-G140</f>
        <v>338.84000000000003</v>
      </c>
      <c r="H142">
        <v>6</v>
      </c>
      <c r="I142" s="8">
        <f t="shared" si="21"/>
        <v>24.259999999999991</v>
      </c>
      <c r="J142" s="8">
        <f t="shared" si="20"/>
        <v>2.437210193574082</v>
      </c>
    </row>
    <row r="143" spans="1:11" x14ac:dyDescent="0.2">
      <c r="A143" s="1">
        <f t="shared" si="18"/>
        <v>139</v>
      </c>
      <c r="B143" s="39">
        <v>7</v>
      </c>
      <c r="C143" s="38">
        <v>0.55784699999999998</v>
      </c>
      <c r="D143" s="8">
        <f t="shared" si="19"/>
        <v>256.61</v>
      </c>
      <c r="E143" t="s">
        <v>153</v>
      </c>
      <c r="H143">
        <v>7</v>
      </c>
      <c r="I143" s="8">
        <f t="shared" si="21"/>
        <v>22.310000000000002</v>
      </c>
      <c r="J143" s="8">
        <f t="shared" si="20"/>
        <v>2.2413091269018053</v>
      </c>
    </row>
    <row r="144" spans="1:11" x14ac:dyDescent="0.2">
      <c r="A144" s="1">
        <f t="shared" si="18"/>
        <v>140</v>
      </c>
      <c r="B144" s="39">
        <v>8</v>
      </c>
      <c r="C144" s="38">
        <v>0.51321899999999998</v>
      </c>
      <c r="D144" s="8">
        <f t="shared" si="19"/>
        <v>236.08</v>
      </c>
      <c r="H144">
        <v>8</v>
      </c>
      <c r="I144" s="8">
        <f t="shared" si="21"/>
        <v>20.53</v>
      </c>
      <c r="J144" s="8">
        <f t="shared" si="20"/>
        <v>2.0624866147599308</v>
      </c>
    </row>
    <row r="145" spans="1:10" x14ac:dyDescent="0.2">
      <c r="A145" s="1">
        <f t="shared" si="18"/>
        <v>141</v>
      </c>
      <c r="B145" s="39">
        <v>9</v>
      </c>
      <c r="C145" s="38">
        <v>0.472161</v>
      </c>
      <c r="D145" s="8">
        <f t="shared" si="19"/>
        <v>217.19</v>
      </c>
      <c r="H145">
        <v>9</v>
      </c>
      <c r="I145" s="8">
        <f t="shared" si="21"/>
        <v>18.890000000000015</v>
      </c>
      <c r="J145" s="8">
        <f t="shared" si="20"/>
        <v>1.8977287945842727</v>
      </c>
    </row>
    <row r="146" spans="1:10" x14ac:dyDescent="0.2">
      <c r="A146" s="1">
        <f t="shared" si="18"/>
        <v>142</v>
      </c>
      <c r="B146" s="39">
        <v>10</v>
      </c>
      <c r="C146" s="38">
        <v>0.434388</v>
      </c>
      <c r="D146" s="8">
        <f t="shared" si="19"/>
        <v>199.82</v>
      </c>
      <c r="H146">
        <v>10</v>
      </c>
      <c r="I146" s="8">
        <f t="shared" si="21"/>
        <v>17.370000000000005</v>
      </c>
      <c r="J146" s="8">
        <f t="shared" si="20"/>
        <v>1.7450264246653682</v>
      </c>
    </row>
    <row r="147" spans="1:10" x14ac:dyDescent="0.2">
      <c r="A147" s="1">
        <f t="shared" si="18"/>
        <v>143</v>
      </c>
      <c r="B147" s="39">
        <v>11</v>
      </c>
      <c r="C147" s="38">
        <v>0.39963700000000002</v>
      </c>
      <c r="D147" s="8">
        <f t="shared" si="19"/>
        <v>183.83</v>
      </c>
      <c r="H147">
        <v>11</v>
      </c>
      <c r="I147" s="8">
        <f t="shared" si="21"/>
        <v>15.989999999999981</v>
      </c>
      <c r="J147" s="8">
        <f t="shared" si="20"/>
        <v>1.6063887467126767</v>
      </c>
    </row>
    <row r="148" spans="1:10" x14ac:dyDescent="0.2">
      <c r="A148" s="1">
        <f t="shared" si="18"/>
        <v>144</v>
      </c>
      <c r="B148" s="39">
        <v>12</v>
      </c>
      <c r="C148" s="38">
        <v>0.36766599999999999</v>
      </c>
      <c r="D148" s="8">
        <f t="shared" si="19"/>
        <v>169.13</v>
      </c>
      <c r="H148">
        <v>12</v>
      </c>
      <c r="I148" s="8">
        <f t="shared" si="21"/>
        <v>14.700000000000017</v>
      </c>
      <c r="J148" s="8">
        <f t="shared" si="20"/>
        <v>1.4767926564525582</v>
      </c>
    </row>
    <row r="149" spans="1:10" x14ac:dyDescent="0.2">
      <c r="A149" s="1">
        <f t="shared" si="18"/>
        <v>145</v>
      </c>
      <c r="B149" s="39">
        <v>13</v>
      </c>
      <c r="C149" s="38">
        <v>0.33825300000000003</v>
      </c>
      <c r="D149" s="8">
        <f t="shared" si="19"/>
        <v>155.6</v>
      </c>
      <c r="H149">
        <v>13</v>
      </c>
      <c r="I149" s="8">
        <f t="shared" si="21"/>
        <v>13.530000000000001</v>
      </c>
      <c r="J149" s="8">
        <f t="shared" si="20"/>
        <v>1.3592520164491897</v>
      </c>
    </row>
    <row r="150" spans="1:10" x14ac:dyDescent="0.2">
      <c r="A150" s="1">
        <f t="shared" si="18"/>
        <v>146</v>
      </c>
      <c r="B150" s="39">
        <v>14</v>
      </c>
      <c r="C150" s="38">
        <v>0.311193</v>
      </c>
      <c r="D150" s="8">
        <f t="shared" si="19"/>
        <v>143.15</v>
      </c>
      <c r="H150">
        <v>14</v>
      </c>
      <c r="I150" s="8">
        <f t="shared" si="21"/>
        <v>12.449999999999989</v>
      </c>
      <c r="J150" s="8">
        <f t="shared" si="20"/>
        <v>1.2507529641383885</v>
      </c>
    </row>
    <row r="151" spans="1:10" x14ac:dyDescent="0.2">
      <c r="A151" s="1">
        <f t="shared" si="18"/>
        <v>147</v>
      </c>
      <c r="B151" s="39">
        <v>15</v>
      </c>
      <c r="C151" s="38">
        <v>0.28629700000000002</v>
      </c>
      <c r="D151" s="8">
        <f t="shared" si="19"/>
        <v>131.69999999999999</v>
      </c>
      <c r="H151">
        <v>15</v>
      </c>
      <c r="I151" s="8">
        <f t="shared" si="21"/>
        <v>11.450000000000017</v>
      </c>
      <c r="J151" s="8">
        <f t="shared" si="20"/>
        <v>1.1502908786654282</v>
      </c>
    </row>
    <row r="152" spans="1:10" x14ac:dyDescent="0.2">
      <c r="A152" s="1">
        <f t="shared" si="18"/>
        <v>148</v>
      </c>
      <c r="B152" s="39">
        <v>16</v>
      </c>
      <c r="C152" s="38">
        <v>0.26339400000000002</v>
      </c>
      <c r="D152" s="8">
        <f t="shared" si="19"/>
        <v>121.16</v>
      </c>
      <c r="H152">
        <v>16</v>
      </c>
      <c r="I152" s="8">
        <f t="shared" si="21"/>
        <v>10.539999999999992</v>
      </c>
      <c r="J152" s="8">
        <f t="shared" si="20"/>
        <v>1.0588703808850293</v>
      </c>
    </row>
    <row r="153" spans="1:10" x14ac:dyDescent="0.2">
      <c r="A153" s="1">
        <f t="shared" si="18"/>
        <v>149</v>
      </c>
      <c r="B153" s="39">
        <v>17</v>
      </c>
      <c r="C153" s="38">
        <v>0.24232200000000001</v>
      </c>
      <c r="D153" s="8">
        <f t="shared" si="19"/>
        <v>111.47</v>
      </c>
      <c r="H153">
        <v>17</v>
      </c>
      <c r="I153" s="8">
        <f t="shared" si="21"/>
        <v>9.6899999999999977</v>
      </c>
      <c r="J153" s="8">
        <f t="shared" si="20"/>
        <v>0.97347760823301144</v>
      </c>
    </row>
    <row r="154" spans="1:10" x14ac:dyDescent="0.2">
      <c r="A154" s="1">
        <f t="shared" si="18"/>
        <v>150</v>
      </c>
      <c r="B154" s="39">
        <v>18</v>
      </c>
      <c r="C154" s="38">
        <v>0.222936</v>
      </c>
      <c r="D154" s="8">
        <f t="shared" si="19"/>
        <v>102.55</v>
      </c>
      <c r="H154">
        <v>18</v>
      </c>
      <c r="I154" s="8">
        <f t="shared" si="21"/>
        <v>8.9200000000000017</v>
      </c>
      <c r="J154" s="8">
        <f t="shared" si="20"/>
        <v>0.89612180241883033</v>
      </c>
    </row>
    <row r="155" spans="1:10" x14ac:dyDescent="0.2">
      <c r="A155" s="1">
        <f t="shared" si="18"/>
        <v>151</v>
      </c>
      <c r="B155" s="39">
        <v>19</v>
      </c>
      <c r="C155" s="38">
        <v>0.20510100000000001</v>
      </c>
      <c r="D155" s="8">
        <f t="shared" si="19"/>
        <v>94.35</v>
      </c>
      <c r="H155">
        <v>19</v>
      </c>
      <c r="I155" s="8">
        <f t="shared" si="21"/>
        <v>8.2000000000000028</v>
      </c>
      <c r="J155" s="8">
        <f t="shared" si="20"/>
        <v>0.82378910087829704</v>
      </c>
    </row>
    <row r="156" spans="1:10" x14ac:dyDescent="0.2">
      <c r="A156" s="1">
        <f t="shared" si="18"/>
        <v>152</v>
      </c>
      <c r="B156" s="39">
        <v>20</v>
      </c>
      <c r="C156" s="38">
        <v>0.188693</v>
      </c>
      <c r="D156" s="8">
        <f t="shared" si="19"/>
        <v>86.8</v>
      </c>
      <c r="H156">
        <v>20</v>
      </c>
      <c r="I156" s="8">
        <f t="shared" si="21"/>
        <v>7.5499999999999972</v>
      </c>
      <c r="J156" s="8">
        <f t="shared" si="20"/>
        <v>0.75848874532087041</v>
      </c>
    </row>
    <row r="157" spans="1:10" x14ac:dyDescent="0.2">
      <c r="A157" s="1">
        <f t="shared" si="18"/>
        <v>153</v>
      </c>
      <c r="B157" s="39">
        <v>21</v>
      </c>
      <c r="C157" s="38">
        <v>0.173598</v>
      </c>
      <c r="D157" s="8">
        <f t="shared" si="19"/>
        <v>79.86</v>
      </c>
      <c r="H157">
        <v>21</v>
      </c>
      <c r="I157" s="8">
        <f t="shared" si="21"/>
        <v>6.9399999999999977</v>
      </c>
      <c r="J157" s="8">
        <f t="shared" si="20"/>
        <v>0.69720687318236307</v>
      </c>
    </row>
    <row r="158" spans="1:10" x14ac:dyDescent="0.2">
      <c r="A158" s="1">
        <f t="shared" si="18"/>
        <v>154</v>
      </c>
      <c r="B158" s="39">
        <v>22</v>
      </c>
      <c r="C158" s="38">
        <v>0.15970999999999999</v>
      </c>
      <c r="D158" s="8">
        <f t="shared" si="19"/>
        <v>73.47</v>
      </c>
      <c r="H158">
        <v>22</v>
      </c>
      <c r="I158" s="8">
        <f t="shared" si="21"/>
        <v>6.3900000000000006</v>
      </c>
      <c r="J158" s="8">
        <f t="shared" si="20"/>
        <v>0.64195272617223376</v>
      </c>
    </row>
    <row r="159" spans="1:10" x14ac:dyDescent="0.2">
      <c r="A159" s="1">
        <f t="shared" si="18"/>
        <v>155</v>
      </c>
      <c r="B159" s="39">
        <v>23</v>
      </c>
      <c r="C159" s="38">
        <v>0.14693300000000001</v>
      </c>
      <c r="D159" s="8">
        <f t="shared" si="19"/>
        <v>67.59</v>
      </c>
      <c r="H159">
        <v>23</v>
      </c>
      <c r="I159" s="8">
        <f t="shared" si="21"/>
        <v>5.8799999999999955</v>
      </c>
      <c r="J159" s="8">
        <f t="shared" si="20"/>
        <v>0.59071706258102208</v>
      </c>
    </row>
    <row r="160" spans="1:10" x14ac:dyDescent="0.2">
      <c r="A160" s="1">
        <f t="shared" si="18"/>
        <v>156</v>
      </c>
      <c r="B160" s="39">
        <v>24</v>
      </c>
      <c r="C160" s="38">
        <v>0.13517899999999999</v>
      </c>
      <c r="D160" s="8">
        <f t="shared" si="19"/>
        <v>62.18</v>
      </c>
      <c r="H160">
        <v>24</v>
      </c>
      <c r="I160" s="8">
        <f t="shared" si="21"/>
        <v>5.4100000000000037</v>
      </c>
      <c r="J160" s="8">
        <f t="shared" si="20"/>
        <v>0.54349988240873026</v>
      </c>
    </row>
    <row r="161" spans="1:10" x14ac:dyDescent="0.2">
      <c r="A161" s="1">
        <f t="shared" si="18"/>
        <v>157</v>
      </c>
      <c r="B161" s="39">
        <v>25</v>
      </c>
      <c r="C161" s="38">
        <v>0.124364</v>
      </c>
      <c r="D161" s="8">
        <f t="shared" si="19"/>
        <v>57.21</v>
      </c>
      <c r="H161">
        <v>25</v>
      </c>
      <c r="I161" s="8">
        <f t="shared" si="21"/>
        <v>4.9699999999999989</v>
      </c>
      <c r="J161" s="8">
        <f t="shared" si="20"/>
        <v>0.49929656480062612</v>
      </c>
    </row>
    <row r="162" spans="1:10" x14ac:dyDescent="0.2">
      <c r="A162" s="1">
        <f t="shared" si="18"/>
        <v>158</v>
      </c>
    </row>
  </sheetData>
  <mergeCells count="12">
    <mergeCell ref="K59:M59"/>
    <mergeCell ref="N59:P59"/>
    <mergeCell ref="Q59:S59"/>
    <mergeCell ref="T59:V59"/>
    <mergeCell ref="D66:E66"/>
    <mergeCell ref="F66:G66"/>
    <mergeCell ref="K6:M6"/>
    <mergeCell ref="N6:P6"/>
    <mergeCell ref="Q6:S6"/>
    <mergeCell ref="T6:V6"/>
    <mergeCell ref="D23:E23"/>
    <mergeCell ref="F23:G2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Summary</vt:lpstr>
      <vt:lpstr>per KWH</vt:lpstr>
      <vt:lpstr>FCR</vt:lpstr>
      <vt:lpstr>Background</vt:lpstr>
      <vt:lpstr>Green Tariff Customer</vt:lpstr>
      <vt:lpstr>Walmart Lease(old)</vt:lpstr>
      <vt:lpstr>Walmart (2)</vt:lpstr>
      <vt:lpstr>Background!Print_Area</vt:lpstr>
      <vt:lpstr>FCR!Print_Area</vt:lpstr>
      <vt:lpstr>Summary!Print_Area</vt:lpstr>
      <vt:lpstr>FCR!Print_Titles</vt:lpstr>
      <vt:lpstr>'per KWH'!Print_Titles</vt:lpstr>
    </vt:vector>
  </TitlesOfParts>
  <Company>East Kentucky Power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Scott</dc:creator>
  <cp:lastModifiedBy>Isaac Scott</cp:lastModifiedBy>
  <cp:lastPrinted>2018-11-27T01:16:16Z</cp:lastPrinted>
  <dcterms:created xsi:type="dcterms:W3CDTF">2017-11-13T20:13:58Z</dcterms:created>
  <dcterms:modified xsi:type="dcterms:W3CDTF">2019-11-21T20:28:57Z</dcterms:modified>
</cp:coreProperties>
</file>