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4175" activeTab="2"/>
  </bookViews>
  <sheets>
    <sheet name="Pivot Table" sheetId="1" r:id="rId1"/>
    <sheet name="Analysis" sheetId="2" r:id="rId2"/>
    <sheet name="HEART Slots" sheetId="3" r:id="rId3"/>
    <sheet name="THAW Allocation" sheetId="4" r:id="rId4"/>
  </sheets>
  <definedNames>
    <definedName name="_xlnm.Print_Area" localSheetId="2">'HEART Slots'!$A$1:$I$43</definedName>
    <definedName name="_xlnm.Print_Area" localSheetId="3">'THAW Allocation'!$A$1:$E$42</definedName>
    <definedName name="_xlnm.Print_Titles" localSheetId="2">'HEART Slots'!$6:$9</definedName>
    <definedName name="_xlnm.Print_Titles" localSheetId="3">'THAW Allocation'!$6:$8</definedName>
  </definedNames>
  <calcPr fullCalcOnLoad="1"/>
</workbook>
</file>

<file path=xl/sharedStrings.xml><?xml version="1.0" encoding="utf-8"?>
<sst xmlns="http://schemas.openxmlformats.org/spreadsheetml/2006/main" count="197" uniqueCount="97">
  <si>
    <t>Grand Total</t>
  </si>
  <si>
    <t>County</t>
  </si>
  <si>
    <t>Kentucky Power Company</t>
  </si>
  <si>
    <t>Pro-Rata Calculation for Available Slots for Counties in KPCO Service Territory</t>
  </si>
  <si>
    <t>Agency Serving County</t>
  </si>
  <si>
    <t>No. of Residential Heating Customers</t>
  </si>
  <si>
    <t>Percentage of Total Residential Heating Customers</t>
  </si>
  <si>
    <t>No. of Heating Slots</t>
  </si>
  <si>
    <t>No. of Residential Non-Heating Customers</t>
  </si>
  <si>
    <t>Percentage of Total Residential Non- Heating Customers</t>
  </si>
  <si>
    <t>No. of Non-Heating Slots</t>
  </si>
  <si>
    <t>Total No. of HEAP Slots</t>
  </si>
  <si>
    <t>BOYD</t>
  </si>
  <si>
    <t>Northeast Kentucky</t>
  </si>
  <si>
    <t>CARTER</t>
  </si>
  <si>
    <t>ELLIOTT</t>
  </si>
  <si>
    <t>GREENUP</t>
  </si>
  <si>
    <t>LAWRENCE</t>
  </si>
  <si>
    <t>Northeast Kentucky Totals</t>
  </si>
  <si>
    <t>ROWAN</t>
  </si>
  <si>
    <t>Gateway CSO</t>
  </si>
  <si>
    <t>MORGAN</t>
  </si>
  <si>
    <t>Gateway CSO Totals</t>
  </si>
  <si>
    <t>FLOYD</t>
  </si>
  <si>
    <t>Big Sandy CAP</t>
  </si>
  <si>
    <t>JOHNSON</t>
  </si>
  <si>
    <t>MAGOFFIN</t>
  </si>
  <si>
    <t>MARTIN</t>
  </si>
  <si>
    <t>PIKE</t>
  </si>
  <si>
    <t>Big Sandy CAP Totals</t>
  </si>
  <si>
    <t>BREATHITT</t>
  </si>
  <si>
    <t>Middle KY River</t>
  </si>
  <si>
    <t>OWSLEY</t>
  </si>
  <si>
    <t>Middle KY River Totals</t>
  </si>
  <si>
    <t>LESLIE</t>
  </si>
  <si>
    <t>LKLP</t>
  </si>
  <si>
    <t>KNOTT</t>
  </si>
  <si>
    <t>LETCHER</t>
  </si>
  <si>
    <t>PERRY</t>
  </si>
  <si>
    <t>LKLP Totals</t>
  </si>
  <si>
    <t>Totals</t>
  </si>
  <si>
    <t>No. of slots available this year</t>
  </si>
  <si>
    <t>* excluding Bell, Clay &amp; Lewis counties</t>
  </si>
  <si>
    <t xml:space="preserve"> </t>
  </si>
  <si>
    <t>Rate *</t>
  </si>
  <si>
    <t>Monthly Amount</t>
  </si>
  <si>
    <t>Annual Amount</t>
  </si>
  <si>
    <t>Funds Available for Distribution</t>
  </si>
  <si>
    <t>Residential Heating Customers</t>
  </si>
  <si>
    <t>Funds available for Residential Heating Customers</t>
  </si>
  <si>
    <t>Non-heating Residential Customers</t>
  </si>
  <si>
    <t>Funds available for Residential Non-Heating Customers</t>
  </si>
  <si>
    <t>Residential Heating Monthly Payments</t>
  </si>
  <si>
    <t>Residential Heating Total Payout</t>
  </si>
  <si>
    <t>x</t>
  </si>
  <si>
    <t>=</t>
  </si>
  <si>
    <t>Residential Non-Electric Monthly Payments</t>
  </si>
  <si>
    <t>Residential Non-Heating Total Payout</t>
  </si>
  <si>
    <t>Number of Monthly Slots for Heating Customers</t>
  </si>
  <si>
    <t>Number of Monthly Slots for Non-Heating Customers</t>
  </si>
  <si>
    <t>County Tx</t>
  </si>
  <si>
    <t>10</t>
  </si>
  <si>
    <t>20</t>
  </si>
  <si>
    <t>Based upon Number of Heating and Non-Heating Residential Customers</t>
  </si>
  <si>
    <t>Number of Months at $0.30</t>
  </si>
  <si>
    <t>HEART Analysis</t>
  </si>
  <si>
    <t>THAW Analysis</t>
  </si>
  <si>
    <t>Available Funds</t>
  </si>
  <si>
    <t>THAW Funding Available For This Year:</t>
  </si>
  <si>
    <t>25% Funding For THAW</t>
  </si>
  <si>
    <t>75% Funding For HEART</t>
  </si>
  <si>
    <t>CLAY</t>
  </si>
  <si>
    <t>LEWIS</t>
  </si>
  <si>
    <t>Administrative Costs up to 10%</t>
  </si>
  <si>
    <t>Total HEART Funds for Distribution</t>
  </si>
  <si>
    <t>Total THAW Funds for Distribution</t>
  </si>
  <si>
    <t>Line</t>
  </si>
  <si>
    <t>Collected From Residential Customers</t>
  </si>
  <si>
    <t>KPCo Match</t>
  </si>
  <si>
    <t>Total for 2018-2019 Program Year</t>
  </si>
  <si>
    <t>2020 Residential Energy Assistance Program Analysis</t>
  </si>
  <si>
    <t>Less Bell, Clay and Lewis</t>
  </si>
  <si>
    <t>2020 Home Energy Assistance Program (HEART)</t>
  </si>
  <si>
    <t>2020 Temporary Heating Assistance in Winter (THAW)</t>
  </si>
  <si>
    <t>Donation HEART Analysis</t>
  </si>
  <si>
    <t>Kentucky Power Match (maximum of $20,000 annually)</t>
  </si>
  <si>
    <t>Unused Funds From Prior Program Year</t>
  </si>
  <si>
    <t>Balance as of August 2020 Close</t>
  </si>
  <si>
    <t>Number of Residential Customers at August 2020</t>
  </si>
  <si>
    <t>Donations collected from Customer Contributions through end of August 2020 Close</t>
  </si>
  <si>
    <t>Electric Heating Sector</t>
  </si>
  <si>
    <t>Non-Electric Heating Sector</t>
  </si>
  <si>
    <t>Aministrative Costs up to 10%</t>
  </si>
  <si>
    <t>Funds Available For Donation HEART</t>
  </si>
  <si>
    <t>Total Donation HEART funds available</t>
  </si>
  <si>
    <t>No. Customers</t>
  </si>
  <si>
    <t>Percentage of Customers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</si>
</sst>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_(&quot;$&quot;* #,##0_);_(&quot;$&quot;* \(#,##0\);_(&quot;$&quot;* &quot;-&quot;??_);_(@_)"/>
    <numFmt numFmtId="171" formatCode="mmmm\-yy"/>
    <numFmt numFmtId="172" formatCode="0.0%"/>
    <numFmt numFmtId="173" formatCode="_(* #,##0.0_);_(* \(#,##0.0\);_(* &quot;-&quot;??_);_(@_)"/>
    <numFmt numFmtId="174" formatCode="0.000%"/>
    <numFmt numFmtId="175" formatCode="_(&quot;$&quot;* #,##0.0_);_(&quot;$&quot;* \(#,##0.0\);_(&quot;$&quot;* &quot;-&quot;??_);_(@_)"/>
    <numFmt numFmtId="176" formatCode="0.000"/>
    <numFmt numFmtId="177" formatCode="0.0"/>
    <numFmt numFmtId="178" formatCode="0.00000"/>
    <numFmt numFmtId="179" formatCode="0.0000"/>
    <numFmt numFmtId="180" formatCode="_(&quot;$&quot;* #,##0.0000_);_(&quot;$&quot;* \(#,##0.00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4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7" fillId="0" borderId="0" xfId="0" applyFont="1" applyAlignment="1">
      <alignment horizontal="left"/>
    </xf>
    <xf numFmtId="168" fontId="47" fillId="0" borderId="0" xfId="44" applyNumberFormat="1" applyFont="1" applyAlignment="1">
      <alignment/>
    </xf>
    <xf numFmtId="168" fontId="46" fillId="0" borderId="0" xfId="44" applyNumberFormat="1" applyFont="1" applyAlignment="1">
      <alignment/>
    </xf>
    <xf numFmtId="0" fontId="4" fillId="0" borderId="10" xfId="60" applyFont="1" applyFill="1" applyBorder="1">
      <alignment/>
      <protection/>
    </xf>
    <xf numFmtId="44" fontId="4" fillId="0" borderId="10" xfId="47" applyNumberFormat="1" applyFont="1" applyBorder="1" applyAlignment="1">
      <alignment/>
    </xf>
    <xf numFmtId="44" fontId="4" fillId="0" borderId="10" xfId="47" applyNumberFormat="1" applyFont="1" applyFill="1" applyBorder="1" applyAlignment="1">
      <alignment/>
    </xf>
    <xf numFmtId="44" fontId="4" fillId="0" borderId="0" xfId="47" applyNumberFormat="1" applyFont="1" applyBorder="1" applyAlignment="1">
      <alignment/>
    </xf>
    <xf numFmtId="44" fontId="4" fillId="0" borderId="11" xfId="47" applyNumberFormat="1" applyFont="1" applyBorder="1" applyAlignment="1">
      <alignment/>
    </xf>
    <xf numFmtId="44" fontId="4" fillId="0" borderId="0" xfId="47" applyFont="1" applyAlignment="1">
      <alignment/>
    </xf>
    <xf numFmtId="0" fontId="4" fillId="0" borderId="10" xfId="60" applyFont="1" applyBorder="1">
      <alignment/>
      <protection/>
    </xf>
    <xf numFmtId="0" fontId="4" fillId="0" borderId="0" xfId="60" applyFont="1" applyFill="1">
      <alignment/>
      <protection/>
    </xf>
    <xf numFmtId="44" fontId="4" fillId="0" borderId="0" xfId="60" applyNumberFormat="1" applyFont="1">
      <alignment/>
      <protection/>
    </xf>
    <xf numFmtId="44" fontId="4" fillId="0" borderId="11" xfId="60" applyNumberFormat="1" applyFont="1" applyBorder="1">
      <alignment/>
      <protection/>
    </xf>
    <xf numFmtId="44" fontId="47" fillId="0" borderId="0" xfId="47" applyFont="1" applyFill="1" applyAlignment="1">
      <alignment/>
    </xf>
    <xf numFmtId="44" fontId="4" fillId="0" borderId="0" xfId="45" applyFont="1" applyFill="1" applyAlignment="1">
      <alignment/>
    </xf>
    <xf numFmtId="0" fontId="4" fillId="0" borderId="0" xfId="60" applyFont="1" applyAlignment="1">
      <alignment horizontal="right"/>
      <protection/>
    </xf>
    <xf numFmtId="170" fontId="47" fillId="0" borderId="10" xfId="47" applyNumberFormat="1" applyFont="1" applyFill="1" applyBorder="1" applyAlignment="1">
      <alignment/>
    </xf>
    <xf numFmtId="44" fontId="4" fillId="0" borderId="0" xfId="60" applyNumberFormat="1" applyFont="1" applyBorder="1">
      <alignment/>
      <protection/>
    </xf>
    <xf numFmtId="170" fontId="47" fillId="0" borderId="10" xfId="47" applyNumberFormat="1" applyFont="1" applyBorder="1" applyAlignment="1">
      <alignment/>
    </xf>
    <xf numFmtId="168" fontId="4" fillId="0" borderId="11" xfId="60" applyNumberFormat="1" applyFont="1" applyBorder="1">
      <alignment/>
      <protection/>
    </xf>
    <xf numFmtId="168" fontId="4" fillId="0" borderId="0" xfId="42" applyNumberFormat="1" applyFont="1" applyAlignment="1">
      <alignment/>
    </xf>
    <xf numFmtId="43" fontId="4" fillId="0" borderId="0" xfId="60" applyNumberFormat="1" applyFont="1">
      <alignment/>
      <protection/>
    </xf>
    <xf numFmtId="168" fontId="4" fillId="0" borderId="0" xfId="60" applyNumberFormat="1" applyFont="1">
      <alignment/>
      <protection/>
    </xf>
    <xf numFmtId="44" fontId="4" fillId="0" borderId="0" xfId="45" applyFont="1" applyAlignment="1">
      <alignment/>
    </xf>
    <xf numFmtId="180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44" fontId="46" fillId="0" borderId="0" xfId="0" applyNumberFormat="1" applyFont="1" applyAlignment="1">
      <alignment/>
    </xf>
    <xf numFmtId="0" fontId="46" fillId="12" borderId="0" xfId="0" applyFont="1" applyFill="1" applyAlignment="1">
      <alignment/>
    </xf>
    <xf numFmtId="0" fontId="3" fillId="12" borderId="0" xfId="60" applyFont="1" applyFill="1" applyAlignment="1">
      <alignment horizontal="center"/>
      <protection/>
    </xf>
    <xf numFmtId="168" fontId="47" fillId="33" borderId="0" xfId="44" applyNumberFormat="1" applyFont="1" applyFill="1" applyAlignment="1">
      <alignment/>
    </xf>
    <xf numFmtId="44" fontId="4" fillId="33" borderId="0" xfId="45" applyFont="1" applyFill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3" fontId="46" fillId="0" borderId="17" xfId="0" applyNumberFormat="1" applyFont="1" applyBorder="1" applyAlignment="1">
      <alignment horizontal="center"/>
    </xf>
    <xf numFmtId="10" fontId="46" fillId="0" borderId="18" xfId="0" applyNumberFormat="1" applyFont="1" applyBorder="1" applyAlignment="1">
      <alignment horizontal="center"/>
    </xf>
    <xf numFmtId="1" fontId="46" fillId="0" borderId="19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10" fontId="46" fillId="0" borderId="0" xfId="63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3" fontId="48" fillId="0" borderId="21" xfId="0" applyNumberFormat="1" applyFont="1" applyBorder="1" applyAlignment="1">
      <alignment horizontal="center"/>
    </xf>
    <xf numFmtId="10" fontId="48" fillId="0" borderId="22" xfId="0" applyNumberFormat="1" applyFont="1" applyBorder="1" applyAlignment="1">
      <alignment horizontal="center"/>
    </xf>
    <xf numFmtId="1" fontId="48" fillId="0" borderId="23" xfId="0" applyNumberFormat="1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3" fontId="46" fillId="0" borderId="17" xfId="0" applyNumberFormat="1" applyFont="1" applyBorder="1" applyAlignment="1">
      <alignment/>
    </xf>
    <xf numFmtId="10" fontId="46" fillId="0" borderId="18" xfId="0" applyNumberFormat="1" applyFont="1" applyBorder="1" applyAlignment="1">
      <alignment/>
    </xf>
    <xf numFmtId="0" fontId="46" fillId="0" borderId="19" xfId="0" applyFont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3" fontId="48" fillId="33" borderId="25" xfId="0" applyNumberFormat="1" applyFont="1" applyFill="1" applyBorder="1" applyAlignment="1">
      <alignment horizontal="center"/>
    </xf>
    <xf numFmtId="10" fontId="48" fillId="33" borderId="26" xfId="0" applyNumberFormat="1" applyFont="1" applyFill="1" applyBorder="1" applyAlignment="1">
      <alignment horizontal="center"/>
    </xf>
    <xf numFmtId="3" fontId="48" fillId="33" borderId="27" xfId="0" applyNumberFormat="1" applyFont="1" applyFill="1" applyBorder="1" applyAlignment="1">
      <alignment horizontal="center"/>
    </xf>
    <xf numFmtId="1" fontId="48" fillId="33" borderId="27" xfId="0" applyNumberFormat="1" applyFont="1" applyFill="1" applyBorder="1" applyAlignment="1">
      <alignment horizontal="center"/>
    </xf>
    <xf numFmtId="3" fontId="48" fillId="33" borderId="24" xfId="0" applyNumberFormat="1" applyFont="1" applyFill="1" applyBorder="1" applyAlignment="1">
      <alignment horizontal="center"/>
    </xf>
    <xf numFmtId="3" fontId="46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44" fontId="4" fillId="0" borderId="10" xfId="60" applyNumberFormat="1" applyFont="1" applyFill="1" applyBorder="1">
      <alignment/>
      <protection/>
    </xf>
    <xf numFmtId="0" fontId="46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70" fontId="46" fillId="0" borderId="19" xfId="45" applyNumberFormat="1" applyFont="1" applyBorder="1" applyAlignment="1">
      <alignment horizontal="center"/>
    </xf>
    <xf numFmtId="1" fontId="46" fillId="0" borderId="0" xfId="0" applyNumberFormat="1" applyFont="1" applyAlignment="1">
      <alignment/>
    </xf>
    <xf numFmtId="170" fontId="48" fillId="0" borderId="23" xfId="45" applyNumberFormat="1" applyFont="1" applyBorder="1" applyAlignment="1">
      <alignment horizontal="center"/>
    </xf>
    <xf numFmtId="170" fontId="48" fillId="33" borderId="27" xfId="45" applyNumberFormat="1" applyFont="1" applyFill="1" applyBorder="1" applyAlignment="1">
      <alignment horizontal="center"/>
    </xf>
    <xf numFmtId="170" fontId="48" fillId="0" borderId="0" xfId="45" applyNumberFormat="1" applyFont="1" applyAlignment="1">
      <alignment horizontal="center"/>
    </xf>
    <xf numFmtId="170" fontId="46" fillId="0" borderId="0" xfId="0" applyNumberFormat="1" applyFont="1" applyAlignment="1">
      <alignment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49" fontId="46" fillId="0" borderId="28" xfId="0" applyNumberFormat="1" applyFont="1" applyBorder="1" applyAlignment="1">
      <alignment horizontal="center"/>
    </xf>
    <xf numFmtId="3" fontId="46" fillId="0" borderId="28" xfId="0" applyNumberFormat="1" applyFont="1" applyBorder="1" applyAlignment="1">
      <alignment horizontal="center"/>
    </xf>
    <xf numFmtId="3" fontId="46" fillId="0" borderId="29" xfId="0" applyNumberFormat="1" applyFont="1" applyBorder="1" applyAlignment="1">
      <alignment horizontal="center"/>
    </xf>
    <xf numFmtId="3" fontId="46" fillId="0" borderId="30" xfId="0" applyNumberFormat="1" applyFont="1" applyBorder="1" applyAlignment="1">
      <alignment horizontal="center"/>
    </xf>
    <xf numFmtId="49" fontId="46" fillId="0" borderId="31" xfId="0" applyNumberFormat="1" applyFont="1" applyBorder="1" applyAlignment="1">
      <alignment horizontal="center"/>
    </xf>
    <xf numFmtId="3" fontId="46" fillId="0" borderId="31" xfId="0" applyNumberFormat="1" applyFont="1" applyBorder="1" applyAlignment="1">
      <alignment horizontal="center"/>
    </xf>
    <xf numFmtId="3" fontId="46" fillId="0" borderId="32" xfId="0" applyNumberFormat="1" applyFont="1" applyBorder="1" applyAlignment="1">
      <alignment horizontal="center"/>
    </xf>
    <xf numFmtId="174" fontId="46" fillId="0" borderId="0" xfId="63" applyNumberFormat="1" applyFont="1" applyAlignment="1">
      <alignment/>
    </xf>
    <xf numFmtId="0" fontId="46" fillId="0" borderId="33" xfId="0" applyFont="1" applyBorder="1" applyAlignment="1">
      <alignment horizontal="center"/>
    </xf>
    <xf numFmtId="3" fontId="46" fillId="0" borderId="33" xfId="0" applyNumberFormat="1" applyFont="1" applyBorder="1" applyAlignment="1">
      <alignment horizontal="center"/>
    </xf>
    <xf numFmtId="0" fontId="48" fillId="33" borderId="0" xfId="0" applyFont="1" applyFill="1" applyAlignment="1">
      <alignment horizontal="center"/>
    </xf>
    <xf numFmtId="3" fontId="48" fillId="33" borderId="0" xfId="0" applyNumberFormat="1" applyFont="1" applyFill="1" applyAlignment="1">
      <alignment horizontal="center"/>
    </xf>
    <xf numFmtId="44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44" fontId="47" fillId="33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Border="1">
      <alignment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9" fillId="12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60" applyFont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3" fillId="12" borderId="0" xfId="60" applyFont="1" applyFill="1" applyAlignment="1">
      <alignment horizontal="center"/>
      <protection/>
    </xf>
    <xf numFmtId="0" fontId="5" fillId="12" borderId="0" xfId="60" applyFont="1" applyFill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7" fillId="0" borderId="0" xfId="0" applyFont="1" applyAlignment="1">
      <alignment horizontal="left"/>
    </xf>
    <xf numFmtId="0" fontId="4" fillId="0" borderId="0" xfId="60" applyFont="1" applyAlignment="1">
      <alignment horizontal="left"/>
      <protection/>
    </xf>
    <xf numFmtId="0" fontId="48" fillId="0" borderId="0" xfId="0" applyFont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7"/>
  <sheetViews>
    <sheetView zoomScale="85" zoomScaleNormal="85" zoomScalePageLayoutView="0" workbookViewId="0" topLeftCell="A1">
      <selection activeCell="E24" sqref="E24"/>
    </sheetView>
  </sheetViews>
  <sheetFormatPr defaultColWidth="9.140625" defaultRowHeight="15"/>
  <cols>
    <col min="1" max="2" width="9.140625" style="1" customWidth="1"/>
    <col min="3" max="3" width="21.57421875" style="1" customWidth="1"/>
    <col min="4" max="5" width="20.00390625" style="1" bestFit="1" customWidth="1"/>
    <col min="6" max="6" width="11.8515625" style="1" bestFit="1" customWidth="1"/>
    <col min="7" max="7" width="11.140625" style="1" bestFit="1" customWidth="1"/>
    <col min="8" max="8" width="12.28125" style="1" bestFit="1" customWidth="1"/>
    <col min="9" max="16384" width="9.140625" style="1" customWidth="1"/>
  </cols>
  <sheetData>
    <row r="1" spans="3:6" ht="15">
      <c r="C1" s="86" t="s">
        <v>60</v>
      </c>
      <c r="D1" s="86" t="s">
        <v>61</v>
      </c>
      <c r="E1" s="87" t="s">
        <v>62</v>
      </c>
      <c r="F1" s="88" t="s">
        <v>0</v>
      </c>
    </row>
    <row r="2" spans="3:6" ht="15">
      <c r="C2" s="89" t="s">
        <v>12</v>
      </c>
      <c r="D2" s="90">
        <v>10546</v>
      </c>
      <c r="E2" s="91">
        <v>9254</v>
      </c>
      <c r="F2" s="92">
        <v>19800</v>
      </c>
    </row>
    <row r="3" spans="3:6" ht="15">
      <c r="C3" s="93" t="s">
        <v>30</v>
      </c>
      <c r="D3" s="94">
        <v>1342</v>
      </c>
      <c r="E3" s="70">
        <v>2799</v>
      </c>
      <c r="F3" s="95">
        <v>4141</v>
      </c>
    </row>
    <row r="4" spans="3:6" ht="15">
      <c r="C4" s="93" t="s">
        <v>14</v>
      </c>
      <c r="D4" s="94">
        <v>2125</v>
      </c>
      <c r="E4" s="70">
        <v>4952</v>
      </c>
      <c r="F4" s="95">
        <v>7077</v>
      </c>
    </row>
    <row r="5" spans="3:8" ht="15">
      <c r="C5" s="93" t="s">
        <v>71</v>
      </c>
      <c r="D5" s="94">
        <v>15</v>
      </c>
      <c r="E5" s="70">
        <v>39</v>
      </c>
      <c r="F5" s="95">
        <v>54</v>
      </c>
      <c r="H5" s="96"/>
    </row>
    <row r="6" spans="3:6" ht="15">
      <c r="C6" s="93" t="s">
        <v>15</v>
      </c>
      <c r="D6" s="94">
        <v>10</v>
      </c>
      <c r="E6" s="70">
        <v>13</v>
      </c>
      <c r="F6" s="95">
        <v>23</v>
      </c>
    </row>
    <row r="7" spans="3:6" ht="15">
      <c r="C7" s="93" t="s">
        <v>23</v>
      </c>
      <c r="D7" s="94">
        <v>5506</v>
      </c>
      <c r="E7" s="70">
        <v>6819</v>
      </c>
      <c r="F7" s="95">
        <v>12325</v>
      </c>
    </row>
    <row r="8" spans="3:6" ht="15">
      <c r="C8" s="93" t="s">
        <v>16</v>
      </c>
      <c r="D8" s="94">
        <v>6606</v>
      </c>
      <c r="E8" s="70">
        <v>6082</v>
      </c>
      <c r="F8" s="95">
        <v>12688</v>
      </c>
    </row>
    <row r="9" spans="3:6" ht="15">
      <c r="C9" s="93" t="s">
        <v>25</v>
      </c>
      <c r="D9" s="94">
        <v>2209</v>
      </c>
      <c r="E9" s="70">
        <v>3421</v>
      </c>
      <c r="F9" s="95">
        <v>5630</v>
      </c>
    </row>
    <row r="10" spans="3:6" ht="15">
      <c r="C10" s="93" t="s">
        <v>36</v>
      </c>
      <c r="D10" s="94">
        <v>2643</v>
      </c>
      <c r="E10" s="70">
        <v>3852</v>
      </c>
      <c r="F10" s="95">
        <v>6495</v>
      </c>
    </row>
    <row r="11" spans="3:6" ht="15">
      <c r="C11" s="93" t="s">
        <v>17</v>
      </c>
      <c r="D11" s="94">
        <v>2148</v>
      </c>
      <c r="E11" s="70">
        <v>3911</v>
      </c>
      <c r="F11" s="95">
        <v>6059</v>
      </c>
    </row>
    <row r="12" spans="3:6" ht="15">
      <c r="C12" s="93" t="s">
        <v>34</v>
      </c>
      <c r="D12" s="94">
        <v>981</v>
      </c>
      <c r="E12" s="70">
        <v>3459</v>
      </c>
      <c r="F12" s="95">
        <v>4440</v>
      </c>
    </row>
    <row r="13" spans="3:6" ht="15">
      <c r="C13" s="93" t="s">
        <v>37</v>
      </c>
      <c r="D13" s="94">
        <v>2102</v>
      </c>
      <c r="E13" s="70">
        <v>7272</v>
      </c>
      <c r="F13" s="95">
        <v>9374</v>
      </c>
    </row>
    <row r="14" spans="3:8" ht="15">
      <c r="C14" s="93" t="s">
        <v>72</v>
      </c>
      <c r="D14" s="94">
        <v>126</v>
      </c>
      <c r="E14" s="70">
        <v>93</v>
      </c>
      <c r="F14" s="95">
        <v>219</v>
      </c>
      <c r="H14" s="52"/>
    </row>
    <row r="15" spans="3:6" ht="15">
      <c r="C15" s="93" t="s">
        <v>26</v>
      </c>
      <c r="D15" s="94">
        <v>608</v>
      </c>
      <c r="E15" s="70">
        <v>1642</v>
      </c>
      <c r="F15" s="95">
        <v>2250</v>
      </c>
    </row>
    <row r="16" spans="3:6" ht="15">
      <c r="C16" s="93" t="s">
        <v>27</v>
      </c>
      <c r="D16" s="94">
        <v>1451</v>
      </c>
      <c r="E16" s="70">
        <v>2393</v>
      </c>
      <c r="F16" s="95">
        <v>3844</v>
      </c>
    </row>
    <row r="17" spans="3:6" ht="15">
      <c r="C17" s="93" t="s">
        <v>21</v>
      </c>
      <c r="D17" s="94">
        <v>244</v>
      </c>
      <c r="E17" s="70">
        <v>655</v>
      </c>
      <c r="F17" s="95">
        <v>899</v>
      </c>
    </row>
    <row r="18" spans="3:6" ht="15">
      <c r="C18" s="93" t="s">
        <v>32</v>
      </c>
      <c r="D18" s="94">
        <v>4</v>
      </c>
      <c r="E18" s="70">
        <v>7</v>
      </c>
      <c r="F18" s="95">
        <v>11</v>
      </c>
    </row>
    <row r="19" spans="3:6" ht="15">
      <c r="C19" s="93" t="s">
        <v>38</v>
      </c>
      <c r="D19" s="94">
        <v>3535</v>
      </c>
      <c r="E19" s="70">
        <v>8441</v>
      </c>
      <c r="F19" s="95">
        <v>11976</v>
      </c>
    </row>
    <row r="20" spans="3:6" ht="15">
      <c r="C20" s="93" t="s">
        <v>28</v>
      </c>
      <c r="D20" s="94">
        <v>7741</v>
      </c>
      <c r="E20" s="70">
        <v>19192</v>
      </c>
      <c r="F20" s="95">
        <v>26933</v>
      </c>
    </row>
    <row r="21" spans="3:6" ht="15">
      <c r="C21" s="93" t="s">
        <v>19</v>
      </c>
      <c r="D21" s="94">
        <v>340</v>
      </c>
      <c r="E21" s="70">
        <v>570</v>
      </c>
      <c r="F21" s="95">
        <v>910</v>
      </c>
    </row>
    <row r="22" spans="3:6" ht="15">
      <c r="C22" s="97" t="s">
        <v>0</v>
      </c>
      <c r="D22" s="98">
        <f>SUM(D2:D21)</f>
        <v>50282</v>
      </c>
      <c r="E22" s="98">
        <f>SUM(E2:E21)</f>
        <v>84866</v>
      </c>
      <c r="F22" s="98">
        <f>SUM(F2:F21)</f>
        <v>135148</v>
      </c>
    </row>
    <row r="25" spans="3:6" ht="15">
      <c r="C25" s="99" t="s">
        <v>81</v>
      </c>
      <c r="D25" s="100">
        <f>D22-D5-D14</f>
        <v>50141</v>
      </c>
      <c r="E25" s="100">
        <f>E22-E5-E14</f>
        <v>84734</v>
      </c>
      <c r="F25" s="100">
        <f>E25+D25</f>
        <v>134875</v>
      </c>
    </row>
    <row r="27" ht="15">
      <c r="F27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3"/>
  <sheetViews>
    <sheetView zoomScalePageLayoutView="0" workbookViewId="0" topLeftCell="A1">
      <selection activeCell="AH34" sqref="AH34"/>
    </sheetView>
  </sheetViews>
  <sheetFormatPr defaultColWidth="9.140625" defaultRowHeight="15"/>
  <cols>
    <col min="1" max="1" width="5.140625" style="2" customWidth="1"/>
    <col min="2" max="2" width="44.8515625" style="2" customWidth="1"/>
    <col min="3" max="3" width="0.9921875" style="2" customWidth="1"/>
    <col min="4" max="4" width="1.28515625" style="2" customWidth="1"/>
    <col min="5" max="5" width="14.140625" style="2" bestFit="1" customWidth="1"/>
    <col min="6" max="6" width="1.421875" style="2" customWidth="1"/>
    <col min="7" max="7" width="13.421875" style="2" bestFit="1" customWidth="1"/>
    <col min="8" max="8" width="1.421875" style="2" customWidth="1"/>
    <col min="9" max="9" width="16.421875" style="2" customWidth="1"/>
    <col min="10" max="10" width="3.57421875" style="2" customWidth="1"/>
    <col min="11" max="11" width="1.1484375" style="1" customWidth="1"/>
    <col min="12" max="12" width="3.57421875" style="1" customWidth="1"/>
    <col min="13" max="13" width="4.140625" style="1" customWidth="1"/>
    <col min="14" max="14" width="12.28125" style="1" bestFit="1" customWidth="1"/>
    <col min="15" max="15" width="9.140625" style="1" customWidth="1"/>
    <col min="16" max="16" width="25.140625" style="1" customWidth="1"/>
    <col min="17" max="17" width="12.57421875" style="1" customWidth="1"/>
    <col min="18" max="18" width="9.140625" style="1" customWidth="1"/>
    <col min="19" max="19" width="9.8515625" style="1" bestFit="1" customWidth="1"/>
    <col min="20" max="20" width="9.140625" style="1" customWidth="1"/>
    <col min="21" max="21" width="14.7109375" style="1" customWidth="1"/>
    <col min="22" max="22" width="3.57421875" style="2" customWidth="1"/>
    <col min="23" max="23" width="1.1484375" style="1" customWidth="1"/>
    <col min="24" max="24" width="3.57421875" style="1" customWidth="1"/>
    <col min="25" max="25" width="4.140625" style="1" customWidth="1"/>
    <col min="26" max="26" width="9.140625" style="1" customWidth="1"/>
    <col min="27" max="31" width="9.140625" style="2" customWidth="1"/>
    <col min="32" max="32" width="12.28125" style="2" customWidth="1"/>
    <col min="33" max="33" width="14.00390625" style="2" bestFit="1" customWidth="1"/>
    <col min="34" max="34" width="3.57421875" style="2" customWidth="1"/>
    <col min="35" max="35" width="1.1484375" style="1" customWidth="1"/>
    <col min="36" max="36" width="3.57421875" style="1" customWidth="1"/>
    <col min="37" max="37" width="4.140625" style="1" customWidth="1"/>
    <col min="38" max="38" width="9.140625" style="1" customWidth="1"/>
    <col min="39" max="43" width="9.140625" style="2" customWidth="1"/>
    <col min="44" max="44" width="12.28125" style="2" customWidth="1"/>
    <col min="45" max="45" width="14.00390625" style="2" bestFit="1" customWidth="1"/>
    <col min="46" max="46" width="3.57421875" style="2" customWidth="1"/>
    <col min="47" max="47" width="1.1484375" style="1" customWidth="1"/>
    <col min="48" max="16384" width="9.140625" style="2" customWidth="1"/>
  </cols>
  <sheetData>
    <row r="1" spans="1:47" ht="15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37"/>
      <c r="K1" s="40"/>
      <c r="L1" s="36"/>
      <c r="M1" s="110" t="s">
        <v>65</v>
      </c>
      <c r="N1" s="110"/>
      <c r="O1" s="110"/>
      <c r="P1" s="110"/>
      <c r="Q1" s="110"/>
      <c r="R1" s="110"/>
      <c r="S1" s="110"/>
      <c r="T1" s="110"/>
      <c r="U1" s="110"/>
      <c r="V1" s="37"/>
      <c r="W1" s="40"/>
      <c r="X1" s="36"/>
      <c r="Y1" s="110" t="s">
        <v>66</v>
      </c>
      <c r="Z1" s="110"/>
      <c r="AA1" s="110"/>
      <c r="AB1" s="110"/>
      <c r="AC1" s="110"/>
      <c r="AD1" s="110"/>
      <c r="AE1" s="110"/>
      <c r="AF1" s="110"/>
      <c r="AG1" s="110"/>
      <c r="AH1" s="37"/>
      <c r="AI1" s="40"/>
      <c r="AJ1" s="36"/>
      <c r="AK1" s="110" t="s">
        <v>84</v>
      </c>
      <c r="AL1" s="110"/>
      <c r="AM1" s="110"/>
      <c r="AN1" s="110"/>
      <c r="AO1" s="110"/>
      <c r="AP1" s="110"/>
      <c r="AQ1" s="110"/>
      <c r="AR1" s="110"/>
      <c r="AS1" s="110"/>
      <c r="AT1" s="37"/>
      <c r="AU1" s="40"/>
    </row>
    <row r="2" spans="1:47" ht="15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37"/>
      <c r="K2" s="40"/>
      <c r="M2" s="111"/>
      <c r="N2" s="111"/>
      <c r="O2" s="111"/>
      <c r="P2" s="111"/>
      <c r="Q2" s="111"/>
      <c r="R2" s="111"/>
      <c r="S2" s="111"/>
      <c r="T2" s="111"/>
      <c r="U2" s="111"/>
      <c r="V2" s="3"/>
      <c r="W2" s="40"/>
      <c r="Y2" s="111"/>
      <c r="Z2" s="111"/>
      <c r="AA2" s="111"/>
      <c r="AB2" s="111"/>
      <c r="AC2" s="111"/>
      <c r="AD2" s="111"/>
      <c r="AE2" s="111"/>
      <c r="AF2" s="111"/>
      <c r="AG2" s="111"/>
      <c r="AH2" s="3"/>
      <c r="AI2" s="40"/>
      <c r="AK2" s="111"/>
      <c r="AL2" s="111"/>
      <c r="AM2" s="111"/>
      <c r="AN2" s="111"/>
      <c r="AO2" s="111"/>
      <c r="AP2" s="111"/>
      <c r="AQ2" s="111"/>
      <c r="AR2" s="111"/>
      <c r="AS2" s="111"/>
      <c r="AT2" s="3"/>
      <c r="AU2" s="40"/>
    </row>
    <row r="3" spans="1:47" ht="15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3"/>
      <c r="K3" s="40"/>
      <c r="M3" s="4">
        <v>1</v>
      </c>
      <c r="N3" s="117" t="s">
        <v>70</v>
      </c>
      <c r="O3" s="117"/>
      <c r="P3" s="117"/>
      <c r="Q3" s="117"/>
      <c r="R3" s="5"/>
      <c r="S3" s="5"/>
      <c r="T3" s="5"/>
      <c r="U3" s="6">
        <f>I20*0.75</f>
        <v>843385.92</v>
      </c>
      <c r="V3" s="3"/>
      <c r="W3" s="41"/>
      <c r="X3" s="7"/>
      <c r="Y3" s="5">
        <v>1</v>
      </c>
      <c r="Z3" s="117" t="s">
        <v>69</v>
      </c>
      <c r="AA3" s="117"/>
      <c r="AB3" s="117"/>
      <c r="AC3" s="117"/>
      <c r="AD3" s="5"/>
      <c r="AE3" s="5"/>
      <c r="AF3" s="5"/>
      <c r="AG3" s="6">
        <f>I20*0.25</f>
        <v>281128.64</v>
      </c>
      <c r="AH3" s="3"/>
      <c r="AI3" s="41"/>
      <c r="AJ3" s="7"/>
      <c r="AK3" s="5">
        <v>1</v>
      </c>
      <c r="AL3" s="109" t="s">
        <v>86</v>
      </c>
      <c r="AM3" s="109"/>
      <c r="AN3" s="109"/>
      <c r="AO3" s="109"/>
      <c r="AP3" s="109"/>
      <c r="AQ3" s="109"/>
      <c r="AR3" s="109"/>
      <c r="AS3" s="104">
        <f>8758.7-4487</f>
        <v>4271.700000000001</v>
      </c>
      <c r="AT3" s="3"/>
      <c r="AU3" s="41"/>
    </row>
    <row r="4" spans="5:47" ht="15">
      <c r="E4" s="112" t="s">
        <v>77</v>
      </c>
      <c r="G4" s="113" t="s">
        <v>78</v>
      </c>
      <c r="I4" s="112" t="s">
        <v>79</v>
      </c>
      <c r="J4" s="8"/>
      <c r="K4" s="40"/>
      <c r="M4" s="4"/>
      <c r="N4" s="5"/>
      <c r="O4" s="5"/>
      <c r="P4" s="5"/>
      <c r="Q4" s="5"/>
      <c r="R4" s="5"/>
      <c r="S4" s="5"/>
      <c r="T4" s="5"/>
      <c r="U4" s="5"/>
      <c r="V4" s="8"/>
      <c r="W4" s="41"/>
      <c r="X4" s="7"/>
      <c r="Y4" s="5"/>
      <c r="Z4" s="5"/>
      <c r="AA4" s="5"/>
      <c r="AB4" s="5"/>
      <c r="AC4" s="5"/>
      <c r="AD4" s="5"/>
      <c r="AE4" s="5"/>
      <c r="AF4" s="5"/>
      <c r="AG4" s="5"/>
      <c r="AH4" s="8"/>
      <c r="AI4" s="41"/>
      <c r="AJ4" s="7"/>
      <c r="AK4" s="5"/>
      <c r="AL4" s="102"/>
      <c r="AM4" s="102"/>
      <c r="AN4" s="102"/>
      <c r="AO4" s="102"/>
      <c r="AP4" s="102"/>
      <c r="AQ4" s="102"/>
      <c r="AR4" s="102"/>
      <c r="AS4" s="102"/>
      <c r="AT4" s="8"/>
      <c r="AU4" s="41"/>
    </row>
    <row r="5" spans="5:47" ht="15">
      <c r="E5" s="112"/>
      <c r="G5" s="113"/>
      <c r="I5" s="112"/>
      <c r="J5" s="8"/>
      <c r="K5" s="40"/>
      <c r="M5" s="105">
        <f>M3+1</f>
        <v>2</v>
      </c>
      <c r="N5" s="103" t="s">
        <v>92</v>
      </c>
      <c r="O5" s="102"/>
      <c r="P5" s="102"/>
      <c r="Q5" s="102"/>
      <c r="R5" s="102"/>
      <c r="S5" s="102"/>
      <c r="T5" s="102"/>
      <c r="U5" s="101">
        <f>U3*0.1</f>
        <v>84338.592</v>
      </c>
      <c r="V5" s="8"/>
      <c r="W5" s="41"/>
      <c r="X5" s="7"/>
      <c r="Y5" s="5">
        <f>Y3+1</f>
        <v>2</v>
      </c>
      <c r="Z5" s="9" t="s">
        <v>73</v>
      </c>
      <c r="AA5" s="5"/>
      <c r="AB5" s="5"/>
      <c r="AC5" s="5"/>
      <c r="AD5" s="5"/>
      <c r="AE5" s="5"/>
      <c r="AF5" s="5"/>
      <c r="AG5" s="6">
        <f>AG3*0.1</f>
        <v>28112.864</v>
      </c>
      <c r="AH5" s="8"/>
      <c r="AI5" s="41"/>
      <c r="AJ5" s="7"/>
      <c r="AK5" s="5">
        <f>AK3+1</f>
        <v>2</v>
      </c>
      <c r="AL5" s="109" t="s">
        <v>89</v>
      </c>
      <c r="AM5" s="109"/>
      <c r="AN5" s="109"/>
      <c r="AO5" s="109"/>
      <c r="AP5" s="109"/>
      <c r="AQ5" s="109"/>
      <c r="AR5" s="109"/>
      <c r="AS5" s="104">
        <v>4060.35</v>
      </c>
      <c r="AT5" s="3"/>
      <c r="AU5" s="41"/>
    </row>
    <row r="6" spans="1:47" ht="15">
      <c r="A6" s="8" t="s">
        <v>76</v>
      </c>
      <c r="E6" s="112"/>
      <c r="G6" s="113"/>
      <c r="I6" s="112"/>
      <c r="J6" s="8"/>
      <c r="K6" s="40"/>
      <c r="M6" s="4"/>
      <c r="N6" s="5"/>
      <c r="O6" s="5"/>
      <c r="P6" s="5"/>
      <c r="Q6" s="5"/>
      <c r="R6" s="5"/>
      <c r="S6" s="5"/>
      <c r="T6" s="5"/>
      <c r="U6" s="5"/>
      <c r="V6" s="8"/>
      <c r="W6" s="41"/>
      <c r="X6" s="7"/>
      <c r="Y6" s="5"/>
      <c r="Z6" s="5"/>
      <c r="AA6" s="5"/>
      <c r="AB6" s="5"/>
      <c r="AC6" s="5"/>
      <c r="AD6" s="5"/>
      <c r="AE6" s="5"/>
      <c r="AF6" s="5"/>
      <c r="AG6" s="5"/>
      <c r="AH6" s="8"/>
      <c r="AI6" s="41"/>
      <c r="AJ6" s="7"/>
      <c r="AK6" s="5"/>
      <c r="AL6" s="102"/>
      <c r="AM6" s="102"/>
      <c r="AN6" s="102"/>
      <c r="AO6" s="102"/>
      <c r="AP6" s="102"/>
      <c r="AQ6" s="102"/>
      <c r="AR6" s="102"/>
      <c r="AS6" s="102"/>
      <c r="AT6" s="8"/>
      <c r="AU6" s="41"/>
    </row>
    <row r="7" spans="1:47" ht="15">
      <c r="A7" s="8"/>
      <c r="K7" s="40"/>
      <c r="M7" s="8">
        <f>M5+1</f>
        <v>3</v>
      </c>
      <c r="N7" s="9" t="s">
        <v>74</v>
      </c>
      <c r="O7" s="5"/>
      <c r="P7" s="5"/>
      <c r="Q7" s="5"/>
      <c r="R7" s="5"/>
      <c r="S7" s="5"/>
      <c r="T7" s="5"/>
      <c r="U7" s="6">
        <f>U3-U5</f>
        <v>759047.328</v>
      </c>
      <c r="V7" s="8"/>
      <c r="W7" s="41"/>
      <c r="X7" s="7"/>
      <c r="Y7" s="8">
        <f>Y5+1</f>
        <v>3</v>
      </c>
      <c r="Z7" s="9" t="s">
        <v>75</v>
      </c>
      <c r="AA7" s="5"/>
      <c r="AB7" s="5"/>
      <c r="AC7" s="5"/>
      <c r="AD7" s="5"/>
      <c r="AE7" s="5"/>
      <c r="AF7" s="5"/>
      <c r="AG7" s="6">
        <f>AG3-AG5</f>
        <v>253015.776</v>
      </c>
      <c r="AH7" s="8"/>
      <c r="AI7" s="41"/>
      <c r="AJ7" s="7"/>
      <c r="AK7" s="5">
        <f>AK5+1</f>
        <v>3</v>
      </c>
      <c r="AL7" s="103" t="s">
        <v>85</v>
      </c>
      <c r="AM7" s="102"/>
      <c r="AN7" s="102"/>
      <c r="AO7" s="102"/>
      <c r="AP7" s="102"/>
      <c r="AQ7" s="102"/>
      <c r="AR7" s="102"/>
      <c r="AS7" s="104">
        <v>4060.35</v>
      </c>
      <c r="AT7" s="8"/>
      <c r="AU7" s="41"/>
    </row>
    <row r="8" spans="1:47" ht="15">
      <c r="A8" s="8">
        <v>1</v>
      </c>
      <c r="B8" s="2" t="s">
        <v>88</v>
      </c>
      <c r="E8" s="38">
        <f>'Pivot Table'!F22</f>
        <v>135148</v>
      </c>
      <c r="G8" s="10">
        <f>E8</f>
        <v>135148</v>
      </c>
      <c r="I8" s="10">
        <f>G8</f>
        <v>135148</v>
      </c>
      <c r="J8" s="11"/>
      <c r="K8" s="40"/>
      <c r="M8" s="4"/>
      <c r="N8" s="4"/>
      <c r="O8" s="4"/>
      <c r="P8" s="4"/>
      <c r="Q8" s="4"/>
      <c r="R8" s="5"/>
      <c r="S8" s="5"/>
      <c r="T8" s="5"/>
      <c r="U8" s="5"/>
      <c r="V8" s="8"/>
      <c r="W8" s="41"/>
      <c r="X8" s="7"/>
      <c r="Y8" s="5"/>
      <c r="Z8" s="5"/>
      <c r="AA8" s="5"/>
      <c r="AB8" s="5"/>
      <c r="AC8" s="5"/>
      <c r="AD8" s="5"/>
      <c r="AE8" s="5"/>
      <c r="AF8" s="5"/>
      <c r="AG8" s="5"/>
      <c r="AH8" s="8"/>
      <c r="AI8" s="41"/>
      <c r="AJ8" s="7"/>
      <c r="AK8" s="5"/>
      <c r="AL8" s="5"/>
      <c r="AM8" s="5"/>
      <c r="AN8" s="5"/>
      <c r="AO8" s="5"/>
      <c r="AP8" s="5"/>
      <c r="AQ8" s="5"/>
      <c r="AR8" s="5"/>
      <c r="AS8" s="102"/>
      <c r="AT8" s="8"/>
      <c r="AU8" s="41"/>
    </row>
    <row r="9" spans="1:47" ht="15">
      <c r="A9" s="8"/>
      <c r="K9" s="40"/>
      <c r="M9" s="8">
        <f>M7+1</f>
        <v>4</v>
      </c>
      <c r="N9" s="2" t="s">
        <v>48</v>
      </c>
      <c r="O9" s="2"/>
      <c r="P9" s="2"/>
      <c r="Q9" s="2"/>
      <c r="R9" s="2"/>
      <c r="S9" s="2"/>
      <c r="T9" s="2"/>
      <c r="U9" s="12">
        <v>0.85</v>
      </c>
      <c r="V9" s="8"/>
      <c r="W9" s="41"/>
      <c r="X9" s="7"/>
      <c r="Y9" s="8">
        <f>Y7+1</f>
        <v>4</v>
      </c>
      <c r="Z9" s="118" t="s">
        <v>48</v>
      </c>
      <c r="AA9" s="118"/>
      <c r="AB9" s="118"/>
      <c r="AC9" s="118"/>
      <c r="AD9" s="118"/>
      <c r="AG9" s="12">
        <v>1</v>
      </c>
      <c r="AH9" s="8"/>
      <c r="AI9" s="41"/>
      <c r="AJ9" s="7"/>
      <c r="AK9" s="5">
        <f>AK7+1</f>
        <v>4</v>
      </c>
      <c r="AL9" s="2" t="s">
        <v>93</v>
      </c>
      <c r="AS9" s="75">
        <f>AS7+AS3+AS5</f>
        <v>12392.400000000001</v>
      </c>
      <c r="AT9" s="8"/>
      <c r="AU9" s="41"/>
    </row>
    <row r="10" spans="1:47" ht="15">
      <c r="A10" s="8">
        <v>2</v>
      </c>
      <c r="B10" s="2" t="s">
        <v>44</v>
      </c>
      <c r="E10" s="13">
        <v>0.3</v>
      </c>
      <c r="G10" s="14">
        <f>E10</f>
        <v>0.3</v>
      </c>
      <c r="I10" s="13">
        <f>E10+G10</f>
        <v>0.6</v>
      </c>
      <c r="J10" s="15"/>
      <c r="K10" s="40"/>
      <c r="M10" s="8"/>
      <c r="N10" s="2"/>
      <c r="O10" s="2"/>
      <c r="P10" s="2"/>
      <c r="Q10" s="2"/>
      <c r="R10" s="2"/>
      <c r="S10" s="2"/>
      <c r="T10" s="2"/>
      <c r="U10" s="2"/>
      <c r="V10" s="8"/>
      <c r="W10" s="41"/>
      <c r="X10" s="7"/>
      <c r="Y10" s="8"/>
      <c r="Z10" s="2"/>
      <c r="AH10" s="8"/>
      <c r="AI10" s="41"/>
      <c r="AJ10" s="7"/>
      <c r="AK10" s="5"/>
      <c r="AL10" s="5"/>
      <c r="AM10" s="5"/>
      <c r="AN10" s="5"/>
      <c r="AO10" s="5"/>
      <c r="AP10" s="5"/>
      <c r="AQ10" s="5"/>
      <c r="AR10" s="5"/>
      <c r="AS10" s="102"/>
      <c r="AT10" s="8"/>
      <c r="AU10" s="41"/>
    </row>
    <row r="11" spans="1:47" ht="15.75" thickBot="1">
      <c r="A11" s="8"/>
      <c r="K11" s="40"/>
      <c r="M11" s="8">
        <f>M9+1</f>
        <v>5</v>
      </c>
      <c r="N11" s="2" t="s">
        <v>49</v>
      </c>
      <c r="O11" s="2"/>
      <c r="P11" s="2"/>
      <c r="Q11" s="2"/>
      <c r="R11" s="2"/>
      <c r="S11" s="2"/>
      <c r="T11" s="2"/>
      <c r="U11" s="16">
        <f>ROUND(U7*U9,2)</f>
        <v>645190.23</v>
      </c>
      <c r="W11" s="41"/>
      <c r="X11" s="7"/>
      <c r="Y11" s="8">
        <f>Y9+1</f>
        <v>5</v>
      </c>
      <c r="Z11" s="118" t="s">
        <v>49</v>
      </c>
      <c r="AA11" s="118"/>
      <c r="AB11" s="118"/>
      <c r="AC11" s="118"/>
      <c r="AD11" s="118"/>
      <c r="AG11" s="16">
        <f>ROUND(AG7*AG9,2)</f>
        <v>253015.78</v>
      </c>
      <c r="AI11" s="41"/>
      <c r="AJ11" s="7"/>
      <c r="AK11" s="106">
        <f>AK9+1</f>
        <v>5</v>
      </c>
      <c r="AL11" s="19" t="s">
        <v>73</v>
      </c>
      <c r="AM11" s="19"/>
      <c r="AN11" s="19"/>
      <c r="AO11" s="19"/>
      <c r="AP11" s="19"/>
      <c r="AQ11" s="19"/>
      <c r="AR11" s="19"/>
      <c r="AS11" s="75">
        <f>AS9*0.1</f>
        <v>1239.2400000000002</v>
      </c>
      <c r="AT11" s="8"/>
      <c r="AU11" s="41"/>
    </row>
    <row r="12" spans="1:47" ht="15.75" thickTop="1">
      <c r="A12" s="8">
        <v>3</v>
      </c>
      <c r="B12" s="2" t="s">
        <v>45</v>
      </c>
      <c r="D12" s="17"/>
      <c r="E12" s="17">
        <f>ROUND(E8*E10,2)</f>
        <v>40544.4</v>
      </c>
      <c r="F12" s="17"/>
      <c r="G12" s="17">
        <f>ROUND(G8*G10,2)</f>
        <v>40544.4</v>
      </c>
      <c r="I12" s="17">
        <f>ROUND(I8*I10,2)</f>
        <v>81088.8</v>
      </c>
      <c r="J12" s="17"/>
      <c r="K12" s="40"/>
      <c r="M12" s="8"/>
      <c r="N12" s="2"/>
      <c r="O12" s="2"/>
      <c r="P12" s="2"/>
      <c r="Q12" s="2"/>
      <c r="R12" s="2"/>
      <c r="S12" s="2"/>
      <c r="T12" s="2"/>
      <c r="U12" s="2"/>
      <c r="W12" s="41"/>
      <c r="X12" s="7"/>
      <c r="Y12" s="8"/>
      <c r="Z12" s="2"/>
      <c r="AI12" s="41"/>
      <c r="AJ12" s="7"/>
      <c r="AK12" s="8"/>
      <c r="AL12" s="2"/>
      <c r="AT12" s="8"/>
      <c r="AU12" s="41"/>
    </row>
    <row r="13" spans="1:47" ht="15">
      <c r="A13" s="8"/>
      <c r="K13" s="40"/>
      <c r="M13" s="8">
        <f>M11+1</f>
        <v>6</v>
      </c>
      <c r="N13" s="2" t="s">
        <v>50</v>
      </c>
      <c r="O13" s="2"/>
      <c r="P13" s="2"/>
      <c r="Q13" s="2"/>
      <c r="R13" s="2"/>
      <c r="S13" s="2"/>
      <c r="T13" s="2"/>
      <c r="U13" s="18">
        <v>0.15</v>
      </c>
      <c r="V13" s="10"/>
      <c r="W13" s="41"/>
      <c r="X13" s="7"/>
      <c r="Y13" s="8"/>
      <c r="Z13" s="118"/>
      <c r="AA13" s="118"/>
      <c r="AB13" s="118"/>
      <c r="AC13" s="118"/>
      <c r="AD13" s="118"/>
      <c r="AG13" s="107"/>
      <c r="AH13" s="11"/>
      <c r="AI13" s="41"/>
      <c r="AJ13" s="7"/>
      <c r="AK13" s="8">
        <f>AK11+1</f>
        <v>6</v>
      </c>
      <c r="AL13" s="2" t="s">
        <v>94</v>
      </c>
      <c r="AS13" s="75">
        <f>AS9-AS11</f>
        <v>11153.160000000002</v>
      </c>
      <c r="AT13" s="8"/>
      <c r="AU13" s="41"/>
    </row>
    <row r="14" spans="1:47" ht="15">
      <c r="A14" s="8">
        <v>4</v>
      </c>
      <c r="B14" s="2" t="s">
        <v>64</v>
      </c>
      <c r="E14" s="19">
        <v>12</v>
      </c>
      <c r="F14" s="19"/>
      <c r="G14" s="19">
        <v>12</v>
      </c>
      <c r="I14" s="20" t="s">
        <v>43</v>
      </c>
      <c r="J14" s="20"/>
      <c r="K14" s="40"/>
      <c r="M14" s="8"/>
      <c r="N14" s="2"/>
      <c r="O14" s="2"/>
      <c r="P14" s="2"/>
      <c r="Q14" s="2"/>
      <c r="R14" s="2"/>
      <c r="S14" s="2"/>
      <c r="T14" s="2"/>
      <c r="U14" s="2"/>
      <c r="W14" s="41"/>
      <c r="X14" s="7"/>
      <c r="Y14" s="8"/>
      <c r="Z14" s="2"/>
      <c r="AG14" s="107"/>
      <c r="AI14" s="41"/>
      <c r="AJ14" s="7"/>
      <c r="AK14" s="8"/>
      <c r="AL14" s="2"/>
      <c r="AT14" s="8"/>
      <c r="AU14" s="41"/>
    </row>
    <row r="15" spans="1:47" ht="15.75" thickBot="1">
      <c r="A15" s="8"/>
      <c r="E15" s="19"/>
      <c r="F15" s="19"/>
      <c r="G15" s="19"/>
      <c r="I15" s="20"/>
      <c r="J15" s="20"/>
      <c r="K15" s="40"/>
      <c r="M15" s="8">
        <f>M13+1</f>
        <v>7</v>
      </c>
      <c r="N15" s="2" t="s">
        <v>51</v>
      </c>
      <c r="O15" s="2"/>
      <c r="P15" s="2"/>
      <c r="Q15" s="2"/>
      <c r="R15" s="2"/>
      <c r="S15" s="2"/>
      <c r="T15" s="2"/>
      <c r="U15" s="21">
        <f>ROUND(U7*U13,2)</f>
        <v>113857.1</v>
      </c>
      <c r="V15" s="15"/>
      <c r="W15" s="41"/>
      <c r="X15" s="7"/>
      <c r="Y15" s="8"/>
      <c r="Z15" s="118"/>
      <c r="AA15" s="118"/>
      <c r="AB15" s="118"/>
      <c r="AC15" s="118"/>
      <c r="AD15" s="118"/>
      <c r="AG15" s="26"/>
      <c r="AH15" s="15"/>
      <c r="AI15" s="41"/>
      <c r="AJ15" s="7"/>
      <c r="AK15" s="8">
        <f>AK13+1</f>
        <v>7</v>
      </c>
      <c r="AL15" s="2" t="s">
        <v>48</v>
      </c>
      <c r="AS15" s="12">
        <v>0.85</v>
      </c>
      <c r="AU15" s="41"/>
    </row>
    <row r="16" spans="1:47" ht="15.75" thickTop="1">
      <c r="A16" s="8">
        <v>5</v>
      </c>
      <c r="B16" s="2" t="s">
        <v>46</v>
      </c>
      <c r="E16" s="20">
        <f>ROUND((E12*E14),2)</f>
        <v>486532.8</v>
      </c>
      <c r="G16" s="20">
        <f>ROUND((E12*G14),2)</f>
        <v>486532.8</v>
      </c>
      <c r="I16" s="20">
        <f>ROUND(E16+G16,2)</f>
        <v>973065.6</v>
      </c>
      <c r="J16" s="20"/>
      <c r="K16" s="40"/>
      <c r="M16" s="8"/>
      <c r="N16" s="2"/>
      <c r="O16" s="2"/>
      <c r="P16" s="2"/>
      <c r="Q16" s="2"/>
      <c r="R16" s="2"/>
      <c r="S16" s="2"/>
      <c r="T16" s="2"/>
      <c r="U16" s="2"/>
      <c r="W16" s="41"/>
      <c r="X16" s="7"/>
      <c r="Y16" s="7"/>
      <c r="Z16" s="7"/>
      <c r="AI16" s="41"/>
      <c r="AJ16" s="7"/>
      <c r="AK16" s="8"/>
      <c r="AL16" s="2"/>
      <c r="AU16" s="41"/>
    </row>
    <row r="17" spans="1:47" ht="15.75" thickBot="1">
      <c r="A17" s="8"/>
      <c r="E17" s="20"/>
      <c r="G17" s="20"/>
      <c r="I17" s="20"/>
      <c r="J17" s="20"/>
      <c r="K17" s="40"/>
      <c r="M17" s="8">
        <f>M15+1</f>
        <v>8</v>
      </c>
      <c r="N17" s="2" t="s">
        <v>52</v>
      </c>
      <c r="O17" s="2"/>
      <c r="P17" s="2"/>
      <c r="Q17" s="2"/>
      <c r="R17" s="2"/>
      <c r="S17" s="22">
        <v>115</v>
      </c>
      <c r="T17" s="2"/>
      <c r="U17" s="2"/>
      <c r="V17" s="17"/>
      <c r="W17" s="41"/>
      <c r="X17" s="7"/>
      <c r="Y17" s="7"/>
      <c r="Z17" s="7"/>
      <c r="AH17" s="17"/>
      <c r="AI17" s="41"/>
      <c r="AJ17" s="7"/>
      <c r="AK17" s="8">
        <f>AK15+1</f>
        <v>8</v>
      </c>
      <c r="AL17" s="2" t="s">
        <v>49</v>
      </c>
      <c r="AS17" s="16">
        <f>ROUND(AS13*AS15,2)</f>
        <v>9480.19</v>
      </c>
      <c r="AT17" s="10"/>
      <c r="AU17" s="41"/>
    </row>
    <row r="18" spans="1:47" ht="15.75" thickTop="1">
      <c r="A18" s="8">
        <v>6</v>
      </c>
      <c r="B18" s="19" t="s">
        <v>87</v>
      </c>
      <c r="E18" s="20"/>
      <c r="G18" s="20"/>
      <c r="I18" s="39">
        <v>151448.96</v>
      </c>
      <c r="J18" s="23"/>
      <c r="K18" s="40"/>
      <c r="M18" s="8"/>
      <c r="N18" s="2"/>
      <c r="O18" s="2"/>
      <c r="P18" s="2"/>
      <c r="Q18" s="2"/>
      <c r="R18" s="2"/>
      <c r="S18" s="19"/>
      <c r="T18" s="2"/>
      <c r="U18" s="2"/>
      <c r="W18" s="41"/>
      <c r="X18" s="7"/>
      <c r="Y18" s="7"/>
      <c r="Z18" s="7"/>
      <c r="AI18" s="41"/>
      <c r="AJ18" s="7"/>
      <c r="AK18" s="8"/>
      <c r="AL18" s="2"/>
      <c r="AU18" s="41"/>
    </row>
    <row r="19" spans="1:47" ht="15">
      <c r="A19" s="8"/>
      <c r="K19" s="40"/>
      <c r="M19" s="8">
        <f>M17+1</f>
        <v>9</v>
      </c>
      <c r="N19" s="2" t="s">
        <v>53</v>
      </c>
      <c r="O19" s="2"/>
      <c r="P19" s="2"/>
      <c r="Q19" s="2"/>
      <c r="R19" s="2" t="s">
        <v>54</v>
      </c>
      <c r="S19" s="12">
        <v>4</v>
      </c>
      <c r="T19" s="24" t="s">
        <v>55</v>
      </c>
      <c r="U19" s="25">
        <f>S17*S19</f>
        <v>460</v>
      </c>
      <c r="V19" s="20"/>
      <c r="W19" s="41"/>
      <c r="X19" s="7"/>
      <c r="Y19" s="7"/>
      <c r="Z19" s="7"/>
      <c r="AH19" s="20"/>
      <c r="AI19" s="41"/>
      <c r="AJ19" s="7"/>
      <c r="AK19" s="8">
        <f>AK17+1</f>
        <v>9</v>
      </c>
      <c r="AL19" s="2" t="s">
        <v>50</v>
      </c>
      <c r="AS19" s="18">
        <v>0.15</v>
      </c>
      <c r="AT19" s="15"/>
      <c r="AU19" s="41"/>
    </row>
    <row r="20" spans="1:47" ht="15">
      <c r="A20" s="8">
        <v>7</v>
      </c>
      <c r="B20" s="2" t="s">
        <v>47</v>
      </c>
      <c r="I20" s="20">
        <f>ROUND(I16+I18,2)</f>
        <v>1124514.56</v>
      </c>
      <c r="J20" s="20"/>
      <c r="K20" s="40"/>
      <c r="M20" s="8"/>
      <c r="N20" s="2"/>
      <c r="O20" s="2"/>
      <c r="P20" s="2"/>
      <c r="Q20" s="2"/>
      <c r="R20" s="2"/>
      <c r="S20" s="19"/>
      <c r="T20" s="2"/>
      <c r="U20" s="2"/>
      <c r="V20" s="20"/>
      <c r="W20" s="41"/>
      <c r="X20" s="7"/>
      <c r="Y20" s="7"/>
      <c r="Z20" s="7"/>
      <c r="AG20" s="20"/>
      <c r="AH20" s="20"/>
      <c r="AI20" s="41"/>
      <c r="AJ20" s="7"/>
      <c r="AK20" s="8"/>
      <c r="AL20" s="2"/>
      <c r="AU20" s="41"/>
    </row>
    <row r="21" spans="1:47" ht="15.75" thickBot="1">
      <c r="A21" s="8"/>
      <c r="K21" s="40"/>
      <c r="M21" s="8">
        <f>M19+1</f>
        <v>10</v>
      </c>
      <c r="N21" s="2" t="s">
        <v>56</v>
      </c>
      <c r="O21" s="2"/>
      <c r="P21" s="2"/>
      <c r="Q21" s="2"/>
      <c r="R21" s="2"/>
      <c r="S21" s="22">
        <v>58</v>
      </c>
      <c r="T21" s="2"/>
      <c r="U21" s="2"/>
      <c r="V21" s="20"/>
      <c r="W21" s="41"/>
      <c r="X21" s="7"/>
      <c r="Y21" s="7"/>
      <c r="Z21" s="7"/>
      <c r="AH21" s="20"/>
      <c r="AI21" s="41"/>
      <c r="AJ21" s="7"/>
      <c r="AK21" s="8">
        <f>AK19+1</f>
        <v>10</v>
      </c>
      <c r="AL21" s="2" t="s">
        <v>51</v>
      </c>
      <c r="AS21" s="21">
        <f>ROUND(AS13*AS19,2)</f>
        <v>1672.97</v>
      </c>
      <c r="AT21" s="17"/>
      <c r="AU21" s="41"/>
    </row>
    <row r="22" spans="1:47" ht="15.75" thickTop="1">
      <c r="A22" s="1"/>
      <c r="B22" s="1"/>
      <c r="C22" s="1"/>
      <c r="D22" s="1"/>
      <c r="E22" s="7"/>
      <c r="F22" s="7"/>
      <c r="G22" s="7"/>
      <c r="H22" s="7"/>
      <c r="I22" s="7"/>
      <c r="J22" s="26"/>
      <c r="K22" s="40"/>
      <c r="M22" s="8"/>
      <c r="N22" s="2"/>
      <c r="O22" s="2"/>
      <c r="P22" s="2"/>
      <c r="Q22" s="2"/>
      <c r="R22" s="2"/>
      <c r="S22" s="19"/>
      <c r="T22" s="2"/>
      <c r="U22" s="2"/>
      <c r="V22" s="20"/>
      <c r="W22" s="41"/>
      <c r="X22" s="7"/>
      <c r="Y22" s="7"/>
      <c r="Z22" s="7"/>
      <c r="AH22" s="20"/>
      <c r="AI22" s="41"/>
      <c r="AJ22" s="7"/>
      <c r="AK22" s="8"/>
      <c r="AL22" s="2"/>
      <c r="AU22" s="41"/>
    </row>
    <row r="23" spans="1:47" ht="15">
      <c r="A23" s="1"/>
      <c r="B23" s="1"/>
      <c r="C23" s="1"/>
      <c r="D23" s="1"/>
      <c r="E23" s="1"/>
      <c r="F23" s="1"/>
      <c r="G23" s="1"/>
      <c r="H23" s="1"/>
      <c r="I23" s="1"/>
      <c r="K23" s="40"/>
      <c r="M23" s="8">
        <f>M21+1</f>
        <v>11</v>
      </c>
      <c r="N23" s="2" t="s">
        <v>57</v>
      </c>
      <c r="O23" s="2"/>
      <c r="P23" s="2"/>
      <c r="Q23" s="2"/>
      <c r="R23" s="2" t="s">
        <v>54</v>
      </c>
      <c r="S23" s="12">
        <v>4</v>
      </c>
      <c r="T23" s="2" t="s">
        <v>55</v>
      </c>
      <c r="U23" s="27">
        <f>S21*S23</f>
        <v>232</v>
      </c>
      <c r="V23" s="23"/>
      <c r="W23" s="41"/>
      <c r="X23" s="7"/>
      <c r="Y23" s="7"/>
      <c r="Z23" s="7"/>
      <c r="AH23" s="23"/>
      <c r="AI23" s="41"/>
      <c r="AJ23" s="7"/>
      <c r="AK23" s="8">
        <f>AK21+1</f>
        <v>11</v>
      </c>
      <c r="AL23" s="2" t="s">
        <v>52</v>
      </c>
      <c r="AQ23" s="22">
        <v>115</v>
      </c>
      <c r="AT23" s="20"/>
      <c r="AU23" s="41"/>
    </row>
    <row r="24" spans="1:47" ht="15">
      <c r="A24" s="1"/>
      <c r="B24" s="1"/>
      <c r="C24" s="1"/>
      <c r="D24" s="1"/>
      <c r="E24" s="1"/>
      <c r="F24" s="1"/>
      <c r="G24" s="1"/>
      <c r="H24" s="1"/>
      <c r="I24" s="1"/>
      <c r="J24" s="20"/>
      <c r="K24" s="40"/>
      <c r="M24" s="8"/>
      <c r="N24" s="2"/>
      <c r="O24" s="2"/>
      <c r="P24" s="2"/>
      <c r="Q24" s="2"/>
      <c r="R24" s="2"/>
      <c r="S24" s="19"/>
      <c r="T24" s="2"/>
      <c r="U24" s="2"/>
      <c r="W24" s="41"/>
      <c r="X24" s="7"/>
      <c r="Y24" s="7"/>
      <c r="Z24" s="7"/>
      <c r="AI24" s="41"/>
      <c r="AJ24" s="7"/>
      <c r="AK24" s="8"/>
      <c r="AL24" s="2"/>
      <c r="AQ24" s="19"/>
      <c r="AT24" s="20"/>
      <c r="AU24" s="41"/>
    </row>
    <row r="25" spans="1:47" ht="15.75" thickBot="1">
      <c r="A25" s="8"/>
      <c r="K25" s="40"/>
      <c r="M25" s="8">
        <f>M23+1</f>
        <v>12</v>
      </c>
      <c r="N25" s="2" t="s">
        <v>58</v>
      </c>
      <c r="O25" s="2"/>
      <c r="P25" s="2"/>
      <c r="Q25" s="2"/>
      <c r="R25" s="2"/>
      <c r="S25" s="2"/>
      <c r="T25" s="2"/>
      <c r="U25" s="28">
        <f>U11/U19</f>
        <v>1402.587456521739</v>
      </c>
      <c r="V25" s="20"/>
      <c r="W25" s="41"/>
      <c r="X25" s="7"/>
      <c r="Y25" s="7"/>
      <c r="Z25" s="7"/>
      <c r="AF25" s="29"/>
      <c r="AH25" s="20"/>
      <c r="AI25" s="41"/>
      <c r="AJ25" s="7"/>
      <c r="AK25" s="8">
        <f>AK23+1</f>
        <v>12</v>
      </c>
      <c r="AL25" s="2" t="s">
        <v>53</v>
      </c>
      <c r="AP25" s="2" t="s">
        <v>54</v>
      </c>
      <c r="AQ25" s="12">
        <v>4</v>
      </c>
      <c r="AR25" s="24" t="s">
        <v>55</v>
      </c>
      <c r="AS25" s="25">
        <f>AQ23*AQ25</f>
        <v>460</v>
      </c>
      <c r="AT25" s="20"/>
      <c r="AU25" s="41"/>
    </row>
    <row r="26" spans="11:47" ht="15.75" thickTop="1">
      <c r="K26" s="40"/>
      <c r="M26" s="8"/>
      <c r="N26" s="2"/>
      <c r="O26" s="2"/>
      <c r="P26" s="2"/>
      <c r="Q26" s="2"/>
      <c r="R26" s="2"/>
      <c r="S26" s="2"/>
      <c r="T26" s="2"/>
      <c r="U26" s="2"/>
      <c r="W26" s="41"/>
      <c r="X26" s="7"/>
      <c r="Y26" s="7"/>
      <c r="Z26" s="7"/>
      <c r="AI26" s="41"/>
      <c r="AJ26" s="7"/>
      <c r="AK26" s="8"/>
      <c r="AL26" s="2"/>
      <c r="AQ26" s="19"/>
      <c r="AT26" s="20"/>
      <c r="AU26" s="41"/>
    </row>
    <row r="27" spans="11:47" ht="15.75" thickBot="1">
      <c r="K27" s="40"/>
      <c r="M27" s="8">
        <f>M25+1</f>
        <v>13</v>
      </c>
      <c r="N27" s="2" t="s">
        <v>59</v>
      </c>
      <c r="O27" s="2"/>
      <c r="P27" s="2"/>
      <c r="Q27" s="2"/>
      <c r="R27" s="2"/>
      <c r="S27" s="2"/>
      <c r="T27" s="2"/>
      <c r="U27" s="28">
        <f>U15/U23</f>
        <v>490.76336206896553</v>
      </c>
      <c r="V27" s="26"/>
      <c r="W27" s="41"/>
      <c r="X27" s="7"/>
      <c r="Y27" s="7"/>
      <c r="Z27" s="7"/>
      <c r="AF27" s="30"/>
      <c r="AH27" s="26"/>
      <c r="AI27" s="41"/>
      <c r="AJ27" s="7"/>
      <c r="AK27" s="8">
        <f>AK25+1</f>
        <v>13</v>
      </c>
      <c r="AL27" s="2" t="s">
        <v>56</v>
      </c>
      <c r="AQ27" s="22">
        <v>58</v>
      </c>
      <c r="AT27" s="23"/>
      <c r="AU27" s="41"/>
    </row>
    <row r="28" spans="11:47" ht="15.75" thickTop="1">
      <c r="K28" s="40"/>
      <c r="M28" s="8"/>
      <c r="N28" s="2"/>
      <c r="O28" s="2"/>
      <c r="P28" s="2"/>
      <c r="Q28" s="2"/>
      <c r="R28" s="2"/>
      <c r="S28" s="2"/>
      <c r="T28" s="2"/>
      <c r="U28" s="2"/>
      <c r="W28" s="41"/>
      <c r="X28" s="7"/>
      <c r="Y28" s="7"/>
      <c r="Z28" s="7"/>
      <c r="AI28" s="41"/>
      <c r="AJ28" s="7"/>
      <c r="AK28" s="8"/>
      <c r="AL28" s="2"/>
      <c r="AQ28" s="19"/>
      <c r="AU28" s="41"/>
    </row>
    <row r="29" spans="11:47" ht="15">
      <c r="K29" s="40"/>
      <c r="M29" s="2"/>
      <c r="N29" s="2"/>
      <c r="O29" s="2"/>
      <c r="P29" s="2"/>
      <c r="Q29" s="2"/>
      <c r="R29" s="2"/>
      <c r="S29" s="2"/>
      <c r="T29" s="2"/>
      <c r="U29" s="2"/>
      <c r="V29" s="20"/>
      <c r="W29" s="40"/>
      <c r="AH29" s="20"/>
      <c r="AI29" s="40"/>
      <c r="AK29" s="8">
        <f>AK27+1</f>
        <v>14</v>
      </c>
      <c r="AL29" s="2" t="s">
        <v>57</v>
      </c>
      <c r="AP29" s="2" t="s">
        <v>54</v>
      </c>
      <c r="AQ29" s="12">
        <v>4</v>
      </c>
      <c r="AR29" s="2" t="s">
        <v>55</v>
      </c>
      <c r="AS29" s="27">
        <f>AQ27*AQ29</f>
        <v>232</v>
      </c>
      <c r="AT29" s="20"/>
      <c r="AU29" s="40"/>
    </row>
    <row r="30" spans="11:47" ht="15">
      <c r="K30" s="40"/>
      <c r="M30" s="2"/>
      <c r="W30" s="40"/>
      <c r="AI30" s="40"/>
      <c r="AK30" s="8"/>
      <c r="AL30" s="2"/>
      <c r="AQ30" s="19"/>
      <c r="AU30" s="40"/>
    </row>
    <row r="31" spans="11:47" ht="15.75" thickBot="1">
      <c r="K31" s="40"/>
      <c r="M31" s="2"/>
      <c r="W31" s="40"/>
      <c r="AI31" s="40"/>
      <c r="AK31" s="8">
        <f>AK29+1</f>
        <v>15</v>
      </c>
      <c r="AL31" s="2" t="s">
        <v>58</v>
      </c>
      <c r="AS31" s="28">
        <f>AS17/AS25</f>
        <v>20.609108695652175</v>
      </c>
      <c r="AT31" s="26"/>
      <c r="AU31" s="40"/>
    </row>
    <row r="32" spans="11:47" ht="15.75" thickTop="1">
      <c r="K32" s="40"/>
      <c r="M32" s="2"/>
      <c r="W32" s="40"/>
      <c r="AI32" s="40"/>
      <c r="AK32" s="8"/>
      <c r="AL32" s="2"/>
      <c r="AU32" s="40"/>
    </row>
    <row r="33" spans="9:47" ht="15.75" thickBot="1">
      <c r="I33" s="20"/>
      <c r="K33" s="40"/>
      <c r="M33" s="2"/>
      <c r="W33" s="40"/>
      <c r="AI33" s="40"/>
      <c r="AK33" s="8">
        <f>AK31+1</f>
        <v>16</v>
      </c>
      <c r="AL33" s="2" t="s">
        <v>59</v>
      </c>
      <c r="AS33" s="28">
        <f>AS21/AS29</f>
        <v>7.211077586206897</v>
      </c>
      <c r="AU33" s="40"/>
    </row>
    <row r="34" spans="2:47" ht="15.75" thickTop="1">
      <c r="B34" s="31"/>
      <c r="I34" s="20"/>
      <c r="M34" s="2"/>
      <c r="N34" s="2"/>
      <c r="O34" s="2"/>
      <c r="P34" s="2"/>
      <c r="Q34" s="2"/>
      <c r="R34" s="2"/>
      <c r="S34" s="2"/>
      <c r="T34" s="2"/>
      <c r="AU34" s="108"/>
    </row>
    <row r="35" spans="2:44" ht="15">
      <c r="B35" s="30"/>
      <c r="I35" s="20"/>
      <c r="AR35" s="20"/>
    </row>
    <row r="37" spans="2:44" ht="15">
      <c r="B37" s="32"/>
      <c r="I37" s="20"/>
      <c r="AF37" s="20"/>
      <c r="AR37" s="20"/>
    </row>
    <row r="38" spans="16:44" ht="15">
      <c r="P38" s="33"/>
      <c r="AF38" s="20"/>
      <c r="AR38" s="20"/>
    </row>
    <row r="39" ht="15">
      <c r="P39" s="34"/>
    </row>
    <row r="40" spans="16:21" ht="15">
      <c r="P40" s="35"/>
      <c r="Q40" s="35"/>
      <c r="U40" s="35"/>
    </row>
    <row r="41" spans="16:21" ht="15">
      <c r="P41" s="35"/>
      <c r="Q41" s="35"/>
      <c r="U41" s="35"/>
    </row>
    <row r="42" ht="15">
      <c r="P42" s="35"/>
    </row>
    <row r="43" spans="16:17" ht="15">
      <c r="P43" s="35"/>
      <c r="Q43" s="35"/>
    </row>
    <row r="45" ht="15">
      <c r="P45" s="35"/>
    </row>
    <row r="46" ht="15">
      <c r="P46" s="35"/>
    </row>
    <row r="48" ht="12.75" customHeight="1">
      <c r="P48" s="35"/>
    </row>
    <row r="49" ht="54" customHeight="1"/>
    <row r="58" spans="9:10" ht="15">
      <c r="I58" s="30"/>
      <c r="J58" s="30"/>
    </row>
    <row r="63" spans="22:46" ht="15">
      <c r="V63" s="30"/>
      <c r="AH63" s="30"/>
      <c r="AT63" s="30"/>
    </row>
  </sheetData>
  <sheetProtection/>
  <mergeCells count="20">
    <mergeCell ref="M1:U1"/>
    <mergeCell ref="M2:U2"/>
    <mergeCell ref="N3:Q3"/>
    <mergeCell ref="Z15:AD15"/>
    <mergeCell ref="Y1:AG1"/>
    <mergeCell ref="Y2:AG2"/>
    <mergeCell ref="Z3:AC3"/>
    <mergeCell ref="Z9:AD9"/>
    <mergeCell ref="Z11:AD11"/>
    <mergeCell ref="Z13:AD13"/>
    <mergeCell ref="AL3:AR3"/>
    <mergeCell ref="AL5:AR5"/>
    <mergeCell ref="AK1:AS1"/>
    <mergeCell ref="AK2:AS2"/>
    <mergeCell ref="E4:E6"/>
    <mergeCell ref="G4:G6"/>
    <mergeCell ref="I4:I6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0">
      <selection activeCell="R23" sqref="R23"/>
    </sheetView>
  </sheetViews>
  <sheetFormatPr defaultColWidth="9.140625" defaultRowHeight="15"/>
  <cols>
    <col min="1" max="1" width="13.28125" style="1" customWidth="1"/>
    <col min="2" max="2" width="27.421875" style="1" customWidth="1"/>
    <col min="3" max="3" width="15.140625" style="1" customWidth="1"/>
    <col min="4" max="4" width="15.28125" style="1" customWidth="1"/>
    <col min="5" max="5" width="9.140625" style="4" customWidth="1"/>
    <col min="6" max="6" width="14.140625" style="1" customWidth="1"/>
    <col min="7" max="7" width="14.28125" style="1" customWidth="1"/>
    <col min="8" max="8" width="10.57421875" style="4" customWidth="1"/>
    <col min="9" max="9" width="10.28125" style="4" customWidth="1"/>
    <col min="10" max="10" width="15.28125" style="1" customWidth="1"/>
    <col min="11" max="11" width="9.140625" style="1" customWidth="1"/>
    <col min="12" max="15" width="9.140625" style="1" hidden="1" customWidth="1"/>
    <col min="16" max="16384" width="9.140625" style="1" customWidth="1"/>
  </cols>
  <sheetData>
    <row r="1" spans="1:9" ht="15">
      <c r="A1" s="119" t="s">
        <v>2</v>
      </c>
      <c r="B1" s="119"/>
      <c r="C1" s="119"/>
      <c r="D1" s="119"/>
      <c r="E1" s="119"/>
      <c r="F1" s="119"/>
      <c r="G1" s="119"/>
      <c r="H1" s="119"/>
      <c r="I1" s="119"/>
    </row>
    <row r="2" spans="1:9" ht="15">
      <c r="A2" s="119" t="s">
        <v>82</v>
      </c>
      <c r="B2" s="119"/>
      <c r="C2" s="119"/>
      <c r="D2" s="119"/>
      <c r="E2" s="119"/>
      <c r="F2" s="119"/>
      <c r="G2" s="119"/>
      <c r="H2" s="119"/>
      <c r="I2" s="119"/>
    </row>
    <row r="3" spans="1:9" ht="15">
      <c r="A3" s="119" t="s">
        <v>3</v>
      </c>
      <c r="B3" s="119"/>
      <c r="C3" s="119"/>
      <c r="D3" s="119"/>
      <c r="E3" s="119"/>
      <c r="F3" s="119"/>
      <c r="G3" s="119"/>
      <c r="H3" s="119"/>
      <c r="I3" s="119"/>
    </row>
    <row r="4" spans="1:9" ht="15">
      <c r="A4" s="119" t="s">
        <v>63</v>
      </c>
      <c r="B4" s="119"/>
      <c r="C4" s="119"/>
      <c r="D4" s="119"/>
      <c r="E4" s="119"/>
      <c r="F4" s="119"/>
      <c r="G4" s="119"/>
      <c r="H4" s="119"/>
      <c r="I4" s="119"/>
    </row>
    <row r="5" ht="15.75" thickBot="1"/>
    <row r="6" spans="3:8" ht="15.75" thickBot="1">
      <c r="C6" s="120" t="s">
        <v>90</v>
      </c>
      <c r="D6" s="121"/>
      <c r="E6" s="122"/>
      <c r="F6" s="120" t="s">
        <v>91</v>
      </c>
      <c r="G6" s="121"/>
      <c r="H6" s="122"/>
    </row>
    <row r="7" spans="1:9" ht="15" customHeight="1">
      <c r="A7" s="129" t="s">
        <v>1</v>
      </c>
      <c r="B7" s="129" t="s">
        <v>4</v>
      </c>
      <c r="C7" s="132" t="s">
        <v>5</v>
      </c>
      <c r="D7" s="123" t="s">
        <v>6</v>
      </c>
      <c r="E7" s="126" t="s">
        <v>7</v>
      </c>
      <c r="F7" s="132" t="s">
        <v>8</v>
      </c>
      <c r="G7" s="123" t="s">
        <v>9</v>
      </c>
      <c r="H7" s="126" t="s">
        <v>10</v>
      </c>
      <c r="I7" s="129" t="s">
        <v>11</v>
      </c>
    </row>
    <row r="8" spans="1:9" ht="15">
      <c r="A8" s="130"/>
      <c r="B8" s="130"/>
      <c r="C8" s="133"/>
      <c r="D8" s="124"/>
      <c r="E8" s="127"/>
      <c r="F8" s="133"/>
      <c r="G8" s="124"/>
      <c r="H8" s="127"/>
      <c r="I8" s="130"/>
    </row>
    <row r="9" spans="1:9" ht="50.25" customHeight="1" thickBot="1">
      <c r="A9" s="131"/>
      <c r="B9" s="131"/>
      <c r="C9" s="134"/>
      <c r="D9" s="125"/>
      <c r="E9" s="128"/>
      <c r="F9" s="134"/>
      <c r="G9" s="125"/>
      <c r="H9" s="128"/>
      <c r="I9" s="131"/>
    </row>
    <row r="10" spans="1:9" ht="15" customHeight="1">
      <c r="A10" s="42"/>
      <c r="B10" s="43"/>
      <c r="C10" s="43"/>
      <c r="D10" s="44"/>
      <c r="E10" s="45"/>
      <c r="F10" s="43"/>
      <c r="G10" s="44"/>
      <c r="H10" s="45"/>
      <c r="I10" s="42"/>
    </row>
    <row r="11" spans="1:9" ht="15">
      <c r="A11" s="46" t="s">
        <v>12</v>
      </c>
      <c r="B11" s="47" t="s">
        <v>13</v>
      </c>
      <c r="C11" s="48">
        <f>VLOOKUP($A11,'Pivot Table'!$C$2:$F$21,3,0)</f>
        <v>9254</v>
      </c>
      <c r="D11" s="49">
        <f>ROUND(C11/$C$39,4)</f>
        <v>0.1092</v>
      </c>
      <c r="E11" s="50">
        <f>ROUND($E$41*D11,0)</f>
        <v>153</v>
      </c>
      <c r="F11" s="48">
        <f>VLOOKUP($A11,'Pivot Table'!$C$2:$F$21,2,0)</f>
        <v>10546</v>
      </c>
      <c r="G11" s="49">
        <f>ROUND(F11/$F$39,4)</f>
        <v>0.2103</v>
      </c>
      <c r="H11" s="50">
        <f>ROUND($H$41*G11,0)</f>
        <v>103</v>
      </c>
      <c r="I11" s="51">
        <f>E11+H11</f>
        <v>256</v>
      </c>
    </row>
    <row r="12" spans="1:9" ht="15">
      <c r="A12" s="46" t="s">
        <v>14</v>
      </c>
      <c r="B12" s="47" t="s">
        <v>13</v>
      </c>
      <c r="C12" s="48">
        <f>VLOOKUP($A12,'Pivot Table'!$C$2:$F$21,3,0)</f>
        <v>4952</v>
      </c>
      <c r="D12" s="49">
        <f>ROUND(C12/$C$39,4)</f>
        <v>0.0584</v>
      </c>
      <c r="E12" s="50">
        <f>ROUND($E$41*D12,0)</f>
        <v>82</v>
      </c>
      <c r="F12" s="48">
        <f>VLOOKUP($A12,'Pivot Table'!$C$2:$F$21,2,0)</f>
        <v>2125</v>
      </c>
      <c r="G12" s="49">
        <f>ROUND(F12/$F$39,4)</f>
        <v>0.0424</v>
      </c>
      <c r="H12" s="50">
        <f>ROUND($H$41*G12,0)</f>
        <v>21</v>
      </c>
      <c r="I12" s="51">
        <f aca="true" t="shared" si="0" ref="I12:I20">E12+H12</f>
        <v>103</v>
      </c>
    </row>
    <row r="13" spans="1:9" ht="15">
      <c r="A13" s="46" t="s">
        <v>15</v>
      </c>
      <c r="B13" s="47" t="s">
        <v>13</v>
      </c>
      <c r="C13" s="48">
        <f>VLOOKUP($A13,'Pivot Table'!$C$2:$F$21,3,0)</f>
        <v>13</v>
      </c>
      <c r="D13" s="49">
        <f>ROUND(C13/$C$39,4)</f>
        <v>0.0002</v>
      </c>
      <c r="E13" s="50">
        <f>ROUND($E$41*D13,0)</f>
        <v>0</v>
      </c>
      <c r="F13" s="48">
        <f>VLOOKUP($A13,'Pivot Table'!$C$2:$F$21,2,0)</f>
        <v>10</v>
      </c>
      <c r="G13" s="49">
        <f>ROUND(F13/$F$39,4)</f>
        <v>0.0002</v>
      </c>
      <c r="H13" s="50">
        <f>ROUND($H$41*G13,0)</f>
        <v>0</v>
      </c>
      <c r="I13" s="51">
        <f t="shared" si="0"/>
        <v>0</v>
      </c>
    </row>
    <row r="14" spans="1:14" ht="15">
      <c r="A14" s="46" t="s">
        <v>16</v>
      </c>
      <c r="B14" s="47" t="s">
        <v>13</v>
      </c>
      <c r="C14" s="48">
        <f>VLOOKUP($A14,'Pivot Table'!$C$2:$F$21,3,0)</f>
        <v>6082</v>
      </c>
      <c r="D14" s="49">
        <f>ROUND(C14/$C$39,4)</f>
        <v>0.0718</v>
      </c>
      <c r="E14" s="50">
        <f>ROUND($E$41*D14,0)</f>
        <v>101</v>
      </c>
      <c r="F14" s="48">
        <f>VLOOKUP($A14,'Pivot Table'!$C$2:$F$21,2,0)</f>
        <v>6606</v>
      </c>
      <c r="G14" s="49">
        <f>ROUND(F14/$F$39,4)</f>
        <v>0.1317</v>
      </c>
      <c r="H14" s="50">
        <f>ROUND($H$41*G14,0)</f>
        <v>65</v>
      </c>
      <c r="I14" s="51">
        <f t="shared" si="0"/>
        <v>166</v>
      </c>
      <c r="N14" s="52"/>
    </row>
    <row r="15" spans="1:14" ht="15">
      <c r="A15" s="46" t="s">
        <v>17</v>
      </c>
      <c r="B15" s="47" t="s">
        <v>13</v>
      </c>
      <c r="C15" s="48">
        <f>VLOOKUP($A15,'Pivot Table'!$C$2:$F$21,3,0)</f>
        <v>3911</v>
      </c>
      <c r="D15" s="49">
        <f>ROUND(C15/$C$39,4)</f>
        <v>0.0462</v>
      </c>
      <c r="E15" s="50">
        <f>ROUND($E$41*D15,0)</f>
        <v>65</v>
      </c>
      <c r="F15" s="48">
        <f>VLOOKUP($A15,'Pivot Table'!$C$2:$F$21,2,0)</f>
        <v>2148</v>
      </c>
      <c r="G15" s="49">
        <f>ROUND(F15/$F$39,4)</f>
        <v>0.0428</v>
      </c>
      <c r="H15" s="50">
        <f>ROUND($H$41*G15,0)</f>
        <v>21</v>
      </c>
      <c r="I15" s="51">
        <f t="shared" si="0"/>
        <v>86</v>
      </c>
      <c r="L15" s="53">
        <f>C16+F16</f>
        <v>45647</v>
      </c>
      <c r="N15" s="52">
        <f>L15/L39</f>
        <v>0.3384392956441149</v>
      </c>
    </row>
    <row r="16" spans="1:14" ht="15">
      <c r="A16" s="54"/>
      <c r="B16" s="55" t="s">
        <v>18</v>
      </c>
      <c r="C16" s="56">
        <f>SUM(C11:C15)</f>
        <v>24212</v>
      </c>
      <c r="D16" s="57">
        <f>(C16/$C$39)</f>
        <v>0.28574126088701113</v>
      </c>
      <c r="E16" s="58">
        <f>SUM(E11:E15)</f>
        <v>401</v>
      </c>
      <c r="F16" s="56">
        <f>SUM(F11:F15)</f>
        <v>21435</v>
      </c>
      <c r="G16" s="57">
        <f>F16/$F$39</f>
        <v>0.4274944656069883</v>
      </c>
      <c r="H16" s="58">
        <f>SUM(H11:H15)</f>
        <v>210</v>
      </c>
      <c r="I16" s="59">
        <f t="shared" si="0"/>
        <v>611</v>
      </c>
      <c r="N16" s="52"/>
    </row>
    <row r="17" spans="1:14" ht="15">
      <c r="A17" s="46"/>
      <c r="B17" s="47"/>
      <c r="C17" s="48"/>
      <c r="D17" s="49"/>
      <c r="E17" s="50"/>
      <c r="F17" s="48"/>
      <c r="G17" s="49"/>
      <c r="H17" s="50"/>
      <c r="I17" s="51"/>
      <c r="N17" s="52"/>
    </row>
    <row r="18" spans="1:14" ht="15">
      <c r="A18" s="46" t="s">
        <v>19</v>
      </c>
      <c r="B18" s="47" t="s">
        <v>20</v>
      </c>
      <c r="C18" s="48">
        <f>VLOOKUP($A18,'Pivot Table'!$C$2:$F$21,3,0)</f>
        <v>570</v>
      </c>
      <c r="D18" s="49">
        <f>ROUND(C18/$C$39,4)</f>
        <v>0.0067</v>
      </c>
      <c r="E18" s="50">
        <f>ROUND($E$41*D18,0)</f>
        <v>9</v>
      </c>
      <c r="F18" s="48">
        <f>VLOOKUP($A18,'Pivot Table'!$C$2:$F$21,2,0)</f>
        <v>340</v>
      </c>
      <c r="G18" s="49">
        <f>ROUND(F18/$F$39,4)</f>
        <v>0.0068</v>
      </c>
      <c r="H18" s="50">
        <f>ROUND($H$41*G18,0)</f>
        <v>3</v>
      </c>
      <c r="I18" s="51">
        <f t="shared" si="0"/>
        <v>12</v>
      </c>
      <c r="N18" s="52"/>
    </row>
    <row r="19" spans="1:14" ht="15">
      <c r="A19" s="46" t="s">
        <v>21</v>
      </c>
      <c r="B19" s="47" t="s">
        <v>20</v>
      </c>
      <c r="C19" s="48">
        <f>VLOOKUP($A19,'Pivot Table'!$C$2:$F$21,3,0)</f>
        <v>655</v>
      </c>
      <c r="D19" s="49">
        <f>ROUND(C19/$C$39,4)</f>
        <v>0.0077</v>
      </c>
      <c r="E19" s="50">
        <f>ROUND($E$41*D19,0)</f>
        <v>11</v>
      </c>
      <c r="F19" s="48">
        <f>VLOOKUP($A19,'Pivot Table'!$C$2:$F$21,2,0)</f>
        <v>244</v>
      </c>
      <c r="G19" s="49">
        <f>ROUND(F19/$F$39,4)</f>
        <v>0.0049</v>
      </c>
      <c r="H19" s="50">
        <f>ROUND($H$41*G19,0)</f>
        <v>2</v>
      </c>
      <c r="I19" s="51">
        <f t="shared" si="0"/>
        <v>13</v>
      </c>
      <c r="N19" s="52"/>
    </row>
    <row r="20" spans="1:14" ht="15">
      <c r="A20" s="54"/>
      <c r="B20" s="55" t="s">
        <v>22</v>
      </c>
      <c r="C20" s="56">
        <f>SUM(C18:C19)</f>
        <v>1225</v>
      </c>
      <c r="D20" s="57">
        <f>C20/$C$39</f>
        <v>0.014457006632520595</v>
      </c>
      <c r="E20" s="58">
        <f>E18+E19</f>
        <v>20</v>
      </c>
      <c r="F20" s="56">
        <f>SUM(F18:F19)</f>
        <v>584</v>
      </c>
      <c r="G20" s="57">
        <f>F20/$F$39</f>
        <v>0.011647155022835604</v>
      </c>
      <c r="H20" s="58">
        <f>SUM(H18:H19)</f>
        <v>5</v>
      </c>
      <c r="I20" s="59">
        <f t="shared" si="0"/>
        <v>25</v>
      </c>
      <c r="L20" s="53">
        <f>C20+F20</f>
        <v>1809</v>
      </c>
      <c r="N20" s="52">
        <f>L20/L39</f>
        <v>0.01341241890639481</v>
      </c>
    </row>
    <row r="21" spans="1:14" ht="15">
      <c r="A21" s="46"/>
      <c r="B21" s="47"/>
      <c r="C21" s="48"/>
      <c r="D21" s="49"/>
      <c r="E21" s="50"/>
      <c r="F21" s="48"/>
      <c r="G21" s="49"/>
      <c r="H21" s="50"/>
      <c r="I21" s="51"/>
      <c r="N21" s="52"/>
    </row>
    <row r="22" spans="1:14" ht="15">
      <c r="A22" s="46" t="s">
        <v>23</v>
      </c>
      <c r="B22" s="47" t="s">
        <v>24</v>
      </c>
      <c r="C22" s="48">
        <f>VLOOKUP($A22,'Pivot Table'!$C$2:$F$21,3,0)</f>
        <v>6819</v>
      </c>
      <c r="D22" s="49">
        <f>ROUND(C22/$C$39,4)</f>
        <v>0.0805</v>
      </c>
      <c r="E22" s="50">
        <f>ROUND($E$41*D22,0)</f>
        <v>113</v>
      </c>
      <c r="F22" s="48">
        <f>VLOOKUP($A22,'Pivot Table'!$C$2:$F$21,2,0)</f>
        <v>5506</v>
      </c>
      <c r="G22" s="49">
        <f>ROUND(F22/$F$39,4)</f>
        <v>0.1098</v>
      </c>
      <c r="H22" s="50">
        <f>ROUND($H$41*G22,0)</f>
        <v>54</v>
      </c>
      <c r="I22" s="51">
        <f aca="true" t="shared" si="1" ref="I22:I27">E22+H22</f>
        <v>167</v>
      </c>
      <c r="N22" s="52"/>
    </row>
    <row r="23" spans="1:14" ht="15">
      <c r="A23" s="46" t="s">
        <v>25</v>
      </c>
      <c r="B23" s="47" t="s">
        <v>24</v>
      </c>
      <c r="C23" s="48">
        <f>VLOOKUP($A23,'Pivot Table'!$C$2:$F$21,3,0)</f>
        <v>3421</v>
      </c>
      <c r="D23" s="49">
        <f>ROUND(C23/$C$39,4)</f>
        <v>0.0404</v>
      </c>
      <c r="E23" s="50">
        <f>ROUND($E$41*D23,0)</f>
        <v>57</v>
      </c>
      <c r="F23" s="48">
        <f>VLOOKUP($A23,'Pivot Table'!$C$2:$F$21,2,0)</f>
        <v>2209</v>
      </c>
      <c r="G23" s="49">
        <f>ROUND(F23/$F$39,4)</f>
        <v>0.0441</v>
      </c>
      <c r="H23" s="50">
        <f>ROUND($H$41*G23,0)</f>
        <v>22</v>
      </c>
      <c r="I23" s="51">
        <f t="shared" si="1"/>
        <v>79</v>
      </c>
      <c r="N23" s="52"/>
    </row>
    <row r="24" spans="1:14" ht="15">
      <c r="A24" s="46" t="s">
        <v>26</v>
      </c>
      <c r="B24" s="47" t="s">
        <v>24</v>
      </c>
      <c r="C24" s="48">
        <f>VLOOKUP($A24,'Pivot Table'!$C$2:$F$21,3,0)</f>
        <v>1642</v>
      </c>
      <c r="D24" s="49">
        <f>ROUND(C24/$C$39,4)</f>
        <v>0.0194</v>
      </c>
      <c r="E24" s="50">
        <f>ROUND($E$41*D24,0)</f>
        <v>27</v>
      </c>
      <c r="F24" s="48">
        <f>VLOOKUP($A24,'Pivot Table'!$C$2:$F$21,2,0)</f>
        <v>608</v>
      </c>
      <c r="G24" s="49">
        <f>ROUND(F24/$F$39,4)</f>
        <v>0.0121</v>
      </c>
      <c r="H24" s="50">
        <f>ROUND($H$41*G24,0)</f>
        <v>6</v>
      </c>
      <c r="I24" s="51">
        <f t="shared" si="1"/>
        <v>33</v>
      </c>
      <c r="N24" s="52"/>
    </row>
    <row r="25" spans="1:14" ht="15">
      <c r="A25" s="46" t="s">
        <v>27</v>
      </c>
      <c r="B25" s="47" t="s">
        <v>24</v>
      </c>
      <c r="C25" s="48">
        <f>VLOOKUP($A25,'Pivot Table'!$C$2:$F$21,3,0)</f>
        <v>2393</v>
      </c>
      <c r="D25" s="49">
        <f>ROUND(C25/$C$39,4)</f>
        <v>0.0282</v>
      </c>
      <c r="E25" s="50">
        <f>ROUND($E$41*D25,0)</f>
        <v>40</v>
      </c>
      <c r="F25" s="48">
        <f>VLOOKUP($A25,'Pivot Table'!$C$2:$F$21,2,0)</f>
        <v>1451</v>
      </c>
      <c r="G25" s="49">
        <f>ROUND(F25/$F$39,4)</f>
        <v>0.0289</v>
      </c>
      <c r="H25" s="50">
        <f>ROUND($H$41*G25,0)</f>
        <v>14</v>
      </c>
      <c r="I25" s="51">
        <f t="shared" si="1"/>
        <v>54</v>
      </c>
      <c r="N25" s="52"/>
    </row>
    <row r="26" spans="1:14" ht="15">
      <c r="A26" s="46" t="s">
        <v>28</v>
      </c>
      <c r="B26" s="47" t="s">
        <v>24</v>
      </c>
      <c r="C26" s="48">
        <f>VLOOKUP($A26,'Pivot Table'!$C$2:$F$21,3,0)</f>
        <v>19192</v>
      </c>
      <c r="D26" s="49">
        <f>ROUND(C26/$C$39,4)</f>
        <v>0.2265</v>
      </c>
      <c r="E26" s="50">
        <f>ROUND($E$41*D26,0)</f>
        <v>318</v>
      </c>
      <c r="F26" s="48">
        <f>VLOOKUP($A26,'Pivot Table'!$C$2:$F$21,2,0)</f>
        <v>7741</v>
      </c>
      <c r="G26" s="49">
        <f>ROUND(F26/$F$39,4)</f>
        <v>0.1544</v>
      </c>
      <c r="H26" s="50">
        <f>ROUND($H$41*G26,0)</f>
        <v>76</v>
      </c>
      <c r="I26" s="51">
        <f t="shared" si="1"/>
        <v>394</v>
      </c>
      <c r="N26" s="52"/>
    </row>
    <row r="27" spans="1:14" ht="15">
      <c r="A27" s="54"/>
      <c r="B27" s="55" t="s">
        <v>29</v>
      </c>
      <c r="C27" s="56">
        <f>SUM(C22:C26)</f>
        <v>33467</v>
      </c>
      <c r="D27" s="57">
        <f>C27/$C$39</f>
        <v>0.39496542120046263</v>
      </c>
      <c r="E27" s="58">
        <f>SUM(E22:E26)</f>
        <v>555</v>
      </c>
      <c r="F27" s="56">
        <f>SUM(F22:F26)</f>
        <v>17515</v>
      </c>
      <c r="G27" s="57">
        <f>F27/$F$39</f>
        <v>0.34931493189206436</v>
      </c>
      <c r="H27" s="58">
        <f>SUM(H22:H26)</f>
        <v>172</v>
      </c>
      <c r="I27" s="59">
        <f t="shared" si="1"/>
        <v>727</v>
      </c>
      <c r="L27" s="53">
        <f>C27+F27</f>
        <v>50982</v>
      </c>
      <c r="N27" s="52">
        <f>L27/L39</f>
        <v>0.37799443929564414</v>
      </c>
    </row>
    <row r="28" spans="1:14" ht="15">
      <c r="A28" s="46"/>
      <c r="B28" s="47"/>
      <c r="C28" s="48"/>
      <c r="D28" s="49"/>
      <c r="E28" s="50"/>
      <c r="F28" s="48"/>
      <c r="G28" s="49"/>
      <c r="H28" s="50"/>
      <c r="I28" s="51"/>
      <c r="N28" s="52"/>
    </row>
    <row r="29" spans="1:14" ht="15">
      <c r="A29" s="46" t="s">
        <v>30</v>
      </c>
      <c r="B29" s="47" t="s">
        <v>31</v>
      </c>
      <c r="C29" s="48">
        <f>VLOOKUP($A29,'Pivot Table'!$C$2:$F$21,3,0)</f>
        <v>2799</v>
      </c>
      <c r="D29" s="49">
        <f>ROUND(C29/$C$39,4)</f>
        <v>0.033</v>
      </c>
      <c r="E29" s="50">
        <f>ROUND($E$41*D29,0)</f>
        <v>46</v>
      </c>
      <c r="F29" s="48">
        <f>VLOOKUP($A29,'Pivot Table'!$C$2:$F$21,2,0)</f>
        <v>1342</v>
      </c>
      <c r="G29" s="49">
        <f>ROUND(F29/$F$39,4)</f>
        <v>0.0268</v>
      </c>
      <c r="H29" s="50">
        <f>ROUND($H$41*G29,0)</f>
        <v>13</v>
      </c>
      <c r="I29" s="51">
        <f>E29+H29</f>
        <v>59</v>
      </c>
      <c r="N29" s="52"/>
    </row>
    <row r="30" spans="1:14" ht="15">
      <c r="A30" s="46" t="s">
        <v>32</v>
      </c>
      <c r="B30" s="47" t="s">
        <v>31</v>
      </c>
      <c r="C30" s="48">
        <f>VLOOKUP($A30,'Pivot Table'!$C$2:$F$21,3,0)</f>
        <v>7</v>
      </c>
      <c r="D30" s="49">
        <f>ROUND(C30/$C$39,4)</f>
        <v>0.0001</v>
      </c>
      <c r="E30" s="50">
        <f>ROUND($E$41*D30,0)</f>
        <v>0</v>
      </c>
      <c r="F30" s="48">
        <f>VLOOKUP($A30,'Pivot Table'!$C$2:$F$21,2,0)</f>
        <v>4</v>
      </c>
      <c r="G30" s="49">
        <f>ROUND(F30/$F$39,4)</f>
        <v>0.0001</v>
      </c>
      <c r="H30" s="50">
        <f>ROUND($H$41*G30,0)</f>
        <v>0</v>
      </c>
      <c r="I30" s="51">
        <f>E30+H30</f>
        <v>0</v>
      </c>
      <c r="N30" s="52"/>
    </row>
    <row r="31" spans="1:14" ht="15">
      <c r="A31" s="54"/>
      <c r="B31" s="55" t="s">
        <v>33</v>
      </c>
      <c r="C31" s="56">
        <f>SUM(C29:C30)</f>
        <v>2806</v>
      </c>
      <c r="D31" s="57">
        <f>C31/$C$39</f>
        <v>0.033115396417022686</v>
      </c>
      <c r="E31" s="58">
        <f>E29+E30</f>
        <v>46</v>
      </c>
      <c r="F31" s="56">
        <f>SUM(F29:F30)</f>
        <v>1346</v>
      </c>
      <c r="G31" s="57">
        <f>F31/$F$39</f>
        <v>0.026844299076603975</v>
      </c>
      <c r="H31" s="58">
        <f>H29+H30</f>
        <v>13</v>
      </c>
      <c r="I31" s="59">
        <f>E31+H31</f>
        <v>59</v>
      </c>
      <c r="L31" s="53">
        <f>C31+F31</f>
        <v>4152</v>
      </c>
      <c r="N31" s="52">
        <f>L31/L39</f>
        <v>0.030784059314179796</v>
      </c>
    </row>
    <row r="32" spans="1:14" ht="15">
      <c r="A32" s="46"/>
      <c r="B32" s="47"/>
      <c r="C32" s="48"/>
      <c r="D32" s="49"/>
      <c r="E32" s="50"/>
      <c r="F32" s="48"/>
      <c r="G32" s="49"/>
      <c r="H32" s="50"/>
      <c r="I32" s="51"/>
      <c r="N32" s="52"/>
    </row>
    <row r="33" spans="1:14" ht="15">
      <c r="A33" s="46" t="s">
        <v>34</v>
      </c>
      <c r="B33" s="47" t="s">
        <v>35</v>
      </c>
      <c r="C33" s="48">
        <f>VLOOKUP($A33,'Pivot Table'!$C$2:$F$21,3,0)</f>
        <v>3459</v>
      </c>
      <c r="D33" s="49">
        <f>ROUND(C33/$C$39,4)</f>
        <v>0.0408</v>
      </c>
      <c r="E33" s="50">
        <f>ROUND($E$41*D33,0)</f>
        <v>57</v>
      </c>
      <c r="F33" s="48">
        <f>VLOOKUP($A33,'Pivot Table'!$C$2:$F$21,2,0)</f>
        <v>981</v>
      </c>
      <c r="G33" s="49">
        <f>ROUND(F33/$F$39,4)</f>
        <v>0.0196</v>
      </c>
      <c r="H33" s="50">
        <f>ROUND($H$41*G33,0)</f>
        <v>10</v>
      </c>
      <c r="I33" s="51">
        <f>E33+H33</f>
        <v>67</v>
      </c>
      <c r="N33" s="52"/>
    </row>
    <row r="34" spans="1:14" ht="15">
      <c r="A34" s="46" t="s">
        <v>36</v>
      </c>
      <c r="B34" s="47" t="s">
        <v>35</v>
      </c>
      <c r="C34" s="48">
        <f>VLOOKUP($A34,'Pivot Table'!$C$2:$F$21,3,0)</f>
        <v>3852</v>
      </c>
      <c r="D34" s="49">
        <f>ROUND(C34/$C$39,4)</f>
        <v>0.0455</v>
      </c>
      <c r="E34" s="50">
        <f>ROUND($E$41*D34,0)</f>
        <v>64</v>
      </c>
      <c r="F34" s="48">
        <f>VLOOKUP($A34,'Pivot Table'!$C$2:$F$21,2,0)</f>
        <v>2643</v>
      </c>
      <c r="G34" s="49">
        <f>ROUND(F34/$F$39,4)</f>
        <v>0.0527</v>
      </c>
      <c r="H34" s="50">
        <f>ROUND($H$41*G34,0)</f>
        <v>26</v>
      </c>
      <c r="I34" s="51">
        <f>E34+H34</f>
        <v>90</v>
      </c>
      <c r="N34" s="52"/>
    </row>
    <row r="35" spans="1:14" ht="15">
      <c r="A35" s="46" t="s">
        <v>37</v>
      </c>
      <c r="B35" s="47" t="s">
        <v>35</v>
      </c>
      <c r="C35" s="48">
        <f>VLOOKUP($A35,'Pivot Table'!$C$2:$F$21,3,0)</f>
        <v>7272</v>
      </c>
      <c r="D35" s="49">
        <f>ROUND(C35/$C$39,4)</f>
        <v>0.0858</v>
      </c>
      <c r="E35" s="50">
        <f>ROUND($E$41*D35,0)</f>
        <v>120</v>
      </c>
      <c r="F35" s="48">
        <f>VLOOKUP($A35,'Pivot Table'!$C$2:$F$21,2,0)</f>
        <v>2102</v>
      </c>
      <c r="G35" s="49">
        <f>ROUND(F35/$F$39,4)</f>
        <v>0.0419</v>
      </c>
      <c r="H35" s="50">
        <f>ROUND($H$41*G35,0)</f>
        <v>21</v>
      </c>
      <c r="I35" s="51">
        <f>E35+H35</f>
        <v>141</v>
      </c>
      <c r="N35" s="52"/>
    </row>
    <row r="36" spans="1:14" ht="15">
      <c r="A36" s="46" t="s">
        <v>38</v>
      </c>
      <c r="B36" s="47" t="s">
        <v>35</v>
      </c>
      <c r="C36" s="48">
        <f>VLOOKUP($A36,'Pivot Table'!$C$2:$F$21,3,0)</f>
        <v>8441</v>
      </c>
      <c r="D36" s="49">
        <f>ROUND(C36/$C$39,4)</f>
        <v>0.0996</v>
      </c>
      <c r="E36" s="50">
        <f>ROUND($E$41*D36,0)</f>
        <v>140</v>
      </c>
      <c r="F36" s="48">
        <f>VLOOKUP($A36,'Pivot Table'!$C$2:$F$21,2,0)</f>
        <v>3535</v>
      </c>
      <c r="G36" s="49">
        <f>ROUND(F36/$F$39,4)</f>
        <v>0.0705</v>
      </c>
      <c r="H36" s="50">
        <f>ROUND($H$41*G36,0)</f>
        <v>35</v>
      </c>
      <c r="I36" s="51">
        <f>E36+H36</f>
        <v>175</v>
      </c>
      <c r="N36" s="52"/>
    </row>
    <row r="37" spans="1:14" ht="15">
      <c r="A37" s="54"/>
      <c r="B37" s="55" t="s">
        <v>39</v>
      </c>
      <c r="C37" s="56">
        <f>SUM(C33:C36)</f>
        <v>23024</v>
      </c>
      <c r="D37" s="57">
        <f>C37/$C$39</f>
        <v>0.271720914862983</v>
      </c>
      <c r="E37" s="58">
        <f>SUM(E33:E36)</f>
        <v>381</v>
      </c>
      <c r="F37" s="56">
        <f>SUM(F33:F36)</f>
        <v>9261</v>
      </c>
      <c r="G37" s="57">
        <f>F37/$F$39</f>
        <v>0.18469914840150775</v>
      </c>
      <c r="H37" s="58">
        <f>SUM(H33:H36)</f>
        <v>92</v>
      </c>
      <c r="I37" s="59">
        <f>E37+H37</f>
        <v>473</v>
      </c>
      <c r="L37" s="53">
        <f>C37+F37</f>
        <v>32285</v>
      </c>
      <c r="N37" s="52">
        <f>L37/L39</f>
        <v>0.23936978683966637</v>
      </c>
    </row>
    <row r="38" spans="1:14" ht="15">
      <c r="A38" s="46"/>
      <c r="B38" s="47"/>
      <c r="C38" s="48"/>
      <c r="D38" s="49"/>
      <c r="E38" s="50"/>
      <c r="F38" s="60"/>
      <c r="G38" s="61"/>
      <c r="H38" s="62"/>
      <c r="I38" s="46"/>
      <c r="N38" s="52"/>
    </row>
    <row r="39" spans="1:14" ht="15.75" thickBot="1">
      <c r="A39" s="63" t="s">
        <v>40</v>
      </c>
      <c r="B39" s="64"/>
      <c r="C39" s="65">
        <f>C16+C20+C27+C31+C37</f>
        <v>84734</v>
      </c>
      <c r="D39" s="66">
        <f>D16+D20+D27+D31+D37</f>
        <v>1</v>
      </c>
      <c r="E39" s="67">
        <f>ROUNDUP(E16+E20+E27+E31+E37,0)</f>
        <v>1403</v>
      </c>
      <c r="F39" s="65">
        <f>F16+F20+F27+F31+F37</f>
        <v>50141</v>
      </c>
      <c r="G39" s="66">
        <f>G16+G20+G27+G31+G37</f>
        <v>1</v>
      </c>
      <c r="H39" s="68">
        <f>H16+H20+H27+H31+H37</f>
        <v>492</v>
      </c>
      <c r="I39" s="69">
        <f>ROUNDUP(I37+I31+I27+I20+I16,0)</f>
        <v>1895</v>
      </c>
      <c r="L39" s="53">
        <f>C39+F39</f>
        <v>134875</v>
      </c>
      <c r="N39" s="52"/>
    </row>
    <row r="40" spans="5:14" ht="15">
      <c r="E40" s="70"/>
      <c r="I40" s="70"/>
      <c r="N40" s="52"/>
    </row>
    <row r="41" spans="1:9" ht="15">
      <c r="A41" s="71" t="s">
        <v>41</v>
      </c>
      <c r="B41" s="71"/>
      <c r="C41" s="71"/>
      <c r="D41" s="71"/>
      <c r="E41" s="72">
        <f>Analysis!U25</f>
        <v>1402.587456521739</v>
      </c>
      <c r="F41" s="73"/>
      <c r="G41" s="73"/>
      <c r="H41" s="74">
        <f>Analysis!U27</f>
        <v>490.76336206896553</v>
      </c>
      <c r="I41" s="72"/>
    </row>
    <row r="43" spans="1:9" ht="15">
      <c r="A43" s="1" t="s">
        <v>42</v>
      </c>
      <c r="E43" s="1"/>
      <c r="H43" s="1"/>
      <c r="I43" s="1"/>
    </row>
  </sheetData>
  <sheetProtection/>
  <mergeCells count="15">
    <mergeCell ref="G7:G9"/>
    <mergeCell ref="H7:H9"/>
    <mergeCell ref="I7:I9"/>
    <mergeCell ref="A7:A9"/>
    <mergeCell ref="B7:B9"/>
    <mergeCell ref="C7:C9"/>
    <mergeCell ref="D7:D9"/>
    <mergeCell ref="E7:E9"/>
    <mergeCell ref="F7:F9"/>
    <mergeCell ref="A1:I1"/>
    <mergeCell ref="A2:I2"/>
    <mergeCell ref="A3:I3"/>
    <mergeCell ref="A4:I4"/>
    <mergeCell ref="C6:E6"/>
    <mergeCell ref="F6:H6"/>
  </mergeCells>
  <printOptions horizontalCentered="1" verticalCentered="1"/>
  <pageMargins left="0.25" right="0.25" top="0.5" bottom="0.5" header="0.3" footer="0.3"/>
  <pageSetup fitToWidth="0" fitToHeight="1" horizontalDpi="600" verticalDpi="600" orientation="landscape" scale="71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D9" sqref="D9"/>
    </sheetView>
  </sheetViews>
  <sheetFormatPr defaultColWidth="9.140625" defaultRowHeight="15"/>
  <cols>
    <col min="1" max="1" width="13.28125" style="1" customWidth="1"/>
    <col min="2" max="2" width="27.421875" style="1" customWidth="1"/>
    <col min="3" max="3" width="15.140625" style="1" customWidth="1"/>
    <col min="4" max="4" width="15.28125" style="1" customWidth="1"/>
    <col min="5" max="5" width="14.28125" style="76" customWidth="1"/>
    <col min="6" max="6" width="15.28125" style="1" customWidth="1"/>
    <col min="7" max="7" width="9.140625" style="1" customWidth="1"/>
    <col min="8" max="11" width="9.140625" style="1" hidden="1" customWidth="1"/>
    <col min="12" max="16384" width="9.140625" style="1" customWidth="1"/>
  </cols>
  <sheetData>
    <row r="1" spans="1:5" ht="15">
      <c r="A1" s="119" t="s">
        <v>2</v>
      </c>
      <c r="B1" s="119"/>
      <c r="C1" s="119"/>
      <c r="D1" s="119"/>
      <c r="E1" s="119"/>
    </row>
    <row r="2" spans="1:5" ht="15">
      <c r="A2" s="119" t="s">
        <v>83</v>
      </c>
      <c r="B2" s="119"/>
      <c r="C2" s="119"/>
      <c r="D2" s="119"/>
      <c r="E2" s="119"/>
    </row>
    <row r="3" spans="1:5" ht="15">
      <c r="A3" s="119" t="s">
        <v>3</v>
      </c>
      <c r="B3" s="119"/>
      <c r="C3" s="119"/>
      <c r="D3" s="119"/>
      <c r="E3" s="119"/>
    </row>
    <row r="4" spans="1:5" ht="15">
      <c r="A4" s="119"/>
      <c r="B4" s="119"/>
      <c r="C4" s="119"/>
      <c r="D4" s="119"/>
      <c r="E4" s="119"/>
    </row>
    <row r="5" ht="15.75" thickBot="1"/>
    <row r="6" spans="1:5" ht="15" customHeight="1">
      <c r="A6" s="129" t="s">
        <v>1</v>
      </c>
      <c r="B6" s="129" t="s">
        <v>4</v>
      </c>
      <c r="C6" s="132" t="s">
        <v>95</v>
      </c>
      <c r="D6" s="123" t="s">
        <v>96</v>
      </c>
      <c r="E6" s="126" t="s">
        <v>67</v>
      </c>
    </row>
    <row r="7" spans="1:5" ht="15">
      <c r="A7" s="130"/>
      <c r="B7" s="130"/>
      <c r="C7" s="133"/>
      <c r="D7" s="124"/>
      <c r="E7" s="127"/>
    </row>
    <row r="8" spans="1:5" ht="50.25" customHeight="1" thickBot="1">
      <c r="A8" s="131"/>
      <c r="B8" s="131"/>
      <c r="C8" s="134"/>
      <c r="D8" s="125"/>
      <c r="E8" s="128"/>
    </row>
    <row r="9" spans="1:5" ht="15" customHeight="1">
      <c r="A9" s="78"/>
      <c r="B9" s="79"/>
      <c r="C9" s="79"/>
      <c r="D9" s="44"/>
      <c r="E9" s="77"/>
    </row>
    <row r="10" spans="1:12" ht="15">
      <c r="A10" s="46" t="s">
        <v>12</v>
      </c>
      <c r="B10" s="47" t="s">
        <v>13</v>
      </c>
      <c r="C10" s="48">
        <f>VLOOKUP($A10,'Pivot Table'!$C$2:$F$21,4,0)</f>
        <v>19800</v>
      </c>
      <c r="D10" s="49">
        <f aca="true" t="shared" si="0" ref="D10:D15">C10/$C$38</f>
        <v>0.14680259499536608</v>
      </c>
      <c r="E10" s="80">
        <f>D10*E40</f>
        <v>37143.37307877665</v>
      </c>
      <c r="L10" s="81"/>
    </row>
    <row r="11" spans="1:12" ht="15">
      <c r="A11" s="46" t="s">
        <v>14</v>
      </c>
      <c r="B11" s="47" t="s">
        <v>13</v>
      </c>
      <c r="C11" s="48">
        <f>VLOOKUP($A11,'Pivot Table'!$C$2:$F$21,4,0)</f>
        <v>7077</v>
      </c>
      <c r="D11" s="49">
        <f t="shared" si="0"/>
        <v>0.052470806302131606</v>
      </c>
      <c r="E11" s="80">
        <f>D11*$E$40</f>
        <v>13275.941983762745</v>
      </c>
      <c r="L11" s="81"/>
    </row>
    <row r="12" spans="1:12" ht="15">
      <c r="A12" s="46" t="s">
        <v>15</v>
      </c>
      <c r="B12" s="47" t="s">
        <v>13</v>
      </c>
      <c r="C12" s="48">
        <f>VLOOKUP($A12,'Pivot Table'!$C$2:$F$21,4,0)</f>
        <v>23</v>
      </c>
      <c r="D12" s="49">
        <f t="shared" si="0"/>
        <v>0.0001705282669138091</v>
      </c>
      <c r="E12" s="80">
        <f>D12*$E$40</f>
        <v>43.1463424652456</v>
      </c>
      <c r="L12" s="81"/>
    </row>
    <row r="13" spans="1:12" ht="15">
      <c r="A13" s="46" t="s">
        <v>16</v>
      </c>
      <c r="B13" s="47" t="s">
        <v>13</v>
      </c>
      <c r="C13" s="48">
        <f>VLOOKUP($A13,'Pivot Table'!$C$2:$F$21,4,0)</f>
        <v>12688</v>
      </c>
      <c r="D13" s="49">
        <f t="shared" si="0"/>
        <v>0.0940722891566265</v>
      </c>
      <c r="E13" s="80">
        <f>D13*$E$40</f>
        <v>23801.773617349398</v>
      </c>
      <c r="I13" s="52"/>
      <c r="L13" s="81"/>
    </row>
    <row r="14" spans="1:12" ht="15">
      <c r="A14" s="46" t="s">
        <v>17</v>
      </c>
      <c r="B14" s="47" t="s">
        <v>13</v>
      </c>
      <c r="C14" s="48">
        <f>VLOOKUP($A14,'Pivot Table'!$C$2:$F$21,4,0)</f>
        <v>6059</v>
      </c>
      <c r="D14" s="49">
        <f t="shared" si="0"/>
        <v>0.04492307692307692</v>
      </c>
      <c r="E14" s="80">
        <f>D14*$E$40</f>
        <v>11366.247347692306</v>
      </c>
      <c r="G14" s="53"/>
      <c r="I14" s="52" t="e">
        <f>G14/G38</f>
        <v>#DIV/0!</v>
      </c>
      <c r="L14" s="81"/>
    </row>
    <row r="15" spans="1:9" ht="15">
      <c r="A15" s="54"/>
      <c r="B15" s="55" t="s">
        <v>18</v>
      </c>
      <c r="C15" s="56">
        <f>SUM(C10:C14)</f>
        <v>45647</v>
      </c>
      <c r="D15" s="57">
        <f t="shared" si="0"/>
        <v>0.3384392956441149</v>
      </c>
      <c r="E15" s="82">
        <f>E40*D15</f>
        <v>85630.48237004633</v>
      </c>
      <c r="I15" s="52"/>
    </row>
    <row r="16" spans="1:9" ht="15">
      <c r="A16" s="46"/>
      <c r="B16" s="47"/>
      <c r="C16" s="48"/>
      <c r="D16" s="49"/>
      <c r="E16" s="80"/>
      <c r="I16" s="52"/>
    </row>
    <row r="17" spans="1:12" ht="15">
      <c r="A17" s="46" t="s">
        <v>19</v>
      </c>
      <c r="B17" s="47" t="s">
        <v>20</v>
      </c>
      <c r="C17" s="48">
        <f>VLOOKUP($A17,'Pivot Table'!$C$2:$F$21,4,0)</f>
        <v>910</v>
      </c>
      <c r="D17" s="49">
        <f>C17/$C$38</f>
        <v>0.006746987951807229</v>
      </c>
      <c r="E17" s="80">
        <f>D17*$E$40</f>
        <v>1707.0944192771085</v>
      </c>
      <c r="I17" s="52"/>
      <c r="L17" s="81"/>
    </row>
    <row r="18" spans="1:12" ht="15">
      <c r="A18" s="46" t="s">
        <v>21</v>
      </c>
      <c r="B18" s="47" t="s">
        <v>20</v>
      </c>
      <c r="C18" s="48">
        <f>VLOOKUP($A18,'Pivot Table'!$C$2:$F$21,4,0)</f>
        <v>899</v>
      </c>
      <c r="D18" s="49">
        <f>C18/$C$38</f>
        <v>0.006665430954587581</v>
      </c>
      <c r="E18" s="80">
        <f>D18*$E$40</f>
        <v>1686.4592120111213</v>
      </c>
      <c r="I18" s="52"/>
      <c r="L18" s="81"/>
    </row>
    <row r="19" spans="1:12" ht="15">
      <c r="A19" s="54"/>
      <c r="B19" s="55" t="s">
        <v>22</v>
      </c>
      <c r="C19" s="56">
        <f>SUM(C17:C18)</f>
        <v>1809</v>
      </c>
      <c r="D19" s="57">
        <f>C19/$C$38</f>
        <v>0.01341241890639481</v>
      </c>
      <c r="E19" s="82">
        <f>D19*E40</f>
        <v>3393.55363128823</v>
      </c>
      <c r="G19" s="53"/>
      <c r="I19" s="52" t="e">
        <f>G19/G38</f>
        <v>#DIV/0!</v>
      </c>
      <c r="L19" s="81"/>
    </row>
    <row r="20" spans="1:12" ht="15">
      <c r="A20" s="46"/>
      <c r="B20" s="47"/>
      <c r="C20" s="48"/>
      <c r="D20" s="49"/>
      <c r="E20" s="80"/>
      <c r="I20" s="52"/>
      <c r="L20" s="81"/>
    </row>
    <row r="21" spans="1:12" ht="15">
      <c r="A21" s="46" t="s">
        <v>23</v>
      </c>
      <c r="B21" s="47" t="s">
        <v>24</v>
      </c>
      <c r="C21" s="48">
        <f>VLOOKUP($A21,'Pivot Table'!$C$2:$F$21,4,0)</f>
        <v>12325</v>
      </c>
      <c r="D21" s="49">
        <f aca="true" t="shared" si="1" ref="D21:D26">C21/$C$38</f>
        <v>0.09138090824837813</v>
      </c>
      <c r="E21" s="80">
        <f>D21*$E$40</f>
        <v>23120.811777571827</v>
      </c>
      <c r="I21" s="52"/>
      <c r="L21" s="81"/>
    </row>
    <row r="22" spans="1:12" ht="15">
      <c r="A22" s="46" t="s">
        <v>25</v>
      </c>
      <c r="B22" s="47" t="s">
        <v>24</v>
      </c>
      <c r="C22" s="48">
        <f>VLOOKUP($A22,'Pivot Table'!$C$2:$F$21,4,0)</f>
        <v>5630</v>
      </c>
      <c r="D22" s="49">
        <f t="shared" si="1"/>
        <v>0.04174235403151066</v>
      </c>
      <c r="E22" s="80">
        <f>D22*$E$40</f>
        <v>10561.474264318813</v>
      </c>
      <c r="I22" s="52"/>
      <c r="L22" s="81"/>
    </row>
    <row r="23" spans="1:12" ht="15">
      <c r="A23" s="46" t="s">
        <v>26</v>
      </c>
      <c r="B23" s="47" t="s">
        <v>24</v>
      </c>
      <c r="C23" s="48">
        <f>VLOOKUP($A23,'Pivot Table'!$C$2:$F$21,4,0)</f>
        <v>2250</v>
      </c>
      <c r="D23" s="49">
        <f t="shared" si="1"/>
        <v>0.016682113067655237</v>
      </c>
      <c r="E23" s="80">
        <f>D23*$E$40</f>
        <v>4220.837849860983</v>
      </c>
      <c r="I23" s="52"/>
      <c r="L23" s="81"/>
    </row>
    <row r="24" spans="1:12" ht="15">
      <c r="A24" s="46" t="s">
        <v>27</v>
      </c>
      <c r="B24" s="47" t="s">
        <v>24</v>
      </c>
      <c r="C24" s="48">
        <f>VLOOKUP($A24,'Pivot Table'!$C$2:$F$21,4,0)</f>
        <v>3844</v>
      </c>
      <c r="D24" s="49">
        <f t="shared" si="1"/>
        <v>0.028500463392029655</v>
      </c>
      <c r="E24" s="80">
        <f>D24*$E$40</f>
        <v>7211.066975495829</v>
      </c>
      <c r="I24" s="52"/>
      <c r="L24" s="81"/>
    </row>
    <row r="25" spans="1:12" ht="15">
      <c r="A25" s="46" t="s">
        <v>28</v>
      </c>
      <c r="B25" s="47" t="s">
        <v>24</v>
      </c>
      <c r="C25" s="48">
        <f>VLOOKUP($A25,'Pivot Table'!$C$2:$F$21,4,0)</f>
        <v>26933</v>
      </c>
      <c r="D25" s="49">
        <f t="shared" si="1"/>
        <v>0.19968860055607043</v>
      </c>
      <c r="E25" s="80">
        <f>D25*$E$40</f>
        <v>50524.367026802596</v>
      </c>
      <c r="I25" s="52"/>
      <c r="L25" s="81"/>
    </row>
    <row r="26" spans="1:12" ht="15">
      <c r="A26" s="54"/>
      <c r="B26" s="55" t="s">
        <v>29</v>
      </c>
      <c r="C26" s="56">
        <f>SUM(C21:C25)</f>
        <v>50982</v>
      </c>
      <c r="D26" s="57">
        <f t="shared" si="1"/>
        <v>0.37799443929564414</v>
      </c>
      <c r="E26" s="82">
        <f>E40*D26</f>
        <v>95638.55789405006</v>
      </c>
      <c r="G26" s="53"/>
      <c r="I26" s="52" t="e">
        <f>G26/G38</f>
        <v>#DIV/0!</v>
      </c>
      <c r="L26" s="81"/>
    </row>
    <row r="27" spans="1:12" ht="15">
      <c r="A27" s="46"/>
      <c r="B27" s="47"/>
      <c r="C27" s="48"/>
      <c r="D27" s="49"/>
      <c r="E27" s="80"/>
      <c r="I27" s="52"/>
      <c r="L27" s="81"/>
    </row>
    <row r="28" spans="1:12" ht="15">
      <c r="A28" s="46" t="s">
        <v>30</v>
      </c>
      <c r="B28" s="47" t="s">
        <v>31</v>
      </c>
      <c r="C28" s="48">
        <f>VLOOKUP($A28,'Pivot Table'!$C$2:$F$21,4,0)</f>
        <v>4141</v>
      </c>
      <c r="D28" s="49">
        <f>C28/$C$38</f>
        <v>0.03070250231696015</v>
      </c>
      <c r="E28" s="80">
        <f>D28*$E$40</f>
        <v>7768.217571677479</v>
      </c>
      <c r="I28" s="52"/>
      <c r="L28" s="81"/>
    </row>
    <row r="29" spans="1:12" ht="15">
      <c r="A29" s="46" t="s">
        <v>32</v>
      </c>
      <c r="B29" s="47" t="s">
        <v>31</v>
      </c>
      <c r="C29" s="48">
        <f>VLOOKUP($A29,'Pivot Table'!$C$2:$F$21,4,0)</f>
        <v>11</v>
      </c>
      <c r="D29" s="49">
        <f>C29/$C$38</f>
        <v>8.155699721964782E-05</v>
      </c>
      <c r="E29" s="80">
        <f>D29*$E$40</f>
        <v>20.635207265987024</v>
      </c>
      <c r="I29" s="52"/>
      <c r="L29" s="81"/>
    </row>
    <row r="30" spans="1:12" ht="15">
      <c r="A30" s="54"/>
      <c r="B30" s="55" t="s">
        <v>33</v>
      </c>
      <c r="C30" s="56">
        <f>SUM(C28:C29)</f>
        <v>4152</v>
      </c>
      <c r="D30" s="57">
        <f>C30/$C$38</f>
        <v>0.030784059314179796</v>
      </c>
      <c r="E30" s="82">
        <f>E40*D30</f>
        <v>7788.852778943466</v>
      </c>
      <c r="G30" s="53"/>
      <c r="I30" s="52" t="e">
        <f>G30/G38</f>
        <v>#DIV/0!</v>
      </c>
      <c r="L30" s="81"/>
    </row>
    <row r="31" spans="1:12" ht="15">
      <c r="A31" s="46"/>
      <c r="B31" s="47"/>
      <c r="C31" s="48"/>
      <c r="D31" s="49"/>
      <c r="E31" s="80"/>
      <c r="I31" s="52"/>
      <c r="L31" s="81"/>
    </row>
    <row r="32" spans="1:12" ht="15">
      <c r="A32" s="46" t="s">
        <v>34</v>
      </c>
      <c r="B32" s="47" t="s">
        <v>35</v>
      </c>
      <c r="C32" s="48">
        <f>VLOOKUP($A32,'Pivot Table'!$C$2:$F$21,4,0)</f>
        <v>4440</v>
      </c>
      <c r="D32" s="49">
        <f>C32/$C$38</f>
        <v>0.03291936978683967</v>
      </c>
      <c r="E32" s="80">
        <f>D32*$E$40</f>
        <v>8329.120023725673</v>
      </c>
      <c r="I32" s="52"/>
      <c r="L32" s="81"/>
    </row>
    <row r="33" spans="1:12" ht="15">
      <c r="A33" s="46" t="s">
        <v>36</v>
      </c>
      <c r="B33" s="47" t="s">
        <v>35</v>
      </c>
      <c r="C33" s="48">
        <f>VLOOKUP($A33,'Pivot Table'!$C$2:$F$21,4,0)</f>
        <v>6495</v>
      </c>
      <c r="D33" s="49">
        <f>C33/$C$38</f>
        <v>0.04815569972196478</v>
      </c>
      <c r="E33" s="80">
        <f>D33*$E$40</f>
        <v>12184.151926598703</v>
      </c>
      <c r="I33" s="52"/>
      <c r="L33" s="81"/>
    </row>
    <row r="34" spans="1:12" ht="15">
      <c r="A34" s="46" t="s">
        <v>37</v>
      </c>
      <c r="B34" s="47" t="s">
        <v>35</v>
      </c>
      <c r="C34" s="48">
        <f>VLOOKUP($A34,'Pivot Table'!$C$2:$F$21,4,0)</f>
        <v>9374</v>
      </c>
      <c r="D34" s="49">
        <f>C34/$C$38</f>
        <v>0.06950139017608897</v>
      </c>
      <c r="E34" s="80">
        <f>D34*$E$40</f>
        <v>17584.948446487488</v>
      </c>
      <c r="I34" s="52"/>
      <c r="L34" s="81"/>
    </row>
    <row r="35" spans="1:12" ht="15">
      <c r="A35" s="46" t="s">
        <v>38</v>
      </c>
      <c r="B35" s="47" t="s">
        <v>35</v>
      </c>
      <c r="C35" s="48">
        <f>VLOOKUP($A35,'Pivot Table'!$C$2:$F$21,4,0)</f>
        <v>11976</v>
      </c>
      <c r="D35" s="49">
        <f>C35/$C$38</f>
        <v>0.08879332715477294</v>
      </c>
      <c r="E35" s="80">
        <f>D35*$E$40</f>
        <v>22466.112928860053</v>
      </c>
      <c r="I35" s="52"/>
      <c r="L35" s="81"/>
    </row>
    <row r="36" spans="1:12" ht="15">
      <c r="A36" s="54"/>
      <c r="B36" s="55" t="s">
        <v>39</v>
      </c>
      <c r="C36" s="56">
        <f>SUM(C32:C35)</f>
        <v>32285</v>
      </c>
      <c r="D36" s="57">
        <f>C36/$C$38</f>
        <v>0.23936978683966637</v>
      </c>
      <c r="E36" s="82">
        <f>E40*D36</f>
        <v>60564.33332567192</v>
      </c>
      <c r="G36" s="53"/>
      <c r="I36" s="52" t="e">
        <f>G36/G38</f>
        <v>#DIV/0!</v>
      </c>
      <c r="L36" s="81"/>
    </row>
    <row r="37" spans="1:9" ht="15">
      <c r="A37" s="46"/>
      <c r="B37" s="47"/>
      <c r="C37" s="48"/>
      <c r="D37" s="49"/>
      <c r="E37" s="80"/>
      <c r="I37" s="52"/>
    </row>
    <row r="38" spans="1:9" ht="15.75" thickBot="1">
      <c r="A38" s="63" t="s">
        <v>40</v>
      </c>
      <c r="B38" s="64"/>
      <c r="C38" s="65">
        <f>C15+C19+C26+C30+C36</f>
        <v>134875</v>
      </c>
      <c r="D38" s="66">
        <f>D15+D19+D26+D30+D36</f>
        <v>1</v>
      </c>
      <c r="E38" s="83">
        <f>ROUND(E15+E19+E26+E30+E36,0)</f>
        <v>253016</v>
      </c>
      <c r="G38" s="53"/>
      <c r="I38" s="52"/>
    </row>
    <row r="39" spans="5:10" ht="15">
      <c r="E39" s="70"/>
      <c r="J39" s="52"/>
    </row>
    <row r="40" spans="1:5" ht="15">
      <c r="A40" s="71" t="s">
        <v>68</v>
      </c>
      <c r="B40" s="71"/>
      <c r="C40" s="71"/>
      <c r="D40" s="71"/>
      <c r="E40" s="84">
        <f>Analysis!AG11</f>
        <v>253015.78</v>
      </c>
    </row>
    <row r="42" spans="1:5" ht="15">
      <c r="A42" s="1" t="s">
        <v>42</v>
      </c>
      <c r="E42" s="85"/>
    </row>
  </sheetData>
  <sheetProtection/>
  <mergeCells count="9">
    <mergeCell ref="A1:E1"/>
    <mergeCell ref="A2:E2"/>
    <mergeCell ref="A3:E3"/>
    <mergeCell ref="A4:E4"/>
    <mergeCell ref="E6:E8"/>
    <mergeCell ref="A6:A8"/>
    <mergeCell ref="B6:B8"/>
    <mergeCell ref="C6:C8"/>
    <mergeCell ref="D6:D8"/>
  </mergeCells>
  <printOptions horizontalCentered="1" verticalCentered="1"/>
  <pageMargins left="0.25" right="0.25" top="0.5" bottom="0.5" header="0.3" footer="0.3"/>
  <pageSetup fitToWidth="0" fitToHeight="1" horizontalDpi="600" verticalDpi="600" orientation="landscape" scale="71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s290792</cp:lastModifiedBy>
  <cp:lastPrinted>2019-08-28T19:48:23Z</cp:lastPrinted>
  <dcterms:created xsi:type="dcterms:W3CDTF">2017-08-24T11:02:57Z</dcterms:created>
  <dcterms:modified xsi:type="dcterms:W3CDTF">2020-09-15T14:37:51Z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36bc1e82-a406-4e0b-b96f-0eb76a2e81e6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