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6165" yWindow="225" windowWidth="13065" windowHeight="8400"/>
  </bookViews>
  <sheets>
    <sheet name="Page 1" sheetId="1" r:id="rId1"/>
    <sheet name="Page 2" sheetId="2" r:id="rId2"/>
    <sheet name="Page 3" sheetId="5" r:id="rId3"/>
    <sheet name="Page 4" sheetId="4" r:id="rId4"/>
    <sheet name="Page 5" sheetId="3" r:id="rId5"/>
    <sheet name="Page 6" sheetId="8" r:id="rId6"/>
    <sheet name="Page 7" sheetId="9" r:id="rId7"/>
  </sheets>
  <externalReferences>
    <externalReference r:id="rId8"/>
  </externalReferences>
  <calcPr calcId="171027"/>
</workbook>
</file>

<file path=xl/calcChain.xml><?xml version="1.0" encoding="utf-8"?>
<calcChain xmlns="http://schemas.openxmlformats.org/spreadsheetml/2006/main">
  <c r="E19" i="2" l="1"/>
  <c r="D19" i="2"/>
  <c r="C19" i="2"/>
  <c r="B19" i="2"/>
  <c r="E14" i="9" l="1"/>
  <c r="E13" i="9"/>
  <c r="E12" i="9"/>
  <c r="E11" i="9"/>
  <c r="E10" i="9"/>
  <c r="E9" i="9"/>
  <c r="E8" i="9"/>
  <c r="E15" i="9" s="1"/>
  <c r="E7" i="9"/>
  <c r="C14" i="9"/>
  <c r="C13" i="9"/>
  <c r="C12" i="9"/>
  <c r="C11" i="9"/>
  <c r="C10" i="9"/>
  <c r="C9" i="9"/>
  <c r="C8" i="9"/>
  <c r="C15" i="9" s="1"/>
  <c r="C7" i="9"/>
  <c r="D15" i="9"/>
  <c r="B15" i="9"/>
  <c r="E32" i="2"/>
  <c r="E31" i="2"/>
  <c r="E30" i="2"/>
  <c r="E29" i="2"/>
  <c r="E28" i="2"/>
  <c r="E17" i="2"/>
  <c r="E16" i="2"/>
  <c r="E15" i="2"/>
  <c r="E14" i="2"/>
  <c r="E13" i="2"/>
  <c r="E12" i="2"/>
  <c r="E11" i="2"/>
  <c r="K17" i="2"/>
  <c r="I17" i="2"/>
  <c r="J17" i="2" s="1"/>
  <c r="E17" i="8" l="1"/>
  <c r="E15" i="8"/>
  <c r="E13" i="8"/>
  <c r="E12" i="8"/>
  <c r="E11" i="8"/>
  <c r="E10" i="8"/>
  <c r="E9" i="8"/>
  <c r="E8" i="8"/>
  <c r="E7" i="8"/>
  <c r="C17" i="8"/>
  <c r="C15" i="8"/>
  <c r="C14" i="8"/>
  <c r="C13" i="8"/>
  <c r="C12" i="8"/>
  <c r="C11" i="8"/>
  <c r="C10" i="8"/>
  <c r="C9" i="8"/>
  <c r="C8" i="8"/>
  <c r="C7" i="8"/>
  <c r="G49" i="1" l="1"/>
  <c r="E49" i="1"/>
  <c r="G47" i="1" l="1"/>
  <c r="E47" i="1"/>
  <c r="D47" i="1"/>
  <c r="C47" i="1"/>
  <c r="B47" i="1"/>
  <c r="A54" i="1" l="1"/>
  <c r="H35" i="1" l="1"/>
  <c r="E21" i="1" l="1"/>
  <c r="C21" i="1" l="1"/>
  <c r="D21" i="1"/>
  <c r="B21" i="1"/>
  <c r="C34" i="2" l="1"/>
  <c r="B34" i="2" l="1"/>
  <c r="D34" i="2"/>
  <c r="E34" i="2" l="1"/>
  <c r="I30" i="2" l="1"/>
  <c r="J30" i="2" s="1"/>
  <c r="I32" i="2"/>
  <c r="J32" i="2" s="1"/>
  <c r="I28" i="2"/>
  <c r="G31" i="2"/>
  <c r="I31" i="2" s="1"/>
  <c r="J31" i="2" s="1"/>
  <c r="G29" i="2"/>
  <c r="I29" i="2" s="1"/>
  <c r="I26" i="2"/>
  <c r="J28" i="2" l="1"/>
  <c r="I34" i="2"/>
  <c r="J29" i="2"/>
  <c r="J34" i="2" l="1"/>
  <c r="L21" i="1"/>
  <c r="M21" i="1" l="1"/>
  <c r="I21" i="1"/>
  <c r="F21" i="1" l="1"/>
  <c r="B1" i="3" l="1"/>
  <c r="B1" i="4"/>
  <c r="B1" i="5"/>
  <c r="I22" i="3"/>
  <c r="I18" i="3"/>
  <c r="I15" i="3"/>
  <c r="A51" i="1"/>
  <c r="L25" i="3"/>
  <c r="B3" i="4"/>
  <c r="B3" i="3" s="1"/>
  <c r="E36" i="1"/>
  <c r="F36" i="1" s="1"/>
  <c r="G36" i="1" s="1"/>
  <c r="B36" i="1"/>
  <c r="C36" i="1" s="1"/>
  <c r="D36" i="1" s="1"/>
  <c r="H9" i="1"/>
  <c r="I9" i="1" s="1"/>
  <c r="A52" i="1"/>
  <c r="C9" i="1"/>
  <c r="D9" i="1" s="1"/>
  <c r="H37" i="3"/>
  <c r="H34" i="3"/>
  <c r="I28" i="3"/>
  <c r="H39" i="3" l="1"/>
  <c r="N21" i="1"/>
  <c r="G21" i="1"/>
  <c r="F28" i="3" l="1"/>
  <c r="G22" i="3" l="1"/>
  <c r="G18" i="3" l="1"/>
  <c r="K16" i="2" l="1"/>
  <c r="I16" i="2"/>
  <c r="I11" i="2"/>
  <c r="K11" i="2"/>
  <c r="I14" i="2"/>
  <c r="K14" i="2"/>
  <c r="K13" i="2"/>
  <c r="I13" i="2"/>
  <c r="K15" i="2"/>
  <c r="I15" i="2"/>
  <c r="C36" i="2"/>
  <c r="K12" i="2"/>
  <c r="K19" i="2" s="1"/>
  <c r="I12" i="2"/>
  <c r="I19" i="2" s="1"/>
  <c r="J14" i="2" l="1"/>
  <c r="J13" i="2"/>
  <c r="J11" i="2"/>
  <c r="J12" i="2"/>
  <c r="J19" i="2" s="1"/>
  <c r="J15" i="2"/>
  <c r="J16" i="2"/>
  <c r="B36" i="2" l="1"/>
  <c r="G28" i="3" l="1"/>
  <c r="H28" i="3" s="1"/>
  <c r="K28" i="3" s="1"/>
  <c r="D36" i="2" l="1"/>
  <c r="E36" i="2"/>
  <c r="G15" i="3" l="1"/>
  <c r="H18" i="1" l="1"/>
  <c r="F49" i="1"/>
  <c r="J49" i="1" s="1"/>
  <c r="F22" i="3" s="1"/>
  <c r="H22" i="3" s="1"/>
  <c r="K22" i="3" s="1"/>
  <c r="H17" i="1"/>
  <c r="F47" i="1" l="1"/>
  <c r="J47" i="1" s="1"/>
  <c r="F18" i="3" s="1"/>
  <c r="H18" i="3" s="1"/>
  <c r="K18" i="3" s="1"/>
  <c r="K25" i="3" s="1"/>
  <c r="H21" i="1"/>
  <c r="O21" i="1" s="1"/>
  <c r="F15" i="3" s="1"/>
  <c r="H15" i="3" s="1"/>
  <c r="K15" i="3" l="1"/>
  <c r="H30" i="3"/>
  <c r="H41" i="3" s="1"/>
</calcChain>
</file>

<file path=xl/sharedStrings.xml><?xml version="1.0" encoding="utf-8"?>
<sst xmlns="http://schemas.openxmlformats.org/spreadsheetml/2006/main" count="270" uniqueCount="172">
  <si>
    <t xml:space="preserve">                      Kentucky DSM Rider</t>
  </si>
  <si>
    <t>Comparison of Revenue Requirement to Rider Recovery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</si>
  <si>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</si>
  <si>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</si>
  <si>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</si>
  <si>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</si>
  <si>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</si>
  <si>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</si>
  <si>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</si>
  <si>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</si>
  <si>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</si>
  <si>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</si>
  <si>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Projected Program Costs</t>
  </si>
  <si>
    <t>Program Expenditures</t>
  </si>
  <si>
    <t xml:space="preserve">         Rider Collection (F)</t>
  </si>
  <si>
    <t>(Over)/Under Collection</t>
  </si>
  <si>
    <t>Gas</t>
  </si>
  <si>
    <t>Electric</t>
  </si>
  <si>
    <t>Gas (G)</t>
  </si>
  <si>
    <t>Electric (H)</t>
  </si>
  <si>
    <t>NA</t>
  </si>
  <si>
    <t>Residential Programs</t>
  </si>
  <si>
    <t>Gas (D)</t>
  </si>
  <si>
    <t>Electric (E)</t>
  </si>
  <si>
    <t>Commercial Programs</t>
  </si>
  <si>
    <t>Rider</t>
  </si>
  <si>
    <t>Reconciliation (C)</t>
  </si>
  <si>
    <t>Collection (D)</t>
  </si>
  <si>
    <t>Lost</t>
  </si>
  <si>
    <t>Shared</t>
  </si>
  <si>
    <t>Costs</t>
  </si>
  <si>
    <t>Revenues</t>
  </si>
  <si>
    <t>Savings</t>
  </si>
  <si>
    <t>Total</t>
  </si>
  <si>
    <t>Total Costs, Net Lost Revenues, Shared Savings</t>
  </si>
  <si>
    <t>Program</t>
  </si>
  <si>
    <t>Costs (A)</t>
  </si>
  <si>
    <t>Electric Rider DSM</t>
  </si>
  <si>
    <t>Residential Rate RS</t>
  </si>
  <si>
    <t>DS, DP, DT, GS-FL, EH &amp; SP</t>
  </si>
  <si>
    <t>Gas Rider DSM</t>
  </si>
  <si>
    <t>Summary of Billing Determinants</t>
  </si>
  <si>
    <t xml:space="preserve">Year </t>
  </si>
  <si>
    <t>Rates DS, DP, DT,</t>
  </si>
  <si>
    <t>GS-FL, EH, &amp; SP</t>
  </si>
  <si>
    <t>Rate RS</t>
  </si>
  <si>
    <t>Summary of Calculations</t>
  </si>
  <si>
    <t>Expected</t>
  </si>
  <si>
    <t>Total DSM</t>
  </si>
  <si>
    <t>Estimated</t>
  </si>
  <si>
    <t>Rate Schedule</t>
  </si>
  <si>
    <t>True-Up</t>
  </si>
  <si>
    <t>Revenue</t>
  </si>
  <si>
    <t>Billing</t>
  </si>
  <si>
    <t>DSM Cost</t>
  </si>
  <si>
    <t>Requirements</t>
  </si>
  <si>
    <t>$/kWh</t>
  </si>
  <si>
    <t>Total Recovery</t>
  </si>
  <si>
    <t>Amount (A)</t>
  </si>
  <si>
    <t>Costs (B)</t>
  </si>
  <si>
    <t>Determinants (C)</t>
  </si>
  <si>
    <t>Electric Costs</t>
  </si>
  <si>
    <t>Gas Costs</t>
  </si>
  <si>
    <t>Projected Lost Revenues</t>
  </si>
  <si>
    <t>Projected Shared Savings</t>
  </si>
  <si>
    <t>Lost Revenues</t>
  </si>
  <si>
    <t>Shared Savings</t>
  </si>
  <si>
    <t>(11)</t>
  </si>
  <si>
    <t>(12)</t>
  </si>
  <si>
    <t>(13)</t>
  </si>
  <si>
    <t>(14)</t>
  </si>
  <si>
    <t>(G) Column (5) + Column (9) - Column(11).</t>
  </si>
  <si>
    <t>(H) Column (6) + Column (7) + Column (8) + Column (10) - Column(12).</t>
  </si>
  <si>
    <t>Collection (E)</t>
  </si>
  <si>
    <t>(E) Column (4) + Column (5) + Column (6) + Column (7) - Column (8)</t>
  </si>
  <si>
    <t>Demand Side Management Cost Recovery Rider (DSMR)</t>
  </si>
  <si>
    <t>Recovery Rider (DSMR)</t>
  </si>
  <si>
    <t>Budget (Costs, Lost Revenues, &amp; Shared Savings)</t>
  </si>
  <si>
    <t>Total Rider Recovery</t>
  </si>
  <si>
    <t>Electric No.4</t>
  </si>
  <si>
    <t>Gas No. 5</t>
  </si>
  <si>
    <t>Number of Customers</t>
  </si>
  <si>
    <t>Annual Revenues</t>
  </si>
  <si>
    <t>Riders</t>
  </si>
  <si>
    <t>Total Customer Charge Revenues</t>
  </si>
  <si>
    <t>Monthly Customer Charge</t>
  </si>
  <si>
    <t>Duke Energy Kentucky</t>
  </si>
  <si>
    <t>GS-FL, EH, SP, &amp; TT</t>
  </si>
  <si>
    <t>TT</t>
  </si>
  <si>
    <t>Distribution Level Rates Part A</t>
  </si>
  <si>
    <t>Distribution Level Rates Part B</t>
  </si>
  <si>
    <t>Transmission Level Rates &amp;</t>
  </si>
  <si>
    <t>Distribution Level Rates Total</t>
  </si>
  <si>
    <t>Total Program</t>
  </si>
  <si>
    <t>Projected Annual Electric Sales kWH</t>
  </si>
  <si>
    <t>Projected Annual Gas Sales CCF</t>
  </si>
  <si>
    <t>kWh</t>
  </si>
  <si>
    <t>CCF</t>
  </si>
  <si>
    <t>$/CCF</t>
  </si>
  <si>
    <t>Summary of Calculations for Programs</t>
  </si>
  <si>
    <t>(B) Appendix B, page 2.</t>
  </si>
  <si>
    <t>(C) Appendix B, page 4.</t>
  </si>
  <si>
    <t xml:space="preserve">                 Program Expenditures (C)</t>
  </si>
  <si>
    <t>Residential Smart $aver®</t>
  </si>
  <si>
    <t>Appliance Recycling Program</t>
  </si>
  <si>
    <t>Energy Efficiency Education Program for Schools</t>
  </si>
  <si>
    <t>My Home Energy Report</t>
  </si>
  <si>
    <t>Low Income Neighborhood</t>
  </si>
  <si>
    <t>Low Income Services</t>
  </si>
  <si>
    <t>Residential Energy Assessments</t>
  </si>
  <si>
    <t>Smart $aver® Custom</t>
  </si>
  <si>
    <t>Smart $aver® Prescriptive - Energy Star Food Service Products</t>
  </si>
  <si>
    <t>Smart $aver® Prescriptive - HVAC</t>
  </si>
  <si>
    <t>Smart $aver® Prescriptive - Lighting</t>
  </si>
  <si>
    <t>Smart $aver® Prescriptive - Motors/Pumps/VFD</t>
  </si>
  <si>
    <t>Smart $aver® Prescriptive - Process Equipment</t>
  </si>
  <si>
    <t>(Over)/Under</t>
  </si>
  <si>
    <t>Revenues collected except for HEA</t>
  </si>
  <si>
    <t>(D) Recovery allowed in accordance with the Commission's Order in Case No. 2012-00085.</t>
  </si>
  <si>
    <t>(E) Recovery allowed in accordance with the Commission's Order in Case No. 2012-00085.</t>
  </si>
  <si>
    <t>Smart $aver® Prescriptive - IT</t>
  </si>
  <si>
    <t>(A) See Appendix B, page 2 of 5.</t>
  </si>
  <si>
    <t>ccf</t>
  </si>
  <si>
    <t>Total Residential</t>
  </si>
  <si>
    <t>% of Total Res Sales</t>
  </si>
  <si>
    <t>Total Residential (Rate RS) Sales</t>
  </si>
  <si>
    <t>Elec % of Total % of Sales</t>
  </si>
  <si>
    <t>Gas % of Total % of Sales</t>
  </si>
  <si>
    <t>Allocation of Costs (B)</t>
  </si>
  <si>
    <t>*Load Impacts Net of Free Riders at Meter</t>
  </si>
  <si>
    <t>Small Business Energy Saver</t>
  </si>
  <si>
    <t>(C) Allocation of program expenditures to gas and electric in accordance with the Commission's Order in Case No. 2014-00388.</t>
  </si>
  <si>
    <t>(C) Recovery allowed in accordance with the Commission's Order in Case No. 2012-00085.</t>
  </si>
  <si>
    <t>Power Manager®</t>
  </si>
  <si>
    <t>Power Manager® for Apartments</t>
  </si>
  <si>
    <t>PowerShare®</t>
  </si>
  <si>
    <t>Power Manager® for Business</t>
  </si>
  <si>
    <t>(I) Revenues and expenses for the Home Energy Assistance Pilot Program.</t>
  </si>
  <si>
    <t>Home Energy Assistance Pilot Program (I)</t>
  </si>
  <si>
    <t>Residential Program Summary (A)</t>
  </si>
  <si>
    <t>NonResidential Program Summary (A)</t>
  </si>
  <si>
    <t xml:space="preserve">Reconciliation  </t>
  </si>
  <si>
    <t>Smart $aver® Non-Residential Performance Incentive Program</t>
  </si>
  <si>
    <t>(A) (Over)/Under of Appendix B page 1 multiplied by the average three-month commercial paper rate for 2017 to include interest on over or under-recovery in accordance with the Commission's order in Case No. 95-312. Value is:</t>
  </si>
  <si>
    <t>(A) Amounts identified in report filed in Case No. 2015-00368 and Case No. 2016-00289.</t>
  </si>
  <si>
    <t>7/2017 to 6/2018 (A)</t>
  </si>
  <si>
    <t>7/2017 to 6/2018 (B)</t>
  </si>
  <si>
    <t>(B) Actual program expenditures, lost revenues (for this period and from prior period DSM measure installations), and shared savings for the period July 1, 2017 through June 30, 2018.</t>
  </si>
  <si>
    <t>(F) Revenues collected through the DSM Rider between July 1, 2017 and June 30, 2018.</t>
  </si>
  <si>
    <t>July 2019 to June 2020</t>
  </si>
  <si>
    <t>Summary of Load Impacts July 2017 Through June 2018*</t>
  </si>
  <si>
    <t>Allocation Factors based on July 2017-June 2018</t>
  </si>
  <si>
    <t>For July 2017 Through June 2018</t>
  </si>
  <si>
    <t>(C) Smart $aver® Prescriptive consists of the following technologies: Energy Efficient Food Service Projects, HVAC, Lighting, IT, Pumps and Motors, and Process Equipment.</t>
  </si>
  <si>
    <t>(A) Costs, Lost Revenues (for this period and from prior period DSM measure installations), and Shared Savings for Year 8 of portfolio.</t>
  </si>
  <si>
    <t>July 2017 to June 2018</t>
  </si>
  <si>
    <t xml:space="preserve">2019-2020 Projected Program Costs, Lost Revenues, and Shared Savings </t>
  </si>
  <si>
    <t>(D) Yellow highlighted rows include modifications to programs as described in application.</t>
  </si>
  <si>
    <t>My Home Energy Report (D)</t>
  </si>
  <si>
    <t>Residential Smart $aver® (D)</t>
  </si>
  <si>
    <t>Smart $aver® Prescriptive (C), (D)</t>
  </si>
  <si>
    <t>(B) Allocation of program expenditures to 100% electric, see Allocation of program expenditures to 100% electric, see Annual Cost Recovery for Demand Side Management Application</t>
  </si>
  <si>
    <t>Peak Time Rebat Pilot</t>
  </si>
  <si>
    <t>Home Energy Assistance Pilot Program (E)</t>
  </si>
  <si>
    <t>(E) Upon approval from the Commission, the HEA program will no longer be calculated as part of the DSMR rider</t>
  </si>
  <si>
    <t>Customer Charge for HEA Program (D)</t>
  </si>
  <si>
    <t>(D) Forecasted changes do not reflect the request to increase the HEA monthly charge to $0.20 per meter/per month.  The HEA forecast does not factor into the DSMR rate adjustment</t>
  </si>
  <si>
    <t>Summary of Load Impacts July 2018 Through June 2019 (1),(2)</t>
  </si>
  <si>
    <t>Allocation Factors Projected - Revised</t>
  </si>
  <si>
    <t>Projected</t>
  </si>
  <si>
    <t>(1)Load Impacts Net of Free Riders at Meter</t>
  </si>
  <si>
    <t>(2) Appliance Recycling Program and Energy Efficiency Education Program for Schools will continue to collect lost revenues for prior period participation.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</si>
</sst>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0.000000"/>
    <numFmt numFmtId="169" formatCode="0.000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4"/>
      <name val="Arial"/>
      <family val="2"/>
    </font>
    <font>
      <sz val="11"/>
      <color theme="1"/>
      <name val="Cambria"/>
      <family val="2"/>
    </font>
    <font>
      <sz val="10"/>
      <color theme="1"/>
      <name val="Arial"/>
      <family val="2"/>
    </font>
    <font>
      <u/>
      <sz val="11"/>
      <color theme="10"/>
      <name val="Cambria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Fill="1" applyBorder="1"/>
    <xf numFmtId="164" fontId="0" fillId="0" borderId="0" xfId="2" applyNumberFormat="1" applyFont="1" applyFill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ill="1" applyBorder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1" xfId="0" applyFill="1" applyBorder="1"/>
    <xf numFmtId="164" fontId="0" fillId="0" borderId="0" xfId="2" applyNumberFormat="1" applyFont="1" applyFill="1" applyBorder="1"/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6" fillId="0" borderId="0" xfId="0" applyNumberFormat="1" applyFont="1" applyFill="1"/>
    <xf numFmtId="0" fontId="6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0" xfId="2" applyNumberFormat="1" applyFont="1" applyFill="1" applyAlignment="1"/>
    <xf numFmtId="164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/>
    <xf numFmtId="164" fontId="7" fillId="0" borderId="0" xfId="2" applyNumberFormat="1" applyFont="1" applyFill="1"/>
    <xf numFmtId="167" fontId="0" fillId="0" borderId="0" xfId="2" applyNumberFormat="1" applyFont="1" applyFill="1"/>
    <xf numFmtId="44" fontId="0" fillId="0" borderId="0" xfId="2" applyFont="1" applyFill="1"/>
    <xf numFmtId="0" fontId="1" fillId="0" borderId="0" xfId="0" applyFont="1" applyFill="1" applyBorder="1"/>
    <xf numFmtId="164" fontId="1" fillId="0" borderId="0" xfId="2" applyNumberFormat="1" applyFont="1" applyFill="1"/>
    <xf numFmtId="0" fontId="1" fillId="0" borderId="0" xfId="0" applyFont="1" applyFill="1" applyAlignment="1">
      <alignment horizontal="right"/>
    </xf>
    <xf numFmtId="0" fontId="5" fillId="0" borderId="0" xfId="0" applyFont="1" applyFill="1"/>
    <xf numFmtId="43" fontId="0" fillId="0" borderId="0" xfId="0" applyNumberFormat="1" applyFill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right"/>
    </xf>
    <xf numFmtId="0" fontId="1" fillId="0" borderId="1" xfId="0" applyFont="1" applyFill="1" applyBorder="1"/>
    <xf numFmtId="0" fontId="0" fillId="0" borderId="3" xfId="0" applyFill="1" applyBorder="1"/>
    <xf numFmtId="164" fontId="0" fillId="0" borderId="3" xfId="0" applyNumberFormat="1" applyFill="1" applyBorder="1"/>
    <xf numFmtId="164" fontId="0" fillId="0" borderId="3" xfId="2" applyNumberFormat="1" applyFont="1" applyFill="1" applyBorder="1"/>
    <xf numFmtId="164" fontId="9" fillId="0" borderId="0" xfId="2" applyNumberFormat="1" applyFont="1" applyFill="1" applyBorder="1"/>
    <xf numFmtId="0" fontId="1" fillId="0" borderId="3" xfId="0" applyFont="1" applyFill="1" applyBorder="1"/>
    <xf numFmtId="0" fontId="0" fillId="0" borderId="0" xfId="0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6" fontId="1" fillId="0" borderId="0" xfId="1" applyNumberFormat="1" applyFont="1" applyFill="1"/>
    <xf numFmtId="164" fontId="1" fillId="0" borderId="0" xfId="0" applyNumberFormat="1" applyFont="1" applyFill="1"/>
    <xf numFmtId="164" fontId="1" fillId="0" borderId="0" xfId="2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4" fillId="0" borderId="0" xfId="5" applyNumberFormat="1" applyFont="1" applyFill="1"/>
    <xf numFmtId="0" fontId="0" fillId="0" borderId="0" xfId="0" applyFill="1"/>
    <xf numFmtId="0" fontId="1" fillId="0" borderId="0" xfId="0" applyFont="1" applyFill="1"/>
    <xf numFmtId="0" fontId="1" fillId="0" borderId="0" xfId="9" applyFont="1" applyFill="1" applyBorder="1" applyAlignment="1">
      <alignment horizontal="center"/>
    </xf>
    <xf numFmtId="0" fontId="3" fillId="0" borderId="0" xfId="9" applyFont="1" applyFill="1" applyBorder="1" applyAlignment="1">
      <alignment horizontal="center" wrapText="1"/>
    </xf>
    <xf numFmtId="167" fontId="7" fillId="0" borderId="0" xfId="2" applyNumberFormat="1" applyFont="1" applyFill="1"/>
    <xf numFmtId="0" fontId="1" fillId="0" borderId="0" xfId="12" applyFill="1"/>
    <xf numFmtId="0" fontId="8" fillId="0" borderId="0" xfId="12" applyFont="1" applyFill="1" applyAlignment="1">
      <alignment horizontal="right"/>
    </xf>
    <xf numFmtId="0" fontId="1" fillId="0" borderId="0" xfId="12" applyFill="1" applyAlignment="1">
      <alignment horizontal="left"/>
    </xf>
    <xf numFmtId="0" fontId="1" fillId="0" borderId="0" xfId="12" applyFont="1" applyFill="1"/>
    <xf numFmtId="0" fontId="1" fillId="0" borderId="0" xfId="12" applyFill="1" applyAlignment="1">
      <alignment horizontal="center"/>
    </xf>
    <xf numFmtId="0" fontId="1" fillId="0" borderId="0" xfId="12" applyFont="1" applyFill="1" applyAlignment="1">
      <alignment horizontal="left"/>
    </xf>
    <xf numFmtId="164" fontId="4" fillId="0" borderId="0" xfId="13" applyNumberFormat="1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164" fontId="1" fillId="0" borderId="0" xfId="13" applyNumberFormat="1" applyFont="1" applyFill="1"/>
    <xf numFmtId="164" fontId="1" fillId="0" borderId="0" xfId="12" applyNumberFormat="1" applyFill="1"/>
    <xf numFmtId="164" fontId="0" fillId="0" borderId="0" xfId="13" applyNumberFormat="1" applyFont="1" applyFill="1"/>
    <xf numFmtId="164" fontId="1" fillId="0" borderId="0" xfId="12" applyNumberFormat="1" applyFont="1" applyFill="1"/>
    <xf numFmtId="165" fontId="0" fillId="0" borderId="0" xfId="14" applyNumberFormat="1" applyFont="1" applyFill="1"/>
    <xf numFmtId="0" fontId="1" fillId="0" borderId="0" xfId="12" applyFont="1" applyFill="1" applyAlignment="1">
      <alignment horizontal="center"/>
    </xf>
    <xf numFmtId="0" fontId="11" fillId="0" borderId="0" xfId="12" applyFont="1" applyFill="1"/>
    <xf numFmtId="164" fontId="0" fillId="0" borderId="1" xfId="0" applyNumberFormat="1" applyFill="1" applyBorder="1"/>
    <xf numFmtId="165" fontId="0" fillId="0" borderId="0" xfId="6" applyNumberFormat="1" applyFont="1" applyFill="1"/>
    <xf numFmtId="0" fontId="1" fillId="0" borderId="0" xfId="12" applyFont="1" applyFill="1" applyAlignment="1">
      <alignment horizontal="left" indent="6"/>
    </xf>
    <xf numFmtId="0" fontId="1" fillId="0" borderId="0" xfId="12" applyFont="1" applyFill="1" applyAlignment="1">
      <alignment horizontal="left" indent="7"/>
    </xf>
    <xf numFmtId="0" fontId="1" fillId="0" borderId="0" xfId="12" applyFont="1" applyFill="1" applyAlignment="1">
      <alignment horizontal="left" vertical="center" indent="1"/>
    </xf>
    <xf numFmtId="0" fontId="1" fillId="0" borderId="0" xfId="9" applyFont="1" applyFill="1"/>
    <xf numFmtId="0" fontId="1" fillId="0" borderId="0" xfId="9" applyFill="1"/>
    <xf numFmtId="0" fontId="11" fillId="0" borderId="0" xfId="9" applyFont="1" applyFill="1"/>
    <xf numFmtId="44" fontId="0" fillId="0" borderId="0" xfId="2" applyNumberFormat="1" applyFont="1" applyFill="1"/>
    <xf numFmtId="0" fontId="1" fillId="0" borderId="0" xfId="9" applyFont="1"/>
    <xf numFmtId="169" fontId="1" fillId="0" borderId="4" xfId="6" applyNumberFormat="1" applyFont="1" applyBorder="1"/>
    <xf numFmtId="169" fontId="11" fillId="0" borderId="5" xfId="6" applyNumberFormat="1" applyFont="1" applyBorder="1"/>
    <xf numFmtId="9" fontId="11" fillId="0" borderId="0" xfId="6" applyFont="1" applyBorder="1"/>
    <xf numFmtId="0" fontId="1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164" fontId="7" fillId="0" borderId="3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0" fontId="11" fillId="0" borderId="0" xfId="9" applyFont="1" applyFill="1" applyAlignment="1">
      <alignment horizontal="left" indent="16"/>
    </xf>
    <xf numFmtId="0" fontId="1" fillId="0" borderId="0" xfId="9" applyFont="1" applyFill="1" applyBorder="1" applyAlignment="1"/>
    <xf numFmtId="0" fontId="11" fillId="0" borderId="0" xfId="9" applyFont="1" applyFill="1" applyBorder="1"/>
    <xf numFmtId="0" fontId="3" fillId="0" borderId="0" xfId="9" applyFont="1" applyFill="1" applyBorder="1" applyAlignment="1">
      <alignment horizontal="center"/>
    </xf>
    <xf numFmtId="0" fontId="13" fillId="0" borderId="0" xfId="9" applyFont="1" applyFill="1" applyBorder="1" applyAlignment="1">
      <alignment horizontal="center"/>
    </xf>
    <xf numFmtId="9" fontId="1" fillId="0" borderId="0" xfId="9" applyNumberFormat="1" applyFont="1" applyFill="1"/>
    <xf numFmtId="0" fontId="11" fillId="0" borderId="2" xfId="9" applyFont="1" applyFill="1" applyBorder="1"/>
    <xf numFmtId="166" fontId="11" fillId="0" borderId="5" xfId="9" applyNumberFormat="1" applyFont="1" applyFill="1" applyBorder="1"/>
    <xf numFmtId="166" fontId="11" fillId="0" borderId="0" xfId="9" applyNumberFormat="1" applyFont="1" applyFill="1" applyBorder="1"/>
    <xf numFmtId="9" fontId="11" fillId="0" borderId="0" xfId="6" applyFont="1" applyFill="1" applyBorder="1"/>
    <xf numFmtId="0" fontId="1" fillId="0" borderId="0" xfId="9" applyFont="1" applyFill="1" applyBorder="1" applyAlignment="1">
      <alignment horizontal="center" vertical="center" wrapText="1"/>
    </xf>
    <xf numFmtId="0" fontId="1" fillId="2" borderId="0" xfId="12" applyFont="1" applyFill="1"/>
    <xf numFmtId="0" fontId="1" fillId="0" borderId="0" xfId="0" applyFont="1" applyFill="1" applyBorder="1" applyAlignment="1">
      <alignment horizontal="left" indent="4"/>
    </xf>
    <xf numFmtId="0" fontId="1" fillId="0" borderId="1" xfId="0" applyFont="1" applyFill="1" applyBorder="1" applyAlignment="1">
      <alignment horizontal="center"/>
    </xf>
    <xf numFmtId="164" fontId="1" fillId="0" borderId="3" xfId="0" applyNumberFormat="1" applyFont="1" applyFill="1" applyBorder="1"/>
    <xf numFmtId="164" fontId="1" fillId="0" borderId="3" xfId="2" applyNumberFormat="1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left"/>
    </xf>
    <xf numFmtId="168" fontId="1" fillId="0" borderId="0" xfId="0" applyNumberFormat="1" applyFont="1" applyFill="1" applyAlignment="1">
      <alignment horizontal="left"/>
    </xf>
    <xf numFmtId="166" fontId="1" fillId="0" borderId="4" xfId="7" applyNumberFormat="1" applyFont="1" applyFill="1" applyBorder="1"/>
    <xf numFmtId="169" fontId="1" fillId="0" borderId="4" xfId="6" applyNumberFormat="1" applyFont="1" applyFill="1" applyBorder="1"/>
    <xf numFmtId="166" fontId="11" fillId="0" borderId="4" xfId="8" applyNumberFormat="1" applyFont="1" applyFill="1" applyBorder="1"/>
    <xf numFmtId="169" fontId="11" fillId="0" borderId="5" xfId="6" applyNumberFormat="1" applyFont="1" applyFill="1" applyBorder="1"/>
    <xf numFmtId="166" fontId="1" fillId="0" borderId="0" xfId="9" applyNumberFormat="1" applyFont="1" applyFill="1" applyBorder="1"/>
    <xf numFmtId="164" fontId="1" fillId="0" borderId="0" xfId="13" applyNumberFormat="1" applyFont="1" applyFill="1"/>
    <xf numFmtId="0" fontId="1" fillId="2" borderId="0" xfId="12" applyFill="1"/>
    <xf numFmtId="164" fontId="1" fillId="2" borderId="0" xfId="13" applyNumberFormat="1" applyFont="1" applyFill="1"/>
    <xf numFmtId="164" fontId="1" fillId="0" borderId="0" xfId="13" applyNumberFormat="1" applyFont="1" applyFill="1"/>
    <xf numFmtId="164" fontId="1" fillId="2" borderId="0" xfId="13" applyNumberFormat="1" applyFont="1" applyFill="1"/>
    <xf numFmtId="167" fontId="1" fillId="2" borderId="0" xfId="2" applyNumberFormat="1" applyFont="1" applyFill="1"/>
    <xf numFmtId="0" fontId="0" fillId="2" borderId="0" xfId="0" applyFill="1"/>
    <xf numFmtId="167" fontId="7" fillId="2" borderId="0" xfId="2" applyNumberFormat="1" applyFont="1" applyFill="1"/>
    <xf numFmtId="0" fontId="1" fillId="2" borderId="0" xfId="0" applyFont="1" applyFill="1"/>
    <xf numFmtId="0" fontId="1" fillId="0" borderId="0" xfId="10" applyFont="1" applyFill="1"/>
    <xf numFmtId="0" fontId="1" fillId="0" borderId="0" xfId="10" applyFont="1"/>
    <xf numFmtId="0" fontId="11" fillId="0" borderId="0" xfId="10" applyFont="1" applyFill="1" applyAlignment="1">
      <alignment horizontal="left"/>
    </xf>
    <xf numFmtId="0" fontId="11" fillId="0" borderId="0" xfId="10" applyFont="1" applyAlignment="1">
      <alignment horizontal="left" indent="17"/>
    </xf>
    <xf numFmtId="0" fontId="11" fillId="0" borderId="0" xfId="10" applyFont="1"/>
    <xf numFmtId="0" fontId="1" fillId="0" borderId="6" xfId="10" applyFont="1" applyBorder="1" applyAlignment="1">
      <alignment horizontal="left" indent="5"/>
    </xf>
    <xf numFmtId="0" fontId="1" fillId="0" borderId="0" xfId="10" applyFont="1" applyBorder="1" applyAlignment="1">
      <alignment horizontal="left" indent="5"/>
    </xf>
    <xf numFmtId="0" fontId="11" fillId="0" borderId="7" xfId="10" applyFont="1" applyBorder="1" applyAlignment="1">
      <alignment wrapText="1"/>
    </xf>
    <xf numFmtId="0" fontId="3" fillId="0" borderId="4" xfId="10" applyFont="1" applyBorder="1" applyAlignment="1">
      <alignment horizontal="center" wrapText="1"/>
    </xf>
    <xf numFmtId="0" fontId="3" fillId="0" borderId="8" xfId="10" applyFont="1" applyBorder="1" applyAlignment="1">
      <alignment horizontal="center" wrapText="1"/>
    </xf>
    <xf numFmtId="0" fontId="13" fillId="0" borderId="6" xfId="10" applyFont="1" applyBorder="1" applyAlignment="1">
      <alignment horizontal="center" wrapText="1"/>
    </xf>
    <xf numFmtId="9" fontId="3" fillId="0" borderId="0" xfId="9" applyNumberFormat="1" applyFont="1" applyAlignment="1">
      <alignment horizontal="center" wrapText="1"/>
    </xf>
    <xf numFmtId="0" fontId="11" fillId="0" borderId="7" xfId="10" applyFont="1" applyBorder="1"/>
    <xf numFmtId="166" fontId="1" fillId="0" borderId="4" xfId="7" applyNumberFormat="1" applyFont="1" applyBorder="1"/>
    <xf numFmtId="166" fontId="11" fillId="0" borderId="6" xfId="8" applyNumberFormat="1" applyFont="1" applyFill="1" applyBorder="1"/>
    <xf numFmtId="9" fontId="1" fillId="0" borderId="0" xfId="9" applyNumberFormat="1" applyFont="1"/>
    <xf numFmtId="0" fontId="1" fillId="0" borderId="0" xfId="10" applyFont="1" applyFill="1" applyBorder="1"/>
    <xf numFmtId="9" fontId="1" fillId="0" borderId="0" xfId="6" applyFont="1"/>
    <xf numFmtId="0" fontId="11" fillId="0" borderId="9" xfId="10" applyFont="1" applyBorder="1"/>
    <xf numFmtId="166" fontId="11" fillId="0" borderId="5" xfId="10" applyNumberFormat="1" applyFont="1" applyBorder="1"/>
    <xf numFmtId="166" fontId="11" fillId="0" borderId="0" xfId="10" applyNumberFormat="1" applyFont="1" applyBorder="1"/>
    <xf numFmtId="0" fontId="1" fillId="0" borderId="0" xfId="10" applyFont="1" applyBorder="1"/>
    <xf numFmtId="166" fontId="11" fillId="3" borderId="0" xfId="10" applyNumberFormat="1" applyFont="1" applyFill="1" applyBorder="1"/>
    <xf numFmtId="0" fontId="11" fillId="0" borderId="0" xfId="10" applyFont="1" applyBorder="1"/>
    <xf numFmtId="0" fontId="1" fillId="0" borderId="0" xfId="9"/>
    <xf numFmtId="0" fontId="11" fillId="0" borderId="0" xfId="10" applyFont="1" applyFill="1" applyBorder="1"/>
    <xf numFmtId="0" fontId="14" fillId="0" borderId="0" xfId="0" applyFont="1"/>
    <xf numFmtId="164" fontId="1" fillId="4" borderId="0" xfId="13" applyNumberFormat="1" applyFont="1" applyFill="1"/>
    <xf numFmtId="0" fontId="1" fillId="4" borderId="0" xfId="12" applyFill="1"/>
    <xf numFmtId="9" fontId="1" fillId="4" borderId="0" xfId="9" applyNumberFormat="1" applyFont="1" applyFill="1"/>
    <xf numFmtId="0" fontId="1" fillId="0" borderId="7" xfId="10" applyFont="1" applyBorder="1"/>
    <xf numFmtId="0" fontId="1" fillId="0" borderId="0" xfId="12" applyFont="1" applyFill="1" applyAlignment="1">
      <alignment horizontal="center" wrapText="1"/>
    </xf>
    <xf numFmtId="0" fontId="1" fillId="0" borderId="0" xfId="9" applyFont="1" applyFill="1" applyBorder="1" applyAlignment="1">
      <alignment horizontal="center" wrapText="1"/>
    </xf>
    <xf numFmtId="0" fontId="1" fillId="0" borderId="0" xfId="9" applyFont="1" applyFill="1" applyBorder="1" applyAlignment="1">
      <alignment horizontal="center" vertical="center" wrapText="1"/>
    </xf>
  </cellXfs>
  <cellStyles count="15">
    <cellStyle name="Comma" xfId="1" builtinId="3"/>
    <cellStyle name="Comma 10" xfId="8"/>
    <cellStyle name="Comma 2" xfId="3"/>
    <cellStyle name="Comma 2 6" xfId="7"/>
    <cellStyle name="Currency" xfId="2" builtinId="4"/>
    <cellStyle name="Currency 10 5" xfId="13"/>
    <cellStyle name="Currency 2" xfId="5"/>
    <cellStyle name="Hyperlink 8" xfId="11"/>
    <cellStyle name="Normal" xfId="0" builtinId="0"/>
    <cellStyle name="Normal - Style2 2" xfId="12"/>
    <cellStyle name="Normal 2" xfId="4"/>
    <cellStyle name="Normal 2 2 2" xfId="9"/>
    <cellStyle name="Normal 2 26" xfId="10"/>
    <cellStyle name="Percent 10 10" xfId="14"/>
    <cellStyle name="Percent 2 2" xfId="6"/>
  </cellStyles>
  <dxfs count="0"/>
  <tableStyles count="0" defaultTableStyle="TableStyleMedium9" defaultPivotStyle="PivotStyleLight16"/>
  <colors>
    <mruColors>
      <color rgb="FFFE7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\Filings\KY\2018\2017-18%20True%20Up\KY%202017-18%20True%20Up%20-%202018.10.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Totals - Partic"/>
      <sheetName val="Control Totals - Prog Cost"/>
      <sheetName val="INPUTS"/>
      <sheetName val="Lookup"/>
      <sheetName val="Cost Eff"/>
      <sheetName val="Allocation Factors - Pg 1"/>
      <sheetName val="Table 1 at Meter"/>
      <sheetName val="Programs"/>
      <sheetName val="Lost Revenue Detail"/>
      <sheetName val="LR Pivot"/>
      <sheetName val="HECR &amp; DR"/>
      <sheetName val="Msr Lvl Pivot"/>
      <sheetName val="Cost Staging"/>
      <sheetName val="Data - UI Cost Eff"/>
      <sheetName val="Data-Cost Alloc Recon"/>
      <sheetName val="Data-UI Msr Lvl"/>
      <sheetName val="Sheet1"/>
      <sheetName val="Data-UI MDO"/>
      <sheetName val="Data-UI L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D13" t="str">
            <v>Appliance Recycling Program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0.1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12051.717574236667</v>
          </cell>
        </row>
        <row r="14">
          <cell r="D14" t="str">
            <v>Energy Efficiency Education Program for Schools</v>
          </cell>
          <cell r="F14">
            <v>389180.77870169986</v>
          </cell>
          <cell r="G14">
            <v>93.647370781657457</v>
          </cell>
          <cell r="H14">
            <v>1109</v>
          </cell>
          <cell r="J14">
            <v>38354.194050014608</v>
          </cell>
          <cell r="K14">
            <v>87703.363133238265</v>
          </cell>
          <cell r="L14">
            <v>27105.584227630752</v>
          </cell>
          <cell r="M14">
            <v>0</v>
          </cell>
          <cell r="N14">
            <v>153163.14141088363</v>
          </cell>
          <cell r="O14">
            <v>134060.10931065597</v>
          </cell>
          <cell r="P14">
            <v>19103.032100227661</v>
          </cell>
          <cell r="Q14">
            <v>0.1</v>
          </cell>
          <cell r="R14">
            <v>1910.3032100227663</v>
          </cell>
          <cell r="T14">
            <v>134060.10931065597</v>
          </cell>
          <cell r="U14">
            <v>21308.074107805107</v>
          </cell>
          <cell r="V14">
            <v>155368.18341846106</v>
          </cell>
          <cell r="W14">
            <v>155368.18341846106</v>
          </cell>
          <cell r="Y14">
            <v>157278.48662848384</v>
          </cell>
          <cell r="Z14">
            <v>47616.513897649143</v>
          </cell>
        </row>
        <row r="15">
          <cell r="D15" t="str">
            <v>Low Income Neighborhood</v>
          </cell>
          <cell r="F15">
            <v>243741.02227430182</v>
          </cell>
          <cell r="G15">
            <v>71.934850419928551</v>
          </cell>
          <cell r="H15">
            <v>605</v>
          </cell>
          <cell r="J15">
            <v>33974.918124470823</v>
          </cell>
          <cell r="K15">
            <v>65058.778359562843</v>
          </cell>
          <cell r="L15">
            <v>26508.382442126815</v>
          </cell>
          <cell r="M15">
            <v>0</v>
          </cell>
          <cell r="N15">
            <v>125542.07892616047</v>
          </cell>
          <cell r="O15">
            <v>221100.44868847847</v>
          </cell>
          <cell r="P15">
            <v>-95558.369762318005</v>
          </cell>
          <cell r="Q15">
            <v>0.1</v>
          </cell>
          <cell r="R15">
            <v>-9555.8369762318016</v>
          </cell>
          <cell r="T15">
            <v>221100.44868847847</v>
          </cell>
          <cell r="U15">
            <v>0</v>
          </cell>
          <cell r="V15">
            <v>221100.44868847847</v>
          </cell>
          <cell r="W15">
            <v>221100.44868847847</v>
          </cell>
          <cell r="Y15">
            <v>211544.61171224667</v>
          </cell>
          <cell r="Z15">
            <v>28799.723731152502</v>
          </cell>
        </row>
        <row r="16">
          <cell r="D16" t="str">
            <v>Low Income Services</v>
          </cell>
          <cell r="F16">
            <v>213154.31849133442</v>
          </cell>
          <cell r="G16">
            <v>48.384534341809591</v>
          </cell>
          <cell r="H16">
            <v>142</v>
          </cell>
          <cell r="J16">
            <v>35737.129716435265</v>
          </cell>
          <cell r="K16">
            <v>87441.640338699552</v>
          </cell>
          <cell r="L16">
            <v>25034.557137075964</v>
          </cell>
          <cell r="M16">
            <v>0</v>
          </cell>
          <cell r="N16">
            <v>148213.32719221077</v>
          </cell>
          <cell r="O16">
            <v>309124.6018166428</v>
          </cell>
          <cell r="P16">
            <v>-160911.27462443203</v>
          </cell>
          <cell r="Q16">
            <v>0.1</v>
          </cell>
          <cell r="R16">
            <v>-16091.127462443204</v>
          </cell>
          <cell r="T16">
            <v>431010.63350903697</v>
          </cell>
          <cell r="U16">
            <v>0</v>
          </cell>
          <cell r="V16">
            <v>431010.63350903697</v>
          </cell>
          <cell r="W16">
            <v>431010.63350903697</v>
          </cell>
          <cell r="Y16">
            <v>414919.50604659377</v>
          </cell>
          <cell r="Z16">
            <v>29438.049523083318</v>
          </cell>
        </row>
        <row r="17">
          <cell r="D17" t="str">
            <v>My Home Energy Report</v>
          </cell>
          <cell r="F17">
            <v>9933204.6048232261</v>
          </cell>
          <cell r="G17">
            <v>2923.0684920257113</v>
          </cell>
          <cell r="H17">
            <v>59814</v>
          </cell>
          <cell r="J17">
            <v>188907.28540214305</v>
          </cell>
          <cell r="K17">
            <v>290587.67923670693</v>
          </cell>
          <cell r="L17">
            <v>145730.30966380335</v>
          </cell>
          <cell r="M17">
            <v>0</v>
          </cell>
          <cell r="N17">
            <v>625225.27430265327</v>
          </cell>
          <cell r="O17">
            <v>370662.14752700814</v>
          </cell>
          <cell r="P17">
            <v>254563.12677564513</v>
          </cell>
          <cell r="Q17">
            <v>0.1</v>
          </cell>
          <cell r="R17">
            <v>25456.312677564514</v>
          </cell>
          <cell r="T17">
            <v>370662.14752700814</v>
          </cell>
          <cell r="U17">
            <v>1338.68</v>
          </cell>
          <cell r="V17">
            <v>372000.82752700814</v>
          </cell>
          <cell r="W17">
            <v>372000.82752700814</v>
          </cell>
          <cell r="Y17">
            <v>397457.14020457264</v>
          </cell>
          <cell r="Z17">
            <v>395322.7049689141</v>
          </cell>
        </row>
        <row r="18">
          <cell r="D18" t="str">
            <v>Residential Energy Assessments</v>
          </cell>
          <cell r="F18">
            <v>316749.88470355258</v>
          </cell>
          <cell r="G18">
            <v>57.067823926168458</v>
          </cell>
          <cell r="H18">
            <v>1645</v>
          </cell>
          <cell r="J18">
            <v>40818.862829125719</v>
          </cell>
          <cell r="K18">
            <v>127443.83661509246</v>
          </cell>
          <cell r="L18">
            <v>39810.398329193791</v>
          </cell>
          <cell r="M18">
            <v>0</v>
          </cell>
          <cell r="N18">
            <v>208073.09777341198</v>
          </cell>
          <cell r="O18">
            <v>136433.39728281312</v>
          </cell>
          <cell r="P18">
            <v>71639.700490598858</v>
          </cell>
          <cell r="Q18">
            <v>0.1</v>
          </cell>
          <cell r="R18">
            <v>7163.9700490598862</v>
          </cell>
          <cell r="T18">
            <v>136433.39728281312</v>
          </cell>
          <cell r="U18">
            <v>0</v>
          </cell>
          <cell r="V18">
            <v>136433.39728281312</v>
          </cell>
          <cell r="W18">
            <v>136433.39728281312</v>
          </cell>
          <cell r="Y18">
            <v>143597.36733187301</v>
          </cell>
          <cell r="Z18">
            <v>46714.159750650535</v>
          </cell>
        </row>
        <row r="19">
          <cell r="D19" t="str">
            <v>Residential Smart $aver®</v>
          </cell>
          <cell r="F19">
            <v>5314861.64868725</v>
          </cell>
          <cell r="G19">
            <v>641.2805889057006</v>
          </cell>
          <cell r="H19">
            <v>231461</v>
          </cell>
          <cell r="J19">
            <v>415957.79227132467</v>
          </cell>
          <cell r="K19">
            <v>1842099.3701344682</v>
          </cell>
          <cell r="L19">
            <v>446114.98108775221</v>
          </cell>
          <cell r="M19">
            <v>0</v>
          </cell>
          <cell r="N19">
            <v>2704172.1434935448</v>
          </cell>
          <cell r="O19">
            <v>1443041.7714425016</v>
          </cell>
          <cell r="P19">
            <v>1261130.3720510432</v>
          </cell>
          <cell r="Q19">
            <v>0.1</v>
          </cell>
          <cell r="R19">
            <v>126113.03720510432</v>
          </cell>
          <cell r="T19">
            <v>1443041.7714425016</v>
          </cell>
          <cell r="U19">
            <v>3127.8645173368882</v>
          </cell>
          <cell r="V19">
            <v>1446169.6359598385</v>
          </cell>
          <cell r="W19">
            <v>1446169.6359598385</v>
          </cell>
          <cell r="Y19">
            <v>1572282.6731649428</v>
          </cell>
          <cell r="Z19">
            <v>780686.74162651924</v>
          </cell>
        </row>
        <row r="20">
          <cell r="D20" t="str">
            <v>Total</v>
          </cell>
          <cell r="F20">
            <v>16410892.257681366</v>
          </cell>
          <cell r="G20">
            <v>3835.3836604009757</v>
          </cell>
          <cell r="H20">
            <v>294776</v>
          </cell>
          <cell r="J20">
            <v>753750.18239351409</v>
          </cell>
          <cell r="K20">
            <v>2500334.6678177682</v>
          </cell>
          <cell r="L20">
            <v>710304.21288758283</v>
          </cell>
          <cell r="M20">
            <v>0</v>
          </cell>
          <cell r="N20">
            <v>3964389.0630988646</v>
          </cell>
          <cell r="O20">
            <v>2614422.4760681</v>
          </cell>
          <cell r="P20">
            <v>1349966.5870307649</v>
          </cell>
          <cell r="R20">
            <v>134996.65870307648</v>
          </cell>
          <cell r="T20">
            <v>2736308.507760494</v>
          </cell>
          <cell r="U20">
            <v>25774.618625141997</v>
          </cell>
          <cell r="V20">
            <v>2762083.1263856366</v>
          </cell>
          <cell r="W20">
            <v>2762083.1263856366</v>
          </cell>
          <cell r="Y20">
            <v>2897079.7850887123</v>
          </cell>
          <cell r="Z20">
            <v>1340629.6110722055</v>
          </cell>
        </row>
        <row r="23">
          <cell r="D23" t="str">
            <v>Power Manager®</v>
          </cell>
          <cell r="F23">
            <v>0</v>
          </cell>
          <cell r="G23">
            <v>14347.503233910304</v>
          </cell>
          <cell r="H23">
            <v>12607</v>
          </cell>
          <cell r="J23">
            <v>965192.96211516112</v>
          </cell>
          <cell r="K23">
            <v>0</v>
          </cell>
          <cell r="L23">
            <v>674564.69727729529</v>
          </cell>
          <cell r="M23">
            <v>0</v>
          </cell>
          <cell r="N23">
            <v>1639757.6593924565</v>
          </cell>
          <cell r="O23">
            <v>520703.59185925953</v>
          </cell>
          <cell r="P23">
            <v>1119054.0675331969</v>
          </cell>
          <cell r="Q23">
            <v>0.1</v>
          </cell>
          <cell r="R23">
            <v>111905.40675331969</v>
          </cell>
          <cell r="T23">
            <v>520703.59185925953</v>
          </cell>
          <cell r="U23">
            <v>6932.25</v>
          </cell>
          <cell r="V23">
            <v>527635.84185925953</v>
          </cell>
          <cell r="W23">
            <v>527635.84185925953</v>
          </cell>
          <cell r="Y23">
            <v>639541.24861257919</v>
          </cell>
          <cell r="Z23">
            <v>0</v>
          </cell>
        </row>
        <row r="24">
          <cell r="D24" t="str">
            <v>Power Manager® for Apartments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-8399.0509370046166</v>
          </cell>
          <cell r="P24">
            <v>8399.0509370046166</v>
          </cell>
          <cell r="Q24">
            <v>0.1</v>
          </cell>
          <cell r="R24">
            <v>839.90509370046175</v>
          </cell>
          <cell r="T24">
            <v>-8399.0509370046166</v>
          </cell>
          <cell r="U24">
            <v>0</v>
          </cell>
          <cell r="V24">
            <v>-8399.0509370046166</v>
          </cell>
          <cell r="W24">
            <v>-8399.0509370046166</v>
          </cell>
          <cell r="Y24">
            <v>-7559.1458433041553</v>
          </cell>
          <cell r="Z24">
            <v>0</v>
          </cell>
        </row>
        <row r="25">
          <cell r="D25" t="str">
            <v>Total</v>
          </cell>
          <cell r="F25">
            <v>0</v>
          </cell>
          <cell r="G25">
            <v>14347.503233910304</v>
          </cell>
          <cell r="H25">
            <v>12607</v>
          </cell>
          <cell r="J25">
            <v>965192.96211516112</v>
          </cell>
          <cell r="K25">
            <v>0</v>
          </cell>
          <cell r="L25">
            <v>674564.69727729529</v>
          </cell>
          <cell r="M25">
            <v>0</v>
          </cell>
          <cell r="N25">
            <v>1639757.6593924565</v>
          </cell>
          <cell r="O25">
            <v>512304.54092225491</v>
          </cell>
          <cell r="P25">
            <v>1127453.1184702015</v>
          </cell>
          <cell r="R25">
            <v>112745.31184702016</v>
          </cell>
          <cell r="T25">
            <v>512304.54092225491</v>
          </cell>
          <cell r="U25">
            <v>6932.25</v>
          </cell>
          <cell r="V25">
            <v>519236.79092225491</v>
          </cell>
          <cell r="W25">
            <v>519236.79092225491</v>
          </cell>
          <cell r="Y25">
            <v>631982.10276927508</v>
          </cell>
          <cell r="Z25">
            <v>0</v>
          </cell>
        </row>
        <row r="28">
          <cell r="D28" t="str">
            <v>Small Business Energy Saver</v>
          </cell>
          <cell r="F28">
            <v>4113105.6754393498</v>
          </cell>
          <cell r="G28">
            <v>735.82428051434374</v>
          </cell>
          <cell r="H28">
            <v>3893573</v>
          </cell>
          <cell r="J28">
            <v>413450.2843711758</v>
          </cell>
          <cell r="K28">
            <v>1288804.5093328413</v>
          </cell>
          <cell r="L28">
            <v>290608.80670765642</v>
          </cell>
          <cell r="M28">
            <v>0</v>
          </cell>
          <cell r="N28">
            <v>1992863.6004116735</v>
          </cell>
          <cell r="O28">
            <v>878786.82420445711</v>
          </cell>
          <cell r="P28">
            <v>1114076.7762072165</v>
          </cell>
          <cell r="Q28">
            <v>0.1</v>
          </cell>
          <cell r="R28">
            <v>111407.67762072166</v>
          </cell>
          <cell r="T28">
            <v>878786.82420445711</v>
          </cell>
          <cell r="U28">
            <v>4327.7561146006865</v>
          </cell>
          <cell r="V28">
            <v>883114.5803190578</v>
          </cell>
          <cell r="W28">
            <v>883114.5803190578</v>
          </cell>
          <cell r="Y28">
            <v>994522.25793977943</v>
          </cell>
          <cell r="Z28">
            <v>166750.72786697838</v>
          </cell>
        </row>
        <row r="29">
          <cell r="D29" t="str">
            <v>Smart $aver® Custom</v>
          </cell>
          <cell r="F29">
            <v>7435791.3022320792</v>
          </cell>
          <cell r="G29">
            <v>886.72349343680673</v>
          </cell>
          <cell r="H29">
            <v>3354</v>
          </cell>
          <cell r="J29">
            <v>604591.24216034811</v>
          </cell>
          <cell r="K29">
            <v>2620597.0721612275</v>
          </cell>
          <cell r="L29">
            <v>499853.51193962299</v>
          </cell>
          <cell r="M29">
            <v>0</v>
          </cell>
          <cell r="N29">
            <v>3725041.8262611986</v>
          </cell>
          <cell r="O29">
            <v>812762.63778007426</v>
          </cell>
          <cell r="P29">
            <v>2912279.1884811241</v>
          </cell>
          <cell r="Q29">
            <v>0.1</v>
          </cell>
          <cell r="R29">
            <v>291227.9188481124</v>
          </cell>
          <cell r="T29">
            <v>812762.63778007426</v>
          </cell>
          <cell r="U29">
            <v>28641.480376058149</v>
          </cell>
          <cell r="V29">
            <v>841404.1181561324</v>
          </cell>
          <cell r="W29">
            <v>841404.1181561324</v>
          </cell>
          <cell r="Y29">
            <v>1132632.0370042447</v>
          </cell>
          <cell r="Z29">
            <v>133475.21484934649</v>
          </cell>
        </row>
        <row r="30">
          <cell r="D30" t="str">
            <v>Smart $aver® Non-Residential Performance Incentive Program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0.1</v>
          </cell>
          <cell r="R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>
            <v>0</v>
          </cell>
        </row>
        <row r="31">
          <cell r="D31" t="str">
            <v>Smart $aver® Prescriptive - Energy Star Food Service Products</v>
          </cell>
          <cell r="F31">
            <v>197272.32045176477</v>
          </cell>
          <cell r="G31">
            <v>19.207824775821557</v>
          </cell>
          <cell r="H31">
            <v>540</v>
          </cell>
          <cell r="J31">
            <v>13985.030733245043</v>
          </cell>
          <cell r="K31">
            <v>75691.088387355179</v>
          </cell>
          <cell r="L31">
            <v>12297.868949732116</v>
          </cell>
          <cell r="M31">
            <v>0</v>
          </cell>
          <cell r="N31">
            <v>101973.98807033234</v>
          </cell>
          <cell r="O31">
            <v>44817.102308289614</v>
          </cell>
          <cell r="P31">
            <v>57156.88576204273</v>
          </cell>
          <cell r="Q31">
            <v>0.1</v>
          </cell>
          <cell r="R31">
            <v>5715.688576204273</v>
          </cell>
          <cell r="T31">
            <v>44817.102308289614</v>
          </cell>
          <cell r="U31">
            <v>0</v>
          </cell>
          <cell r="V31">
            <v>44817.102308289614</v>
          </cell>
          <cell r="W31">
            <v>44817.102308289614</v>
          </cell>
          <cell r="Y31">
            <v>50532.790884493887</v>
          </cell>
          <cell r="Z31">
            <v>6994.6126089480176</v>
          </cell>
        </row>
        <row r="32">
          <cell r="D32" t="str">
            <v>Smart $aver® Prescriptive - HVAC</v>
          </cell>
          <cell r="F32">
            <v>118734.39885347328</v>
          </cell>
          <cell r="G32">
            <v>71.128909309872896</v>
          </cell>
          <cell r="H32">
            <v>18156</v>
          </cell>
          <cell r="J32">
            <v>55652.584142526539</v>
          </cell>
          <cell r="K32">
            <v>39867.402118842125</v>
          </cell>
          <cell r="L32">
            <v>39354.750471583677</v>
          </cell>
          <cell r="M32">
            <v>0</v>
          </cell>
          <cell r="N32">
            <v>134874.73673295235</v>
          </cell>
          <cell r="O32">
            <v>107753.23157966544</v>
          </cell>
          <cell r="P32">
            <v>27121.505153286911</v>
          </cell>
          <cell r="Q32">
            <v>0.1</v>
          </cell>
          <cell r="R32">
            <v>2712.1505153286912</v>
          </cell>
          <cell r="T32">
            <v>107753.23157966544</v>
          </cell>
          <cell r="U32">
            <v>0</v>
          </cell>
          <cell r="V32">
            <v>107753.23157966544</v>
          </cell>
          <cell r="W32">
            <v>107753.23157966544</v>
          </cell>
          <cell r="Y32">
            <v>110465.38209499413</v>
          </cell>
          <cell r="Z32">
            <v>10907.793231625314</v>
          </cell>
        </row>
        <row r="33">
          <cell r="D33" t="str">
            <v>Smart $aver® Prescriptive - IT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5647.376112019735</v>
          </cell>
          <cell r="P33">
            <v>-5647.376112019735</v>
          </cell>
          <cell r="Q33">
            <v>0.1</v>
          </cell>
          <cell r="R33">
            <v>-564.73761120197355</v>
          </cell>
          <cell r="T33">
            <v>5647.376112019735</v>
          </cell>
          <cell r="U33">
            <v>0</v>
          </cell>
          <cell r="V33">
            <v>5647.376112019735</v>
          </cell>
          <cell r="W33">
            <v>5647.376112019735</v>
          </cell>
          <cell r="Y33">
            <v>5082.6385008177613</v>
          </cell>
          <cell r="Z33">
            <v>3.2201706080308536</v>
          </cell>
        </row>
        <row r="34">
          <cell r="D34" t="str">
            <v>Smart $aver® Prescriptive - Lighting</v>
          </cell>
          <cell r="F34">
            <v>12480432.953425556</v>
          </cell>
          <cell r="G34">
            <v>2314.1675496947146</v>
          </cell>
          <cell r="H34">
            <v>680187</v>
          </cell>
          <cell r="J34">
            <v>1704622.8262981223</v>
          </cell>
          <cell r="K34">
            <v>4931465.5149553344</v>
          </cell>
          <cell r="L34">
            <v>1194168.0180502939</v>
          </cell>
          <cell r="M34">
            <v>0</v>
          </cell>
          <cell r="N34">
            <v>7830256.3593037501</v>
          </cell>
          <cell r="O34">
            <v>2309503.6606693915</v>
          </cell>
          <cell r="P34">
            <v>5520752.6986343581</v>
          </cell>
          <cell r="Q34">
            <v>0.1</v>
          </cell>
          <cell r="R34">
            <v>552075.26986343588</v>
          </cell>
          <cell r="T34">
            <v>2309503.6606693915</v>
          </cell>
          <cell r="U34">
            <v>0</v>
          </cell>
          <cell r="V34">
            <v>2309503.6606693915</v>
          </cell>
          <cell r="W34">
            <v>2309503.6606693915</v>
          </cell>
          <cell r="Y34">
            <v>2861578.9305328275</v>
          </cell>
          <cell r="Z34">
            <v>359978.87333517615</v>
          </cell>
        </row>
        <row r="35">
          <cell r="D35" t="str">
            <v>Smart $aver® Prescriptive - Motors/Pumps/VFD</v>
          </cell>
          <cell r="F35">
            <v>230329.63581806328</v>
          </cell>
          <cell r="G35">
            <v>22.160706172748359</v>
          </cell>
          <cell r="H35">
            <v>295</v>
          </cell>
          <cell r="J35">
            <v>16689.413615627745</v>
          </cell>
          <cell r="K35">
            <v>90172.57095692039</v>
          </cell>
          <cell r="L35">
            <v>18190.650390670336</v>
          </cell>
          <cell r="M35">
            <v>0</v>
          </cell>
          <cell r="N35">
            <v>125052.63496321847</v>
          </cell>
          <cell r="O35">
            <v>38758.969395278444</v>
          </cell>
          <cell r="P35">
            <v>86293.665567940028</v>
          </cell>
          <cell r="Q35">
            <v>0.1</v>
          </cell>
          <cell r="R35">
            <v>8629.3665567940025</v>
          </cell>
          <cell r="T35">
            <v>38758.969395278444</v>
          </cell>
          <cell r="U35">
            <v>0</v>
          </cell>
          <cell r="V35">
            <v>38758.969395278444</v>
          </cell>
          <cell r="W35">
            <v>38758.969395278444</v>
          </cell>
          <cell r="Y35">
            <v>47388.335952072448</v>
          </cell>
          <cell r="Z35">
            <v>6529.3756472159748</v>
          </cell>
        </row>
        <row r="36">
          <cell r="D36" t="str">
            <v>Smart $aver® Prescriptive - Process Equipment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5138.6884962071454</v>
          </cell>
          <cell r="P36">
            <v>-5138.6884962071454</v>
          </cell>
          <cell r="Q36">
            <v>0.1</v>
          </cell>
          <cell r="R36">
            <v>-513.86884962071451</v>
          </cell>
          <cell r="T36">
            <v>5138.6884962071454</v>
          </cell>
          <cell r="U36">
            <v>0</v>
          </cell>
          <cell r="V36">
            <v>5138.6884962071454</v>
          </cell>
          <cell r="W36">
            <v>5138.6884962071454</v>
          </cell>
          <cell r="Y36">
            <v>4624.8196465864312</v>
          </cell>
          <cell r="Z36">
            <v>2043.3504544999948</v>
          </cell>
        </row>
        <row r="37">
          <cell r="D37" t="str">
            <v>Total</v>
          </cell>
          <cell r="F37">
            <v>24575666.28622029</v>
          </cell>
          <cell r="G37">
            <v>4049.2127639043074</v>
          </cell>
          <cell r="H37">
            <v>4596105</v>
          </cell>
          <cell r="J37">
            <v>2808991.3813210456</v>
          </cell>
          <cell r="K37">
            <v>9046598.1579125207</v>
          </cell>
          <cell r="L37">
            <v>2054473.6065095596</v>
          </cell>
          <cell r="M37">
            <v>0</v>
          </cell>
          <cell r="N37">
            <v>13910063.145743124</v>
          </cell>
          <cell r="O37">
            <v>4203168.4905453827</v>
          </cell>
          <cell r="P37">
            <v>9706894.6551977415</v>
          </cell>
          <cell r="R37">
            <v>970689.46551977436</v>
          </cell>
          <cell r="T37">
            <v>4203168.4905453827</v>
          </cell>
          <cell r="U37">
            <v>32969.236490658834</v>
          </cell>
          <cell r="V37">
            <v>4236137.7270360412</v>
          </cell>
          <cell r="W37">
            <v>4236137.7270360412</v>
          </cell>
          <cell r="Y37">
            <v>5206827.1925558168</v>
          </cell>
          <cell r="Z37">
            <v>686683.16816439829</v>
          </cell>
        </row>
        <row r="40">
          <cell r="D40" t="str">
            <v>Power Manager® for Business</v>
          </cell>
          <cell r="F40">
            <v>16907.485726470732</v>
          </cell>
          <cell r="G40">
            <v>58.622168219767978</v>
          </cell>
          <cell r="H40">
            <v>18</v>
          </cell>
          <cell r="J40">
            <v>6090.2231916082164</v>
          </cell>
          <cell r="K40">
            <v>4022.302336539808</v>
          </cell>
          <cell r="L40">
            <v>4278.0957187885879</v>
          </cell>
          <cell r="M40">
            <v>0</v>
          </cell>
          <cell r="N40">
            <v>14390.621246936611</v>
          </cell>
          <cell r="O40">
            <v>46632.370028218589</v>
          </cell>
          <cell r="P40">
            <v>-32241.748781281978</v>
          </cell>
          <cell r="Q40">
            <v>0.1</v>
          </cell>
          <cell r="R40">
            <v>-3224.1748781281981</v>
          </cell>
          <cell r="T40">
            <v>46632.370028218589</v>
          </cell>
          <cell r="U40">
            <v>0</v>
          </cell>
          <cell r="V40">
            <v>46632.370028218589</v>
          </cell>
          <cell r="W40">
            <v>46632.370028218589</v>
          </cell>
          <cell r="Y40">
            <v>43408.195150090389</v>
          </cell>
          <cell r="Z40">
            <v>131.45269199999126</v>
          </cell>
        </row>
        <row r="41">
          <cell r="D41" t="str">
            <v>PowerShare®</v>
          </cell>
          <cell r="F41">
            <v>0</v>
          </cell>
          <cell r="G41">
            <v>18534.213641944651</v>
          </cell>
          <cell r="H41">
            <v>18</v>
          </cell>
          <cell r="J41">
            <v>1246185.6285000392</v>
          </cell>
          <cell r="K41">
            <v>0</v>
          </cell>
          <cell r="L41">
            <v>870713.48961895576</v>
          </cell>
          <cell r="M41">
            <v>0</v>
          </cell>
          <cell r="N41">
            <v>2116899.1181189949</v>
          </cell>
          <cell r="O41">
            <v>704535.22074364824</v>
          </cell>
          <cell r="P41">
            <v>1412363.8973753466</v>
          </cell>
          <cell r="Q41">
            <v>0.1</v>
          </cell>
          <cell r="R41">
            <v>141236.38973753466</v>
          </cell>
          <cell r="T41">
            <v>704535.22074364824</v>
          </cell>
          <cell r="U41">
            <v>4991.6448841991769</v>
          </cell>
          <cell r="V41">
            <v>709526.86562784738</v>
          </cell>
          <cell r="W41">
            <v>709526.86562784738</v>
          </cell>
          <cell r="Y41">
            <v>850763.25536538207</v>
          </cell>
          <cell r="Z41">
            <v>0</v>
          </cell>
        </row>
        <row r="42">
          <cell r="D42" t="str">
            <v>Total</v>
          </cell>
          <cell r="F42">
            <v>16907.485726470732</v>
          </cell>
          <cell r="G42">
            <v>18592.835810164419</v>
          </cell>
          <cell r="H42">
            <v>36</v>
          </cell>
          <cell r="J42">
            <v>1252275.8516916474</v>
          </cell>
          <cell r="K42">
            <v>4022.302336539808</v>
          </cell>
          <cell r="L42">
            <v>874991.58533774433</v>
          </cell>
          <cell r="M42">
            <v>0</v>
          </cell>
          <cell r="N42">
            <v>2131289.7393659316</v>
          </cell>
          <cell r="O42">
            <v>751167.59077186685</v>
          </cell>
          <cell r="P42">
            <v>1380122.1485940646</v>
          </cell>
          <cell r="R42">
            <v>138012.21485940646</v>
          </cell>
          <cell r="T42">
            <v>751167.59077186685</v>
          </cell>
          <cell r="U42">
            <v>4991.6448841991769</v>
          </cell>
          <cell r="V42">
            <v>756159.23565606598</v>
          </cell>
          <cell r="W42">
            <v>756159.23565606598</v>
          </cell>
          <cell r="Y42">
            <v>894171.45051547245</v>
          </cell>
          <cell r="Z42">
            <v>131.45269199999126</v>
          </cell>
        </row>
        <row r="45">
          <cell r="D45" t="str">
            <v>Payment Plus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Z45">
            <v>0</v>
          </cell>
        </row>
        <row r="46">
          <cell r="D46" t="str">
            <v>Total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Z46">
            <v>0</v>
          </cell>
        </row>
        <row r="48">
          <cell r="F48">
            <v>41003466.029628128</v>
          </cell>
          <cell r="G48">
            <v>40824.935468380005</v>
          </cell>
          <cell r="H48">
            <v>4903524</v>
          </cell>
          <cell r="J48">
            <v>5780210.3775213677</v>
          </cell>
          <cell r="K48">
            <v>11550955.128066828</v>
          </cell>
          <cell r="L48">
            <v>4314334.1020121817</v>
          </cell>
          <cell r="M48">
            <v>0</v>
          </cell>
          <cell r="N48">
            <v>21645499.607600376</v>
          </cell>
          <cell r="O48">
            <v>8081063.0983076049</v>
          </cell>
          <cell r="P48">
            <v>13564436.509292772</v>
          </cell>
          <cell r="R48">
            <v>1356443.6509292773</v>
          </cell>
          <cell r="T48">
            <v>8202949.129999999</v>
          </cell>
          <cell r="U48">
            <v>70667.750000000015</v>
          </cell>
          <cell r="V48">
            <v>8273616.879999999</v>
          </cell>
          <cell r="W48">
            <v>8273616.879999999</v>
          </cell>
          <cell r="Y48">
            <v>9630060.5309292767</v>
          </cell>
          <cell r="Z48">
            <v>2027444.2319286037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tabSelected="1" view="pageLayout" zoomScale="85" zoomScaleNormal="84" zoomScalePageLayoutView="85" workbookViewId="0">
      <selection activeCell="N1" sqref="N1"/>
    </sheetView>
  </sheetViews>
  <sheetFormatPr defaultColWidth="9.140625" defaultRowHeight="12.75" x14ac:dyDescent="0.2"/>
  <cols>
    <col min="1" max="1" width="57.42578125" style="46" customWidth="1"/>
    <col min="2" max="4" width="22.42578125" style="46" customWidth="1"/>
    <col min="5" max="5" width="18.42578125" style="46" customWidth="1"/>
    <col min="6" max="6" width="17.85546875" style="46" customWidth="1"/>
    <col min="7" max="7" width="17.5703125" style="46" customWidth="1"/>
    <col min="8" max="8" width="18.140625" style="46" customWidth="1"/>
    <col min="9" max="9" width="18.42578125" style="46" customWidth="1"/>
    <col min="10" max="10" width="12.140625" style="46" customWidth="1"/>
    <col min="11" max="11" width="15.85546875" style="46" customWidth="1"/>
    <col min="12" max="12" width="13.140625" style="46" customWidth="1"/>
    <col min="13" max="13" width="13.42578125" style="46" customWidth="1"/>
    <col min="14" max="14" width="12.42578125" style="46" customWidth="1"/>
    <col min="15" max="15" width="13.42578125" style="46" customWidth="1"/>
    <col min="16" max="16384" width="9.140625" style="46"/>
  </cols>
  <sheetData>
    <row r="1" spans="1:19" x14ac:dyDescent="0.2">
      <c r="S1" s="2"/>
    </row>
    <row r="2" spans="1:19" x14ac:dyDescent="0.2">
      <c r="O2" s="47"/>
    </row>
    <row r="3" spans="1:19" x14ac:dyDescent="0.2">
      <c r="E3" s="46" t="s">
        <v>0</v>
      </c>
    </row>
    <row r="4" spans="1:19" x14ac:dyDescent="0.2">
      <c r="S4" s="2"/>
    </row>
    <row r="5" spans="1:19" x14ac:dyDescent="0.2">
      <c r="E5" s="46" t="s">
        <v>1</v>
      </c>
      <c r="J5" s="47"/>
    </row>
    <row r="6" spans="1:19" x14ac:dyDescent="0.2">
      <c r="S6" s="2"/>
    </row>
    <row r="7" spans="1:19" x14ac:dyDescent="0.2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67</v>
      </c>
      <c r="M7" s="10" t="s">
        <v>68</v>
      </c>
      <c r="N7" s="10" t="s">
        <v>69</v>
      </c>
      <c r="O7" s="10" t="s">
        <v>70</v>
      </c>
    </row>
    <row r="8" spans="1:19" x14ac:dyDescent="0.2">
      <c r="A8" s="46" t="s">
        <v>21</v>
      </c>
      <c r="B8" s="44" t="s">
        <v>12</v>
      </c>
      <c r="C8" s="44" t="s">
        <v>63</v>
      </c>
      <c r="D8" s="44" t="s">
        <v>64</v>
      </c>
      <c r="E8" s="46" t="s">
        <v>13</v>
      </c>
      <c r="F8" s="47" t="s">
        <v>102</v>
      </c>
      <c r="H8" s="44" t="s">
        <v>65</v>
      </c>
      <c r="I8" s="44" t="s">
        <v>66</v>
      </c>
      <c r="J8" s="95">
        <v>2017</v>
      </c>
      <c r="K8" s="46" t="s">
        <v>141</v>
      </c>
      <c r="L8" s="46" t="s">
        <v>14</v>
      </c>
      <c r="N8" s="39" t="s">
        <v>15</v>
      </c>
      <c r="O8" s="39"/>
      <c r="S8" s="2"/>
    </row>
    <row r="9" spans="1:19" x14ac:dyDescent="0.2">
      <c r="B9" s="96" t="s">
        <v>145</v>
      </c>
      <c r="C9" s="11" t="str">
        <f>B9</f>
        <v>7/2017 to 6/2018 (A)</v>
      </c>
      <c r="D9" s="11" t="str">
        <f>C9</f>
        <v>7/2017 to 6/2018 (A)</v>
      </c>
      <c r="E9" s="33" t="s">
        <v>146</v>
      </c>
      <c r="F9" s="11" t="s">
        <v>16</v>
      </c>
      <c r="G9" s="11" t="s">
        <v>17</v>
      </c>
      <c r="H9" s="8" t="str">
        <f>E9</f>
        <v>7/2017 to 6/2018 (B)</v>
      </c>
      <c r="I9" s="8" t="str">
        <f>H9</f>
        <v>7/2017 to 6/2018 (B)</v>
      </c>
      <c r="J9" s="12" t="s">
        <v>22</v>
      </c>
      <c r="K9" s="12" t="s">
        <v>23</v>
      </c>
      <c r="L9" s="11" t="s">
        <v>16</v>
      </c>
      <c r="M9" s="11" t="s">
        <v>17</v>
      </c>
      <c r="N9" s="11" t="s">
        <v>18</v>
      </c>
      <c r="O9" s="11" t="s">
        <v>19</v>
      </c>
    </row>
    <row r="10" spans="1:19" x14ac:dyDescent="0.2">
      <c r="A10" s="46" t="s">
        <v>104</v>
      </c>
      <c r="B10" s="25">
        <v>0</v>
      </c>
      <c r="C10" s="25">
        <v>15695.404586207498</v>
      </c>
      <c r="D10" s="25">
        <v>0</v>
      </c>
      <c r="E10" s="25">
        <v>0</v>
      </c>
      <c r="F10" s="2">
        <v>0</v>
      </c>
      <c r="G10" s="74">
        <v>0</v>
      </c>
      <c r="H10" s="25">
        <v>12051.717574236667</v>
      </c>
      <c r="I10" s="25">
        <v>0</v>
      </c>
      <c r="L10" s="44"/>
      <c r="M10" s="44"/>
      <c r="N10" s="44"/>
      <c r="O10" s="44"/>
      <c r="Q10" s="1"/>
      <c r="S10" s="9"/>
    </row>
    <row r="11" spans="1:19" x14ac:dyDescent="0.2">
      <c r="A11" s="46" t="s">
        <v>105</v>
      </c>
      <c r="B11" s="25">
        <v>275930.21939109341</v>
      </c>
      <c r="C11" s="25">
        <v>67148.185501249638</v>
      </c>
      <c r="D11" s="25">
        <v>-494.81455283288381</v>
      </c>
      <c r="E11" s="25">
        <v>155368.18341846106</v>
      </c>
      <c r="F11" s="2">
        <v>33228.076216367823</v>
      </c>
      <c r="G11" s="74">
        <v>122140.10720209325</v>
      </c>
      <c r="H11" s="25">
        <v>47616.513897649143</v>
      </c>
      <c r="I11" s="25">
        <v>1910.3032100227663</v>
      </c>
      <c r="L11" s="44"/>
      <c r="M11" s="44"/>
      <c r="N11" s="44"/>
      <c r="O11" s="44"/>
      <c r="Q11" s="1"/>
      <c r="S11" s="9"/>
    </row>
    <row r="12" spans="1:19" x14ac:dyDescent="0.2">
      <c r="A12" s="46" t="s">
        <v>107</v>
      </c>
      <c r="B12" s="25">
        <v>306206.32553488237</v>
      </c>
      <c r="C12" s="25">
        <v>37486.092883451245</v>
      </c>
      <c r="D12" s="25">
        <v>-15050.823708734595</v>
      </c>
      <c r="E12" s="25">
        <v>221100.44868847847</v>
      </c>
      <c r="F12" s="2">
        <v>0</v>
      </c>
      <c r="G12" s="74">
        <v>221100.44868847847</v>
      </c>
      <c r="H12" s="25">
        <v>28799.723731152502</v>
      </c>
      <c r="I12" s="25">
        <v>-9555.8369762318016</v>
      </c>
      <c r="L12" s="44"/>
      <c r="M12" s="44"/>
      <c r="N12" s="44"/>
      <c r="O12" s="44"/>
    </row>
    <row r="13" spans="1:19" x14ac:dyDescent="0.2">
      <c r="A13" s="1" t="s">
        <v>108</v>
      </c>
      <c r="B13" s="25">
        <v>925461.11754812743</v>
      </c>
      <c r="C13" s="25">
        <v>51904.873754000007</v>
      </c>
      <c r="D13" s="25">
        <v>-46166.703785544261</v>
      </c>
      <c r="E13" s="25">
        <v>431010.63350903697</v>
      </c>
      <c r="F13" s="2">
        <v>187755.98703454246</v>
      </c>
      <c r="G13" s="74">
        <v>243254.64647449451</v>
      </c>
      <c r="H13" s="25">
        <v>29438.049523083318</v>
      </c>
      <c r="I13" s="25">
        <v>-16091.127462443204</v>
      </c>
      <c r="L13" s="44"/>
      <c r="M13" s="44"/>
      <c r="N13" s="44"/>
      <c r="O13" s="44"/>
    </row>
    <row r="14" spans="1:19" x14ac:dyDescent="0.2">
      <c r="A14" s="46" t="s">
        <v>106</v>
      </c>
      <c r="B14" s="59">
        <v>798060.60557434137</v>
      </c>
      <c r="C14" s="59">
        <v>706255.63893527025</v>
      </c>
      <c r="D14" s="59">
        <v>25078.06615574914</v>
      </c>
      <c r="E14" s="25">
        <v>372000.82752700814</v>
      </c>
      <c r="F14" s="2">
        <v>0</v>
      </c>
      <c r="G14" s="74">
        <v>372000.82752700814</v>
      </c>
      <c r="H14" s="25">
        <v>395322.7049689141</v>
      </c>
      <c r="I14" s="25">
        <v>25456.312677564514</v>
      </c>
      <c r="L14" s="44"/>
      <c r="M14" s="44"/>
      <c r="N14" s="44"/>
      <c r="O14" s="44"/>
    </row>
    <row r="15" spans="1:19" x14ac:dyDescent="0.2">
      <c r="A15" s="1" t="s">
        <v>109</v>
      </c>
      <c r="B15" s="25">
        <v>276409.6080621914</v>
      </c>
      <c r="C15" s="25">
        <v>79983.784613144438</v>
      </c>
      <c r="D15" s="25">
        <v>8280.3077466369778</v>
      </c>
      <c r="E15" s="25">
        <v>136433.39728281312</v>
      </c>
      <c r="F15" s="2">
        <v>0</v>
      </c>
      <c r="G15" s="74">
        <v>136433.39728281312</v>
      </c>
      <c r="H15" s="25">
        <v>46714.159750650535</v>
      </c>
      <c r="I15" s="25">
        <v>7163.9700490598862</v>
      </c>
      <c r="L15" s="44"/>
      <c r="M15" s="44"/>
      <c r="N15" s="44"/>
      <c r="O15" s="44"/>
    </row>
    <row r="16" spans="1:19" x14ac:dyDescent="0.2">
      <c r="A16" s="46" t="s">
        <v>103</v>
      </c>
      <c r="B16" s="59">
        <v>2503270.8329384848</v>
      </c>
      <c r="C16" s="59">
        <v>1026019.598252464</v>
      </c>
      <c r="D16" s="59">
        <v>85565.209553489796</v>
      </c>
      <c r="E16" s="25">
        <v>1446169.6359598385</v>
      </c>
      <c r="F16" s="2">
        <v>0</v>
      </c>
      <c r="G16" s="74">
        <v>1446169.6359598385</v>
      </c>
      <c r="H16" s="25">
        <v>780686.74162651924</v>
      </c>
      <c r="I16" s="25">
        <v>126113.03720510432</v>
      </c>
      <c r="L16" s="44"/>
      <c r="M16" s="44"/>
      <c r="N16" s="44"/>
      <c r="O16" s="44"/>
    </row>
    <row r="17" spans="1:15" x14ac:dyDescent="0.2">
      <c r="A17" s="46" t="s">
        <v>133</v>
      </c>
      <c r="B17" s="59">
        <v>706921.89724194922</v>
      </c>
      <c r="C17" s="59">
        <v>0</v>
      </c>
      <c r="D17" s="59">
        <v>840875.70664112514</v>
      </c>
      <c r="E17" s="25">
        <v>527635.84185925953</v>
      </c>
      <c r="F17" s="2">
        <v>0</v>
      </c>
      <c r="G17" s="74">
        <v>527635.84185925953</v>
      </c>
      <c r="H17" s="25">
        <f>VLOOKUP($A17,[1]Programs!$D$13:$Z$48,23,FALSE)</f>
        <v>0</v>
      </c>
      <c r="I17" s="25">
        <v>111905.40675331969</v>
      </c>
      <c r="L17" s="44"/>
      <c r="M17" s="44"/>
      <c r="N17" s="44"/>
      <c r="O17" s="44"/>
    </row>
    <row r="18" spans="1:15" x14ac:dyDescent="0.2">
      <c r="A18" s="46" t="s">
        <v>134</v>
      </c>
      <c r="B18" s="59">
        <v>58552.412434162354</v>
      </c>
      <c r="C18" s="59">
        <v>0</v>
      </c>
      <c r="D18" s="59">
        <v>5794.775116994123</v>
      </c>
      <c r="E18" s="25">
        <v>-8399.0509370046166</v>
      </c>
      <c r="F18" s="2">
        <v>0</v>
      </c>
      <c r="G18" s="74">
        <v>-8399.0509370046166</v>
      </c>
      <c r="H18" s="25">
        <f>VLOOKUP($A18,[1]Programs!$D$13:$Z$48,23,FALSE)</f>
        <v>0</v>
      </c>
      <c r="I18" s="25">
        <v>839.90509370046175</v>
      </c>
      <c r="L18" s="44"/>
      <c r="M18" s="44"/>
      <c r="N18" s="44"/>
      <c r="O18" s="44"/>
    </row>
    <row r="19" spans="1:15" x14ac:dyDescent="0.2">
      <c r="A19" s="79" t="s">
        <v>138</v>
      </c>
      <c r="B19" s="25">
        <v>258400.8</v>
      </c>
      <c r="C19" s="25"/>
      <c r="D19" s="25"/>
      <c r="E19" s="25">
        <v>214094.69</v>
      </c>
      <c r="F19" s="25">
        <v>89662.40016431667</v>
      </c>
      <c r="G19" s="25">
        <v>124432.28983568333</v>
      </c>
      <c r="H19" s="25"/>
      <c r="I19" s="25"/>
      <c r="L19" s="25">
        <v>109472.79999999999</v>
      </c>
      <c r="M19" s="25">
        <v>151924.9</v>
      </c>
      <c r="N19" s="43"/>
      <c r="O19" s="43"/>
    </row>
    <row r="20" spans="1:15" x14ac:dyDescent="0.2">
      <c r="A20" s="80" t="s">
        <v>117</v>
      </c>
      <c r="B20" s="25"/>
      <c r="C20" s="25"/>
      <c r="D20" s="25"/>
      <c r="E20" s="25"/>
      <c r="F20" s="25"/>
      <c r="G20" s="42"/>
      <c r="H20" s="25"/>
      <c r="I20" s="25"/>
      <c r="L20" s="25">
        <v>-1472705.8199999994</v>
      </c>
      <c r="M20" s="25">
        <v>9903602.4399999976</v>
      </c>
      <c r="N20" s="44"/>
      <c r="O20" s="44"/>
    </row>
    <row r="21" spans="1:15" x14ac:dyDescent="0.2">
      <c r="A21" s="34" t="s">
        <v>33</v>
      </c>
      <c r="B21" s="36">
        <f>SUM(B10:B20)</f>
        <v>6109213.818725232</v>
      </c>
      <c r="C21" s="36">
        <f>SUM(C10:C20)</f>
        <v>1984493.5785257872</v>
      </c>
      <c r="D21" s="36">
        <f>SUM(D10:D20)</f>
        <v>903881.72316688346</v>
      </c>
      <c r="E21" s="36">
        <f>SUM(E10:E20)</f>
        <v>3495414.6073078918</v>
      </c>
      <c r="F21" s="36">
        <f t="shared" ref="F21:I21" si="0">SUM(F10:F20)</f>
        <v>310646.46341522696</v>
      </c>
      <c r="G21" s="36">
        <f t="shared" si="0"/>
        <v>3184768.1438926649</v>
      </c>
      <c r="H21" s="36">
        <f t="shared" si="0"/>
        <v>1340629.6110722055</v>
      </c>
      <c r="I21" s="36">
        <f t="shared" si="0"/>
        <v>247741.97055009662</v>
      </c>
      <c r="J21" s="97">
        <v>-2724718.8571349704</v>
      </c>
      <c r="K21" s="97">
        <v>46143.641461836174</v>
      </c>
      <c r="L21" s="35">
        <f>L19+L20</f>
        <v>-1363233.0199999993</v>
      </c>
      <c r="M21" s="35">
        <f>M19+M20</f>
        <v>10055527.339999998</v>
      </c>
      <c r="N21" s="35">
        <f>F21+J21-L21</f>
        <v>-1050839.3737197442</v>
      </c>
      <c r="O21" s="35">
        <f>G21+H21+I21+K21-M21</f>
        <v>-5236243.9730231948</v>
      </c>
    </row>
    <row r="22" spans="1:15" x14ac:dyDescent="0.2">
      <c r="C22" s="14"/>
      <c r="E22" s="3"/>
      <c r="H22" s="3"/>
      <c r="I22" s="3"/>
    </row>
    <row r="23" spans="1:15" x14ac:dyDescent="0.2">
      <c r="A23" s="47" t="s">
        <v>144</v>
      </c>
      <c r="I23" s="2"/>
    </row>
    <row r="24" spans="1:15" x14ac:dyDescent="0.2">
      <c r="A24" s="47" t="s">
        <v>147</v>
      </c>
      <c r="H24" s="3"/>
      <c r="J24" s="47"/>
      <c r="K24" s="26"/>
      <c r="L24" s="2"/>
      <c r="M24" s="2"/>
    </row>
    <row r="25" spans="1:15" x14ac:dyDescent="0.2">
      <c r="A25" s="47" t="s">
        <v>131</v>
      </c>
      <c r="H25" s="7"/>
      <c r="I25" s="3"/>
      <c r="J25" s="47"/>
      <c r="L25" s="2"/>
      <c r="M25" s="2"/>
    </row>
    <row r="26" spans="1:15" x14ac:dyDescent="0.2">
      <c r="A26" s="47" t="s">
        <v>118</v>
      </c>
      <c r="E26" s="3"/>
      <c r="H26" s="7"/>
      <c r="L26" s="2"/>
      <c r="M26" s="2"/>
    </row>
    <row r="27" spans="1:15" x14ac:dyDescent="0.2">
      <c r="A27" s="47" t="s">
        <v>119</v>
      </c>
      <c r="H27" s="3"/>
    </row>
    <row r="28" spans="1:15" x14ac:dyDescent="0.2">
      <c r="A28" s="47" t="s">
        <v>148</v>
      </c>
      <c r="H28" s="7"/>
    </row>
    <row r="29" spans="1:15" x14ac:dyDescent="0.2">
      <c r="A29" s="46" t="s">
        <v>71</v>
      </c>
      <c r="H29" s="7"/>
    </row>
    <row r="30" spans="1:15" x14ac:dyDescent="0.2">
      <c r="A30" s="46" t="s">
        <v>72</v>
      </c>
      <c r="H30" s="3"/>
      <c r="M30" s="1"/>
    </row>
    <row r="31" spans="1:15" x14ac:dyDescent="0.2">
      <c r="A31" s="47" t="s">
        <v>137</v>
      </c>
      <c r="H31" s="3"/>
    </row>
    <row r="32" spans="1:15" x14ac:dyDescent="0.2">
      <c r="A32" s="47"/>
      <c r="H32" s="3"/>
    </row>
    <row r="33" spans="1:26" x14ac:dyDescent="0.2">
      <c r="E33" s="15"/>
      <c r="F33" s="15"/>
      <c r="G33" s="15"/>
      <c r="H33" s="15"/>
      <c r="I33" s="15"/>
      <c r="J33" s="15"/>
    </row>
    <row r="34" spans="1:26" x14ac:dyDescent="0.2">
      <c r="B34" s="10" t="s">
        <v>2</v>
      </c>
      <c r="C34" s="10" t="s">
        <v>3</v>
      </c>
      <c r="D34" s="10" t="s">
        <v>4</v>
      </c>
      <c r="E34" s="16" t="s">
        <v>5</v>
      </c>
      <c r="F34" s="16" t="s">
        <v>6</v>
      </c>
      <c r="G34" s="16" t="s">
        <v>7</v>
      </c>
      <c r="H34" s="16" t="s">
        <v>8</v>
      </c>
      <c r="I34" s="16" t="s">
        <v>9</v>
      </c>
      <c r="J34" s="16" t="s">
        <v>10</v>
      </c>
      <c r="Q34" s="10"/>
      <c r="R34" s="10"/>
      <c r="T34" s="10"/>
      <c r="U34" s="10"/>
      <c r="W34" s="10"/>
      <c r="X34" s="10"/>
    </row>
    <row r="35" spans="1:26" x14ac:dyDescent="0.2">
      <c r="A35" s="46" t="s">
        <v>24</v>
      </c>
      <c r="B35" s="46" t="s">
        <v>12</v>
      </c>
      <c r="C35" s="44" t="s">
        <v>63</v>
      </c>
      <c r="D35" s="44" t="s">
        <v>64</v>
      </c>
      <c r="E35" s="46" t="s">
        <v>13</v>
      </c>
      <c r="F35" s="44" t="s">
        <v>65</v>
      </c>
      <c r="G35" s="44" t="s">
        <v>66</v>
      </c>
      <c r="H35" s="13">
        <f>J8</f>
        <v>2017</v>
      </c>
      <c r="I35" s="44" t="s">
        <v>25</v>
      </c>
      <c r="J35" s="40" t="s">
        <v>116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B36" s="11" t="str">
        <f>B9</f>
        <v>7/2017 to 6/2018 (A)</v>
      </c>
      <c r="C36" s="11" t="str">
        <f>B36</f>
        <v>7/2017 to 6/2018 (A)</v>
      </c>
      <c r="D36" s="11" t="str">
        <f>C36</f>
        <v>7/2017 to 6/2018 (A)</v>
      </c>
      <c r="E36" s="8" t="str">
        <f>E9</f>
        <v>7/2017 to 6/2018 (B)</v>
      </c>
      <c r="F36" s="8" t="str">
        <f>E36</f>
        <v>7/2017 to 6/2018 (B)</v>
      </c>
      <c r="G36" s="8" t="str">
        <f>F36</f>
        <v>7/2017 to 6/2018 (B)</v>
      </c>
      <c r="H36" s="11" t="s">
        <v>26</v>
      </c>
      <c r="I36" s="11" t="s">
        <v>27</v>
      </c>
      <c r="J36" s="17" t="s">
        <v>73</v>
      </c>
      <c r="K36" s="1"/>
      <c r="L36" s="1"/>
      <c r="M36" s="13"/>
      <c r="N36" s="1"/>
      <c r="O36" s="13"/>
      <c r="P36" s="1"/>
      <c r="Q36" s="13"/>
      <c r="R36" s="13"/>
      <c r="S36" s="1"/>
      <c r="T36" s="13"/>
      <c r="U36" s="13"/>
      <c r="V36" s="1"/>
      <c r="W36" s="13"/>
      <c r="X36" s="13"/>
      <c r="Y36" s="1"/>
      <c r="Z36" s="1"/>
    </row>
    <row r="37" spans="1:26" s="1" customFormat="1" x14ac:dyDescent="0.2">
      <c r="A37" s="24" t="s">
        <v>130</v>
      </c>
      <c r="B37" s="25">
        <v>1077726.0823003973</v>
      </c>
      <c r="C37" s="25">
        <v>232138.63871019834</v>
      </c>
      <c r="D37" s="25">
        <v>127508.01861140679</v>
      </c>
      <c r="E37" s="25">
        <v>883114.5803190578</v>
      </c>
      <c r="F37" s="25">
        <v>166750.72786697838</v>
      </c>
      <c r="G37" s="25">
        <v>111407.67762072166</v>
      </c>
      <c r="H37" s="20"/>
      <c r="I37" s="20"/>
      <c r="K37" s="19"/>
      <c r="L37" s="20"/>
      <c r="M37" s="9"/>
      <c r="Q37" s="9"/>
      <c r="R37" s="5"/>
      <c r="T37" s="13"/>
      <c r="U37" s="13"/>
      <c r="W37" s="13"/>
      <c r="X37" s="13"/>
    </row>
    <row r="38" spans="1:26" x14ac:dyDescent="0.2">
      <c r="A38" s="47" t="s">
        <v>110</v>
      </c>
      <c r="B38" s="25">
        <v>435565.39358705905</v>
      </c>
      <c r="C38" s="25">
        <v>109613.82679573265</v>
      </c>
      <c r="D38" s="25">
        <v>64888.824730854627</v>
      </c>
      <c r="E38" s="25">
        <v>841404.1181561324</v>
      </c>
      <c r="F38" s="25">
        <v>133475.21484934649</v>
      </c>
      <c r="G38" s="25">
        <v>291227.9188481124</v>
      </c>
      <c r="H38" s="18"/>
      <c r="I38" s="18"/>
      <c r="J38" s="1"/>
      <c r="K38" s="19"/>
      <c r="L38" s="19"/>
      <c r="M38" s="9"/>
      <c r="N38" s="1"/>
      <c r="O38" s="1"/>
      <c r="P38" s="1"/>
      <c r="Q38" s="9"/>
      <c r="R38" s="5"/>
      <c r="S38" s="1"/>
      <c r="T38" s="13"/>
      <c r="U38" s="13"/>
      <c r="V38" s="1"/>
      <c r="W38" s="13"/>
      <c r="X38" s="13"/>
      <c r="Y38" s="1"/>
      <c r="Z38" s="1"/>
    </row>
    <row r="39" spans="1:26" x14ac:dyDescent="0.2">
      <c r="A39" s="51" t="s">
        <v>142</v>
      </c>
      <c r="B39" s="59">
        <v>44593.426116550756</v>
      </c>
      <c r="C39" s="59">
        <v>14275.523694291016</v>
      </c>
      <c r="D39" s="59">
        <v>6908.3347440135549</v>
      </c>
      <c r="E39" s="25">
        <v>0</v>
      </c>
      <c r="F39" s="25">
        <v>0</v>
      </c>
      <c r="G39" s="25">
        <v>0</v>
      </c>
      <c r="H39" s="20"/>
      <c r="I39" s="20"/>
      <c r="J39" s="1"/>
      <c r="K39" s="1"/>
      <c r="L39" s="1"/>
      <c r="M39" s="13"/>
      <c r="N39" s="1"/>
      <c r="O39" s="13"/>
      <c r="P39" s="1"/>
      <c r="Q39" s="13"/>
      <c r="R39" s="13"/>
      <c r="S39" s="1"/>
      <c r="T39" s="13"/>
      <c r="U39" s="13"/>
      <c r="V39" s="1"/>
      <c r="W39" s="13"/>
      <c r="X39" s="13"/>
      <c r="Y39" s="1"/>
      <c r="Z39" s="1"/>
    </row>
    <row r="40" spans="1:26" x14ac:dyDescent="0.2">
      <c r="A40" s="46" t="s">
        <v>111</v>
      </c>
      <c r="B40" s="25">
        <v>40176.525262944822</v>
      </c>
      <c r="C40" s="25">
        <v>14710.87545338091</v>
      </c>
      <c r="D40" s="25">
        <v>7236.1886897543291</v>
      </c>
      <c r="E40" s="25">
        <v>44817.102308289614</v>
      </c>
      <c r="F40" s="25">
        <v>6994.6126089480176</v>
      </c>
      <c r="G40" s="25">
        <v>5715.688576204273</v>
      </c>
      <c r="H40" s="18"/>
      <c r="I40" s="18"/>
      <c r="J40" s="1"/>
      <c r="K40" s="19"/>
      <c r="L40" s="20"/>
      <c r="M40" s="9"/>
      <c r="N40" s="1"/>
      <c r="O40" s="1"/>
      <c r="P40" s="1"/>
      <c r="Q40" s="9"/>
      <c r="R40" s="5"/>
      <c r="S40" s="1"/>
      <c r="T40" s="13"/>
      <c r="U40" s="13"/>
      <c r="V40" s="1"/>
      <c r="W40" s="13"/>
      <c r="X40" s="13"/>
      <c r="Y40" s="1"/>
      <c r="Z40" s="1"/>
    </row>
    <row r="41" spans="1:26" x14ac:dyDescent="0.2">
      <c r="A41" s="46" t="s">
        <v>112</v>
      </c>
      <c r="B41" s="25">
        <v>224262.38915105158</v>
      </c>
      <c r="C41" s="25">
        <v>27306.366074427246</v>
      </c>
      <c r="D41" s="25">
        <v>20926.309652809563</v>
      </c>
      <c r="E41" s="25">
        <v>107753.23157966544</v>
      </c>
      <c r="F41" s="25">
        <v>10907.793231625314</v>
      </c>
      <c r="G41" s="25">
        <v>2712.1505153286912</v>
      </c>
      <c r="H41" s="18"/>
      <c r="I41" s="18"/>
      <c r="J41" s="1"/>
      <c r="K41" s="19"/>
      <c r="L41" s="20"/>
      <c r="M41" s="9"/>
      <c r="N41" s="1"/>
      <c r="O41" s="1"/>
      <c r="P41" s="1"/>
      <c r="Q41" s="9"/>
      <c r="R41" s="5"/>
      <c r="S41" s="1"/>
      <c r="T41" s="13"/>
      <c r="U41" s="13"/>
      <c r="V41" s="1"/>
      <c r="W41" s="13"/>
      <c r="X41" s="13"/>
      <c r="Y41" s="1"/>
      <c r="Z41" s="1"/>
    </row>
    <row r="42" spans="1:26" s="1" customFormat="1" x14ac:dyDescent="0.2">
      <c r="A42" s="24" t="s">
        <v>120</v>
      </c>
      <c r="B42" s="25">
        <v>15537.377815291113</v>
      </c>
      <c r="C42" s="25">
        <v>5271.9884514945952</v>
      </c>
      <c r="D42" s="25">
        <v>-1552.9582367741314</v>
      </c>
      <c r="E42" s="25">
        <v>5647.376112019735</v>
      </c>
      <c r="F42" s="25">
        <v>3.2201706080308536</v>
      </c>
      <c r="G42" s="25">
        <v>-564.73761120197355</v>
      </c>
      <c r="H42" s="20"/>
      <c r="I42" s="20"/>
      <c r="K42" s="19"/>
      <c r="L42" s="20"/>
      <c r="M42" s="9"/>
      <c r="Q42" s="9"/>
      <c r="R42" s="5"/>
      <c r="T42" s="13"/>
      <c r="U42" s="13"/>
      <c r="W42" s="13"/>
      <c r="X42" s="13"/>
    </row>
    <row r="43" spans="1:26" x14ac:dyDescent="0.2">
      <c r="A43" s="46" t="s">
        <v>113</v>
      </c>
      <c r="B43" s="25">
        <v>1223635.904417278</v>
      </c>
      <c r="C43" s="25">
        <v>283246.94510316709</v>
      </c>
      <c r="D43" s="25">
        <v>125606.82563781904</v>
      </c>
      <c r="E43" s="25">
        <v>2309503.6606693915</v>
      </c>
      <c r="F43" s="25">
        <v>359978.87333517615</v>
      </c>
      <c r="G43" s="25">
        <v>552075.26986343588</v>
      </c>
      <c r="H43" s="18"/>
      <c r="I43" s="18"/>
      <c r="J43" s="1"/>
      <c r="K43" s="19"/>
      <c r="L43" s="20"/>
      <c r="M43" s="9"/>
      <c r="N43" s="1"/>
      <c r="O43" s="1"/>
      <c r="P43" s="1"/>
      <c r="Q43" s="9"/>
      <c r="R43" s="5"/>
      <c r="S43" s="1"/>
      <c r="T43" s="13"/>
      <c r="U43" s="13"/>
      <c r="V43" s="1"/>
      <c r="W43" s="13"/>
      <c r="X43" s="13"/>
      <c r="Y43" s="1"/>
      <c r="Z43" s="1"/>
    </row>
    <row r="44" spans="1:26" x14ac:dyDescent="0.2">
      <c r="A44" s="1" t="s">
        <v>114</v>
      </c>
      <c r="B44" s="25">
        <v>30337.051174108896</v>
      </c>
      <c r="C44" s="25">
        <v>10489.299064316265</v>
      </c>
      <c r="D44" s="25">
        <v>3034.2956107407863</v>
      </c>
      <c r="E44" s="25">
        <v>38758.969395278444</v>
      </c>
      <c r="F44" s="25">
        <v>6529.3756472159748</v>
      </c>
      <c r="G44" s="25">
        <v>8629.3665567940025</v>
      </c>
      <c r="H44" s="20"/>
      <c r="I44" s="20"/>
      <c r="J44" s="1"/>
      <c r="K44" s="19"/>
      <c r="L44" s="20"/>
      <c r="M44" s="9"/>
      <c r="N44" s="1"/>
      <c r="O44" s="1"/>
      <c r="P44" s="1"/>
      <c r="Q44" s="9"/>
      <c r="R44" s="5"/>
      <c r="S44" s="1"/>
      <c r="T44" s="13"/>
      <c r="U44" s="13"/>
      <c r="V44" s="1"/>
      <c r="W44" s="13"/>
      <c r="X44" s="13"/>
      <c r="Y44" s="1"/>
      <c r="Z44" s="1"/>
    </row>
    <row r="45" spans="1:26" s="1" customFormat="1" x14ac:dyDescent="0.2">
      <c r="A45" s="24" t="s">
        <v>115</v>
      </c>
      <c r="B45" s="25">
        <v>9832.3468693993636</v>
      </c>
      <c r="C45" s="25">
        <v>2331.4590290056281</v>
      </c>
      <c r="D45" s="25">
        <v>-983.2345573830288</v>
      </c>
      <c r="E45" s="25">
        <v>5138.6884962071454</v>
      </c>
      <c r="F45" s="25">
        <v>2043.3504544999948</v>
      </c>
      <c r="G45" s="25">
        <v>-513.86884962071451</v>
      </c>
      <c r="H45" s="20"/>
      <c r="I45" s="20"/>
      <c r="K45" s="19"/>
      <c r="L45" s="20"/>
      <c r="M45" s="9"/>
      <c r="Q45" s="9"/>
      <c r="R45" s="5"/>
      <c r="T45" s="13"/>
      <c r="U45" s="13"/>
      <c r="W45" s="13"/>
      <c r="X45" s="13"/>
    </row>
    <row r="46" spans="1:26" x14ac:dyDescent="0.2">
      <c r="A46" s="46" t="s">
        <v>136</v>
      </c>
      <c r="B46" s="59">
        <v>143872.4467410254</v>
      </c>
      <c r="C46" s="59">
        <v>6905.9776733333256</v>
      </c>
      <c r="D46" s="59">
        <v>-2020.7260789674738</v>
      </c>
      <c r="E46" s="25">
        <v>46632.370028218589</v>
      </c>
      <c r="F46" s="25">
        <v>131.45269199999126</v>
      </c>
      <c r="G46" s="25">
        <v>-3224.1748781281981</v>
      </c>
      <c r="H46" s="20"/>
      <c r="I46" s="20"/>
      <c r="J46" s="1"/>
      <c r="K46" s="1"/>
      <c r="L46" s="1"/>
      <c r="M46" s="13"/>
      <c r="N46" s="1"/>
      <c r="O46" s="13"/>
      <c r="P46" s="1"/>
      <c r="Q46" s="13"/>
      <c r="R46" s="13"/>
      <c r="S46" s="1"/>
      <c r="T46" s="13"/>
      <c r="U46" s="13"/>
      <c r="V46" s="1"/>
      <c r="W46" s="13"/>
      <c r="X46" s="13"/>
      <c r="Y46" s="1"/>
      <c r="Z46" s="1"/>
    </row>
    <row r="47" spans="1:26" x14ac:dyDescent="0.2">
      <c r="A47" s="38" t="s">
        <v>33</v>
      </c>
      <c r="B47" s="35">
        <f t="shared" ref="B47:G47" si="1">SUM(B37:B46)</f>
        <v>3245538.9434351064</v>
      </c>
      <c r="C47" s="35">
        <f t="shared" si="1"/>
        <v>706290.9000493472</v>
      </c>
      <c r="D47" s="35">
        <f t="shared" si="1"/>
        <v>351551.87880427408</v>
      </c>
      <c r="E47" s="35">
        <f t="shared" si="1"/>
        <v>4282770.0970642595</v>
      </c>
      <c r="F47" s="35">
        <f t="shared" si="1"/>
        <v>686814.62085639825</v>
      </c>
      <c r="G47" s="35">
        <f t="shared" si="1"/>
        <v>967465.29064164613</v>
      </c>
      <c r="H47" s="98">
        <v>5576651.0136276353</v>
      </c>
      <c r="I47" s="35">
        <v>5490905.8042020006</v>
      </c>
      <c r="J47" s="81">
        <f>E47+F47+G47+H47-I47</f>
        <v>6022795.2179879369</v>
      </c>
    </row>
    <row r="48" spans="1:26" x14ac:dyDescent="0.2">
      <c r="A48" s="8"/>
      <c r="B48" s="66"/>
      <c r="C48" s="8"/>
      <c r="D48" s="8"/>
      <c r="E48" s="8"/>
      <c r="F48" s="66"/>
      <c r="G48" s="66"/>
      <c r="H48" s="33"/>
      <c r="I48" s="8"/>
      <c r="J48" s="8"/>
    </row>
    <row r="49" spans="1:26" x14ac:dyDescent="0.2">
      <c r="A49" s="24" t="s">
        <v>135</v>
      </c>
      <c r="B49" s="59">
        <v>924918.87350372632</v>
      </c>
      <c r="C49" s="59">
        <v>0</v>
      </c>
      <c r="D49" s="59">
        <v>80183.071137599851</v>
      </c>
      <c r="E49" s="25">
        <f>VLOOKUP($A49,[1]Programs!$D$13:$V$48,19,FALSE)</f>
        <v>709526.86562784738</v>
      </c>
      <c r="F49" s="25">
        <f>VLOOKUP($A49,[1]Programs!$D$13:$Z$48,23,FALSE)</f>
        <v>0</v>
      </c>
      <c r="G49" s="25">
        <f>VLOOKUP($A49,[1]Programs!$D$13:$Z$48,15,FALSE)</f>
        <v>141236.38973753466</v>
      </c>
      <c r="H49" s="99">
        <v>178273.48502520757</v>
      </c>
      <c r="I49" s="5">
        <v>463782.06133200001</v>
      </c>
      <c r="J49" s="82">
        <f>E49+F49+G49+H49-I49</f>
        <v>565254.67905858974</v>
      </c>
      <c r="K49" s="19"/>
      <c r="L49" s="20"/>
      <c r="M49" s="9"/>
      <c r="N49" s="1"/>
      <c r="O49" s="1"/>
      <c r="P49" s="1"/>
      <c r="Q49" s="9"/>
      <c r="R49" s="5"/>
      <c r="S49" s="1"/>
      <c r="T49" s="13"/>
      <c r="U49" s="13"/>
      <c r="V49" s="1"/>
      <c r="W49" s="13"/>
      <c r="X49" s="13"/>
      <c r="Y49" s="1"/>
      <c r="Z49" s="1"/>
    </row>
    <row r="50" spans="1:26" x14ac:dyDescent="0.2">
      <c r="A50" s="24"/>
      <c r="B50" s="37"/>
      <c r="C50" s="37"/>
      <c r="D50" s="37"/>
      <c r="E50" s="9"/>
      <c r="F50" s="9"/>
      <c r="G50" s="9"/>
      <c r="H50" s="20"/>
      <c r="I50" s="20"/>
      <c r="J50" s="1"/>
      <c r="K50" s="19"/>
      <c r="L50" s="20"/>
      <c r="M50" s="9"/>
      <c r="N50" s="1"/>
      <c r="O50" s="1"/>
      <c r="P50" s="1"/>
      <c r="Q50" s="9"/>
      <c r="R50" s="5"/>
      <c r="S50" s="1"/>
      <c r="T50" s="13"/>
      <c r="U50" s="13"/>
      <c r="V50" s="1"/>
      <c r="W50" s="13"/>
      <c r="X50" s="13"/>
      <c r="Y50" s="1"/>
      <c r="Z50" s="1"/>
    </row>
    <row r="51" spans="1:26" x14ac:dyDescent="0.2">
      <c r="A51" s="47" t="str">
        <f>A23</f>
        <v>(A) Amounts identified in report filed in Case No. 2015-00368 and Case No. 2016-00289.</v>
      </c>
      <c r="E51" s="3"/>
      <c r="F51" s="3"/>
      <c r="G51" s="3"/>
    </row>
    <row r="52" spans="1:26" x14ac:dyDescent="0.2">
      <c r="A52" s="46" t="str">
        <f>A24</f>
        <v>(B) Actual program expenditures, lost revenues (for this period and from prior period DSM measure installations), and shared savings for the period July 1, 2017 through June 30, 2018.</v>
      </c>
      <c r="F52" s="3"/>
      <c r="G52" s="3"/>
      <c r="H52" s="26"/>
      <c r="I52" s="2"/>
    </row>
    <row r="53" spans="1:26" x14ac:dyDescent="0.2">
      <c r="A53" s="47" t="s">
        <v>132</v>
      </c>
      <c r="F53" s="3"/>
      <c r="G53" s="3"/>
      <c r="I53" s="2"/>
    </row>
    <row r="54" spans="1:26" x14ac:dyDescent="0.2">
      <c r="A54" s="47" t="str">
        <f>"(D) "&amp;RIGHT(A28,LEN(A28)-4)</f>
        <v>(D) Revenues collected through the DSM Rider between July 1, 2017 and June 30, 2018.</v>
      </c>
      <c r="F54" s="3"/>
      <c r="G54" s="3"/>
      <c r="I54" s="2"/>
    </row>
    <row r="55" spans="1:26" x14ac:dyDescent="0.2">
      <c r="A55" s="47" t="s">
        <v>74</v>
      </c>
    </row>
    <row r="56" spans="1:26" x14ac:dyDescent="0.2">
      <c r="A56" s="51"/>
    </row>
    <row r="57" spans="1:26" x14ac:dyDescent="0.2">
      <c r="A57" s="29"/>
    </row>
  </sheetData>
  <phoneticPr fontId="2" type="noConversion"/>
  <pageMargins left="0.2" right="0.2" top="0.2" bottom="0.2" header="0.2" footer="0.2"/>
  <pageSetup paperSize="17" scale="72" orientation="landscape" r:id="rId1"/>
  <headerFooter alignWithMargins="0">
    <oddHeader>&amp;R&amp;"Times New Roman,Bold"KyPSC Case No. 2019-00277
STAFF-DR-01-011(b) Attachment
Appendix B
Page &amp;P of &amp;N</oddHeader>
  </headerFooter>
  <ignoredErrors>
    <ignoredError sqref="B7:C7 M8:M9 L8:L9 D7:O7 B34:J34" numberStoredAsText="1"/>
    <ignoredError sqref="E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4"/>
  <sheetViews>
    <sheetView tabSelected="1" view="pageLayout" zoomScaleNormal="85" workbookViewId="0">
      <selection activeCell="N1" sqref="N1"/>
    </sheetView>
  </sheetViews>
  <sheetFormatPr defaultColWidth="9.140625" defaultRowHeight="12.75" x14ac:dyDescent="0.2"/>
  <cols>
    <col min="1" max="1" width="56.5703125" style="51" customWidth="1"/>
    <col min="2" max="2" width="14" style="51" bestFit="1" customWidth="1"/>
    <col min="3" max="4" width="12.42578125" style="51" bestFit="1" customWidth="1"/>
    <col min="5" max="5" width="14" style="51" bestFit="1" customWidth="1"/>
    <col min="6" max="7" width="9.140625" style="51"/>
    <col min="8" max="8" width="14.5703125" style="51" bestFit="1" customWidth="1"/>
    <col min="9" max="9" width="13" style="51" customWidth="1"/>
    <col min="10" max="10" width="13.140625" style="51" customWidth="1"/>
    <col min="11" max="11" width="13.85546875" style="51" customWidth="1"/>
    <col min="12" max="12" width="9.140625" style="51"/>
    <col min="13" max="13" width="11.5703125" style="51" bestFit="1" customWidth="1"/>
    <col min="14" max="14" width="9.140625" style="51"/>
    <col min="15" max="15" width="14.5703125" style="53" customWidth="1"/>
    <col min="16" max="16" width="9.140625" style="51"/>
    <col min="17" max="17" width="13" style="51" bestFit="1" customWidth="1"/>
    <col min="18" max="16384" width="9.140625" style="51"/>
  </cols>
  <sheetData>
    <row r="1" spans="1:15" x14ac:dyDescent="0.2">
      <c r="B1" s="51" t="s">
        <v>0</v>
      </c>
      <c r="K1" s="52"/>
    </row>
    <row r="3" spans="1:15" x14ac:dyDescent="0.2">
      <c r="B3" s="54" t="s">
        <v>156</v>
      </c>
    </row>
    <row r="6" spans="1:15" x14ac:dyDescent="0.2">
      <c r="B6" s="69" t="s">
        <v>139</v>
      </c>
    </row>
    <row r="8" spans="1:15" s="55" customFormat="1" ht="26.25" customHeight="1" x14ac:dyDescent="0.2">
      <c r="C8" s="55" t="s">
        <v>28</v>
      </c>
      <c r="D8" s="55" t="s">
        <v>29</v>
      </c>
      <c r="G8" s="70" t="s">
        <v>128</v>
      </c>
      <c r="H8" s="56"/>
      <c r="J8" s="146" t="s">
        <v>77</v>
      </c>
      <c r="K8" s="146"/>
    </row>
    <row r="9" spans="1:15" s="55" customFormat="1" ht="15" x14ac:dyDescent="0.35">
      <c r="B9" s="57" t="s">
        <v>30</v>
      </c>
      <c r="C9" s="57" t="s">
        <v>31</v>
      </c>
      <c r="D9" s="57" t="s">
        <v>32</v>
      </c>
      <c r="E9" s="57" t="s">
        <v>33</v>
      </c>
      <c r="G9" s="58" t="s">
        <v>17</v>
      </c>
      <c r="H9" s="58" t="s">
        <v>16</v>
      </c>
      <c r="I9" s="58" t="s">
        <v>61</v>
      </c>
      <c r="J9" s="58" t="s">
        <v>17</v>
      </c>
      <c r="K9" s="58" t="s">
        <v>62</v>
      </c>
    </row>
    <row r="10" spans="1:15" x14ac:dyDescent="0.2">
      <c r="B10" s="59"/>
      <c r="C10" s="59"/>
      <c r="D10" s="59"/>
      <c r="E10" s="59"/>
      <c r="O10" s="51"/>
    </row>
    <row r="11" spans="1:15" x14ac:dyDescent="0.2">
      <c r="A11" s="51" t="s">
        <v>107</v>
      </c>
      <c r="B11" s="106">
        <v>371468.46778135048</v>
      </c>
      <c r="C11" s="106">
        <v>7934.5940992500009</v>
      </c>
      <c r="D11" s="106">
        <v>-15843.741210178936</v>
      </c>
      <c r="E11" s="106">
        <f>SUM(B11:D11)</f>
        <v>363559.32067042153</v>
      </c>
      <c r="F11" s="60"/>
      <c r="G11" s="67">
        <v>1</v>
      </c>
      <c r="H11" s="67">
        <v>0</v>
      </c>
      <c r="I11" s="61">
        <f t="shared" ref="I11:I16" si="0">G11*B11</f>
        <v>371468.46778135048</v>
      </c>
      <c r="J11" s="60">
        <f t="shared" ref="J11:J16" si="1">I11+D11+C11</f>
        <v>363559.32067042153</v>
      </c>
      <c r="K11" s="61">
        <f t="shared" ref="K11:K16" si="2">H11*B11</f>
        <v>0</v>
      </c>
      <c r="M11" s="62"/>
      <c r="N11" s="60"/>
      <c r="O11" s="51"/>
    </row>
    <row r="12" spans="1:15" x14ac:dyDescent="0.2">
      <c r="A12" s="51" t="s">
        <v>108</v>
      </c>
      <c r="B12" s="106">
        <v>810628.18633440509</v>
      </c>
      <c r="C12" s="106">
        <v>11128.394983374998</v>
      </c>
      <c r="D12" s="106">
        <v>-30068.945360885235</v>
      </c>
      <c r="E12" s="106">
        <f t="shared" ref="E12:E17" si="3">SUM(B12:D12)</f>
        <v>791687.63595689484</v>
      </c>
      <c r="F12" s="60"/>
      <c r="G12" s="144">
        <v>0.49030845713403021</v>
      </c>
      <c r="H12" s="144">
        <v>0.50969154286596985</v>
      </c>
      <c r="I12" s="61">
        <f t="shared" si="0"/>
        <v>397457.85535097931</v>
      </c>
      <c r="J12" s="60">
        <f t="shared" si="1"/>
        <v>378517.30497346906</v>
      </c>
      <c r="K12" s="61">
        <f t="shared" si="2"/>
        <v>413170.33098342584</v>
      </c>
      <c r="M12" s="62"/>
      <c r="N12" s="60"/>
      <c r="O12" s="51"/>
    </row>
    <row r="13" spans="1:15" x14ac:dyDescent="0.2">
      <c r="A13" s="107" t="s">
        <v>158</v>
      </c>
      <c r="B13" s="108">
        <v>165696.43045016075</v>
      </c>
      <c r="C13" s="108">
        <v>161738.69731288345</v>
      </c>
      <c r="D13" s="108">
        <v>13511.080195080007</v>
      </c>
      <c r="E13" s="108">
        <f t="shared" si="3"/>
        <v>340946.20795812423</v>
      </c>
      <c r="F13" s="60"/>
      <c r="G13" s="67">
        <v>1</v>
      </c>
      <c r="H13" s="67">
        <v>0</v>
      </c>
      <c r="I13" s="61">
        <f>G13*B13</f>
        <v>165696.43045016075</v>
      </c>
      <c r="J13" s="60">
        <f>I13+D13+C13</f>
        <v>340946.20795812423</v>
      </c>
      <c r="K13" s="61">
        <f>H13*B13</f>
        <v>0</v>
      </c>
      <c r="M13" s="62"/>
      <c r="N13" s="60"/>
      <c r="O13" s="51"/>
    </row>
    <row r="14" spans="1:15" x14ac:dyDescent="0.2">
      <c r="A14" s="51" t="s">
        <v>109</v>
      </c>
      <c r="B14" s="106">
        <v>326677.53750551876</v>
      </c>
      <c r="C14" s="106">
        <v>15180.194298656677</v>
      </c>
      <c r="D14" s="106">
        <v>7262.2306152652309</v>
      </c>
      <c r="E14" s="106">
        <f t="shared" si="3"/>
        <v>349119.96241944062</v>
      </c>
      <c r="F14" s="60"/>
      <c r="G14" s="67">
        <v>1</v>
      </c>
      <c r="H14" s="67">
        <v>0</v>
      </c>
      <c r="I14" s="61">
        <f t="shared" si="0"/>
        <v>326677.53750551876</v>
      </c>
      <c r="J14" s="60">
        <f t="shared" si="1"/>
        <v>349119.96241944062</v>
      </c>
      <c r="K14" s="61">
        <f t="shared" si="2"/>
        <v>0</v>
      </c>
      <c r="M14" s="62"/>
      <c r="N14" s="60"/>
      <c r="O14" s="51"/>
    </row>
    <row r="15" spans="1:15" x14ac:dyDescent="0.2">
      <c r="A15" s="107" t="s">
        <v>159</v>
      </c>
      <c r="B15" s="108">
        <v>1949220.9759197352</v>
      </c>
      <c r="C15" s="108">
        <v>260299.99379306709</v>
      </c>
      <c r="D15" s="108">
        <v>252080.4315817137</v>
      </c>
      <c r="E15" s="108">
        <f t="shared" si="3"/>
        <v>2461601.4012945159</v>
      </c>
      <c r="F15" s="60"/>
      <c r="G15" s="67">
        <v>1</v>
      </c>
      <c r="H15" s="67">
        <v>0</v>
      </c>
      <c r="I15" s="61">
        <f t="shared" si="0"/>
        <v>1949220.9759197352</v>
      </c>
      <c r="J15" s="60">
        <f t="shared" si="1"/>
        <v>2461601.4012945159</v>
      </c>
      <c r="K15" s="61">
        <f t="shared" si="2"/>
        <v>0</v>
      </c>
      <c r="M15" s="62"/>
      <c r="N15" s="60"/>
      <c r="O15" s="51"/>
    </row>
    <row r="16" spans="1:15" x14ac:dyDescent="0.2">
      <c r="A16" s="51" t="s">
        <v>133</v>
      </c>
      <c r="B16" s="106">
        <v>564560.04876379692</v>
      </c>
      <c r="C16" s="106">
        <v>0</v>
      </c>
      <c r="D16" s="106">
        <v>131418.03738885498</v>
      </c>
      <c r="E16" s="106">
        <f t="shared" si="3"/>
        <v>695978.08615265193</v>
      </c>
      <c r="G16" s="67">
        <v>1</v>
      </c>
      <c r="H16" s="67">
        <v>0</v>
      </c>
      <c r="I16" s="61">
        <f t="shared" si="0"/>
        <v>564560.04876379692</v>
      </c>
      <c r="J16" s="60">
        <f t="shared" si="1"/>
        <v>695978.08615265193</v>
      </c>
      <c r="K16" s="61">
        <f t="shared" si="2"/>
        <v>0</v>
      </c>
      <c r="M16" s="62"/>
      <c r="N16" s="60"/>
      <c r="O16" s="51"/>
    </row>
    <row r="17" spans="1:15" x14ac:dyDescent="0.2">
      <c r="A17" s="107" t="s">
        <v>162</v>
      </c>
      <c r="B17" s="110">
        <v>207736</v>
      </c>
      <c r="C17" s="110">
        <v>0</v>
      </c>
      <c r="D17" s="110">
        <v>0</v>
      </c>
      <c r="E17" s="110">
        <f t="shared" si="3"/>
        <v>207736</v>
      </c>
      <c r="F17" s="60"/>
      <c r="G17" s="67">
        <v>1</v>
      </c>
      <c r="H17" s="67">
        <v>0</v>
      </c>
      <c r="I17" s="61">
        <f t="shared" ref="I17" si="4">G17*B17</f>
        <v>207736</v>
      </c>
      <c r="J17" s="60">
        <f t="shared" ref="J17" si="5">I17+D17+C17</f>
        <v>207736</v>
      </c>
      <c r="K17" s="61">
        <f t="shared" ref="K17" si="6">H17*B17</f>
        <v>0</v>
      </c>
      <c r="M17" s="62"/>
      <c r="N17" s="60"/>
      <c r="O17" s="51"/>
    </row>
    <row r="18" spans="1:15" x14ac:dyDescent="0.2">
      <c r="B18" s="59"/>
      <c r="C18" s="59"/>
      <c r="D18" s="62"/>
      <c r="E18" s="59"/>
      <c r="F18" s="60"/>
      <c r="G18" s="63"/>
      <c r="H18" s="63"/>
      <c r="I18" s="61"/>
      <c r="J18" s="60"/>
      <c r="K18" s="61"/>
      <c r="O18" s="51"/>
    </row>
    <row r="19" spans="1:15" x14ac:dyDescent="0.2">
      <c r="A19" s="51" t="s">
        <v>34</v>
      </c>
      <c r="B19" s="142">
        <f>SUM(B11:B17)</f>
        <v>4395987.646754967</v>
      </c>
      <c r="C19" s="142">
        <f t="shared" ref="C19:E19" si="7">SUM(C11:C17)</f>
        <v>456281.87448723218</v>
      </c>
      <c r="D19" s="142">
        <f t="shared" si="7"/>
        <v>358359.09320984979</v>
      </c>
      <c r="E19" s="142">
        <f t="shared" si="7"/>
        <v>5210628.6144520491</v>
      </c>
      <c r="F19" s="143"/>
      <c r="G19" s="143"/>
      <c r="H19" s="143"/>
      <c r="I19" s="142">
        <f>SUM(I11:I17)</f>
        <v>3982817.3157715416</v>
      </c>
      <c r="J19" s="142">
        <f t="shared" ref="J19:K19" si="8">SUM(J11:J17)</f>
        <v>4797458.2834686236</v>
      </c>
      <c r="K19" s="109">
        <f t="shared" si="8"/>
        <v>413170.33098342584</v>
      </c>
      <c r="O19" s="51"/>
    </row>
    <row r="20" spans="1:15" x14ac:dyDescent="0.2">
      <c r="B20" s="59"/>
      <c r="C20" s="59"/>
      <c r="D20" s="59"/>
      <c r="E20" s="59"/>
      <c r="I20" s="61"/>
      <c r="J20" s="60"/>
      <c r="K20" s="60"/>
      <c r="O20" s="51"/>
    </row>
    <row r="21" spans="1:15" x14ac:dyDescent="0.2">
      <c r="A21" s="107" t="s">
        <v>163</v>
      </c>
      <c r="B21" s="59">
        <v>261424.80000000002</v>
      </c>
      <c r="C21" s="59"/>
      <c r="D21" s="59"/>
      <c r="E21" s="59"/>
      <c r="I21" s="61"/>
      <c r="J21" s="60">
        <v>151924.80000000002</v>
      </c>
      <c r="K21" s="60">
        <v>109500</v>
      </c>
      <c r="O21" s="51"/>
    </row>
    <row r="22" spans="1:15" x14ac:dyDescent="0.2">
      <c r="B22" s="59"/>
      <c r="C22" s="59"/>
      <c r="D22" s="59"/>
      <c r="E22" s="59"/>
      <c r="I22" s="61"/>
      <c r="J22" s="60"/>
      <c r="K22" s="60"/>
      <c r="O22" s="51"/>
    </row>
    <row r="23" spans="1:15" x14ac:dyDescent="0.2">
      <c r="B23" s="68" t="s">
        <v>140</v>
      </c>
      <c r="C23" s="54"/>
      <c r="D23" s="54"/>
      <c r="E23" s="54"/>
      <c r="I23" s="61"/>
      <c r="O23" s="51"/>
    </row>
    <row r="24" spans="1:15" x14ac:dyDescent="0.2">
      <c r="B24" s="54"/>
      <c r="C24" s="54"/>
      <c r="D24" s="54"/>
      <c r="E24" s="54"/>
      <c r="I24" s="61"/>
      <c r="O24" s="51"/>
    </row>
    <row r="25" spans="1:15" ht="29.25" customHeight="1" x14ac:dyDescent="0.2">
      <c r="B25" s="54"/>
      <c r="C25" s="64" t="s">
        <v>28</v>
      </c>
      <c r="D25" s="64" t="s">
        <v>29</v>
      </c>
      <c r="E25" s="54"/>
      <c r="G25" s="70" t="s">
        <v>128</v>
      </c>
      <c r="H25" s="56"/>
      <c r="I25" s="55"/>
      <c r="J25" s="146" t="s">
        <v>77</v>
      </c>
      <c r="K25" s="146"/>
      <c r="O25" s="51"/>
    </row>
    <row r="26" spans="1:15" ht="15" x14ac:dyDescent="0.35">
      <c r="B26" s="58" t="s">
        <v>30</v>
      </c>
      <c r="C26" s="58" t="s">
        <v>31</v>
      </c>
      <c r="D26" s="58" t="s">
        <v>32</v>
      </c>
      <c r="E26" s="58" t="s">
        <v>33</v>
      </c>
      <c r="G26" s="58" t="s">
        <v>17</v>
      </c>
      <c r="H26" s="58" t="s">
        <v>16</v>
      </c>
      <c r="I26" s="45" t="str">
        <f>I9</f>
        <v>Electric Costs</v>
      </c>
      <c r="J26" s="58" t="s">
        <v>17</v>
      </c>
      <c r="K26" s="58" t="s">
        <v>16</v>
      </c>
      <c r="O26" s="51"/>
    </row>
    <row r="27" spans="1:15" x14ac:dyDescent="0.2">
      <c r="B27" s="59"/>
      <c r="C27" s="59"/>
      <c r="D27" s="59"/>
      <c r="E27" s="59"/>
      <c r="G27" s="63"/>
      <c r="H27" s="63"/>
      <c r="I27" s="61"/>
      <c r="J27" s="60"/>
      <c r="K27" s="55"/>
    </row>
    <row r="28" spans="1:15" x14ac:dyDescent="0.2">
      <c r="A28" s="54" t="s">
        <v>130</v>
      </c>
      <c r="B28" s="109">
        <v>874528.77</v>
      </c>
      <c r="C28" s="109">
        <v>36499.276036700205</v>
      </c>
      <c r="D28" s="109">
        <v>116302.75785417888</v>
      </c>
      <c r="E28" s="109">
        <f t="shared" ref="E28:E32" si="9">SUM(B28:D28)</f>
        <v>1027330.8038908791</v>
      </c>
      <c r="G28" s="63">
        <v>1</v>
      </c>
      <c r="H28" s="63">
        <v>0</v>
      </c>
      <c r="I28" s="61">
        <f>G28*B28</f>
        <v>874528.77</v>
      </c>
      <c r="J28" s="60">
        <f>I28+D28+C28</f>
        <v>1027330.8038908791</v>
      </c>
      <c r="K28" s="55" t="s">
        <v>20</v>
      </c>
      <c r="O28" s="51"/>
    </row>
    <row r="29" spans="1:15" x14ac:dyDescent="0.2">
      <c r="A29" s="51" t="s">
        <v>110</v>
      </c>
      <c r="B29" s="109">
        <v>675414.75662251655</v>
      </c>
      <c r="C29" s="109">
        <v>36816.312458161592</v>
      </c>
      <c r="D29" s="109">
        <v>155383.48965063179</v>
      </c>
      <c r="E29" s="109">
        <f t="shared" si="9"/>
        <v>867614.55873130995</v>
      </c>
      <c r="G29" s="63">
        <f>1-H29</f>
        <v>1</v>
      </c>
      <c r="H29" s="63">
        <v>0</v>
      </c>
      <c r="I29" s="61">
        <f>G29*B29</f>
        <v>675414.75662251655</v>
      </c>
      <c r="J29" s="60">
        <f t="shared" ref="J29:J32" si="10">I29+D29+C29</f>
        <v>867614.55873130995</v>
      </c>
      <c r="K29" s="55" t="s">
        <v>20</v>
      </c>
    </row>
    <row r="30" spans="1:15" x14ac:dyDescent="0.2">
      <c r="A30" s="51" t="s">
        <v>142</v>
      </c>
      <c r="B30" s="109">
        <v>0</v>
      </c>
      <c r="C30" s="109">
        <v>0</v>
      </c>
      <c r="D30" s="109">
        <v>0</v>
      </c>
      <c r="E30" s="109">
        <f t="shared" si="9"/>
        <v>0</v>
      </c>
      <c r="G30" s="63">
        <v>1</v>
      </c>
      <c r="H30" s="63">
        <v>0</v>
      </c>
      <c r="I30" s="61">
        <f>G30*B30</f>
        <v>0</v>
      </c>
      <c r="J30" s="60">
        <f>I30+D30+C30</f>
        <v>0</v>
      </c>
      <c r="K30" s="55" t="s">
        <v>20</v>
      </c>
      <c r="O30" s="51"/>
    </row>
    <row r="31" spans="1:15" x14ac:dyDescent="0.2">
      <c r="A31" s="94" t="s">
        <v>160</v>
      </c>
      <c r="B31" s="110">
        <v>1676124.7366225163</v>
      </c>
      <c r="C31" s="110">
        <v>60955.56701389244</v>
      </c>
      <c r="D31" s="110">
        <v>520951.65202204988</v>
      </c>
      <c r="E31" s="110">
        <f t="shared" si="9"/>
        <v>2258031.9556584586</v>
      </c>
      <c r="G31" s="63">
        <f>1-H31</f>
        <v>1</v>
      </c>
      <c r="H31" s="63">
        <v>0</v>
      </c>
      <c r="I31" s="61">
        <f t="shared" ref="I31:I32" si="11">G31*B31</f>
        <v>1676124.7366225163</v>
      </c>
      <c r="J31" s="60">
        <f t="shared" si="10"/>
        <v>2258031.9556584586</v>
      </c>
      <c r="K31" s="55" t="s">
        <v>20</v>
      </c>
    </row>
    <row r="32" spans="1:15" x14ac:dyDescent="0.2">
      <c r="A32" s="51" t="s">
        <v>135</v>
      </c>
      <c r="B32" s="109">
        <v>908290.1</v>
      </c>
      <c r="C32" s="109">
        <v>0</v>
      </c>
      <c r="D32" s="109">
        <v>153190.62452592919</v>
      </c>
      <c r="E32" s="109">
        <f t="shared" si="9"/>
        <v>1061480.7245259292</v>
      </c>
      <c r="G32" s="63">
        <v>1</v>
      </c>
      <c r="H32" s="63">
        <v>0</v>
      </c>
      <c r="I32" s="61">
        <f t="shared" si="11"/>
        <v>908290.1</v>
      </c>
      <c r="J32" s="60">
        <f t="shared" si="10"/>
        <v>1061480.7245259292</v>
      </c>
      <c r="K32" s="55" t="s">
        <v>20</v>
      </c>
      <c r="O32" s="51"/>
    </row>
    <row r="33" spans="1:15" x14ac:dyDescent="0.2">
      <c r="B33" s="59"/>
      <c r="C33" s="59"/>
      <c r="D33" s="59"/>
      <c r="E33" s="59"/>
      <c r="I33" s="60"/>
      <c r="O33" s="51"/>
    </row>
    <row r="34" spans="1:15" x14ac:dyDescent="0.2">
      <c r="A34" s="54" t="s">
        <v>34</v>
      </c>
      <c r="B34" s="59">
        <f>SUM(B28:B32)</f>
        <v>4134358.3632450332</v>
      </c>
      <c r="C34" s="59">
        <f>SUM(C28:C32)</f>
        <v>134271.15550875422</v>
      </c>
      <c r="D34" s="59">
        <f>SUM(D28:D32)</f>
        <v>945828.52405278978</v>
      </c>
      <c r="E34" s="59">
        <f>SUM(E28:E32)</f>
        <v>5214458.0428065769</v>
      </c>
      <c r="I34" s="59">
        <f>SUM(I28:I32)</f>
        <v>4134358.3632450332</v>
      </c>
      <c r="J34" s="59">
        <f>SUM(J28:J32)</f>
        <v>5214458.0428065769</v>
      </c>
      <c r="K34" s="55" t="s">
        <v>20</v>
      </c>
      <c r="O34" s="51"/>
    </row>
    <row r="35" spans="1:15" x14ac:dyDescent="0.2">
      <c r="B35" s="59"/>
      <c r="C35" s="59"/>
      <c r="D35" s="59"/>
      <c r="E35" s="59"/>
      <c r="I35" s="60"/>
      <c r="J35" s="60"/>
      <c r="O35" s="51"/>
    </row>
    <row r="36" spans="1:15" x14ac:dyDescent="0.2">
      <c r="A36" s="65" t="s">
        <v>93</v>
      </c>
      <c r="B36" s="62">
        <f>SUM(B19,B34)</f>
        <v>8530346.0099999998</v>
      </c>
      <c r="C36" s="62">
        <f>SUM(C19,C34)</f>
        <v>590553.02999598638</v>
      </c>
      <c r="D36" s="62">
        <f>SUM(D19,D34)</f>
        <v>1304187.6172626396</v>
      </c>
      <c r="E36" s="62">
        <f>SUM(E19,E34)</f>
        <v>10425086.657258626</v>
      </c>
      <c r="O36" s="51"/>
    </row>
    <row r="37" spans="1:15" x14ac:dyDescent="0.2">
      <c r="C37" s="60"/>
      <c r="D37" s="60"/>
      <c r="O37" s="51"/>
    </row>
    <row r="39" spans="1:15" x14ac:dyDescent="0.2">
      <c r="B39" s="54"/>
      <c r="C39" s="54"/>
      <c r="D39" s="54"/>
      <c r="E39" s="54"/>
      <c r="O39" s="51"/>
    </row>
    <row r="40" spans="1:15" x14ac:dyDescent="0.2">
      <c r="A40" s="54" t="s">
        <v>154</v>
      </c>
      <c r="O40" s="51"/>
    </row>
    <row r="41" spans="1:15" x14ac:dyDescent="0.2">
      <c r="A41" s="54" t="s">
        <v>161</v>
      </c>
      <c r="O41" s="51"/>
    </row>
    <row r="42" spans="1:15" x14ac:dyDescent="0.2">
      <c r="A42" s="51" t="s">
        <v>153</v>
      </c>
    </row>
    <row r="43" spans="1:15" x14ac:dyDescent="0.2">
      <c r="A43" s="51" t="s">
        <v>157</v>
      </c>
    </row>
    <row r="44" spans="1:15" x14ac:dyDescent="0.2">
      <c r="A44" s="107" t="s">
        <v>164</v>
      </c>
      <c r="B44" s="107"/>
      <c r="C44" s="107"/>
      <c r="D44" s="107"/>
    </row>
  </sheetData>
  <mergeCells count="2">
    <mergeCell ref="J8:K8"/>
    <mergeCell ref="J25:K25"/>
  </mergeCells>
  <phoneticPr fontId="2" type="noConversion"/>
  <pageMargins left="0.2" right="0.2" top="0.2" bottom="0.2" header="0.2" footer="0.2"/>
  <pageSetup scale="74" orientation="landscape" r:id="rId1"/>
  <headerFooter alignWithMargins="0">
    <oddHeader>&amp;R&amp;"Times New Roman,Bold"KyPSC Case No. 2019-00277
STAFF-DR-01-011(b) Attachment
Appendix B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7"/>
  <sheetViews>
    <sheetView tabSelected="1" view="pageLayout" zoomScaleNormal="80" workbookViewId="0">
      <selection activeCell="N1" sqref="N1"/>
    </sheetView>
  </sheetViews>
  <sheetFormatPr defaultColWidth="9.140625" defaultRowHeight="12.75" x14ac:dyDescent="0.2"/>
  <cols>
    <col min="1" max="1" width="9.140625" style="4"/>
    <col min="2" max="2" width="28.5703125" style="4" customWidth="1"/>
    <col min="3" max="3" width="17.5703125" style="4" customWidth="1"/>
    <col min="4" max="5" width="14.140625" style="4" customWidth="1"/>
    <col min="6" max="7" width="9.140625" style="4"/>
    <col min="8" max="8" width="10.42578125" style="4" customWidth="1"/>
    <col min="9" max="11" width="9.140625" style="4"/>
    <col min="12" max="12" width="10.5703125" style="4" customWidth="1"/>
    <col min="13" max="13" width="9.140625" style="4"/>
    <col min="14" max="14" width="11.42578125" style="4" bestFit="1" customWidth="1"/>
    <col min="15" max="16384" width="9.140625" style="4"/>
  </cols>
  <sheetData>
    <row r="1" spans="1:14" x14ac:dyDescent="0.2">
      <c r="A1" s="46"/>
      <c r="B1" s="46" t="str">
        <f>'Page 1'!E3</f>
        <v xml:space="preserve">                      Kentucky DSM Rider</v>
      </c>
      <c r="C1" s="46"/>
      <c r="D1" s="32"/>
      <c r="E1" s="46"/>
      <c r="F1" s="46"/>
      <c r="G1" s="46"/>
      <c r="H1" s="46"/>
    </row>
    <row r="2" spans="1:14" x14ac:dyDescent="0.2">
      <c r="A2" s="46"/>
      <c r="B2" s="46"/>
      <c r="C2" s="46"/>
      <c r="D2" s="46"/>
      <c r="E2" s="46"/>
      <c r="F2" s="46"/>
      <c r="G2" s="46"/>
      <c r="H2" s="46"/>
    </row>
    <row r="3" spans="1:14" x14ac:dyDescent="0.2">
      <c r="A3" s="46"/>
      <c r="B3" s="46" t="s">
        <v>86</v>
      </c>
      <c r="C3" s="46"/>
      <c r="D3" s="46"/>
      <c r="E3" s="46"/>
      <c r="F3" s="46"/>
      <c r="G3" s="46"/>
      <c r="H3" s="46"/>
    </row>
    <row r="4" spans="1:14" x14ac:dyDescent="0.2">
      <c r="A4" s="46"/>
      <c r="B4" s="47" t="s">
        <v>75</v>
      </c>
      <c r="C4" s="46"/>
      <c r="D4" s="46"/>
      <c r="E4" s="46"/>
      <c r="F4" s="46"/>
      <c r="G4" s="46"/>
      <c r="H4" s="46"/>
    </row>
    <row r="5" spans="1:14" x14ac:dyDescent="0.2">
      <c r="A5" s="46"/>
      <c r="B5" s="46" t="s">
        <v>99</v>
      </c>
      <c r="C5" s="46"/>
      <c r="D5" s="46"/>
      <c r="E5" s="46"/>
      <c r="F5" s="46"/>
      <c r="G5" s="46"/>
      <c r="H5" s="46"/>
    </row>
    <row r="6" spans="1:14" x14ac:dyDescent="0.2">
      <c r="A6" s="46"/>
      <c r="B6" s="46"/>
      <c r="C6" s="46"/>
      <c r="D6" s="46"/>
      <c r="E6" s="46"/>
      <c r="F6" s="46"/>
      <c r="G6" s="46"/>
      <c r="H6" s="46"/>
    </row>
    <row r="7" spans="1:14" s="46" customFormat="1" x14ac:dyDescent="0.2">
      <c r="B7" s="47" t="s">
        <v>149</v>
      </c>
    </row>
    <row r="8" spans="1:14" x14ac:dyDescent="0.2">
      <c r="A8" s="46"/>
      <c r="B8" s="46"/>
      <c r="C8" s="46"/>
      <c r="D8" s="46"/>
      <c r="E8" s="46"/>
      <c r="F8" s="46"/>
      <c r="G8" s="46"/>
      <c r="H8" s="46"/>
    </row>
    <row r="9" spans="1:14" x14ac:dyDescent="0.2">
      <c r="A9" s="46"/>
      <c r="B9" s="46"/>
      <c r="C9" s="46"/>
      <c r="D9" s="46"/>
      <c r="E9" s="46"/>
      <c r="F9" s="46"/>
      <c r="G9" s="46"/>
      <c r="H9" s="46"/>
    </row>
    <row r="10" spans="1:14" x14ac:dyDescent="0.2">
      <c r="A10" s="46"/>
      <c r="B10" s="46"/>
      <c r="C10" s="46"/>
      <c r="D10" s="46" t="s">
        <v>35</v>
      </c>
      <c r="E10" s="46"/>
      <c r="F10" s="46"/>
      <c r="G10" s="46"/>
      <c r="H10" s="46"/>
    </row>
    <row r="11" spans="1:14" x14ac:dyDescent="0.2">
      <c r="A11" s="46"/>
      <c r="B11" s="46"/>
      <c r="C11" s="46"/>
      <c r="D11" s="46" t="s">
        <v>36</v>
      </c>
      <c r="E11" s="46"/>
      <c r="F11" s="46"/>
      <c r="G11" s="46"/>
      <c r="H11" s="46"/>
    </row>
    <row r="12" spans="1:14" x14ac:dyDescent="0.2">
      <c r="A12" s="46"/>
      <c r="B12" s="27" t="s">
        <v>37</v>
      </c>
      <c r="C12" s="46"/>
      <c r="D12" s="46"/>
      <c r="E12" s="46"/>
      <c r="F12" s="46"/>
      <c r="G12" s="46"/>
      <c r="H12" s="46"/>
    </row>
    <row r="13" spans="1:14" x14ac:dyDescent="0.2">
      <c r="A13" s="46"/>
      <c r="B13" s="46"/>
      <c r="C13" s="46"/>
      <c r="D13" s="46"/>
      <c r="E13" s="46"/>
      <c r="F13" s="46"/>
      <c r="G13" s="46"/>
      <c r="H13" s="46"/>
    </row>
    <row r="14" spans="1:14" x14ac:dyDescent="0.2">
      <c r="A14" s="46"/>
      <c r="B14" s="46" t="s">
        <v>38</v>
      </c>
      <c r="C14" s="46"/>
      <c r="D14" s="109">
        <v>4797458.2834686236</v>
      </c>
      <c r="E14" s="47"/>
      <c r="F14" s="46"/>
      <c r="G14" s="46"/>
      <c r="H14" s="46"/>
    </row>
    <row r="15" spans="1:14" x14ac:dyDescent="0.2">
      <c r="A15" s="46"/>
      <c r="B15" s="46"/>
      <c r="C15" s="46"/>
      <c r="D15" s="2"/>
      <c r="E15" s="46"/>
      <c r="F15" s="46"/>
      <c r="G15" s="46"/>
      <c r="H15" s="46"/>
    </row>
    <row r="16" spans="1:14" x14ac:dyDescent="0.2">
      <c r="A16" s="46"/>
      <c r="B16" s="46" t="s">
        <v>89</v>
      </c>
      <c r="C16" s="46"/>
      <c r="D16" s="2"/>
      <c r="E16" s="46"/>
      <c r="F16" s="46"/>
      <c r="G16" s="46"/>
      <c r="H16" s="6"/>
      <c r="I16" s="6"/>
      <c r="J16" s="6"/>
      <c r="K16" s="6"/>
      <c r="L16" s="7"/>
      <c r="N16" s="6"/>
    </row>
    <row r="17" spans="1:14" x14ac:dyDescent="0.2">
      <c r="A17" s="46"/>
      <c r="B17" s="46" t="s">
        <v>39</v>
      </c>
      <c r="C17" s="46"/>
      <c r="D17" s="109">
        <v>4152977.3182806475</v>
      </c>
      <c r="E17" s="46"/>
      <c r="F17" s="46"/>
      <c r="G17" s="46"/>
      <c r="H17" s="46"/>
      <c r="N17" s="7"/>
    </row>
    <row r="18" spans="1:14" x14ac:dyDescent="0.2">
      <c r="A18" s="46"/>
      <c r="B18" s="46"/>
      <c r="C18" s="46"/>
      <c r="D18" s="2"/>
      <c r="E18" s="46"/>
      <c r="F18" s="46"/>
      <c r="G18" s="46"/>
      <c r="H18" s="46"/>
    </row>
    <row r="19" spans="1:14" x14ac:dyDescent="0.2">
      <c r="A19" s="46"/>
      <c r="B19" s="46" t="s">
        <v>91</v>
      </c>
      <c r="C19" s="46"/>
      <c r="D19" s="2"/>
      <c r="E19" s="46"/>
      <c r="F19" s="46"/>
      <c r="G19" s="46"/>
      <c r="H19" s="6"/>
    </row>
    <row r="20" spans="1:14" x14ac:dyDescent="0.2">
      <c r="A20" s="46"/>
      <c r="B20" s="46" t="s">
        <v>90</v>
      </c>
      <c r="C20" s="46"/>
      <c r="D20" s="2">
        <v>1061480.7245259292</v>
      </c>
      <c r="E20" s="46"/>
      <c r="F20" s="46"/>
      <c r="G20" s="46"/>
      <c r="H20" s="46"/>
    </row>
    <row r="21" spans="1:14" x14ac:dyDescent="0.2">
      <c r="A21" s="46"/>
      <c r="B21" s="46"/>
      <c r="C21" s="46"/>
      <c r="D21" s="2"/>
      <c r="E21" s="46"/>
      <c r="F21" s="46"/>
      <c r="G21" s="46"/>
      <c r="H21" s="46"/>
    </row>
    <row r="22" spans="1:14" x14ac:dyDescent="0.2">
      <c r="A22" s="46"/>
      <c r="B22" s="27" t="s">
        <v>40</v>
      </c>
      <c r="C22" s="46"/>
      <c r="D22" s="2"/>
      <c r="E22" s="46"/>
      <c r="F22" s="46"/>
      <c r="G22" s="46"/>
      <c r="H22" s="46"/>
    </row>
    <row r="23" spans="1:14" x14ac:dyDescent="0.2">
      <c r="A23" s="46"/>
      <c r="B23" s="46" t="s">
        <v>38</v>
      </c>
      <c r="C23" s="46"/>
      <c r="D23" s="109">
        <v>413170.33098342584</v>
      </c>
      <c r="E23" s="47"/>
      <c r="F23" s="46"/>
      <c r="G23" s="46"/>
      <c r="H23" s="46"/>
    </row>
    <row r="24" spans="1:14" x14ac:dyDescent="0.2">
      <c r="A24" s="46"/>
      <c r="B24" s="46"/>
      <c r="C24" s="46"/>
      <c r="D24" s="46"/>
      <c r="E24" s="46"/>
      <c r="F24" s="46"/>
      <c r="G24" s="46"/>
      <c r="H24" s="46"/>
    </row>
    <row r="25" spans="1:14" x14ac:dyDescent="0.2">
      <c r="A25" s="46"/>
      <c r="B25" s="46"/>
      <c r="C25" s="46"/>
      <c r="D25" s="46"/>
      <c r="E25" s="46"/>
      <c r="F25" s="46"/>
      <c r="G25" s="46"/>
      <c r="H25" s="46"/>
    </row>
    <row r="26" spans="1:14" x14ac:dyDescent="0.2">
      <c r="A26" s="46"/>
      <c r="B26" s="47" t="s">
        <v>121</v>
      </c>
      <c r="C26" s="46"/>
      <c r="D26" s="46"/>
      <c r="E26" s="46"/>
      <c r="F26" s="46"/>
      <c r="G26" s="46"/>
      <c r="H26" s="46"/>
    </row>
    <row r="27" spans="1:14" x14ac:dyDescent="0.2">
      <c r="A27" s="46"/>
      <c r="B27" s="46"/>
      <c r="C27" s="46"/>
      <c r="D27" s="46"/>
      <c r="E27" s="46"/>
      <c r="F27" s="46"/>
      <c r="G27" s="46"/>
      <c r="H27" s="46"/>
    </row>
  </sheetData>
  <phoneticPr fontId="2" type="noConversion"/>
  <pageMargins left="0.2" right="0.2" top="0.2" bottom="0.2" header="0.2" footer="0.2"/>
  <pageSetup paperSize="17" orientation="landscape" r:id="rId1"/>
  <headerFooter alignWithMargins="0">
    <oddHeader>&amp;R&amp;"Times New Roman,Bold"KyPSC Case No. 2019-00277
STAFF-DR-01-011(b) Attachment
Appendix B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view="pageLayout" zoomScaleNormal="80" workbookViewId="0">
      <selection activeCell="N1" sqref="N1"/>
    </sheetView>
  </sheetViews>
  <sheetFormatPr defaultColWidth="9.140625" defaultRowHeight="12.75" x14ac:dyDescent="0.2"/>
  <cols>
    <col min="1" max="1" width="9.140625" style="4"/>
    <col min="2" max="2" width="30.85546875" style="4" customWidth="1"/>
    <col min="3" max="3" width="16.42578125" style="4" customWidth="1"/>
    <col min="4" max="4" width="12.85546875" style="4" bestFit="1" customWidth="1"/>
    <col min="5" max="5" width="15.140625" style="4" bestFit="1" customWidth="1"/>
    <col min="6" max="6" width="10.42578125" style="4" customWidth="1"/>
    <col min="7" max="7" width="11.42578125" style="4" customWidth="1"/>
    <col min="8" max="10" width="9.140625" style="4"/>
    <col min="11" max="11" width="11.42578125" style="4" customWidth="1"/>
    <col min="12" max="16384" width="9.140625" style="4"/>
  </cols>
  <sheetData>
    <row r="1" spans="1:14" x14ac:dyDescent="0.2">
      <c r="A1" s="46"/>
      <c r="B1" s="46" t="str">
        <f>'Page 1'!E3</f>
        <v xml:space="preserve">                      Kentucky DSM Rider</v>
      </c>
      <c r="C1" s="3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x14ac:dyDescent="0.2">
      <c r="A3" s="46"/>
      <c r="B3" s="46" t="str">
        <f>'Page 3'!B3</f>
        <v>Duke Energy Kentucky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2">
      <c r="A4" s="46"/>
      <c r="B4" s="47" t="s">
        <v>75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x14ac:dyDescent="0.2">
      <c r="A5" s="46"/>
      <c r="B5" s="46" t="s">
        <v>41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x14ac:dyDescent="0.2">
      <c r="A8" s="46"/>
      <c r="B8" s="46" t="s">
        <v>42</v>
      </c>
      <c r="C8" s="46">
        <v>2019</v>
      </c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</row>
    <row r="9" spans="1:14" x14ac:dyDescent="0.2">
      <c r="A9" s="46"/>
      <c r="B9" s="46"/>
      <c r="C9" s="46"/>
      <c r="D9" s="46"/>
      <c r="E9" s="47"/>
      <c r="F9" s="46"/>
      <c r="G9" s="46"/>
      <c r="H9" s="46"/>
      <c r="I9" s="46"/>
      <c r="J9" s="46"/>
      <c r="K9" s="46"/>
      <c r="L9" s="46"/>
      <c r="M9" s="46"/>
      <c r="N9" s="46"/>
    </row>
    <row r="10" spans="1:14" x14ac:dyDescent="0.2">
      <c r="A10" s="46"/>
      <c r="B10" s="46" t="s">
        <v>94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x14ac:dyDescent="0.2">
      <c r="A12" s="46"/>
      <c r="B12" s="46" t="s">
        <v>45</v>
      </c>
      <c r="C12" s="6">
        <v>1436685800.249403</v>
      </c>
      <c r="D12" s="46"/>
      <c r="E12" s="6"/>
      <c r="F12" s="47"/>
      <c r="G12" s="6"/>
      <c r="H12" s="6"/>
      <c r="I12" s="6"/>
      <c r="J12" s="6"/>
      <c r="K12" s="7"/>
      <c r="L12" s="46"/>
      <c r="M12" s="6"/>
      <c r="N12" s="46"/>
    </row>
    <row r="13" spans="1:14" x14ac:dyDescent="0.2">
      <c r="A13" s="46"/>
      <c r="B13" s="46"/>
      <c r="C13" s="6"/>
      <c r="D13" s="46"/>
      <c r="E13" s="46"/>
      <c r="F13" s="46"/>
      <c r="G13" s="46"/>
      <c r="H13" s="46"/>
      <c r="I13" s="46"/>
      <c r="J13" s="46"/>
      <c r="K13" s="46"/>
      <c r="L13" s="46"/>
      <c r="M13" s="7"/>
      <c r="N13" s="46"/>
    </row>
    <row r="14" spans="1:14" x14ac:dyDescent="0.2">
      <c r="A14" s="46"/>
      <c r="B14" s="46" t="s">
        <v>43</v>
      </c>
      <c r="C14" s="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x14ac:dyDescent="0.2">
      <c r="A15" s="46"/>
      <c r="B15" s="46" t="s">
        <v>44</v>
      </c>
      <c r="C15" s="7">
        <v>2333287003.0370326</v>
      </c>
      <c r="D15" s="46"/>
      <c r="E15" s="46"/>
      <c r="F15" s="47"/>
      <c r="G15" s="6"/>
      <c r="H15" s="46"/>
      <c r="I15" s="46"/>
      <c r="J15" s="46"/>
      <c r="K15" s="46"/>
      <c r="L15" s="46"/>
      <c r="M15" s="46"/>
      <c r="N15" s="46"/>
    </row>
    <row r="16" spans="1:14" x14ac:dyDescent="0.2">
      <c r="A16" s="46"/>
      <c r="B16" s="46"/>
      <c r="C16" s="7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x14ac:dyDescent="0.2">
      <c r="A17" s="46"/>
      <c r="B17" s="46" t="s">
        <v>43</v>
      </c>
      <c r="C17" s="7"/>
      <c r="D17" s="46"/>
      <c r="E17" s="46"/>
      <c r="F17" s="7"/>
      <c r="G17" s="46"/>
      <c r="H17" s="46"/>
      <c r="I17" s="46"/>
      <c r="J17" s="46"/>
      <c r="K17" s="46"/>
      <c r="L17" s="46"/>
      <c r="M17" s="46"/>
      <c r="N17" s="46"/>
    </row>
    <row r="18" spans="1:14" x14ac:dyDescent="0.2">
      <c r="A18" s="46"/>
      <c r="B18" s="46" t="s">
        <v>87</v>
      </c>
      <c r="C18" s="7">
        <v>2570138003.0370326</v>
      </c>
      <c r="D18" s="46"/>
      <c r="E18" s="46"/>
      <c r="F18" s="7"/>
      <c r="G18" s="46"/>
      <c r="H18" s="46"/>
      <c r="I18" s="46"/>
      <c r="J18" s="46"/>
      <c r="K18" s="46"/>
      <c r="L18" s="46"/>
      <c r="M18" s="46"/>
      <c r="N18" s="46"/>
    </row>
    <row r="19" spans="1:14" x14ac:dyDescent="0.2">
      <c r="A19" s="46"/>
      <c r="B19" s="46"/>
      <c r="C19" s="6"/>
      <c r="D19" s="28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x14ac:dyDescent="0.2">
      <c r="A20" s="46"/>
      <c r="B20" s="46" t="s">
        <v>95</v>
      </c>
      <c r="C20" s="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x14ac:dyDescent="0.2">
      <c r="A21" s="46"/>
      <c r="B21" s="46"/>
      <c r="C21" s="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x14ac:dyDescent="0.2">
      <c r="A22" s="46"/>
      <c r="B22" s="46" t="s">
        <v>45</v>
      </c>
      <c r="C22" s="6">
        <v>57859337.799999997</v>
      </c>
      <c r="D22" s="46"/>
      <c r="E22" s="6"/>
      <c r="F22" s="47"/>
      <c r="G22" s="46"/>
      <c r="H22" s="46"/>
      <c r="I22" s="46"/>
      <c r="J22" s="46"/>
      <c r="K22" s="46"/>
      <c r="L22" s="46"/>
      <c r="M22" s="46"/>
      <c r="N22" s="46"/>
    </row>
    <row r="23" spans="1:14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x14ac:dyDescent="0.2">
      <c r="C25" s="46"/>
    </row>
    <row r="26" spans="1:14" x14ac:dyDescent="0.2">
      <c r="C26" s="46"/>
    </row>
  </sheetData>
  <phoneticPr fontId="2" type="noConversion"/>
  <pageMargins left="0.2" right="0.2" top="0.2" bottom="0.2" header="0.2" footer="0.2"/>
  <pageSetup paperSize="17" orientation="landscape" r:id="rId1"/>
  <headerFooter alignWithMargins="0">
    <oddHeader>&amp;R&amp;"Times New Roman,Bold"KyPSC Case No. 2019-00277
STAFF-DR-01-011(b) Attachment
Appendix B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6"/>
  <sheetViews>
    <sheetView tabSelected="1" view="pageLayout" topLeftCell="A4" zoomScaleNormal="80" workbookViewId="0">
      <selection activeCell="N1" sqref="N1"/>
    </sheetView>
  </sheetViews>
  <sheetFormatPr defaultColWidth="9.140625" defaultRowHeight="12.75" x14ac:dyDescent="0.2"/>
  <cols>
    <col min="1" max="1" width="13.5703125" style="46" customWidth="1"/>
    <col min="2" max="2" width="11.5703125" style="46" customWidth="1"/>
    <col min="3" max="3" width="16.5703125" style="46" customWidth="1"/>
    <col min="4" max="4" width="15.85546875" style="46" customWidth="1"/>
    <col min="5" max="5" width="1.42578125" style="46" customWidth="1"/>
    <col min="6" max="6" width="13.5703125" style="46" customWidth="1"/>
    <col min="7" max="7" width="13.140625" style="46" customWidth="1"/>
    <col min="8" max="8" width="18.42578125" style="46" customWidth="1"/>
    <col min="9" max="9" width="14.5703125" style="46" customWidth="1"/>
    <col min="10" max="10" width="6.140625" style="46" customWidth="1"/>
    <col min="11" max="11" width="22" style="46" customWidth="1"/>
    <col min="12" max="12" width="8.5703125" style="46" bestFit="1" customWidth="1"/>
    <col min="13" max="13" width="12.140625" style="46" customWidth="1"/>
    <col min="14" max="14" width="21.42578125" style="46" customWidth="1"/>
    <col min="15" max="15" width="9.140625" style="46"/>
    <col min="16" max="16" width="25" style="46" customWidth="1"/>
    <col min="17" max="17" width="9.42578125" style="46" bestFit="1" customWidth="1"/>
    <col min="18" max="16384" width="9.140625" style="46"/>
  </cols>
  <sheetData>
    <row r="1" spans="2:13" x14ac:dyDescent="0.2">
      <c r="B1" s="46" t="str">
        <f>'Page 1'!E3</f>
        <v xml:space="preserve">                      Kentucky DSM Rider</v>
      </c>
      <c r="M1" s="26"/>
    </row>
    <row r="3" spans="2:13" x14ac:dyDescent="0.2">
      <c r="B3" s="46" t="str">
        <f>'Page 4'!B3</f>
        <v>Duke Energy Kentucky</v>
      </c>
    </row>
    <row r="4" spans="2:13" x14ac:dyDescent="0.2">
      <c r="B4" s="47" t="s">
        <v>75</v>
      </c>
    </row>
    <row r="5" spans="2:13" x14ac:dyDescent="0.2">
      <c r="B5" s="46" t="s">
        <v>46</v>
      </c>
    </row>
    <row r="7" spans="2:13" x14ac:dyDescent="0.2">
      <c r="B7" s="47" t="s">
        <v>155</v>
      </c>
    </row>
    <row r="9" spans="2:13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1" spans="2:13" x14ac:dyDescent="0.2">
      <c r="G11" s="44" t="s">
        <v>47</v>
      </c>
      <c r="H11" s="44" t="s">
        <v>48</v>
      </c>
      <c r="I11" s="44" t="s">
        <v>49</v>
      </c>
    </row>
    <row r="12" spans="2:13" x14ac:dyDescent="0.2">
      <c r="B12" s="46" t="s">
        <v>50</v>
      </c>
      <c r="F12" s="44" t="s">
        <v>51</v>
      </c>
      <c r="G12" s="44" t="s">
        <v>35</v>
      </c>
      <c r="H12" s="44" t="s">
        <v>52</v>
      </c>
      <c r="I12" s="44" t="s">
        <v>53</v>
      </c>
      <c r="K12" s="46" t="s">
        <v>54</v>
      </c>
    </row>
    <row r="13" spans="2:13" x14ac:dyDescent="0.2">
      <c r="B13" s="46" t="s">
        <v>83</v>
      </c>
      <c r="F13" s="44" t="s">
        <v>58</v>
      </c>
      <c r="G13" s="44" t="s">
        <v>59</v>
      </c>
      <c r="H13" s="44" t="s">
        <v>55</v>
      </c>
      <c r="I13" s="44" t="s">
        <v>60</v>
      </c>
      <c r="K13" s="46" t="s">
        <v>76</v>
      </c>
    </row>
    <row r="14" spans="2:13" x14ac:dyDescent="0.2">
      <c r="B14" s="27" t="s">
        <v>37</v>
      </c>
      <c r="C14" s="27"/>
    </row>
    <row r="15" spans="2:13" x14ac:dyDescent="0.2">
      <c r="B15" s="46" t="s">
        <v>38</v>
      </c>
      <c r="D15" s="22"/>
      <c r="F15" s="2">
        <f>'Page 1'!O21*Q43</f>
        <v>-5331019.9889349146</v>
      </c>
      <c r="G15" s="21">
        <f>'Page 2'!J19</f>
        <v>4797458.2834686236</v>
      </c>
      <c r="H15" s="3">
        <f>SUM(D15:G15)</f>
        <v>-533561.70546629094</v>
      </c>
      <c r="I15" s="6">
        <f>'Page 4'!C12</f>
        <v>1436685800.249403</v>
      </c>
      <c r="J15" s="22" t="s">
        <v>96</v>
      </c>
      <c r="K15" s="111">
        <f>H15/(I15)</f>
        <v>-3.7138371199441571E-4</v>
      </c>
      <c r="L15" s="112" t="s">
        <v>56</v>
      </c>
    </row>
    <row r="16" spans="2:13" x14ac:dyDescent="0.2">
      <c r="F16" s="6"/>
      <c r="J16" s="22"/>
    </row>
    <row r="17" spans="2:12" x14ac:dyDescent="0.2">
      <c r="B17" s="46" t="s">
        <v>89</v>
      </c>
      <c r="F17" s="6"/>
      <c r="J17" s="22"/>
    </row>
    <row r="18" spans="2:12" x14ac:dyDescent="0.2">
      <c r="B18" s="46" t="s">
        <v>39</v>
      </c>
      <c r="D18" s="2"/>
      <c r="F18" s="21">
        <f>'Page 1'!J47*Q43</f>
        <v>6131807.8114335183</v>
      </c>
      <c r="G18" s="2">
        <f>'Page 2'!J34-'Page 2'!J32</f>
        <v>4152977.3182806475</v>
      </c>
      <c r="H18" s="3">
        <f>SUM(D18:G18)</f>
        <v>10284785.129714165</v>
      </c>
      <c r="I18" s="6">
        <f>'Page 4'!C15</f>
        <v>2333287003.0370326</v>
      </c>
      <c r="J18" s="22" t="s">
        <v>96</v>
      </c>
      <c r="K18" s="113">
        <f>H18/(I18)</f>
        <v>4.4078525772129071E-3</v>
      </c>
      <c r="L18" s="112" t="s">
        <v>56</v>
      </c>
    </row>
    <row r="19" spans="2:12" x14ac:dyDescent="0.2">
      <c r="D19" s="2"/>
      <c r="F19" s="2"/>
      <c r="G19" s="2"/>
      <c r="H19" s="3"/>
      <c r="I19" s="6"/>
      <c r="J19" s="22"/>
      <c r="K19" s="22"/>
    </row>
    <row r="20" spans="2:12" x14ac:dyDescent="0.2">
      <c r="B20" s="46" t="s">
        <v>91</v>
      </c>
      <c r="G20" s="2"/>
      <c r="H20" s="3"/>
      <c r="I20" s="6"/>
      <c r="J20" s="22"/>
      <c r="K20" s="22"/>
    </row>
    <row r="21" spans="2:12" x14ac:dyDescent="0.2">
      <c r="B21" s="46" t="s">
        <v>90</v>
      </c>
      <c r="F21" s="2"/>
      <c r="G21" s="2"/>
      <c r="H21" s="3"/>
      <c r="I21" s="6"/>
      <c r="J21" s="22"/>
      <c r="K21" s="22"/>
    </row>
    <row r="22" spans="2:12" x14ac:dyDescent="0.2">
      <c r="B22" s="46" t="s">
        <v>88</v>
      </c>
      <c r="D22" s="2"/>
      <c r="F22" s="21">
        <f>'Page 1'!J49*Q43</f>
        <v>575485.78874955024</v>
      </c>
      <c r="G22" s="2">
        <f>'Page 2'!J32</f>
        <v>1061480.7245259292</v>
      </c>
      <c r="H22" s="3">
        <f>SUM(D22:G22)</f>
        <v>1636966.5132754794</v>
      </c>
      <c r="I22" s="6">
        <f>'Page 4'!C18</f>
        <v>2570138003.0370326</v>
      </c>
      <c r="J22" s="22" t="s">
        <v>96</v>
      </c>
      <c r="K22" s="50">
        <f>H22/(I22)</f>
        <v>6.3691774968547968E-4</v>
      </c>
      <c r="L22" s="46" t="s">
        <v>56</v>
      </c>
    </row>
    <row r="23" spans="2:12" x14ac:dyDescent="0.2">
      <c r="D23" s="2"/>
      <c r="F23" s="2"/>
      <c r="G23" s="2"/>
      <c r="H23" s="3"/>
      <c r="I23" s="6"/>
      <c r="J23" s="22"/>
      <c r="K23" s="22"/>
    </row>
    <row r="24" spans="2:12" x14ac:dyDescent="0.2">
      <c r="B24" s="46" t="s">
        <v>92</v>
      </c>
      <c r="D24" s="2"/>
      <c r="F24" s="2"/>
      <c r="G24" s="2"/>
      <c r="H24" s="3"/>
      <c r="I24" s="6"/>
      <c r="J24" s="22"/>
      <c r="K24" s="22"/>
    </row>
    <row r="25" spans="2:12" x14ac:dyDescent="0.2">
      <c r="B25" s="46" t="s">
        <v>39</v>
      </c>
      <c r="D25" s="2"/>
      <c r="F25" s="2"/>
      <c r="G25" s="2"/>
      <c r="H25" s="3"/>
      <c r="I25" s="6"/>
      <c r="J25" s="22"/>
      <c r="K25" s="113">
        <f>K18+K22</f>
        <v>5.0447703268983865E-3</v>
      </c>
      <c r="L25" s="112" t="str">
        <f>L22</f>
        <v>$/kWh</v>
      </c>
    </row>
    <row r="26" spans="2:12" x14ac:dyDescent="0.2">
      <c r="F26" s="6"/>
    </row>
    <row r="27" spans="2:12" x14ac:dyDescent="0.2">
      <c r="B27" s="27" t="s">
        <v>40</v>
      </c>
      <c r="F27" s="6"/>
    </row>
    <row r="28" spans="2:12" x14ac:dyDescent="0.2">
      <c r="B28" s="46" t="s">
        <v>38</v>
      </c>
      <c r="D28" s="22"/>
      <c r="F28" s="2">
        <f>'Page 1'!N21*Q43</f>
        <v>-1069859.5663840715</v>
      </c>
      <c r="G28" s="2">
        <f>'Page 2'!K19</f>
        <v>413170.33098342584</v>
      </c>
      <c r="H28" s="3">
        <f>SUM(D28:G28)</f>
        <v>-656689.23540064564</v>
      </c>
      <c r="I28" s="6">
        <f>'Page 4'!C22</f>
        <v>57859337.799999997</v>
      </c>
      <c r="J28" s="22" t="s">
        <v>97</v>
      </c>
      <c r="K28" s="22">
        <f>H28/(I28)</f>
        <v>-1.1349753736736435E-2</v>
      </c>
      <c r="L28" s="46" t="s">
        <v>98</v>
      </c>
    </row>
    <row r="30" spans="2:12" x14ac:dyDescent="0.2">
      <c r="C30" s="46" t="s">
        <v>78</v>
      </c>
      <c r="H30" s="3">
        <f>SUM(H15:H29)</f>
        <v>10731500.702122709</v>
      </c>
    </row>
    <row r="31" spans="2:12" x14ac:dyDescent="0.2">
      <c r="H31" s="3"/>
    </row>
    <row r="32" spans="2:12" x14ac:dyDescent="0.2">
      <c r="B32" s="112" t="s">
        <v>165</v>
      </c>
      <c r="C32" s="112"/>
      <c r="D32" s="112"/>
      <c r="H32" s="3"/>
    </row>
    <row r="33" spans="2:17" x14ac:dyDescent="0.2">
      <c r="B33" s="29" t="s">
        <v>79</v>
      </c>
      <c r="H33" s="3" t="s">
        <v>82</v>
      </c>
      <c r="I33" s="46" t="s">
        <v>81</v>
      </c>
      <c r="K33" s="46" t="s">
        <v>85</v>
      </c>
    </row>
    <row r="34" spans="2:17" x14ac:dyDescent="0.2">
      <c r="B34" s="46" t="s">
        <v>38</v>
      </c>
      <c r="G34" s="2"/>
      <c r="H34" s="3">
        <f>I34*K34*12</f>
        <v>151924.80000000002</v>
      </c>
      <c r="I34" s="41">
        <v>126604</v>
      </c>
      <c r="K34" s="23">
        <v>0.1</v>
      </c>
    </row>
    <row r="35" spans="2:17" x14ac:dyDescent="0.2">
      <c r="H35" s="3"/>
      <c r="I35" s="41"/>
    </row>
    <row r="36" spans="2:17" x14ac:dyDescent="0.2">
      <c r="B36" s="29" t="s">
        <v>80</v>
      </c>
      <c r="C36" s="29"/>
      <c r="H36" s="3"/>
      <c r="I36" s="41"/>
    </row>
    <row r="37" spans="2:17" x14ac:dyDescent="0.2">
      <c r="B37" s="46" t="s">
        <v>38</v>
      </c>
      <c r="G37" s="2"/>
      <c r="H37" s="3">
        <f>I37*K37*12</f>
        <v>109500</v>
      </c>
      <c r="I37" s="41">
        <v>91250</v>
      </c>
      <c r="K37" s="23">
        <v>0.1</v>
      </c>
    </row>
    <row r="39" spans="2:17" x14ac:dyDescent="0.2">
      <c r="C39" s="46" t="s">
        <v>84</v>
      </c>
      <c r="H39" s="3">
        <f>H34+H37</f>
        <v>261424.80000000002</v>
      </c>
    </row>
    <row r="41" spans="2:17" x14ac:dyDescent="0.2">
      <c r="B41" s="46" t="s">
        <v>57</v>
      </c>
      <c r="H41" s="3">
        <f>H30+H39</f>
        <v>10992925.50212271</v>
      </c>
    </row>
    <row r="43" spans="2:17" x14ac:dyDescent="0.2">
      <c r="B43" s="30" t="s">
        <v>143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  <c r="Q43" s="100">
        <v>1.0181</v>
      </c>
    </row>
    <row r="44" spans="2:17" x14ac:dyDescent="0.2">
      <c r="B44" s="47" t="s">
        <v>100</v>
      </c>
    </row>
    <row r="45" spans="2:17" x14ac:dyDescent="0.2">
      <c r="B45" s="47" t="s">
        <v>101</v>
      </c>
    </row>
    <row r="46" spans="2:17" x14ac:dyDescent="0.2">
      <c r="B46" s="114" t="s">
        <v>166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</row>
  </sheetData>
  <phoneticPr fontId="2" type="noConversion"/>
  <pageMargins left="0.2" right="0.2" top="0.2" bottom="0.2" header="0.2" footer="0.2"/>
  <pageSetup paperSize="17" scale="91" orientation="landscape" r:id="rId1"/>
  <headerFooter alignWithMargins="0">
    <oddHeader>&amp;R&amp;"Times New Roman,Bold"KyPSC Case No. 2019-00277
STAFF-DR-01-011(b) Attachment
Appendix B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view="pageLayout" zoomScaleNormal="80" workbookViewId="0">
      <selection activeCell="N1" sqref="N1"/>
    </sheetView>
  </sheetViews>
  <sheetFormatPr defaultColWidth="9.140625" defaultRowHeight="12.75" x14ac:dyDescent="0.2"/>
  <cols>
    <col min="1" max="1" width="44.42578125" style="72" bestFit="1" customWidth="1"/>
    <col min="2" max="2" width="18.42578125" style="72" customWidth="1"/>
    <col min="3" max="3" width="14.5703125" style="72" customWidth="1"/>
    <col min="4" max="4" width="12.42578125" style="72" customWidth="1"/>
    <col min="5" max="5" width="13" style="72" customWidth="1"/>
    <col min="6" max="6" width="1.42578125" style="72" customWidth="1"/>
    <col min="7" max="8" width="17.140625" style="72" customWidth="1"/>
    <col min="9" max="9" width="9.42578125" style="72" customWidth="1"/>
    <col min="10" max="16384" width="9.140625" style="72"/>
  </cols>
  <sheetData>
    <row r="1" spans="1:8" x14ac:dyDescent="0.2">
      <c r="A1" s="71"/>
    </row>
    <row r="3" spans="1:8" x14ac:dyDescent="0.2">
      <c r="A3" s="73"/>
      <c r="B3" s="71"/>
      <c r="C3" s="71"/>
      <c r="D3" s="71"/>
      <c r="E3" s="71"/>
      <c r="F3" s="73"/>
      <c r="G3" s="71"/>
      <c r="H3" s="71"/>
    </row>
    <row r="4" spans="1:8" ht="44.25" customHeight="1" x14ac:dyDescent="0.2">
      <c r="A4" s="83" t="s">
        <v>150</v>
      </c>
      <c r="B4" s="84"/>
      <c r="C4" s="84"/>
      <c r="D4" s="84"/>
      <c r="E4" s="84"/>
      <c r="F4" s="71"/>
      <c r="G4" s="93" t="s">
        <v>151</v>
      </c>
      <c r="H4" s="93"/>
    </row>
    <row r="5" spans="1:8" x14ac:dyDescent="0.2">
      <c r="A5" s="85"/>
      <c r="B5" s="84"/>
      <c r="C5" s="84"/>
      <c r="D5" s="84"/>
      <c r="E5" s="84"/>
      <c r="F5" s="71"/>
      <c r="G5" s="48"/>
      <c r="H5" s="48"/>
    </row>
    <row r="6" spans="1:8" ht="25.5" x14ac:dyDescent="0.2">
      <c r="A6" s="85" t="s">
        <v>21</v>
      </c>
      <c r="B6" s="86" t="s">
        <v>96</v>
      </c>
      <c r="C6" s="49" t="s">
        <v>124</v>
      </c>
      <c r="D6" s="87" t="s">
        <v>122</v>
      </c>
      <c r="E6" s="49" t="s">
        <v>124</v>
      </c>
      <c r="F6" s="71"/>
      <c r="G6" s="49" t="s">
        <v>126</v>
      </c>
      <c r="H6" s="49" t="s">
        <v>127</v>
      </c>
    </row>
    <row r="7" spans="1:8" x14ac:dyDescent="0.2">
      <c r="A7" s="73" t="s">
        <v>105</v>
      </c>
      <c r="B7" s="101">
        <v>361289.24870191223</v>
      </c>
      <c r="C7" s="102">
        <f t="shared" ref="C7:C17" si="0">B7/B$17</f>
        <v>2.401468505477756E-4</v>
      </c>
      <c r="D7" s="103">
        <v>4214.1999999999434</v>
      </c>
      <c r="E7" s="76">
        <f t="shared" ref="E7:E13" si="1">D7/D$17</f>
        <v>6.5331675531601484E-5</v>
      </c>
      <c r="F7" s="71"/>
      <c r="G7" s="88">
        <v>0.78613332868240504</v>
      </c>
      <c r="H7" s="88">
        <v>0.21386667131759496</v>
      </c>
    </row>
    <row r="8" spans="1:8" x14ac:dyDescent="0.2">
      <c r="A8" s="73" t="s">
        <v>107</v>
      </c>
      <c r="B8" s="101">
        <v>226272.76482946699</v>
      </c>
      <c r="C8" s="102">
        <f t="shared" si="0"/>
        <v>1.5040218338566459E-4</v>
      </c>
      <c r="D8" s="103">
        <v>0</v>
      </c>
      <c r="E8" s="76">
        <f t="shared" si="1"/>
        <v>0</v>
      </c>
      <c r="F8" s="71"/>
      <c r="G8" s="88">
        <v>1</v>
      </c>
      <c r="H8" s="88">
        <v>0</v>
      </c>
    </row>
    <row r="9" spans="1:8" x14ac:dyDescent="0.2">
      <c r="A9" s="73" t="s">
        <v>108</v>
      </c>
      <c r="B9" s="101">
        <v>197878.12708070409</v>
      </c>
      <c r="C9" s="102">
        <f t="shared" si="0"/>
        <v>1.3152843374514752E-4</v>
      </c>
      <c r="D9" s="103">
        <v>6548.527333333328</v>
      </c>
      <c r="E9" s="76">
        <f t="shared" si="1"/>
        <v>1.0152016111033227E-4</v>
      </c>
      <c r="F9" s="71"/>
      <c r="G9" s="88">
        <v>0.5643820072234812</v>
      </c>
      <c r="H9" s="88">
        <v>0.4356179927765188</v>
      </c>
    </row>
    <row r="10" spans="1:8" x14ac:dyDescent="0.2">
      <c r="A10" s="73" t="s">
        <v>106</v>
      </c>
      <c r="B10" s="101">
        <v>9221318.7939317003</v>
      </c>
      <c r="C10" s="102">
        <f t="shared" si="0"/>
        <v>6.1293566698044661E-3</v>
      </c>
      <c r="D10" s="103">
        <v>0</v>
      </c>
      <c r="E10" s="76">
        <f t="shared" si="1"/>
        <v>0</v>
      </c>
      <c r="F10" s="71"/>
      <c r="G10" s="88">
        <v>1</v>
      </c>
      <c r="H10" s="88">
        <v>0</v>
      </c>
    </row>
    <row r="11" spans="1:8" x14ac:dyDescent="0.2">
      <c r="A11" s="73" t="s">
        <v>109</v>
      </c>
      <c r="B11" s="101">
        <v>294049.28026694449</v>
      </c>
      <c r="C11" s="102">
        <f t="shared" si="0"/>
        <v>1.9545283679395895E-4</v>
      </c>
      <c r="D11" s="103">
        <v>0</v>
      </c>
      <c r="E11" s="76">
        <f t="shared" si="1"/>
        <v>0</v>
      </c>
      <c r="F11" s="71"/>
      <c r="G11" s="88">
        <v>1</v>
      </c>
      <c r="H11" s="88">
        <v>0</v>
      </c>
    </row>
    <row r="12" spans="1:8" x14ac:dyDescent="0.2">
      <c r="A12" s="73" t="s">
        <v>103</v>
      </c>
      <c r="B12" s="101">
        <v>4933959.9412247036</v>
      </c>
      <c r="C12" s="102">
        <f t="shared" si="0"/>
        <v>3.2795743157903977E-3</v>
      </c>
      <c r="D12" s="103">
        <v>0</v>
      </c>
      <c r="E12" s="76">
        <f t="shared" si="1"/>
        <v>0</v>
      </c>
      <c r="F12" s="71"/>
      <c r="G12" s="88">
        <v>1</v>
      </c>
      <c r="H12" s="88">
        <v>0</v>
      </c>
    </row>
    <row r="13" spans="1:8" x14ac:dyDescent="0.2">
      <c r="A13" s="73" t="s">
        <v>133</v>
      </c>
      <c r="B13" s="101">
        <v>0</v>
      </c>
      <c r="C13" s="102">
        <f t="shared" si="0"/>
        <v>0</v>
      </c>
      <c r="D13" s="103">
        <v>0</v>
      </c>
      <c r="E13" s="76">
        <f t="shared" si="1"/>
        <v>0</v>
      </c>
      <c r="F13" s="71"/>
      <c r="G13" s="88">
        <v>1</v>
      </c>
      <c r="H13" s="88">
        <v>0</v>
      </c>
    </row>
    <row r="14" spans="1:8" x14ac:dyDescent="0.2">
      <c r="A14" s="73" t="s">
        <v>134</v>
      </c>
      <c r="B14" s="101">
        <v>0</v>
      </c>
      <c r="C14" s="102">
        <f t="shared" si="0"/>
        <v>0</v>
      </c>
      <c r="D14" s="103">
        <v>0</v>
      </c>
      <c r="E14" s="76"/>
      <c r="F14" s="71"/>
      <c r="G14" s="88">
        <v>1</v>
      </c>
      <c r="H14" s="88">
        <v>0</v>
      </c>
    </row>
    <row r="15" spans="1:8" x14ac:dyDescent="0.2">
      <c r="A15" s="89" t="s">
        <v>123</v>
      </c>
      <c r="B15" s="90">
        <v>15234768.156035431</v>
      </c>
      <c r="C15" s="104">
        <f t="shared" si="0"/>
        <v>1.0126461290067409E-2</v>
      </c>
      <c r="D15" s="90">
        <v>10762.727333333271</v>
      </c>
      <c r="E15" s="77">
        <f>D15/D$17</f>
        <v>1.6685183664193374E-4</v>
      </c>
      <c r="F15" s="71"/>
      <c r="G15" s="71"/>
      <c r="H15" s="71"/>
    </row>
    <row r="16" spans="1:8" x14ac:dyDescent="0.2">
      <c r="A16" s="85"/>
      <c r="B16" s="91"/>
      <c r="C16" s="92"/>
      <c r="D16" s="91"/>
      <c r="E16" s="75"/>
      <c r="F16" s="71"/>
      <c r="G16" s="71"/>
      <c r="H16" s="71"/>
    </row>
    <row r="17" spans="1:8" x14ac:dyDescent="0.2">
      <c r="A17" s="85" t="s">
        <v>125</v>
      </c>
      <c r="B17" s="105">
        <v>1504451330</v>
      </c>
      <c r="C17" s="92">
        <f t="shared" si="0"/>
        <v>1</v>
      </c>
      <c r="D17" s="105">
        <v>64504698</v>
      </c>
      <c r="E17" s="78">
        <f t="shared" ref="E17" si="2">D17/D$17</f>
        <v>1</v>
      </c>
      <c r="F17" s="71"/>
      <c r="G17" s="71"/>
      <c r="H17" s="71"/>
    </row>
    <row r="18" spans="1:8" x14ac:dyDescent="0.2">
      <c r="A18" s="73" t="s">
        <v>152</v>
      </c>
      <c r="B18" s="71"/>
      <c r="C18" s="71"/>
      <c r="D18" s="71"/>
      <c r="E18" s="73"/>
      <c r="F18" s="71"/>
      <c r="G18" s="71"/>
      <c r="H18" s="71"/>
    </row>
    <row r="20" spans="1:8" x14ac:dyDescent="0.2">
      <c r="A20" s="72" t="s">
        <v>129</v>
      </c>
    </row>
    <row r="21" spans="1:8" x14ac:dyDescent="0.2">
      <c r="A21" s="71"/>
    </row>
  </sheetData>
  <pageMargins left="0.2" right="0.2" top="0.2" bottom="0.2" header="0.2" footer="0.2"/>
  <pageSetup paperSize="17" orientation="landscape" r:id="rId1"/>
  <headerFooter alignWithMargins="0">
    <oddHeader>&amp;R&amp;"Times New Roman,Bold"KyPSC Case No. 2019-00277
STAFF-DR-01-011(b) Attachment
Appendix B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1"/>
  <sheetViews>
    <sheetView tabSelected="1" view="pageLayout" zoomScaleNormal="100" workbookViewId="0">
      <selection activeCell="N1" sqref="N1"/>
    </sheetView>
  </sheetViews>
  <sheetFormatPr defaultRowHeight="12.75" x14ac:dyDescent="0.2"/>
  <cols>
    <col min="1" max="1" width="37.42578125" customWidth="1"/>
    <col min="2" max="2" width="15" customWidth="1"/>
    <col min="4" max="4" width="14.5703125" customWidth="1"/>
    <col min="6" max="6" width="2.5703125" customWidth="1"/>
  </cols>
  <sheetData>
    <row r="1" spans="1:10" x14ac:dyDescent="0.2">
      <c r="A1" s="115"/>
      <c r="B1" s="115"/>
      <c r="C1" s="115"/>
      <c r="D1" s="115"/>
      <c r="E1" s="115"/>
      <c r="F1" s="72"/>
      <c r="G1" s="72"/>
      <c r="H1" s="72"/>
      <c r="I1" s="116"/>
    </row>
    <row r="2" spans="1:10" x14ac:dyDescent="0.2">
      <c r="A2" s="115"/>
      <c r="B2" s="115"/>
      <c r="C2" s="115"/>
      <c r="D2" s="115"/>
      <c r="E2" s="115"/>
      <c r="F2" s="72"/>
      <c r="G2" s="72"/>
      <c r="H2" s="72"/>
      <c r="I2" s="116"/>
    </row>
    <row r="3" spans="1:10" x14ac:dyDescent="0.2">
      <c r="A3" s="115"/>
      <c r="B3" s="117"/>
      <c r="C3" s="117"/>
      <c r="D3" s="117"/>
      <c r="E3" s="117"/>
      <c r="F3" s="71"/>
      <c r="G3" s="147"/>
      <c r="H3" s="147"/>
      <c r="I3" s="116"/>
    </row>
    <row r="4" spans="1:10" ht="12.75" customHeight="1" x14ac:dyDescent="0.2">
      <c r="A4" s="118" t="s">
        <v>167</v>
      </c>
      <c r="B4" s="116"/>
      <c r="C4" s="116"/>
      <c r="D4" s="116"/>
      <c r="E4" s="119"/>
      <c r="F4" s="75"/>
      <c r="G4" s="148" t="s">
        <v>168</v>
      </c>
      <c r="H4" s="148"/>
      <c r="I4" s="116"/>
    </row>
    <row r="5" spans="1:10" x14ac:dyDescent="0.2">
      <c r="A5" s="119"/>
      <c r="B5" s="120"/>
      <c r="C5" s="121"/>
      <c r="D5" s="121"/>
      <c r="E5" s="121"/>
      <c r="F5" s="75"/>
      <c r="G5" s="49"/>
      <c r="H5" s="49"/>
      <c r="I5" s="116"/>
    </row>
    <row r="6" spans="1:10" ht="38.25" x14ac:dyDescent="0.2">
      <c r="A6" s="122" t="s">
        <v>21</v>
      </c>
      <c r="B6" s="123" t="s">
        <v>96</v>
      </c>
      <c r="C6" s="124" t="s">
        <v>124</v>
      </c>
      <c r="D6" s="125" t="s">
        <v>122</v>
      </c>
      <c r="E6" s="123" t="s">
        <v>124</v>
      </c>
      <c r="F6" s="75"/>
      <c r="G6" s="126" t="s">
        <v>126</v>
      </c>
      <c r="H6" s="126" t="s">
        <v>127</v>
      </c>
      <c r="I6" s="116"/>
    </row>
    <row r="7" spans="1:10" x14ac:dyDescent="0.2">
      <c r="A7" s="127" t="s">
        <v>104</v>
      </c>
      <c r="B7" s="128">
        <v>0</v>
      </c>
      <c r="C7" s="76">
        <f>B7/$B$17</f>
        <v>0</v>
      </c>
      <c r="D7" s="129">
        <v>0</v>
      </c>
      <c r="E7" s="76">
        <f>D7/$D$17</f>
        <v>0</v>
      </c>
      <c r="F7" s="75"/>
      <c r="G7" s="130">
        <v>1</v>
      </c>
      <c r="H7" s="130">
        <v>0</v>
      </c>
      <c r="I7" s="116"/>
    </row>
    <row r="8" spans="1:10" x14ac:dyDescent="0.2">
      <c r="A8" s="145" t="s">
        <v>105</v>
      </c>
      <c r="B8" s="128">
        <v>0</v>
      </c>
      <c r="C8" s="76">
        <f t="shared" ref="C8:C14" si="0">B8/$B$17</f>
        <v>0</v>
      </c>
      <c r="D8" s="128">
        <v>0</v>
      </c>
      <c r="E8" s="76">
        <f t="shared" ref="E8:E14" si="1">D8/$D$17</f>
        <v>0</v>
      </c>
      <c r="F8" s="75"/>
      <c r="G8" s="130">
        <v>1</v>
      </c>
      <c r="H8" s="130">
        <v>0</v>
      </c>
      <c r="I8" s="116"/>
      <c r="J8" s="141"/>
    </row>
    <row r="9" spans="1:10" x14ac:dyDescent="0.2">
      <c r="A9" s="127" t="s">
        <v>107</v>
      </c>
      <c r="B9" s="128">
        <v>233477.81486361416</v>
      </c>
      <c r="C9" s="76">
        <f t="shared" si="0"/>
        <v>1.6075377360078502E-4</v>
      </c>
      <c r="D9" s="129">
        <v>0</v>
      </c>
      <c r="E9" s="76">
        <f t="shared" si="1"/>
        <v>0</v>
      </c>
      <c r="F9" s="75"/>
      <c r="G9" s="130">
        <v>1</v>
      </c>
      <c r="H9" s="130">
        <v>0</v>
      </c>
      <c r="I9" s="116"/>
    </row>
    <row r="10" spans="1:10" x14ac:dyDescent="0.2">
      <c r="A10" s="127" t="s">
        <v>108</v>
      </c>
      <c r="B10" s="128">
        <v>319009.89317110775</v>
      </c>
      <c r="C10" s="76">
        <f t="shared" si="0"/>
        <v>2.196441840660331E-4</v>
      </c>
      <c r="D10" s="129">
        <v>12783.727999999992</v>
      </c>
      <c r="E10" s="76">
        <f t="shared" si="1"/>
        <v>2.2832725283290539E-4</v>
      </c>
      <c r="F10" s="75"/>
      <c r="G10" s="130">
        <v>0.49030845713403021</v>
      </c>
      <c r="H10" s="130">
        <v>0.50969154286596985</v>
      </c>
      <c r="I10" s="116"/>
    </row>
    <row r="11" spans="1:10" x14ac:dyDescent="0.2">
      <c r="A11" s="127" t="s">
        <v>106</v>
      </c>
      <c r="B11" s="128">
        <v>13289995.549057221</v>
      </c>
      <c r="C11" s="76">
        <f t="shared" si="0"/>
        <v>9.1504065895792758E-3</v>
      </c>
      <c r="D11" s="129">
        <v>0</v>
      </c>
      <c r="E11" s="76">
        <f t="shared" si="1"/>
        <v>0</v>
      </c>
      <c r="F11" s="75"/>
      <c r="G11" s="130">
        <v>1</v>
      </c>
      <c r="H11" s="130">
        <v>0</v>
      </c>
      <c r="I11" s="116"/>
    </row>
    <row r="12" spans="1:10" x14ac:dyDescent="0.2">
      <c r="A12" s="127" t="s">
        <v>109</v>
      </c>
      <c r="B12" s="128">
        <v>424068.73706879799</v>
      </c>
      <c r="C12" s="76">
        <f t="shared" si="0"/>
        <v>2.9197913210619262E-4</v>
      </c>
      <c r="D12" s="129">
        <v>0</v>
      </c>
      <c r="E12" s="76">
        <f t="shared" si="1"/>
        <v>0</v>
      </c>
      <c r="F12" s="75"/>
      <c r="G12" s="130">
        <v>1</v>
      </c>
      <c r="H12" s="130">
        <v>0</v>
      </c>
      <c r="I12" s="116"/>
    </row>
    <row r="13" spans="1:10" x14ac:dyDescent="0.2">
      <c r="A13" s="131" t="s">
        <v>103</v>
      </c>
      <c r="B13" s="128">
        <v>5233622.9442848274</v>
      </c>
      <c r="C13" s="76">
        <f t="shared" si="0"/>
        <v>3.6034457423241521E-3</v>
      </c>
      <c r="D13" s="129">
        <v>0</v>
      </c>
      <c r="E13" s="76">
        <f t="shared" si="1"/>
        <v>0</v>
      </c>
      <c r="F13" s="75"/>
      <c r="G13" s="130">
        <v>1</v>
      </c>
      <c r="H13" s="130">
        <v>0</v>
      </c>
      <c r="I13" s="116"/>
    </row>
    <row r="14" spans="1:10" x14ac:dyDescent="0.2">
      <c r="A14" s="127" t="s">
        <v>133</v>
      </c>
      <c r="B14" s="128">
        <v>0</v>
      </c>
      <c r="C14" s="76">
        <f t="shared" si="0"/>
        <v>0</v>
      </c>
      <c r="D14" s="129">
        <v>0</v>
      </c>
      <c r="E14" s="76">
        <f t="shared" si="1"/>
        <v>0</v>
      </c>
      <c r="F14" s="75"/>
      <c r="G14" s="130">
        <v>1</v>
      </c>
      <c r="H14" s="132">
        <v>0</v>
      </c>
      <c r="I14" s="116"/>
    </row>
    <row r="15" spans="1:10" x14ac:dyDescent="0.2">
      <c r="A15" s="133" t="s">
        <v>123</v>
      </c>
      <c r="B15" s="134">
        <f>SUM(B7:B14)</f>
        <v>19500174.938445568</v>
      </c>
      <c r="C15" s="77">
        <f>SUM(C7:C14)</f>
        <v>1.3426229421676438E-2</v>
      </c>
      <c r="D15" s="134">
        <f>SUM(D7:D14)</f>
        <v>12783.727999999992</v>
      </c>
      <c r="E15" s="77">
        <f>SUM(E7:E14)</f>
        <v>2.2832725283290539E-4</v>
      </c>
      <c r="F15" s="75"/>
      <c r="G15" s="75"/>
      <c r="H15" s="75"/>
      <c r="I15" s="116"/>
    </row>
    <row r="16" spans="1:10" x14ac:dyDescent="0.2">
      <c r="A16" s="127"/>
      <c r="B16" s="135"/>
      <c r="C16" s="78"/>
      <c r="D16" s="135"/>
      <c r="E16" s="136"/>
      <c r="F16" s="75"/>
      <c r="G16" s="75"/>
      <c r="H16" s="75"/>
      <c r="I16" s="116"/>
    </row>
    <row r="17" spans="1:9" x14ac:dyDescent="0.2">
      <c r="A17" s="127" t="s">
        <v>125</v>
      </c>
      <c r="B17" s="137">
        <v>1452393991.3437529</v>
      </c>
      <c r="C17" s="78">
        <v>1</v>
      </c>
      <c r="D17" s="137">
        <v>55988620.900000006</v>
      </c>
      <c r="E17" s="78">
        <v>1</v>
      </c>
      <c r="F17" s="75"/>
      <c r="G17" s="75"/>
      <c r="H17" s="75"/>
      <c r="I17" s="116"/>
    </row>
    <row r="18" spans="1:9" x14ac:dyDescent="0.2">
      <c r="A18" s="138" t="s">
        <v>169</v>
      </c>
      <c r="B18" s="136"/>
      <c r="C18" s="136"/>
      <c r="D18" s="138"/>
      <c r="E18" s="136"/>
      <c r="F18" s="139"/>
      <c r="G18" s="139"/>
      <c r="H18" s="139"/>
      <c r="I18" s="116"/>
    </row>
    <row r="19" spans="1:9" x14ac:dyDescent="0.2">
      <c r="A19" s="116"/>
      <c r="B19" s="116"/>
      <c r="C19" s="116"/>
      <c r="D19" s="116"/>
      <c r="E19" s="116"/>
      <c r="F19" s="139"/>
      <c r="G19" s="139"/>
      <c r="H19" s="139"/>
      <c r="I19" s="116"/>
    </row>
    <row r="20" spans="1:9" x14ac:dyDescent="0.2">
      <c r="A20" s="140" t="s">
        <v>170</v>
      </c>
      <c r="B20" s="116"/>
      <c r="C20" s="116"/>
      <c r="D20" s="116"/>
      <c r="E20" s="116"/>
      <c r="F20" s="139"/>
      <c r="G20" s="139"/>
      <c r="H20" s="139"/>
      <c r="I20" s="116"/>
    </row>
    <row r="21" spans="1:9" x14ac:dyDescent="0.2">
      <c r="A21" s="140" t="s">
        <v>171</v>
      </c>
    </row>
  </sheetData>
  <mergeCells count="2">
    <mergeCell ref="G3:H3"/>
    <mergeCell ref="G4:H4"/>
  </mergeCells>
  <pageMargins left="0.2" right="0.2" top="0.2" bottom="0.2" header="0.2" footer="0.2"/>
  <pageSetup paperSize="17" orientation="landscape" r:id="rId1"/>
  <headerFooter alignWithMargins="0">
    <oddHeader>&amp;R&amp;"Times New Roman,Bold"KyPSC Case No. 2019-00277
STAFF-DR-01-011(b) Attachment
Appendix B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D56EAF2639B040A1B41B132DE9539E" ma:contentTypeVersion="4" ma:contentTypeDescription="Create a new document." ma:contentTypeScope="" ma:versionID="ea685aa9ac629586547f3c9172b78ef7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D135B2-7EE5-45D7-92AF-75AD7CAA7C5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2612a682-5ffb-4b9c-9555-017618935178"/>
    <ds:schemaRef ds:uri="http://purl.org/dc/dcmitype/"/>
    <ds:schemaRef ds:uri="http://schemas.microsoft.com/office/infopath/2007/PartnerControls"/>
    <ds:schemaRef ds:uri="3c9d8c27-8a6d-4d9e-a15e-ef5d28c114af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56FA78-8CAC-46E4-A06E-6CC39F53FDD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4B9C612-5DAC-4480-9BB0-12BEAF8D7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AACA153-28AD-4B58-AF41-D283565CB0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Page 6</vt:lpstr>
      <vt:lpstr>Page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2016-10-28T20:40:02Z</dcterms:created>
  <dcterms:modified xsi:type="dcterms:W3CDTF">2019-10-24T19:00:43Z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0x01010033D56EAF2639B040A1B41B132DE9539E</vt:lpwstr>
  </property>
</Properties>
</file>