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https://taiecon.sharepoint.com/Cases/19 CASES/1930 Duke Energy Kentucky/"/>
    </mc:Choice>
  </mc:AlternateContent>
  <xr:revisionPtr revIDLastSave="163" documentId="8_{E1ACFC68-9011-4B11-9D0B-2DFAF67054F3}" xr6:coauthVersionLast="45" xr6:coauthVersionMax="45" xr10:uidLastSave="{D5F6DB4D-F19C-40BF-A70C-7CD0E671FE0F}"/>
  <bookViews>
    <workbookView xWindow="-120" yWindow="-120" windowWidth="20730" windowHeight="11160" xr2:uid="{00000000-000D-0000-FFFF-FFFF00000000}"/>
  </bookViews>
  <sheets>
    <sheet name="Cust. Cost p. 1" sheetId="2" r:id="rId1"/>
    <sheet name="Cust. Cost - p. 2" sheetId="3" r:id="rId2"/>
  </sheets>
  <definedNames>
    <definedName name="_xlnm.Print_Area" localSheetId="1">'Cust. Cost - p. 2'!$A$1:$E$37</definedName>
    <definedName name="_xlnm.Print_Area" localSheetId="0">'Cust. Cost p. 1'!$B$2:$I$67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3" l="1"/>
  <c r="C33" i="3"/>
  <c r="C32" i="3"/>
  <c r="C31" i="3"/>
  <c r="C30" i="3"/>
  <c r="C29" i="3"/>
  <c r="C28" i="3"/>
  <c r="C27" i="3"/>
  <c r="C26" i="3"/>
  <c r="C25" i="3"/>
  <c r="C24" i="3"/>
  <c r="L23" i="3"/>
  <c r="C23" i="3"/>
  <c r="C22" i="3"/>
  <c r="D19" i="3"/>
  <c r="C18" i="3"/>
  <c r="C17" i="3"/>
  <c r="C16" i="3"/>
  <c r="C15" i="3"/>
  <c r="C14" i="3"/>
  <c r="C13" i="3"/>
  <c r="C12" i="3"/>
  <c r="C11" i="3"/>
  <c r="C10" i="3"/>
  <c r="C9" i="3"/>
  <c r="C19" i="3" s="1"/>
  <c r="E19" i="3" s="1"/>
  <c r="I56" i="2" l="1"/>
  <c r="L93" i="2"/>
  <c r="L86" i="2" s="1"/>
  <c r="L87" i="2" s="1"/>
  <c r="N87" i="2" s="1"/>
  <c r="N92" i="2"/>
  <c r="N91" i="2"/>
  <c r="N93" i="2" l="1"/>
  <c r="M93" i="2" s="1"/>
  <c r="M86" i="2" s="1"/>
  <c r="N86" i="2" s="1"/>
  <c r="N88" i="2" s="1"/>
  <c r="G56" i="2"/>
  <c r="E56" i="2"/>
  <c r="I78" i="2" l="1"/>
  <c r="I77" i="2"/>
  <c r="I79" i="2" s="1"/>
  <c r="I80" i="2" s="1"/>
  <c r="E79" i="2"/>
  <c r="I73" i="2"/>
  <c r="I72" i="2"/>
  <c r="E74" i="2"/>
  <c r="G29" i="2"/>
  <c r="I29" i="2" s="1"/>
  <c r="G28" i="2"/>
  <c r="I28" i="2" s="1"/>
  <c r="G27" i="2"/>
  <c r="G18" i="2"/>
  <c r="I18" i="2" s="1"/>
  <c r="G14" i="2"/>
  <c r="I14" i="2" s="1"/>
  <c r="G11" i="2"/>
  <c r="I11" i="2" s="1"/>
  <c r="E14" i="2"/>
  <c r="E21" i="2" s="1"/>
  <c r="G21" i="2" s="1"/>
  <c r="I21" i="2" s="1"/>
  <c r="E13" i="2"/>
  <c r="E20" i="2" s="1"/>
  <c r="L82" i="2"/>
  <c r="L75" i="2" s="1"/>
  <c r="L76" i="2" s="1"/>
  <c r="N76" i="2" s="1"/>
  <c r="N81" i="2"/>
  <c r="N80" i="2"/>
  <c r="E30" i="2"/>
  <c r="E48" i="2" s="1"/>
  <c r="I74" i="2" l="1"/>
  <c r="G30" i="2"/>
  <c r="G48" i="2" s="1"/>
  <c r="I27" i="2"/>
  <c r="I30" i="2" s="1"/>
  <c r="I48" i="2" s="1"/>
  <c r="I75" i="2"/>
  <c r="E33" i="2" s="1"/>
  <c r="G33" i="2" s="1"/>
  <c r="I33" i="2" s="1"/>
  <c r="I37" i="2" s="1"/>
  <c r="I49" i="2" s="1"/>
  <c r="E36" i="2"/>
  <c r="G36" i="2"/>
  <c r="I36" i="2" s="1"/>
  <c r="G20" i="2"/>
  <c r="I20" i="2" s="1"/>
  <c r="I22" i="2" s="1"/>
  <c r="E22" i="2"/>
  <c r="G13" i="2"/>
  <c r="E35" i="2"/>
  <c r="G35" i="2" s="1"/>
  <c r="I35" i="2" s="1"/>
  <c r="E15" i="2"/>
  <c r="N82" i="2"/>
  <c r="M82" i="2" s="1"/>
  <c r="M75" i="2" s="1"/>
  <c r="N75" i="2" s="1"/>
  <c r="N77" i="2" s="1"/>
  <c r="G15" i="2" l="1"/>
  <c r="I13" i="2"/>
  <c r="I15" i="2" s="1"/>
  <c r="I24" i="2" s="1"/>
  <c r="E24" i="2"/>
  <c r="E42" i="2" s="1"/>
  <c r="G22" i="2"/>
  <c r="E37" i="2"/>
  <c r="E49" i="2" s="1"/>
  <c r="G37" i="2"/>
  <c r="G49" i="2" s="1"/>
  <c r="E41" i="2" l="1"/>
  <c r="E44" i="2"/>
  <c r="E43" i="2" s="1"/>
  <c r="E46" i="2" s="1"/>
  <c r="E51" i="2" s="1"/>
  <c r="E53" i="2" s="1"/>
  <c r="E58" i="2" s="1"/>
  <c r="I42" i="2"/>
  <c r="I41" i="2"/>
  <c r="G24" i="2"/>
  <c r="I44" i="2" l="1"/>
  <c r="I43" i="2" s="1"/>
  <c r="I46" i="2" s="1"/>
  <c r="I51" i="2" s="1"/>
  <c r="I53" i="2" s="1"/>
  <c r="I58" i="2" s="1"/>
  <c r="G42" i="2"/>
  <c r="G41" i="2"/>
  <c r="G44" i="2" l="1"/>
  <c r="G43" i="2" s="1"/>
  <c r="G46" i="2" s="1"/>
  <c r="G51" i="2" s="1"/>
  <c r="G53" i="2" s="1"/>
  <c r="G58" i="2" s="1"/>
</calcChain>
</file>

<file path=xl/sharedStrings.xml><?xml version="1.0" encoding="utf-8"?>
<sst xmlns="http://schemas.openxmlformats.org/spreadsheetml/2006/main" count="129" uniqueCount="94">
  <si>
    <t>Residential Customer Cost Analysis</t>
  </si>
  <si>
    <t>Gross Plant</t>
  </si>
  <si>
    <t>369</t>
  </si>
  <si>
    <t>Services</t>
  </si>
  <si>
    <t>Meters</t>
  </si>
  <si>
    <t>Total Gross Plant</t>
  </si>
  <si>
    <t>Total Depreciation Reserve</t>
  </si>
  <si>
    <t>Total Net Plant</t>
  </si>
  <si>
    <t>Operation &amp; Maintenance Expenses</t>
  </si>
  <si>
    <t>Meter Reading</t>
  </si>
  <si>
    <t>Total O &amp; M Expenses</t>
  </si>
  <si>
    <t>Depreciation Expense</t>
  </si>
  <si>
    <t>Total Depreciation Expense</t>
  </si>
  <si>
    <t>Revenue Requirement</t>
  </si>
  <si>
    <t>Interest</t>
  </si>
  <si>
    <t>Revenue For Return</t>
  </si>
  <si>
    <t>O &amp; M Expenses</t>
  </si>
  <si>
    <t>Subtotal Customer Revenue Requirement</t>
  </si>
  <si>
    <t>Total Revenue Requirement</t>
  </si>
  <si>
    <t>Number of Customers</t>
  </si>
  <si>
    <t>Number of Bills</t>
  </si>
  <si>
    <t>TOTAL MONTHLY CUSTOMER COST</t>
  </si>
  <si>
    <t>Total</t>
  </si>
  <si>
    <t>Cost of Capital</t>
  </si>
  <si>
    <t>Debt</t>
  </si>
  <si>
    <t>Equity</t>
  </si>
  <si>
    <t>Depreciation Expense 1/</t>
  </si>
  <si>
    <t>1/</t>
  </si>
  <si>
    <t>DUKE ENERGY KENTUCKY</t>
  </si>
  <si>
    <t>Meters O&amp;M</t>
  </si>
  <si>
    <t>Customer Accounting Expense</t>
  </si>
  <si>
    <t>LT Debt</t>
  </si>
  <si>
    <t>ST Debt</t>
  </si>
  <si>
    <t>Total Debt</t>
  </si>
  <si>
    <t>Meters-Total Allocated to Residential</t>
  </si>
  <si>
    <t xml:space="preserve">     Non-AMI Meters</t>
  </si>
  <si>
    <t xml:space="preserve">     AMI Meters</t>
  </si>
  <si>
    <t>2/</t>
  </si>
  <si>
    <t>3/</t>
  </si>
  <si>
    <t>Total allocated meter depreciation reserve times ratio of gross plant per 1/.</t>
  </si>
  <si>
    <t>4/</t>
  </si>
  <si>
    <t>5/</t>
  </si>
  <si>
    <t>6/</t>
  </si>
  <si>
    <t>Based on ratio of Gross Plant.</t>
  </si>
  <si>
    <t>Total allocated meter Gross Plant times ratio of non-AMI to AMI meters per Company Filing Schedule B-3, page 4.</t>
  </si>
  <si>
    <t>Estimated amount assuming no Smart Meters based on 2017 rate case Meter Reading expense of $233,172 divided by 126,269 Residential customers.</t>
  </si>
  <si>
    <t>Memo:</t>
  </si>
  <si>
    <t>Services Depr.</t>
  </si>
  <si>
    <t>UG</t>
  </si>
  <si>
    <t>OH</t>
  </si>
  <si>
    <t>Weighted average Underground and Overhead Services depreciation rate of 1.54%, per Company Filing Schedule B-3.2, page 4.</t>
  </si>
  <si>
    <t>Non-AMI</t>
  </si>
  <si>
    <t>AMI</t>
  </si>
  <si>
    <t>7/</t>
  </si>
  <si>
    <t>Non-AMI meter depreciation rate of 3.46% and AMI meter depreciation rate of 6.86%, per Company Filing Schedule B-3.2, page 4.</t>
  </si>
  <si>
    <t>8/</t>
  </si>
  <si>
    <t>Same depreciation rate as non-AMI meters (3.46%).</t>
  </si>
  <si>
    <t>Duke Proposed ROR</t>
  </si>
  <si>
    <t xml:space="preserve">Equity return </t>
  </si>
  <si>
    <t>Federal Income Tax @ 21.00%</t>
  </si>
  <si>
    <t>State Income Taxes @ 5.228%</t>
  </si>
  <si>
    <t>Full Cost</t>
  </si>
  <si>
    <t xml:space="preserve">of </t>
  </si>
  <si>
    <t>Adjusted to</t>
  </si>
  <si>
    <t>Reflect Energy</t>
  </si>
  <si>
    <t>Component of</t>
  </si>
  <si>
    <t>Smart Meters</t>
  </si>
  <si>
    <t>At Duke Proposed ROR</t>
  </si>
  <si>
    <t>Adjusted</t>
  </si>
  <si>
    <t>At AG ROR</t>
  </si>
  <si>
    <t>AG Proposed ROR</t>
  </si>
  <si>
    <t>Depreciation Reserve</t>
  </si>
  <si>
    <t>Meters-Total Alloc. to Resid. ($18,247,177)</t>
  </si>
  <si>
    <t>Meters-Total Alloc. to Resid. ($4,014,009)</t>
  </si>
  <si>
    <t>Residential Meter Cost</t>
  </si>
  <si>
    <t>RS</t>
  </si>
  <si>
    <t>Meter</t>
  </si>
  <si>
    <t>Average</t>
  </si>
  <si>
    <t>Cost</t>
  </si>
  <si>
    <t>No. of</t>
  </si>
  <si>
    <t>Cost Per</t>
  </si>
  <si>
    <t>Per Unit</t>
  </si>
  <si>
    <t>Non-AMI Meters</t>
  </si>
  <si>
    <t>2017 Case (per AG-1-78)</t>
  </si>
  <si>
    <t>Res. Meters Cost</t>
  </si>
  <si>
    <t>Subtotal</t>
  </si>
  <si>
    <t>AMI Meters</t>
  </si>
  <si>
    <t>Res. Meter Count</t>
  </si>
  <si>
    <t>Avg. Meter Cost</t>
  </si>
  <si>
    <t>Source:  Duke response to AG-DR-1-78, Attachment 1.</t>
  </si>
  <si>
    <t>Estimate of non-AMI meter cost of $25.00 based on two sources:  (1) Response to AG-1-78, Attachment 1 (weighted average cost of $24.45), calculated per page 2 of Schedule GAW-2; and, (2) Response to AG-1-78, Attachment 2 weighted average cost of Residential meters in Case No. 2017-00321 of $24.92 ($3,285,527 ÷ 131,839).</t>
  </si>
  <si>
    <t>(1)</t>
  </si>
  <si>
    <t>(2)</t>
  </si>
  <si>
    <t>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</si>
</sst>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$-409]#,##0"/>
    <numFmt numFmtId="166" formatCode="&quot;$&quot;#,##0.00"/>
    <numFmt numFmtId="167" formatCode="_(* #,##0_);_(* \(#,##0\);_(* &quot;-&quot;??_);_(@_)"/>
    <numFmt numFmtId="168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5" fillId="0" borderId="0" xfId="2" applyNumberFormat="1" applyFont="1" applyAlignment="1">
      <alignment horizontal="center"/>
    </xf>
    <xf numFmtId="0" fontId="6" fillId="0" borderId="0" xfId="2" applyNumberFormat="1" applyFont="1" applyAlignment="1">
      <alignment horizontal="centerContinuous" wrapText="1"/>
    </xf>
    <xf numFmtId="0" fontId="6" fillId="0" borderId="0" xfId="2" applyFont="1"/>
    <xf numFmtId="0" fontId="6" fillId="0" borderId="1" xfId="2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0" xfId="2" applyNumberFormat="1" applyFont="1" applyAlignment="1"/>
    <xf numFmtId="1" fontId="5" fillId="0" borderId="0" xfId="2" applyNumberFormat="1" applyFont="1" applyAlignment="1">
      <alignment horizontal="center"/>
    </xf>
    <xf numFmtId="0" fontId="6" fillId="0" borderId="0" xfId="2" applyNumberFormat="1" applyFont="1" applyAlignment="1">
      <alignment horizontal="right"/>
    </xf>
    <xf numFmtId="0" fontId="6" fillId="0" borderId="0" xfId="2" applyNumberFormat="1" applyFont="1" applyAlignment="1"/>
    <xf numFmtId="164" fontId="6" fillId="0" borderId="0" xfId="2" applyNumberFormat="1" applyFont="1" applyAlignment="1"/>
    <xf numFmtId="164" fontId="2" fillId="0" borderId="0" xfId="0" applyNumberFormat="1" applyFont="1"/>
    <xf numFmtId="164" fontId="5" fillId="0" borderId="0" xfId="2" applyNumberFormat="1" applyFont="1" applyAlignment="1">
      <alignment horizontal="center"/>
    </xf>
    <xf numFmtId="164" fontId="5" fillId="0" borderId="0" xfId="2" applyNumberFormat="1" applyFont="1" applyAlignment="1"/>
    <xf numFmtId="165" fontId="5" fillId="0" borderId="0" xfId="2" applyNumberFormat="1" applyFont="1" applyAlignment="1"/>
    <xf numFmtId="0" fontId="6" fillId="0" borderId="2" xfId="2" applyFont="1" applyBorder="1"/>
    <xf numFmtId="0" fontId="2" fillId="0" borderId="2" xfId="0" applyFont="1" applyBorder="1"/>
    <xf numFmtId="166" fontId="2" fillId="0" borderId="0" xfId="0" applyNumberFormat="1" applyFont="1"/>
    <xf numFmtId="10" fontId="2" fillId="0" borderId="0" xfId="1" applyNumberFormat="1" applyFont="1"/>
    <xf numFmtId="10" fontId="2" fillId="0" borderId="1" xfId="1" applyNumberFormat="1" applyFont="1" applyBorder="1"/>
    <xf numFmtId="0" fontId="5" fillId="0" borderId="1" xfId="2" applyNumberFormat="1" applyFont="1" applyBorder="1" applyAlignment="1"/>
    <xf numFmtId="0" fontId="6" fillId="0" borderId="1" xfId="2" applyFont="1" applyBorder="1" applyAlignment="1"/>
    <xf numFmtId="0" fontId="5" fillId="0" borderId="1" xfId="2" applyNumberFormat="1" applyFont="1" applyBorder="1" applyAlignment="1">
      <alignment horizontal="center"/>
    </xf>
    <xf numFmtId="0" fontId="5" fillId="0" borderId="1" xfId="2" applyNumberFormat="1" applyFont="1" applyBorder="1" applyAlignment="1">
      <alignment horizontal="center"/>
    </xf>
    <xf numFmtId="5" fontId="2" fillId="0" borderId="0" xfId="4" applyNumberFormat="1" applyFont="1"/>
    <xf numFmtId="164" fontId="7" fillId="0" borderId="0" xfId="0" applyNumberFormat="1" applyFont="1"/>
    <xf numFmtId="0" fontId="7" fillId="0" borderId="0" xfId="0" applyFont="1"/>
    <xf numFmtId="10" fontId="7" fillId="0" borderId="0" xfId="1" applyNumberFormat="1" applyFont="1"/>
    <xf numFmtId="10" fontId="2" fillId="0" borderId="0" xfId="0" applyNumberFormat="1" applyFont="1"/>
    <xf numFmtId="164" fontId="5" fillId="0" borderId="0" xfId="2" applyNumberFormat="1" applyFont="1" applyBorder="1" applyAlignment="1"/>
    <xf numFmtId="165" fontId="5" fillId="0" borderId="0" xfId="2" applyNumberFormat="1" applyFont="1" applyBorder="1" applyAlignment="1"/>
    <xf numFmtId="0" fontId="6" fillId="0" borderId="0" xfId="2" applyFont="1" applyBorder="1" applyAlignment="1"/>
    <xf numFmtId="10" fontId="2" fillId="0" borderId="0" xfId="1" applyNumberFormat="1" applyFont="1" applyBorder="1"/>
    <xf numFmtId="167" fontId="2" fillId="0" borderId="0" xfId="3" applyNumberFormat="1" applyFont="1"/>
    <xf numFmtId="0" fontId="6" fillId="0" borderId="0" xfId="2" applyFont="1" applyBorder="1"/>
    <xf numFmtId="0" fontId="2" fillId="0" borderId="0" xfId="0" applyFont="1" applyBorder="1"/>
    <xf numFmtId="0" fontId="2" fillId="0" borderId="0" xfId="0" applyFont="1" applyAlignment="1">
      <alignment horizontal="right"/>
    </xf>
    <xf numFmtId="167" fontId="2" fillId="0" borderId="0" xfId="3" applyNumberFormat="1" applyFont="1" applyBorder="1"/>
    <xf numFmtId="167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0" fontId="6" fillId="0" borderId="0" xfId="1" applyNumberFormat="1" applyFont="1"/>
    <xf numFmtId="5" fontId="2" fillId="0" borderId="1" xfId="4" applyNumberFormat="1" applyFont="1" applyBorder="1"/>
    <xf numFmtId="0" fontId="6" fillId="0" borderId="0" xfId="2" applyNumberFormat="1" applyFont="1" applyAlignment="1">
      <alignment horizontal="center" wrapText="1"/>
    </xf>
    <xf numFmtId="0" fontId="5" fillId="0" borderId="0" xfId="2" applyNumberFormat="1" applyFont="1" applyBorder="1" applyAlignment="1"/>
    <xf numFmtId="0" fontId="6" fillId="0" borderId="1" xfId="2" applyNumberFormat="1" applyFont="1" applyBorder="1" applyAlignment="1"/>
    <xf numFmtId="5" fontId="2" fillId="0" borderId="2" xfId="4" applyNumberFormat="1" applyFont="1" applyBorder="1"/>
    <xf numFmtId="164" fontId="2" fillId="0" borderId="1" xfId="0" applyNumberFormat="1" applyFont="1" applyBorder="1"/>
    <xf numFmtId="0" fontId="6" fillId="0" borderId="0" xfId="2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5" fontId="2" fillId="0" borderId="0" xfId="4" applyNumberFormat="1" applyFont="1" applyBorder="1"/>
    <xf numFmtId="0" fontId="8" fillId="0" borderId="0" xfId="2" applyNumberFormat="1" applyFont="1" applyAlignment="1"/>
    <xf numFmtId="0" fontId="9" fillId="0" borderId="0" xfId="0" applyFont="1"/>
    <xf numFmtId="5" fontId="9" fillId="0" borderId="0" xfId="4" applyNumberFormat="1" applyFont="1"/>
    <xf numFmtId="164" fontId="2" fillId="0" borderId="0" xfId="4" applyNumberFormat="1" applyFont="1"/>
    <xf numFmtId="164" fontId="2" fillId="0" borderId="1" xfId="4" applyNumberFormat="1" applyFont="1" applyBorder="1"/>
    <xf numFmtId="164" fontId="9" fillId="0" borderId="0" xfId="4" applyNumberFormat="1" applyFont="1"/>
    <xf numFmtId="164" fontId="2" fillId="0" borderId="0" xfId="4" applyNumberFormat="1" applyFont="1" applyBorder="1"/>
    <xf numFmtId="0" fontId="2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2" applyNumberFormat="1" applyFont="1" applyAlignment="1">
      <alignment horizontal="right"/>
    </xf>
    <xf numFmtId="0" fontId="10" fillId="0" borderId="0" xfId="2" applyFont="1"/>
    <xf numFmtId="0" fontId="11" fillId="0" borderId="0" xfId="0" applyFont="1"/>
    <xf numFmtId="7" fontId="11" fillId="0" borderId="0" xfId="4" applyNumberFormat="1" applyFont="1"/>
    <xf numFmtId="0" fontId="13" fillId="0" borderId="0" xfId="0" applyFont="1"/>
    <xf numFmtId="0" fontId="12" fillId="0" borderId="0" xfId="0" applyFont="1" applyAlignment="1">
      <alignment horizontal="center"/>
    </xf>
    <xf numFmtId="168" fontId="12" fillId="0" borderId="0" xfId="4" applyNumberFormat="1" applyFont="1" applyAlignment="1">
      <alignment horizontal="center"/>
    </xf>
    <xf numFmtId="167" fontId="12" fillId="0" borderId="0" xfId="3" applyNumberFormat="1" applyFont="1" applyAlignment="1">
      <alignment horizontal="center"/>
    </xf>
    <xf numFmtId="0" fontId="12" fillId="0" borderId="1" xfId="0" applyFont="1" applyBorder="1" applyAlignment="1">
      <alignment horizontal="center"/>
    </xf>
    <xf numFmtId="168" fontId="12" fillId="0" borderId="1" xfId="4" applyNumberFormat="1" applyFont="1" applyBorder="1" applyAlignment="1">
      <alignment horizontal="center"/>
    </xf>
    <xf numFmtId="167" fontId="12" fillId="0" borderId="1" xfId="3" applyNumberFormat="1" applyFont="1" applyBorder="1" applyAlignment="1">
      <alignment horizontal="center"/>
    </xf>
    <xf numFmtId="0" fontId="14" fillId="0" borderId="0" xfId="0" applyFont="1"/>
    <xf numFmtId="168" fontId="13" fillId="0" borderId="0" xfId="4" applyNumberFormat="1" applyFont="1"/>
    <xf numFmtId="167" fontId="13" fillId="0" borderId="0" xfId="3" applyNumberFormat="1" applyFont="1"/>
    <xf numFmtId="44" fontId="13" fillId="0" borderId="0" xfId="4" applyFont="1"/>
    <xf numFmtId="44" fontId="13" fillId="0" borderId="1" xfId="4" applyFont="1" applyBorder="1"/>
    <xf numFmtId="168" fontId="13" fillId="0" borderId="1" xfId="4" applyNumberFormat="1" applyFont="1" applyBorder="1"/>
    <xf numFmtId="167" fontId="13" fillId="0" borderId="1" xfId="3" applyNumberFormat="1" applyFont="1" applyBorder="1"/>
    <xf numFmtId="168" fontId="13" fillId="0" borderId="0" xfId="0" applyNumberFormat="1" applyFont="1"/>
    <xf numFmtId="0" fontId="5" fillId="0" borderId="0" xfId="2" applyNumberFormat="1" applyFont="1" applyBorder="1" applyAlignment="1">
      <alignment horizontal="center"/>
    </xf>
    <xf numFmtId="49" fontId="5" fillId="0" borderId="0" xfId="2" applyNumberFormat="1" applyFont="1" applyBorder="1" applyAlignment="1">
      <alignment horizontal="center"/>
    </xf>
    <xf numFmtId="49" fontId="13" fillId="0" borderId="0" xfId="0" applyNumberFormat="1" applyFont="1"/>
    <xf numFmtId="49" fontId="12" fillId="0" borderId="0" xfId="3" applyNumberFormat="1" applyFont="1" applyBorder="1" applyAlignment="1">
      <alignment horizontal="center"/>
    </xf>
    <xf numFmtId="49" fontId="13" fillId="0" borderId="0" xfId="0" applyNumberFormat="1" applyFont="1" applyBorder="1"/>
    <xf numFmtId="0" fontId="13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0" xfId="2" applyNumberFormat="1" applyFont="1" applyAlignment="1">
      <alignment horizontal="center" wrapText="1"/>
    </xf>
    <xf numFmtId="0" fontId="5" fillId="0" borderId="1" xfId="2" applyNumberFormat="1" applyFont="1" applyBorder="1" applyAlignment="1">
      <alignment horizontal="center"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 wrapText="1"/>
    </xf>
    <xf numFmtId="0" fontId="3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10" fontId="13" fillId="0" borderId="0" xfId="0" applyNumberFormat="1" applyFont="1"/>
    <xf numFmtId="9" fontId="13" fillId="0" borderId="0" xfId="0" applyNumberFormat="1" applyFont="1"/>
  </cellXfs>
  <cellStyles count="5">
    <cellStyle name="Comma" xfId="3" builtinId="3"/>
    <cellStyle name="Currency" xfId="4" builtinId="4"/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6762C-2798-4C87-B929-FDB5A1F3054D}">
  <sheetPr>
    <pageSetUpPr fitToPage="1"/>
  </sheetPr>
  <dimension ref="A1:P93"/>
  <sheetViews>
    <sheetView tabSelected="1" workbookViewId="0">
      <selection activeCell="C6" sqref="C6"/>
    </sheetView>
  </sheetViews>
  <sheetFormatPr defaultColWidth="9.140625" defaultRowHeight="12.75" x14ac:dyDescent="0.2"/>
  <cols>
    <col min="1" max="1" width="9.140625" style="1"/>
    <col min="2" max="2" width="8" style="1" customWidth="1"/>
    <col min="3" max="3" width="39.42578125" style="1" customWidth="1"/>
    <col min="4" max="4" width="2.85546875" style="1" customWidth="1"/>
    <col min="5" max="5" width="11.7109375" style="1" bestFit="1" customWidth="1"/>
    <col min="6" max="6" width="3.85546875" style="1" customWidth="1"/>
    <col min="7" max="7" width="16.28515625" style="1" bestFit="1" customWidth="1"/>
    <col min="8" max="8" width="2.5703125" style="1" bestFit="1" customWidth="1"/>
    <col min="9" max="9" width="19" style="1" customWidth="1"/>
    <col min="10" max="10" width="10.140625" style="1" bestFit="1" customWidth="1"/>
    <col min="11" max="11" width="11.140625" style="1" bestFit="1" customWidth="1"/>
    <col min="12" max="12" width="12.7109375" style="1" bestFit="1" customWidth="1"/>
    <col min="13" max="13" width="11.140625" style="1" bestFit="1" customWidth="1"/>
    <col min="14" max="16384" width="9.140625" style="1"/>
  </cols>
  <sheetData>
    <row r="1" spans="1:13" ht="12.75" customHeight="1" x14ac:dyDescent="0.2"/>
    <row r="2" spans="1:13" x14ac:dyDescent="0.2">
      <c r="B2" s="89" t="s">
        <v>28</v>
      </c>
      <c r="C2" s="89"/>
      <c r="D2" s="89"/>
      <c r="E2" s="89"/>
      <c r="F2" s="89"/>
      <c r="G2" s="89"/>
      <c r="H2" s="89"/>
      <c r="I2" s="89"/>
    </row>
    <row r="3" spans="1:13" x14ac:dyDescent="0.2">
      <c r="B3" s="90" t="s">
        <v>0</v>
      </c>
      <c r="C3" s="90"/>
      <c r="D3" s="90"/>
      <c r="E3" s="90"/>
      <c r="F3" s="90"/>
      <c r="G3" s="90"/>
      <c r="H3" s="90"/>
      <c r="I3" s="90"/>
    </row>
    <row r="4" spans="1:13" x14ac:dyDescent="0.2">
      <c r="B4" s="82"/>
      <c r="C4" s="82"/>
      <c r="D4" s="82"/>
      <c r="E4" s="83" t="s">
        <v>91</v>
      </c>
      <c r="F4" s="83"/>
      <c r="G4" s="83" t="s">
        <v>92</v>
      </c>
      <c r="H4" s="83"/>
      <c r="I4" s="83" t="s">
        <v>93</v>
      </c>
    </row>
    <row r="5" spans="1:13" x14ac:dyDescent="0.2">
      <c r="A5" s="2"/>
      <c r="B5" s="3"/>
      <c r="C5" s="45"/>
      <c r="D5" s="41"/>
      <c r="E5" s="93" t="s">
        <v>67</v>
      </c>
      <c r="F5" s="93"/>
      <c r="G5" s="93"/>
      <c r="H5" s="52"/>
      <c r="I5" s="52"/>
    </row>
    <row r="6" spans="1:13" ht="15.75" customHeight="1" x14ac:dyDescent="0.2">
      <c r="A6" s="2"/>
      <c r="C6" s="41"/>
      <c r="D6" s="41"/>
      <c r="E6" s="52"/>
      <c r="F6" s="52"/>
      <c r="G6" s="52" t="s">
        <v>63</v>
      </c>
      <c r="H6" s="52"/>
      <c r="I6" s="52"/>
    </row>
    <row r="7" spans="1:13" ht="15.75" customHeight="1" x14ac:dyDescent="0.2">
      <c r="A7" s="2"/>
      <c r="C7" s="41"/>
      <c r="D7" s="41"/>
      <c r="E7" s="52" t="s">
        <v>61</v>
      </c>
      <c r="F7" s="52"/>
      <c r="G7" s="52" t="s">
        <v>64</v>
      </c>
      <c r="H7" s="52"/>
      <c r="I7" s="52"/>
    </row>
    <row r="8" spans="1:13" x14ac:dyDescent="0.2">
      <c r="A8" s="2"/>
      <c r="C8" s="41"/>
      <c r="D8" s="41"/>
      <c r="E8" s="52" t="s">
        <v>62</v>
      </c>
      <c r="F8" s="52"/>
      <c r="G8" s="52" t="s">
        <v>65</v>
      </c>
      <c r="H8" s="52"/>
      <c r="I8" s="52" t="s">
        <v>68</v>
      </c>
    </row>
    <row r="9" spans="1:13" s="7" customFormat="1" x14ac:dyDescent="0.2">
      <c r="A9" s="24"/>
      <c r="B9" s="5"/>
      <c r="C9" s="25"/>
      <c r="D9" s="42"/>
      <c r="E9" s="6" t="s">
        <v>4</v>
      </c>
      <c r="F9" s="6"/>
      <c r="G9" s="6" t="s">
        <v>66</v>
      </c>
      <c r="H9" s="6"/>
      <c r="I9" s="6" t="s">
        <v>69</v>
      </c>
    </row>
    <row r="10" spans="1:13" x14ac:dyDescent="0.2">
      <c r="A10" s="2"/>
      <c r="B10" s="8" t="s">
        <v>1</v>
      </c>
      <c r="C10" s="8"/>
    </row>
    <row r="11" spans="1:13" x14ac:dyDescent="0.2">
      <c r="A11" s="9"/>
      <c r="B11" s="10" t="s">
        <v>2</v>
      </c>
      <c r="C11" s="11" t="s">
        <v>3</v>
      </c>
      <c r="E11" s="57">
        <v>18964823</v>
      </c>
      <c r="F11" s="26"/>
      <c r="G11" s="57">
        <f>E11</f>
        <v>18964823</v>
      </c>
      <c r="H11" s="26"/>
      <c r="I11" s="57">
        <f>G11</f>
        <v>18964823</v>
      </c>
      <c r="J11" s="28"/>
      <c r="M11" s="27"/>
    </row>
    <row r="12" spans="1:13" x14ac:dyDescent="0.2">
      <c r="A12" s="9"/>
      <c r="B12" s="11">
        <v>370</v>
      </c>
      <c r="C12" s="11" t="s">
        <v>72</v>
      </c>
      <c r="F12" s="26"/>
      <c r="G12" s="57"/>
      <c r="H12" s="26"/>
      <c r="I12" s="57"/>
      <c r="J12" s="28"/>
      <c r="K12" s="57">
        <v>18247177</v>
      </c>
      <c r="M12" s="27"/>
    </row>
    <row r="13" spans="1:13" x14ac:dyDescent="0.2">
      <c r="A13" s="9"/>
      <c r="B13" s="11"/>
      <c r="C13" s="11" t="s">
        <v>35</v>
      </c>
      <c r="E13" s="57">
        <f>3079879/(3079879+23000822)*K12</f>
        <v>2154815.4419462499</v>
      </c>
      <c r="F13" s="26" t="s">
        <v>27</v>
      </c>
      <c r="G13" s="57">
        <f>E13</f>
        <v>2154815.4419462499</v>
      </c>
      <c r="H13" s="26"/>
      <c r="I13" s="57">
        <f>G13</f>
        <v>2154815.4419462499</v>
      </c>
      <c r="J13" s="28"/>
      <c r="M13" s="27"/>
    </row>
    <row r="14" spans="1:13" x14ac:dyDescent="0.2">
      <c r="A14" s="9"/>
      <c r="B14" s="11"/>
      <c r="C14" s="47" t="s">
        <v>36</v>
      </c>
      <c r="D14" s="7"/>
      <c r="E14" s="58">
        <f>23000822/(3079879+23000822)*K12</f>
        <v>16092361.558053751</v>
      </c>
      <c r="F14" s="44" t="s">
        <v>27</v>
      </c>
      <c r="G14" s="58">
        <f>25*E55</f>
        <v>3210775</v>
      </c>
      <c r="H14" s="44" t="s">
        <v>37</v>
      </c>
      <c r="I14" s="58">
        <f>G14</f>
        <v>3210775</v>
      </c>
      <c r="J14" s="28"/>
      <c r="M14" s="27"/>
    </row>
    <row r="15" spans="1:13" x14ac:dyDescent="0.2">
      <c r="A15" s="9"/>
      <c r="B15" s="8"/>
      <c r="C15" s="46" t="s">
        <v>5</v>
      </c>
      <c r="E15" s="31">
        <f>E11+E13+E14</f>
        <v>37212000</v>
      </c>
      <c r="F15" s="31"/>
      <c r="G15" s="31">
        <f>G11+G13+G14</f>
        <v>24330413.441946249</v>
      </c>
      <c r="H15" s="31"/>
      <c r="I15" s="31">
        <f>I11+I13+I14</f>
        <v>24330413.441946249</v>
      </c>
      <c r="J15" s="28"/>
      <c r="M15" s="27"/>
    </row>
    <row r="16" spans="1:13" x14ac:dyDescent="0.2">
      <c r="A16" s="9"/>
      <c r="B16" s="8"/>
      <c r="C16" s="4"/>
      <c r="E16" s="57"/>
      <c r="F16" s="26"/>
      <c r="G16" s="57"/>
      <c r="H16" s="26"/>
      <c r="I16" s="57"/>
      <c r="M16" s="13"/>
    </row>
    <row r="17" spans="1:16" x14ac:dyDescent="0.2">
      <c r="A17" s="2"/>
      <c r="B17" s="8" t="s">
        <v>71</v>
      </c>
      <c r="C17" s="4"/>
      <c r="E17" s="57"/>
      <c r="F17" s="26"/>
      <c r="G17" s="57"/>
      <c r="H17" s="26"/>
      <c r="I17" s="57"/>
      <c r="J17" s="28"/>
      <c r="M17" s="27"/>
    </row>
    <row r="18" spans="1:16" s="13" customFormat="1" x14ac:dyDescent="0.2">
      <c r="A18" s="14"/>
      <c r="B18" s="15"/>
      <c r="C18" s="12" t="s">
        <v>3</v>
      </c>
      <c r="E18" s="57">
        <v>10417084</v>
      </c>
      <c r="F18" s="26"/>
      <c r="G18" s="57">
        <f>E18</f>
        <v>10417084</v>
      </c>
      <c r="H18" s="26"/>
      <c r="I18" s="57">
        <f>G18</f>
        <v>10417084</v>
      </c>
      <c r="J18" s="28"/>
      <c r="K18" s="1"/>
      <c r="L18" s="1"/>
      <c r="M18" s="27"/>
    </row>
    <row r="19" spans="1:16" s="13" customFormat="1" x14ac:dyDescent="0.2">
      <c r="A19" s="14"/>
      <c r="B19" s="15"/>
      <c r="C19" s="11" t="s">
        <v>73</v>
      </c>
      <c r="F19" s="26"/>
      <c r="G19" s="57"/>
      <c r="H19" s="26"/>
      <c r="I19" s="57"/>
      <c r="J19" s="28"/>
      <c r="K19" s="57">
        <v>4014009</v>
      </c>
      <c r="L19" s="1"/>
      <c r="M19" s="27"/>
    </row>
    <row r="20" spans="1:16" s="13" customFormat="1" x14ac:dyDescent="0.2">
      <c r="A20" s="14"/>
      <c r="B20" s="15"/>
      <c r="C20" s="11" t="s">
        <v>35</v>
      </c>
      <c r="E20" s="57">
        <f>E13/K12*K19</f>
        <v>474015.71088564687</v>
      </c>
      <c r="F20" s="26" t="s">
        <v>38</v>
      </c>
      <c r="G20" s="57">
        <f>E20</f>
        <v>474015.71088564687</v>
      </c>
      <c r="H20" s="26"/>
      <c r="I20" s="57">
        <f>G20</f>
        <v>474015.71088564687</v>
      </c>
      <c r="J20" s="28"/>
      <c r="K20" s="1"/>
      <c r="L20" s="1"/>
      <c r="M20" s="27"/>
    </row>
    <row r="21" spans="1:16" s="13" customFormat="1" x14ac:dyDescent="0.2">
      <c r="A21" s="14"/>
      <c r="B21" s="15"/>
      <c r="C21" s="47" t="s">
        <v>36</v>
      </c>
      <c r="D21" s="49"/>
      <c r="E21" s="58">
        <f>E14/K12*K19</f>
        <v>3539993.2891143532</v>
      </c>
      <c r="F21" s="44" t="s">
        <v>38</v>
      </c>
      <c r="G21" s="58">
        <f>G14/E14*E21</f>
        <v>706305.40532242332</v>
      </c>
      <c r="H21" s="44" t="s">
        <v>40</v>
      </c>
      <c r="I21" s="58">
        <f>G21</f>
        <v>706305.40532242332</v>
      </c>
      <c r="J21" s="28"/>
      <c r="K21" s="1"/>
      <c r="L21" s="1"/>
      <c r="M21" s="27"/>
    </row>
    <row r="22" spans="1:16" x14ac:dyDescent="0.2">
      <c r="A22" s="9"/>
      <c r="B22" s="8"/>
      <c r="C22" s="46" t="s">
        <v>6</v>
      </c>
      <c r="E22" s="31">
        <f>+E18+E20+E21</f>
        <v>14431093</v>
      </c>
      <c r="F22" s="32"/>
      <c r="G22" s="31">
        <f>+G18+G20+G21</f>
        <v>11597405.116208071</v>
      </c>
      <c r="H22" s="32"/>
      <c r="I22" s="31">
        <f>+I18+I20+I21</f>
        <v>11597405.116208071</v>
      </c>
      <c r="J22" s="28"/>
      <c r="M22" s="27"/>
    </row>
    <row r="23" spans="1:16" x14ac:dyDescent="0.2">
      <c r="A23" s="9"/>
      <c r="B23" s="8"/>
      <c r="C23" s="4"/>
      <c r="E23" s="13"/>
      <c r="G23" s="13"/>
      <c r="I23" s="13"/>
    </row>
    <row r="24" spans="1:16" x14ac:dyDescent="0.2">
      <c r="A24" s="9"/>
      <c r="B24" s="8" t="s">
        <v>7</v>
      </c>
      <c r="C24" s="4"/>
      <c r="E24" s="15">
        <f>E15-E22</f>
        <v>22780907</v>
      </c>
      <c r="F24" s="16"/>
      <c r="G24" s="15">
        <f>G15-G22</f>
        <v>12733008.325738179</v>
      </c>
      <c r="H24" s="16"/>
      <c r="I24" s="15">
        <f>I15-I22</f>
        <v>12733008.325738179</v>
      </c>
      <c r="J24" s="28"/>
      <c r="M24" s="27"/>
    </row>
    <row r="25" spans="1:16" x14ac:dyDescent="0.2">
      <c r="A25" s="9"/>
      <c r="B25" s="8"/>
      <c r="C25" s="4"/>
      <c r="E25" s="57"/>
      <c r="F25" s="26"/>
      <c r="G25" s="57"/>
      <c r="H25" s="26"/>
      <c r="I25" s="57"/>
      <c r="J25" s="28"/>
      <c r="M25" s="27"/>
      <c r="P25" s="27"/>
    </row>
    <row r="26" spans="1:16" x14ac:dyDescent="0.2">
      <c r="A26" s="2"/>
      <c r="B26" s="8" t="s">
        <v>8</v>
      </c>
      <c r="C26" s="4"/>
      <c r="E26" s="57"/>
      <c r="F26" s="26"/>
      <c r="G26" s="57"/>
      <c r="H26" s="26"/>
      <c r="I26" s="57"/>
    </row>
    <row r="27" spans="1:16" x14ac:dyDescent="0.2">
      <c r="A27" s="2"/>
      <c r="B27" s="11"/>
      <c r="C27" s="11" t="s">
        <v>29</v>
      </c>
      <c r="E27" s="57">
        <v>869842</v>
      </c>
      <c r="F27" s="26"/>
      <c r="G27" s="57">
        <f>E27</f>
        <v>869842</v>
      </c>
      <c r="H27" s="26"/>
      <c r="I27" s="57">
        <f>G27</f>
        <v>869842</v>
      </c>
    </row>
    <row r="28" spans="1:16" x14ac:dyDescent="0.2">
      <c r="A28" s="2"/>
      <c r="B28" s="11"/>
      <c r="C28" s="11" t="s">
        <v>30</v>
      </c>
      <c r="E28" s="57">
        <v>4204371</v>
      </c>
      <c r="F28" s="26"/>
      <c r="G28" s="57">
        <f>E28</f>
        <v>4204371</v>
      </c>
      <c r="H28" s="26"/>
      <c r="I28" s="57">
        <f>G28</f>
        <v>4204371</v>
      </c>
      <c r="J28" s="28"/>
      <c r="M28" s="27"/>
    </row>
    <row r="29" spans="1:16" x14ac:dyDescent="0.2">
      <c r="A29" s="2"/>
      <c r="B29" s="11"/>
      <c r="C29" s="47" t="s">
        <v>9</v>
      </c>
      <c r="D29" s="7"/>
      <c r="E29" s="58">
        <v>0</v>
      </c>
      <c r="F29" s="44"/>
      <c r="G29" s="58">
        <f>233172/126269*E55</f>
        <v>237164.41194592498</v>
      </c>
      <c r="H29" s="44" t="s">
        <v>41</v>
      </c>
      <c r="I29" s="58">
        <f>G29</f>
        <v>237164.41194592498</v>
      </c>
      <c r="J29" s="28"/>
    </row>
    <row r="30" spans="1:16" x14ac:dyDescent="0.2">
      <c r="A30" s="9"/>
      <c r="B30" s="8"/>
      <c r="C30" s="46" t="s">
        <v>10</v>
      </c>
      <c r="E30" s="31">
        <f>SUM(E27:E29)</f>
        <v>5074213</v>
      </c>
      <c r="F30" s="31"/>
      <c r="G30" s="31">
        <f>SUM(G27:G29)</f>
        <v>5311377.4119459251</v>
      </c>
      <c r="H30" s="31"/>
      <c r="I30" s="31">
        <f>SUM(I27:I29)</f>
        <v>5311377.4119459251</v>
      </c>
    </row>
    <row r="31" spans="1:16" x14ac:dyDescent="0.2">
      <c r="A31" s="9"/>
      <c r="B31" s="8"/>
      <c r="C31" s="4"/>
      <c r="E31" s="57"/>
      <c r="F31" s="26"/>
      <c r="G31" s="57"/>
      <c r="H31" s="26"/>
      <c r="I31" s="57"/>
    </row>
    <row r="32" spans="1:16" x14ac:dyDescent="0.2">
      <c r="A32" s="9"/>
      <c r="B32" s="8" t="s">
        <v>26</v>
      </c>
      <c r="C32" s="4"/>
      <c r="E32" s="57"/>
      <c r="F32" s="26"/>
      <c r="G32" s="57"/>
      <c r="H32" s="26"/>
      <c r="I32" s="57"/>
    </row>
    <row r="33" spans="1:13" x14ac:dyDescent="0.2">
      <c r="A33" s="9"/>
      <c r="B33" s="11"/>
      <c r="C33" s="11" t="s">
        <v>3</v>
      </c>
      <c r="D33" s="13"/>
      <c r="E33" s="57">
        <f>E11*I75</f>
        <v>292219.23850452004</v>
      </c>
      <c r="F33" s="26" t="s">
        <v>42</v>
      </c>
      <c r="G33" s="57">
        <f>E33</f>
        <v>292219.23850452004</v>
      </c>
      <c r="H33" s="26"/>
      <c r="I33" s="57">
        <f>G33</f>
        <v>292219.23850452004</v>
      </c>
      <c r="K33" s="28"/>
      <c r="L33" s="28"/>
      <c r="M33" s="29"/>
    </row>
    <row r="34" spans="1:13" x14ac:dyDescent="0.2">
      <c r="A34" s="9"/>
      <c r="B34" s="11"/>
      <c r="C34" s="11" t="s">
        <v>34</v>
      </c>
      <c r="D34" s="13"/>
      <c r="E34" s="57"/>
      <c r="F34" s="26"/>
      <c r="G34" s="57"/>
      <c r="H34" s="26"/>
      <c r="I34" s="57"/>
      <c r="K34" s="28"/>
      <c r="L34" s="28"/>
      <c r="M34" s="29"/>
    </row>
    <row r="35" spans="1:13" x14ac:dyDescent="0.2">
      <c r="A35" s="9"/>
      <c r="B35" s="11"/>
      <c r="C35" s="11" t="s">
        <v>35</v>
      </c>
      <c r="D35" s="13"/>
      <c r="E35" s="57">
        <f>E13*G77</f>
        <v>74556.614291340244</v>
      </c>
      <c r="F35" s="26" t="s">
        <v>53</v>
      </c>
      <c r="G35" s="57">
        <f>E35</f>
        <v>74556.614291340244</v>
      </c>
      <c r="H35" s="26"/>
      <c r="I35" s="57">
        <f>G35</f>
        <v>74556.614291340244</v>
      </c>
      <c r="K35" s="28"/>
      <c r="L35" s="28"/>
      <c r="M35" s="29"/>
    </row>
    <row r="36" spans="1:13" x14ac:dyDescent="0.2">
      <c r="A36" s="9"/>
      <c r="B36" s="11"/>
      <c r="C36" s="47" t="s">
        <v>36</v>
      </c>
      <c r="D36" s="49"/>
      <c r="E36" s="58">
        <f>E14*G78</f>
        <v>1103936.0028824871</v>
      </c>
      <c r="F36" s="44" t="s">
        <v>53</v>
      </c>
      <c r="G36" s="58">
        <f>G14*G77</f>
        <v>111092.815</v>
      </c>
      <c r="H36" s="44" t="s">
        <v>55</v>
      </c>
      <c r="I36" s="58">
        <f>G36</f>
        <v>111092.815</v>
      </c>
      <c r="K36" s="28"/>
      <c r="L36" s="28"/>
      <c r="M36" s="29"/>
    </row>
    <row r="37" spans="1:13" x14ac:dyDescent="0.2">
      <c r="A37" s="9"/>
      <c r="B37" s="8"/>
      <c r="C37" s="46" t="s">
        <v>12</v>
      </c>
      <c r="E37" s="13">
        <f>E33+E35+E36</f>
        <v>1470711.8556783474</v>
      </c>
      <c r="F37" s="13"/>
      <c r="G37" s="13">
        <f>G33+G35+G36</f>
        <v>477868.66779586027</v>
      </c>
      <c r="H37" s="13"/>
      <c r="I37" s="13">
        <f>I33+I35+I36</f>
        <v>477868.66779586027</v>
      </c>
    </row>
    <row r="38" spans="1:13" x14ac:dyDescent="0.2">
      <c r="A38" s="9"/>
      <c r="B38" s="8"/>
      <c r="C38" s="4"/>
      <c r="E38" s="57"/>
      <c r="F38" s="26"/>
      <c r="G38" s="57"/>
      <c r="H38" s="26"/>
      <c r="I38" s="57"/>
    </row>
    <row r="39" spans="1:13" x14ac:dyDescent="0.2">
      <c r="A39" s="9"/>
      <c r="B39" s="8" t="s">
        <v>13</v>
      </c>
      <c r="C39" s="4"/>
      <c r="E39" s="57"/>
      <c r="F39" s="26"/>
      <c r="G39" s="57"/>
      <c r="H39" s="26"/>
      <c r="I39" s="57"/>
    </row>
    <row r="40" spans="1:13" x14ac:dyDescent="0.2">
      <c r="A40" s="9"/>
      <c r="B40" s="8"/>
      <c r="C40" s="4"/>
      <c r="E40" s="57"/>
      <c r="F40" s="26"/>
      <c r="G40" s="57"/>
      <c r="H40" s="26"/>
      <c r="I40" s="57"/>
    </row>
    <row r="41" spans="1:13" x14ac:dyDescent="0.2">
      <c r="A41" s="9"/>
      <c r="B41" s="8"/>
      <c r="C41" s="11" t="s">
        <v>14</v>
      </c>
      <c r="E41" s="57">
        <f>E24*N75</f>
        <v>451894.82855992008</v>
      </c>
      <c r="F41" s="26"/>
      <c r="G41" s="57">
        <f>G24*N75</f>
        <v>252579.08363400496</v>
      </c>
      <c r="H41" s="26"/>
      <c r="I41" s="57">
        <f>I24*N86</f>
        <v>251843.47227701035</v>
      </c>
    </row>
    <row r="42" spans="1:13" x14ac:dyDescent="0.2">
      <c r="A42" s="9"/>
      <c r="B42" s="8"/>
      <c r="C42" s="11" t="s">
        <v>58</v>
      </c>
      <c r="E42" s="57">
        <f>E24*N76</f>
        <v>1076971.9346064003</v>
      </c>
      <c r="F42" s="26"/>
      <c r="G42" s="57">
        <f>G24*N76</f>
        <v>601955.51520093763</v>
      </c>
      <c r="H42" s="26"/>
      <c r="I42" s="57">
        <f>I24*N87</f>
        <v>552701.69239531714</v>
      </c>
    </row>
    <row r="43" spans="1:13" x14ac:dyDescent="0.2">
      <c r="A43" s="9"/>
      <c r="B43" s="8"/>
      <c r="C43" s="11" t="s">
        <v>60</v>
      </c>
      <c r="E43" s="13">
        <f>(E42+E44)*(0.05228/(1-0.05228))</f>
        <v>75202.595144032035</v>
      </c>
      <c r="F43" s="26"/>
      <c r="G43" s="13">
        <f>(G42+G44)*(0.05228/(1-0.05228))</f>
        <v>42033.237310791767</v>
      </c>
      <c r="H43" s="26"/>
      <c r="I43" s="13">
        <f>(I42+I44)*(0.05228/(1-0.05228))</f>
        <v>38593.950569210443</v>
      </c>
    </row>
    <row r="44" spans="1:13" x14ac:dyDescent="0.2">
      <c r="A44" s="9"/>
      <c r="B44" s="8"/>
      <c r="C44" s="54" t="s">
        <v>59</v>
      </c>
      <c r="D44" s="55"/>
      <c r="E44" s="59">
        <f>(0.21/(1-0.21)*E42)</f>
        <v>286283.67881942284</v>
      </c>
      <c r="F44" s="56"/>
      <c r="G44" s="59">
        <f>(0.21/(1-0.21)*G42)</f>
        <v>160013.49138252772</v>
      </c>
      <c r="H44" s="56"/>
      <c r="I44" s="59">
        <f>(0.21/(1-0.21)*I42)</f>
        <v>146920.70304179314</v>
      </c>
      <c r="J44" s="13"/>
      <c r="K44" s="19"/>
      <c r="L44" s="19"/>
    </row>
    <row r="45" spans="1:13" x14ac:dyDescent="0.2">
      <c r="A45" s="9"/>
      <c r="B45" s="8"/>
      <c r="C45" s="36"/>
      <c r="D45" s="37"/>
      <c r="E45" s="60"/>
      <c r="F45" s="53"/>
      <c r="G45" s="60"/>
      <c r="H45" s="53"/>
      <c r="I45" s="60"/>
    </row>
    <row r="46" spans="1:13" x14ac:dyDescent="0.2">
      <c r="A46" s="9"/>
      <c r="B46" s="8"/>
      <c r="C46" s="11" t="s">
        <v>15</v>
      </c>
      <c r="E46" s="13">
        <f>SUM(E41:E44)</f>
        <v>1890353.0371297754</v>
      </c>
      <c r="F46" s="13"/>
      <c r="G46" s="13">
        <f>SUM(G41:G44)</f>
        <v>1056581.327528262</v>
      </c>
      <c r="H46" s="13"/>
      <c r="I46" s="13">
        <f>SUM(I41:I44)</f>
        <v>990059.81828333111</v>
      </c>
    </row>
    <row r="47" spans="1:13" x14ac:dyDescent="0.2">
      <c r="A47" s="9"/>
      <c r="B47" s="8"/>
      <c r="C47" s="4"/>
      <c r="E47" s="57"/>
      <c r="F47" s="26"/>
      <c r="G47" s="57"/>
      <c r="H47" s="26"/>
      <c r="I47" s="57"/>
    </row>
    <row r="48" spans="1:13" x14ac:dyDescent="0.2">
      <c r="A48" s="9"/>
      <c r="B48" s="8"/>
      <c r="C48" s="11" t="s">
        <v>16</v>
      </c>
      <c r="E48" s="13">
        <f>E30</f>
        <v>5074213</v>
      </c>
      <c r="F48" s="13"/>
      <c r="G48" s="13">
        <f>G30</f>
        <v>5311377.4119459251</v>
      </c>
      <c r="H48" s="13"/>
      <c r="I48" s="13">
        <f>I30</f>
        <v>5311377.4119459251</v>
      </c>
    </row>
    <row r="49" spans="1:9" x14ac:dyDescent="0.2">
      <c r="A49" s="9"/>
      <c r="B49" s="8"/>
      <c r="C49" s="11" t="s">
        <v>11</v>
      </c>
      <c r="E49" s="13">
        <f>E37</f>
        <v>1470711.8556783474</v>
      </c>
      <c r="F49" s="13"/>
      <c r="G49" s="13">
        <f>G37</f>
        <v>477868.66779586027</v>
      </c>
      <c r="H49" s="13"/>
      <c r="I49" s="13">
        <f>I37</f>
        <v>477868.66779586027</v>
      </c>
    </row>
    <row r="50" spans="1:9" x14ac:dyDescent="0.2">
      <c r="A50" s="9"/>
      <c r="B50" s="8"/>
      <c r="C50" s="5"/>
      <c r="D50" s="7"/>
      <c r="E50" s="58"/>
      <c r="F50" s="44"/>
      <c r="G50" s="58"/>
      <c r="H50" s="44"/>
      <c r="I50" s="58"/>
    </row>
    <row r="51" spans="1:9" x14ac:dyDescent="0.2">
      <c r="A51" s="9"/>
      <c r="B51" s="8"/>
      <c r="C51" s="11" t="s">
        <v>17</v>
      </c>
      <c r="E51" s="13">
        <f>SUM(E46:E49)</f>
        <v>8435277.8928081226</v>
      </c>
      <c r="F51" s="13"/>
      <c r="G51" s="13">
        <f>SUM(G46:G49)</f>
        <v>6845827.4072700469</v>
      </c>
      <c r="H51" s="13"/>
      <c r="I51" s="13">
        <f>SUM(I46:I49)</f>
        <v>6779305.8980251169</v>
      </c>
    </row>
    <row r="52" spans="1:9" x14ac:dyDescent="0.2">
      <c r="A52" s="9"/>
      <c r="B52" s="8"/>
      <c r="C52" s="47"/>
      <c r="D52" s="7"/>
      <c r="E52" s="58"/>
      <c r="F52" s="44"/>
      <c r="G52" s="58"/>
      <c r="H52" s="44"/>
      <c r="I52" s="58"/>
    </row>
    <row r="53" spans="1:9" x14ac:dyDescent="0.2">
      <c r="A53" s="9"/>
      <c r="B53" s="8"/>
      <c r="C53" s="46" t="s">
        <v>18</v>
      </c>
      <c r="E53" s="31">
        <f>E51</f>
        <v>8435277.8928081226</v>
      </c>
      <c r="F53" s="31"/>
      <c r="G53" s="31">
        <f>G51</f>
        <v>6845827.4072700469</v>
      </c>
      <c r="H53" s="31"/>
      <c r="I53" s="31">
        <f>I51</f>
        <v>6779305.8980251169</v>
      </c>
    </row>
    <row r="54" spans="1:9" x14ac:dyDescent="0.2">
      <c r="A54" s="9"/>
      <c r="B54" s="8"/>
      <c r="C54" s="4"/>
      <c r="E54" s="57"/>
      <c r="F54" s="26"/>
      <c r="G54" s="26"/>
      <c r="H54" s="26"/>
      <c r="I54" s="26"/>
    </row>
    <row r="55" spans="1:9" x14ac:dyDescent="0.2">
      <c r="A55" s="9"/>
      <c r="B55" s="8"/>
      <c r="C55" s="4" t="s">
        <v>19</v>
      </c>
      <c r="E55" s="35">
        <v>128431</v>
      </c>
      <c r="F55" s="35"/>
      <c r="G55" s="35">
        <v>128431</v>
      </c>
      <c r="H55" s="35"/>
      <c r="I55" s="35">
        <v>128431</v>
      </c>
    </row>
    <row r="56" spans="1:9" x14ac:dyDescent="0.2">
      <c r="A56" s="9"/>
      <c r="B56" s="8"/>
      <c r="C56" s="11" t="s">
        <v>20</v>
      </c>
      <c r="E56" s="57">
        <f>E55*12</f>
        <v>1541172</v>
      </c>
      <c r="F56" s="26"/>
      <c r="G56" s="26">
        <f>G55*12</f>
        <v>1541172</v>
      </c>
      <c r="H56" s="26"/>
      <c r="I56" s="26">
        <f>I55*12</f>
        <v>1541172</v>
      </c>
    </row>
    <row r="57" spans="1:9" ht="13.5" thickBot="1" x14ac:dyDescent="0.25">
      <c r="A57" s="9"/>
      <c r="B57" s="8"/>
      <c r="C57" s="17"/>
      <c r="D57" s="18"/>
      <c r="E57" s="48"/>
      <c r="F57" s="48"/>
      <c r="G57" s="48"/>
      <c r="H57" s="48"/>
      <c r="I57" s="48"/>
    </row>
    <row r="58" spans="1:9" ht="16.5" thickTop="1" x14ac:dyDescent="0.25">
      <c r="A58" s="9"/>
      <c r="B58" s="8"/>
      <c r="C58" s="64" t="s">
        <v>21</v>
      </c>
      <c r="D58" s="65"/>
      <c r="E58" s="66">
        <f>E53/E56</f>
        <v>5.4732877918935214</v>
      </c>
      <c r="F58" s="66"/>
      <c r="G58" s="66">
        <f>G53/G56</f>
        <v>4.4419619661335963</v>
      </c>
      <c r="H58" s="66"/>
      <c r="I58" s="66">
        <f>I53/I56</f>
        <v>4.3987990295860016</v>
      </c>
    </row>
    <row r="59" spans="1:9" x14ac:dyDescent="0.2">
      <c r="A59" s="9"/>
      <c r="B59" s="22"/>
      <c r="C59" s="5"/>
      <c r="D59" s="7"/>
      <c r="E59" s="7"/>
      <c r="F59" s="7"/>
      <c r="G59" s="7"/>
      <c r="H59" s="7"/>
      <c r="I59" s="7"/>
    </row>
    <row r="60" spans="1:9" x14ac:dyDescent="0.2">
      <c r="A60" s="9"/>
      <c r="B60" s="11" t="s">
        <v>27</v>
      </c>
      <c r="C60" s="13" t="s">
        <v>44</v>
      </c>
    </row>
    <row r="61" spans="1:9" ht="52.5" customHeight="1" x14ac:dyDescent="0.2">
      <c r="A61" s="9"/>
      <c r="B61" s="50" t="s">
        <v>37</v>
      </c>
      <c r="C61" s="91" t="s">
        <v>90</v>
      </c>
      <c r="D61" s="91"/>
      <c r="E61" s="91"/>
      <c r="F61" s="91"/>
      <c r="G61" s="91"/>
      <c r="H61" s="91"/>
      <c r="I61" s="91"/>
    </row>
    <row r="62" spans="1:9" x14ac:dyDescent="0.2">
      <c r="A62" s="9"/>
      <c r="B62" s="1" t="s">
        <v>38</v>
      </c>
      <c r="C62" s="13" t="s">
        <v>39</v>
      </c>
    </row>
    <row r="63" spans="1:9" x14ac:dyDescent="0.2">
      <c r="A63" s="9"/>
      <c r="B63" s="1" t="s">
        <v>40</v>
      </c>
      <c r="C63" s="13" t="s">
        <v>43</v>
      </c>
    </row>
    <row r="64" spans="1:9" ht="26.25" customHeight="1" x14ac:dyDescent="0.2">
      <c r="A64" s="9"/>
      <c r="B64" s="51" t="s">
        <v>41</v>
      </c>
      <c r="C64" s="92" t="s">
        <v>45</v>
      </c>
      <c r="D64" s="92"/>
      <c r="E64" s="92"/>
      <c r="F64" s="92"/>
      <c r="G64" s="92"/>
      <c r="H64" s="92"/>
      <c r="I64" s="92"/>
    </row>
    <row r="65" spans="1:14" ht="29.25" customHeight="1" x14ac:dyDescent="0.2">
      <c r="A65" s="9"/>
      <c r="B65" s="51" t="s">
        <v>42</v>
      </c>
      <c r="C65" s="92" t="s">
        <v>50</v>
      </c>
      <c r="D65" s="92"/>
      <c r="E65" s="92"/>
      <c r="F65" s="92"/>
      <c r="G65" s="92"/>
      <c r="H65" s="92"/>
      <c r="I65" s="92"/>
    </row>
    <row r="66" spans="1:14" ht="25.5" customHeight="1" x14ac:dyDescent="0.2">
      <c r="A66" s="9"/>
      <c r="B66" s="51" t="s">
        <v>53</v>
      </c>
      <c r="C66" s="91" t="s">
        <v>54</v>
      </c>
      <c r="D66" s="91"/>
      <c r="E66" s="91"/>
      <c r="F66" s="91"/>
      <c r="G66" s="91"/>
      <c r="H66" s="91"/>
      <c r="I66" s="91"/>
    </row>
    <row r="67" spans="1:14" x14ac:dyDescent="0.2">
      <c r="A67" s="9"/>
      <c r="B67" s="1" t="s">
        <v>55</v>
      </c>
      <c r="C67" s="13" t="s">
        <v>56</v>
      </c>
    </row>
    <row r="68" spans="1:14" x14ac:dyDescent="0.2">
      <c r="A68" s="9"/>
      <c r="B68" s="8"/>
      <c r="C68" s="36"/>
      <c r="D68" s="33"/>
      <c r="E68" s="33"/>
      <c r="F68" s="33"/>
      <c r="G68" s="33"/>
      <c r="H68" s="33"/>
      <c r="I68" s="33"/>
    </row>
    <row r="69" spans="1:14" x14ac:dyDescent="0.2">
      <c r="C69" s="37"/>
      <c r="D69" s="34"/>
      <c r="E69" s="34"/>
      <c r="F69" s="20"/>
      <c r="G69" s="20"/>
      <c r="H69" s="20"/>
      <c r="I69" s="20"/>
    </row>
    <row r="70" spans="1:14" x14ac:dyDescent="0.2">
      <c r="C70" s="38" t="s">
        <v>46</v>
      </c>
      <c r="D70" s="34"/>
      <c r="E70" s="34"/>
      <c r="F70" s="34"/>
      <c r="G70" s="34"/>
      <c r="H70" s="34"/>
      <c r="I70" s="34"/>
    </row>
    <row r="71" spans="1:14" x14ac:dyDescent="0.2">
      <c r="B71" s="11"/>
      <c r="C71" s="63" t="s">
        <v>47</v>
      </c>
      <c r="D71" s="34"/>
      <c r="E71" s="34"/>
      <c r="F71" s="20"/>
      <c r="G71" s="20"/>
      <c r="H71" s="20"/>
      <c r="I71" s="20"/>
    </row>
    <row r="72" spans="1:14" x14ac:dyDescent="0.2">
      <c r="C72" s="61" t="s">
        <v>48</v>
      </c>
      <c r="D72" s="37"/>
      <c r="E72" s="39">
        <v>2458590</v>
      </c>
      <c r="G72" s="20">
        <v>1.7000000000000001E-2</v>
      </c>
      <c r="I72" s="40">
        <f>E72*G72</f>
        <v>41796.030000000006</v>
      </c>
    </row>
    <row r="73" spans="1:14" x14ac:dyDescent="0.2">
      <c r="C73" s="38" t="s">
        <v>49</v>
      </c>
      <c r="E73" s="35">
        <v>18767918</v>
      </c>
      <c r="G73" s="20">
        <v>1.52E-2</v>
      </c>
      <c r="I73" s="40">
        <f>E73*G73</f>
        <v>285272.35359999997</v>
      </c>
      <c r="K73" s="88" t="s">
        <v>57</v>
      </c>
      <c r="L73" s="88"/>
      <c r="M73" s="88"/>
      <c r="N73" s="88"/>
    </row>
    <row r="74" spans="1:14" x14ac:dyDescent="0.2">
      <c r="C74" s="38" t="s">
        <v>22</v>
      </c>
      <c r="E74" s="35">
        <f>E72+E73</f>
        <v>21226508</v>
      </c>
      <c r="G74" s="20"/>
      <c r="I74" s="35">
        <f>I72+I73</f>
        <v>327068.3836</v>
      </c>
      <c r="K74" s="23" t="s">
        <v>23</v>
      </c>
      <c r="L74" s="23"/>
      <c r="M74" s="23"/>
      <c r="N74" s="23"/>
    </row>
    <row r="75" spans="1:14" x14ac:dyDescent="0.2">
      <c r="E75" s="35"/>
      <c r="I75" s="20">
        <f>I74/E74</f>
        <v>1.5408487519473293E-2</v>
      </c>
      <c r="K75" s="1" t="s">
        <v>24</v>
      </c>
      <c r="L75" s="20">
        <f>L82</f>
        <v>0.51759999999999995</v>
      </c>
      <c r="M75" s="20">
        <f>M82</f>
        <v>3.8324111282843902E-2</v>
      </c>
      <c r="N75" s="43">
        <f>L75*M75</f>
        <v>1.9836560000000003E-2</v>
      </c>
    </row>
    <row r="76" spans="1:14" x14ac:dyDescent="0.2">
      <c r="C76" s="62" t="s">
        <v>4</v>
      </c>
      <c r="K76" s="7" t="s">
        <v>25</v>
      </c>
      <c r="L76" s="21">
        <f>1-L75</f>
        <v>0.48240000000000005</v>
      </c>
      <c r="M76" s="21">
        <v>9.8000000000000004E-2</v>
      </c>
      <c r="N76" s="21">
        <f>M76*L76</f>
        <v>4.727520000000001E-2</v>
      </c>
    </row>
    <row r="77" spans="1:14" x14ac:dyDescent="0.2">
      <c r="C77" s="38" t="s">
        <v>51</v>
      </c>
      <c r="E77" s="35">
        <v>2752936</v>
      </c>
      <c r="G77" s="20">
        <v>3.4599999999999999E-2</v>
      </c>
      <c r="I77" s="35">
        <f>E77*G77</f>
        <v>95251.585599999991</v>
      </c>
      <c r="K77" s="1" t="s">
        <v>22</v>
      </c>
      <c r="L77" s="20"/>
      <c r="M77" s="20"/>
      <c r="N77" s="20">
        <f>N76+N75</f>
        <v>6.711176000000002E-2</v>
      </c>
    </row>
    <row r="78" spans="1:14" x14ac:dyDescent="0.2">
      <c r="C78" s="38" t="s">
        <v>52</v>
      </c>
      <c r="E78" s="35">
        <v>19820983</v>
      </c>
      <c r="G78" s="20">
        <v>6.8599999999999994E-2</v>
      </c>
      <c r="I78" s="35">
        <f>E78*G78</f>
        <v>1359719.4338</v>
      </c>
    </row>
    <row r="79" spans="1:14" x14ac:dyDescent="0.2">
      <c r="C79" s="38" t="s">
        <v>22</v>
      </c>
      <c r="E79" s="35">
        <f>E77+E78</f>
        <v>22573919</v>
      </c>
      <c r="I79" s="35">
        <f>I77+I78</f>
        <v>1454971.0194000001</v>
      </c>
    </row>
    <row r="80" spans="1:14" x14ac:dyDescent="0.2">
      <c r="I80" s="20">
        <f>I79/E79</f>
        <v>6.4453629846018323E-2</v>
      </c>
      <c r="K80" s="1" t="s">
        <v>31</v>
      </c>
      <c r="L80" s="20">
        <v>0.45929999999999999</v>
      </c>
      <c r="M80" s="20">
        <v>4.0730000000000002E-2</v>
      </c>
      <c r="N80" s="20">
        <f>M80*L80</f>
        <v>1.8707289000000002E-2</v>
      </c>
    </row>
    <row r="81" spans="11:14" x14ac:dyDescent="0.2">
      <c r="K81" s="1" t="s">
        <v>32</v>
      </c>
      <c r="L81" s="20">
        <v>5.8299999999999998E-2</v>
      </c>
      <c r="M81" s="20">
        <v>1.9369999999999998E-2</v>
      </c>
      <c r="N81" s="20">
        <f>M81*L81</f>
        <v>1.1292709999999998E-3</v>
      </c>
    </row>
    <row r="82" spans="11:14" x14ac:dyDescent="0.2">
      <c r="K82" s="1" t="s">
        <v>33</v>
      </c>
      <c r="L82" s="30">
        <f>L80+L81</f>
        <v>0.51759999999999995</v>
      </c>
      <c r="M82" s="30">
        <f>N82/L82</f>
        <v>3.8324111282843902E-2</v>
      </c>
      <c r="N82" s="30">
        <f>N80+N81</f>
        <v>1.9836560000000003E-2</v>
      </c>
    </row>
    <row r="84" spans="11:14" x14ac:dyDescent="0.2">
      <c r="K84" s="88" t="s">
        <v>70</v>
      </c>
      <c r="L84" s="88"/>
      <c r="M84" s="88"/>
      <c r="N84" s="88"/>
    </row>
    <row r="85" spans="11:14" x14ac:dyDescent="0.2">
      <c r="K85" s="23" t="s">
        <v>23</v>
      </c>
      <c r="L85" s="23"/>
      <c r="M85" s="23"/>
      <c r="N85" s="23"/>
    </row>
    <row r="86" spans="11:14" x14ac:dyDescent="0.2">
      <c r="K86" s="1" t="s">
        <v>24</v>
      </c>
      <c r="L86" s="20">
        <f>L93</f>
        <v>0.51769999999999994</v>
      </c>
      <c r="M86" s="20">
        <f>M93</f>
        <v>3.8205114931427468E-2</v>
      </c>
      <c r="N86" s="43">
        <f>L86*M86</f>
        <v>1.9778787999999999E-2</v>
      </c>
    </row>
    <row r="87" spans="11:14" x14ac:dyDescent="0.2">
      <c r="K87" s="7" t="s">
        <v>25</v>
      </c>
      <c r="L87" s="21">
        <f>1-L86</f>
        <v>0.48230000000000006</v>
      </c>
      <c r="M87" s="21">
        <v>0.09</v>
      </c>
      <c r="N87" s="21">
        <f>M87*L87</f>
        <v>4.3407000000000001E-2</v>
      </c>
    </row>
    <row r="88" spans="11:14" x14ac:dyDescent="0.2">
      <c r="K88" s="1" t="s">
        <v>22</v>
      </c>
      <c r="L88" s="20"/>
      <c r="M88" s="20"/>
      <c r="N88" s="20">
        <f>N87+N86</f>
        <v>6.3185787999999993E-2</v>
      </c>
    </row>
    <row r="91" spans="11:14" x14ac:dyDescent="0.2">
      <c r="K91" s="1" t="s">
        <v>31</v>
      </c>
      <c r="L91" s="20">
        <v>0.45929999999999999</v>
      </c>
      <c r="M91" s="20">
        <v>4.0599999999999997E-2</v>
      </c>
      <c r="N91" s="20">
        <f>M91*L91</f>
        <v>1.8647579999999997E-2</v>
      </c>
    </row>
    <row r="92" spans="11:14" x14ac:dyDescent="0.2">
      <c r="K92" s="1" t="s">
        <v>32</v>
      </c>
      <c r="L92" s="20">
        <v>5.8400000000000001E-2</v>
      </c>
      <c r="M92" s="20">
        <v>1.9369999999999998E-2</v>
      </c>
      <c r="N92" s="20">
        <f>M92*L92</f>
        <v>1.1312079999999999E-3</v>
      </c>
    </row>
    <row r="93" spans="11:14" x14ac:dyDescent="0.2">
      <c r="K93" s="1" t="s">
        <v>33</v>
      </c>
      <c r="L93" s="30">
        <f>L91+L92</f>
        <v>0.51769999999999994</v>
      </c>
      <c r="M93" s="30">
        <f>N93/L93</f>
        <v>3.8205114931427468E-2</v>
      </c>
      <c r="N93" s="30">
        <f>N91+N92</f>
        <v>1.9778787999999999E-2</v>
      </c>
    </row>
  </sheetData>
  <mergeCells count="9">
    <mergeCell ref="K84:N84"/>
    <mergeCell ref="B2:I2"/>
    <mergeCell ref="B3:I3"/>
    <mergeCell ref="C61:I61"/>
    <mergeCell ref="C64:I64"/>
    <mergeCell ref="C65:I65"/>
    <mergeCell ref="C66:I66"/>
    <mergeCell ref="K73:N73"/>
    <mergeCell ref="E5:G5"/>
  </mergeCells>
  <printOptions horizontalCentered="1"/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AD74F-CCC1-44B7-99BA-6119AA9DABF3}">
  <dimension ref="A1:M92"/>
  <sheetViews>
    <sheetView tabSelected="1" topLeftCell="A21" workbookViewId="0">
      <selection activeCell="C6" sqref="C6"/>
    </sheetView>
  </sheetViews>
  <sheetFormatPr defaultRowHeight="14.25" x14ac:dyDescent="0.2"/>
  <cols>
    <col min="1" max="1" width="16.5703125" style="67" customWidth="1"/>
    <col min="2" max="2" width="9.85546875" style="67" bestFit="1" customWidth="1"/>
    <col min="3" max="3" width="14" style="75" bestFit="1" customWidth="1"/>
    <col min="4" max="4" width="11.7109375" style="76" bestFit="1" customWidth="1"/>
    <col min="5" max="5" width="11.5703125" style="76" customWidth="1"/>
    <col min="6" max="6" width="9.140625" style="67"/>
    <col min="7" max="7" width="9.5703125" style="67" bestFit="1" customWidth="1"/>
    <col min="8" max="11" width="9.140625" style="67"/>
    <col min="12" max="12" width="13.42578125" style="67" bestFit="1" customWidth="1"/>
    <col min="13" max="16384" width="9.140625" style="67"/>
  </cols>
  <sheetData>
    <row r="1" spans="1:11" ht="15" x14ac:dyDescent="0.25">
      <c r="A1" s="94" t="s">
        <v>28</v>
      </c>
      <c r="B1" s="94"/>
      <c r="C1" s="94"/>
      <c r="D1" s="94"/>
      <c r="E1" s="94"/>
    </row>
    <row r="2" spans="1:11" ht="15" x14ac:dyDescent="0.25">
      <c r="A2" s="95" t="s">
        <v>74</v>
      </c>
      <c r="B2" s="95"/>
      <c r="C2" s="95"/>
      <c r="D2" s="95"/>
      <c r="E2" s="95"/>
    </row>
    <row r="3" spans="1:11" ht="15" x14ac:dyDescent="0.25">
      <c r="B3" s="71" t="s">
        <v>75</v>
      </c>
      <c r="C3" s="72"/>
      <c r="D3" s="73"/>
      <c r="E3" s="73"/>
      <c r="F3" s="87"/>
      <c r="G3" s="87"/>
      <c r="H3" s="87"/>
      <c r="I3" s="87"/>
    </row>
    <row r="4" spans="1:11" ht="15" x14ac:dyDescent="0.25">
      <c r="B4" s="68"/>
      <c r="C4" s="69"/>
      <c r="D4" s="70"/>
      <c r="E4" s="85" t="s">
        <v>91</v>
      </c>
      <c r="F4" s="86"/>
      <c r="G4" s="86" t="s">
        <v>92</v>
      </c>
      <c r="H4" s="84"/>
      <c r="I4" s="84" t="s">
        <v>93</v>
      </c>
    </row>
    <row r="5" spans="1:11" ht="15" x14ac:dyDescent="0.25">
      <c r="B5" s="68" t="s">
        <v>76</v>
      </c>
      <c r="C5" s="69"/>
      <c r="D5" s="70"/>
      <c r="E5" s="70" t="s">
        <v>77</v>
      </c>
    </row>
    <row r="6" spans="1:11" ht="15" x14ac:dyDescent="0.25">
      <c r="B6" s="68" t="s">
        <v>78</v>
      </c>
      <c r="C6" s="69" t="s">
        <v>22</v>
      </c>
      <c r="D6" s="70" t="s">
        <v>79</v>
      </c>
      <c r="E6" s="70" t="s">
        <v>80</v>
      </c>
    </row>
    <row r="7" spans="1:11" ht="15" x14ac:dyDescent="0.25">
      <c r="B7" s="71" t="s">
        <v>81</v>
      </c>
      <c r="C7" s="72" t="s">
        <v>78</v>
      </c>
      <c r="D7" s="73" t="s">
        <v>4</v>
      </c>
      <c r="E7" s="73" t="s">
        <v>76</v>
      </c>
    </row>
    <row r="8" spans="1:11" x14ac:dyDescent="0.2">
      <c r="A8" s="74" t="s">
        <v>82</v>
      </c>
    </row>
    <row r="9" spans="1:11" x14ac:dyDescent="0.2">
      <c r="B9" s="77">
        <v>18.95</v>
      </c>
      <c r="C9" s="75">
        <f>B9*D9</f>
        <v>13037.6</v>
      </c>
      <c r="D9" s="76">
        <v>688</v>
      </c>
    </row>
    <row r="10" spans="1:11" x14ac:dyDescent="0.2">
      <c r="B10" s="77">
        <v>25.86</v>
      </c>
      <c r="C10" s="75">
        <f t="shared" ref="C10:C18" si="0">B10*D10</f>
        <v>982.68</v>
      </c>
      <c r="D10" s="76">
        <v>38</v>
      </c>
    </row>
    <row r="11" spans="1:11" x14ac:dyDescent="0.2">
      <c r="B11" s="77">
        <v>28.75</v>
      </c>
      <c r="C11" s="75">
        <f t="shared" si="0"/>
        <v>2731.25</v>
      </c>
      <c r="D11" s="76">
        <v>95</v>
      </c>
    </row>
    <row r="12" spans="1:11" x14ac:dyDescent="0.2">
      <c r="B12" s="77">
        <v>33.22</v>
      </c>
      <c r="C12" s="75">
        <f t="shared" si="0"/>
        <v>6212.1399999999994</v>
      </c>
      <c r="D12" s="76">
        <v>187</v>
      </c>
    </row>
    <row r="13" spans="1:11" x14ac:dyDescent="0.2">
      <c r="B13" s="77">
        <v>41.75</v>
      </c>
      <c r="C13" s="75">
        <f t="shared" si="0"/>
        <v>292.25</v>
      </c>
      <c r="D13" s="76">
        <v>7</v>
      </c>
    </row>
    <row r="14" spans="1:11" x14ac:dyDescent="0.2">
      <c r="B14" s="77">
        <v>42.23</v>
      </c>
      <c r="C14" s="75">
        <f t="shared" si="0"/>
        <v>2744.95</v>
      </c>
      <c r="D14" s="76">
        <v>65</v>
      </c>
    </row>
    <row r="15" spans="1:11" x14ac:dyDescent="0.2">
      <c r="B15" s="77">
        <v>42.33</v>
      </c>
      <c r="C15" s="75">
        <f t="shared" si="0"/>
        <v>42.33</v>
      </c>
      <c r="D15" s="76">
        <v>1</v>
      </c>
    </row>
    <row r="16" spans="1:11" x14ac:dyDescent="0.2">
      <c r="B16" s="77">
        <v>42.87</v>
      </c>
      <c r="C16" s="75">
        <f t="shared" si="0"/>
        <v>42.87</v>
      </c>
      <c r="D16" s="76">
        <v>1</v>
      </c>
      <c r="K16" s="67" t="s">
        <v>83</v>
      </c>
    </row>
    <row r="17" spans="1:12" x14ac:dyDescent="0.2">
      <c r="B17" s="77">
        <v>64.63</v>
      </c>
      <c r="C17" s="75">
        <f t="shared" si="0"/>
        <v>193.89</v>
      </c>
      <c r="D17" s="76">
        <v>3</v>
      </c>
    </row>
    <row r="18" spans="1:12" x14ac:dyDescent="0.2">
      <c r="B18" s="78">
        <v>86.16</v>
      </c>
      <c r="C18" s="79">
        <f t="shared" si="0"/>
        <v>344.64</v>
      </c>
      <c r="D18" s="80">
        <v>4</v>
      </c>
      <c r="E18" s="80"/>
      <c r="F18" s="81"/>
      <c r="G18" s="76"/>
      <c r="H18" s="77"/>
      <c r="J18" s="67" t="s">
        <v>84</v>
      </c>
      <c r="L18" s="76">
        <v>3285527</v>
      </c>
    </row>
    <row r="19" spans="1:12" x14ac:dyDescent="0.2">
      <c r="B19" s="77" t="s">
        <v>85</v>
      </c>
      <c r="C19" s="75">
        <f>SUM(C9:C18)</f>
        <v>26624.6</v>
      </c>
      <c r="D19" s="76">
        <f>SUM(D9:D18)</f>
        <v>1089</v>
      </c>
      <c r="E19" s="77">
        <f>C19/D19</f>
        <v>24.448668503213955</v>
      </c>
      <c r="F19" s="81"/>
      <c r="G19" s="76"/>
      <c r="H19" s="77"/>
      <c r="L19" s="76"/>
    </row>
    <row r="20" spans="1:12" x14ac:dyDescent="0.2">
      <c r="B20" s="77"/>
      <c r="E20" s="77"/>
      <c r="F20" s="81"/>
      <c r="G20" s="76"/>
      <c r="H20" s="77"/>
      <c r="L20" s="76"/>
    </row>
    <row r="21" spans="1:12" x14ac:dyDescent="0.2">
      <c r="A21" s="74" t="s">
        <v>86</v>
      </c>
      <c r="B21" s="77"/>
      <c r="F21" s="81"/>
      <c r="G21" s="76"/>
      <c r="H21" s="77"/>
      <c r="L21" s="76"/>
    </row>
    <row r="22" spans="1:12" x14ac:dyDescent="0.2">
      <c r="B22" s="77">
        <v>95</v>
      </c>
      <c r="C22" s="75">
        <f t="shared" ref="C22:C34" si="1">B22*D22</f>
        <v>12003250</v>
      </c>
      <c r="D22" s="76">
        <v>126350</v>
      </c>
      <c r="J22" s="67" t="s">
        <v>87</v>
      </c>
      <c r="L22" s="76">
        <v>131839</v>
      </c>
    </row>
    <row r="23" spans="1:12" x14ac:dyDescent="0.2">
      <c r="B23" s="77">
        <v>105</v>
      </c>
      <c r="C23" s="75">
        <f t="shared" si="1"/>
        <v>194880</v>
      </c>
      <c r="D23" s="76">
        <v>1856</v>
      </c>
      <c r="J23" s="67" t="s">
        <v>88</v>
      </c>
      <c r="L23" s="77">
        <f>L18/L22</f>
        <v>24.920751826090914</v>
      </c>
    </row>
    <row r="24" spans="1:12" x14ac:dyDescent="0.2">
      <c r="B24" s="77">
        <v>110.9</v>
      </c>
      <c r="C24" s="75">
        <f t="shared" si="1"/>
        <v>17522.2</v>
      </c>
      <c r="D24" s="76">
        <v>158</v>
      </c>
    </row>
    <row r="25" spans="1:12" x14ac:dyDescent="0.2">
      <c r="B25" s="77">
        <v>125</v>
      </c>
      <c r="C25" s="75">
        <f t="shared" si="1"/>
        <v>262250</v>
      </c>
      <c r="D25" s="76">
        <v>2098</v>
      </c>
    </row>
    <row r="26" spans="1:12" x14ac:dyDescent="0.2">
      <c r="B26" s="77">
        <v>147.22</v>
      </c>
      <c r="C26" s="75">
        <f t="shared" si="1"/>
        <v>12955.36</v>
      </c>
      <c r="D26" s="76">
        <v>88</v>
      </c>
    </row>
    <row r="27" spans="1:12" x14ac:dyDescent="0.2">
      <c r="B27" s="77">
        <v>148.08000000000001</v>
      </c>
      <c r="C27" s="75">
        <f t="shared" si="1"/>
        <v>148.08000000000001</v>
      </c>
      <c r="D27" s="76">
        <v>1</v>
      </c>
    </row>
    <row r="28" spans="1:12" x14ac:dyDescent="0.2">
      <c r="B28" s="77">
        <v>149.78</v>
      </c>
      <c r="C28" s="75">
        <f t="shared" si="1"/>
        <v>182132.48000000001</v>
      </c>
      <c r="D28" s="76">
        <v>1216</v>
      </c>
    </row>
    <row r="29" spans="1:12" x14ac:dyDescent="0.2">
      <c r="B29" s="77">
        <v>241.9</v>
      </c>
      <c r="C29" s="75">
        <f t="shared" si="1"/>
        <v>725.7</v>
      </c>
      <c r="D29" s="76">
        <v>3</v>
      </c>
    </row>
    <row r="30" spans="1:12" x14ac:dyDescent="0.2">
      <c r="B30" s="77">
        <v>255</v>
      </c>
      <c r="C30" s="75">
        <f t="shared" si="1"/>
        <v>11985</v>
      </c>
      <c r="D30" s="76">
        <v>47</v>
      </c>
    </row>
    <row r="31" spans="1:12" x14ac:dyDescent="0.2">
      <c r="B31" s="77">
        <v>259</v>
      </c>
      <c r="C31" s="75">
        <f t="shared" si="1"/>
        <v>518</v>
      </c>
      <c r="D31" s="76">
        <v>2</v>
      </c>
    </row>
    <row r="32" spans="1:12" x14ac:dyDescent="0.2">
      <c r="B32" s="77">
        <v>266</v>
      </c>
      <c r="C32" s="75">
        <f t="shared" si="1"/>
        <v>61712</v>
      </c>
      <c r="D32" s="76">
        <v>232</v>
      </c>
    </row>
    <row r="33" spans="1:4" x14ac:dyDescent="0.2">
      <c r="B33" s="77">
        <v>367</v>
      </c>
      <c r="C33" s="75">
        <f t="shared" si="1"/>
        <v>5505</v>
      </c>
      <c r="D33" s="76">
        <v>15</v>
      </c>
    </row>
    <row r="34" spans="1:4" s="76" customFormat="1" x14ac:dyDescent="0.2">
      <c r="A34" s="67"/>
      <c r="B34" s="77">
        <v>372.06</v>
      </c>
      <c r="C34" s="75">
        <f t="shared" si="1"/>
        <v>2232.36</v>
      </c>
      <c r="D34" s="76">
        <v>6</v>
      </c>
    </row>
    <row r="37" spans="1:4" s="76" customFormat="1" x14ac:dyDescent="0.2">
      <c r="A37" s="67" t="s">
        <v>89</v>
      </c>
      <c r="B37" s="67"/>
      <c r="C37" s="75"/>
    </row>
    <row r="87" spans="12:13" x14ac:dyDescent="0.2">
      <c r="M87" s="97">
        <v>0.09</v>
      </c>
    </row>
    <row r="91" spans="12:13" x14ac:dyDescent="0.2">
      <c r="M91" s="96">
        <v>4.0599999999999997E-2</v>
      </c>
    </row>
    <row r="92" spans="12:13" x14ac:dyDescent="0.2">
      <c r="L92" s="96">
        <v>5.8400000000000001E-2</v>
      </c>
    </row>
  </sheetData>
  <mergeCells count="2">
    <mergeCell ref="A1:E1"/>
    <mergeCell ref="A2:E2"/>
  </mergeCells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B7995470F6D341A80CEFF45E0E9219" ma:contentTypeVersion="4" ma:contentTypeDescription="Create a new document." ma:contentTypeScope="" ma:versionID="afdb3f1a1262cb3767dd2824d9dde36f">
  <xsd:schema xmlns:xsd="http://www.w3.org/2001/XMLSchema" xmlns:xs="http://www.w3.org/2001/XMLSchema" xmlns:p="http://schemas.microsoft.com/office/2006/metadata/properties" xmlns:ns2="0bb6117c-7237-4594-87be-1a98bf45b026" targetNamespace="http://schemas.microsoft.com/office/2006/metadata/properties" ma:root="true" ma:fieldsID="948665163245fd11d647550566558605" ns2:_="">
    <xsd:import namespace="0bb6117c-7237-4594-87be-1a98bf45b0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b6117c-7237-4594-87be-1a98bf45b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B4EE7C-EBB9-4DD6-9C0A-805DBB0DAE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16C350-8651-4827-9822-85394C778B97}">
  <ds:schemaRefs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bb6117c-7237-4594-87be-1a98bf45b026"/>
  </ds:schemaRefs>
</ds:datastoreItem>
</file>

<file path=customXml/itemProps3.xml><?xml version="1.0" encoding="utf-8"?>
<ds:datastoreItem xmlns:ds="http://schemas.openxmlformats.org/officeDocument/2006/customXml" ds:itemID="{46574BA3-2A95-4F08-9A6D-28A370E1AB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b6117c-7237-4594-87be-1a98bf45b0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Cust. Cost p. 1</vt:lpstr>
      <vt:lpstr>Cust. Cost - p. 2</vt:lpstr>
      <vt:lpstr>'Cust. Cost - p. 2'!Print_Area</vt:lpstr>
      <vt:lpstr>'Cust. Cost p.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Dolen</dc:creator>
  <cp:lastModifiedBy>Jenny Dolen</cp:lastModifiedBy>
  <cp:lastPrinted>2019-12-11T18:41:13Z</cp:lastPrinted>
  <dcterms:created xsi:type="dcterms:W3CDTF">2017-02-27T17:53:38Z</dcterms:created>
  <dcterms:modified xsi:type="dcterms:W3CDTF">2019-12-11T18:41:46Z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0x0101009CB7995470F6D341A80CEFF45E0E9219</vt:lpwstr>
  </property>
</Properties>
</file>